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customProperty27.bin" ContentType="application/vnd.openxmlformats-officedocument.spreadsheetml.customProperty"/>
  <Override PartName="/xl/customProperty28.bin" ContentType="application/vnd.openxmlformats-officedocument.spreadsheetml.customProperty"/>
  <Override PartName="/xl/customProperty29.bin" ContentType="application/vnd.openxmlformats-officedocument.spreadsheetml.customProperty"/>
  <Override PartName="/xl/customProperty30.bin" ContentType="application/vnd.openxmlformats-officedocument.spreadsheetml.customProperty"/>
  <Override PartName="/xl/customProperty31.bin" ContentType="application/vnd.openxmlformats-officedocument.spreadsheetml.customProperty"/>
  <Override PartName="/xl/customProperty32.bin" ContentType="application/vnd.openxmlformats-officedocument.spreadsheetml.customProperty"/>
  <Override PartName="/xl/customProperty33.bin" ContentType="application/vnd.openxmlformats-officedocument.spreadsheetml.customProperty"/>
  <Override PartName="/xl/customProperty34.bin" ContentType="application/vnd.openxmlformats-officedocument.spreadsheetml.customProperty"/>
  <Override PartName="/xl/customProperty35.bin" ContentType="application/vnd.openxmlformats-officedocument.spreadsheetml.customProperty"/>
  <Override PartName="/xl/customProperty36.bin" ContentType="application/vnd.openxmlformats-officedocument.spreadsheetml.customProperty"/>
  <Override PartName="/xl/customProperty37.bin" ContentType="application/vnd.openxmlformats-officedocument.spreadsheetml.customProperty"/>
  <Override PartName="/xl/customProperty38.bin" ContentType="application/vnd.openxmlformats-officedocument.spreadsheetml.customProperty"/>
  <Override PartName="/xl/customProperty39.bin" ContentType="application/vnd.openxmlformats-officedocument.spreadsheetml.customProperty"/>
  <Override PartName="/xl/customProperty40.bin" ContentType="application/vnd.openxmlformats-officedocument.spreadsheetml.customProperty"/>
  <Override PartName="/xl/customProperty41.bin" ContentType="application/vnd.openxmlformats-officedocument.spreadsheetml.customProperty"/>
  <Override PartName="/xl/customProperty42.bin" ContentType="application/vnd.openxmlformats-officedocument.spreadsheetml.customProperty"/>
  <Override PartName="/xl/customProperty43.bin" ContentType="application/vnd.openxmlformats-officedocument.spreadsheetml.customProperty"/>
  <Override PartName="/xl/customProperty44.bin" ContentType="application/vnd.openxmlformats-officedocument.spreadsheetml.customProperty"/>
  <Override PartName="/xl/customProperty45.bin" ContentType="application/vnd.openxmlformats-officedocument.spreadsheetml.customProperty"/>
  <Override PartName="/xl/customProperty46.bin" ContentType="application/vnd.openxmlformats-officedocument.spreadsheetml.customProperty"/>
  <Override PartName="/xl/customProperty47.bin" ContentType="application/vnd.openxmlformats-officedocument.spreadsheetml.customProperty"/>
  <Override PartName="/xl/customProperty48.bin" ContentType="application/vnd.openxmlformats-officedocument.spreadsheetml.customProperty"/>
  <Override PartName="/xl/drawings/drawing1.xml" ContentType="application/vnd.openxmlformats-officedocument.drawing+xml"/>
  <Override PartName="/xl/customProperty49.bin" ContentType="application/vnd.openxmlformats-officedocument.spreadsheetml.customProperty"/>
  <Override PartName="/xl/customProperty50.bin" ContentType="application/vnd.openxmlformats-officedocument.spreadsheetml.customProperty"/>
  <Override PartName="/xl/customProperty51.bin" ContentType="application/vnd.openxmlformats-officedocument.spreadsheetml.customProperty"/>
  <Override PartName="/xl/customProperty52.bin" ContentType="application/vnd.openxmlformats-officedocument.spreadsheetml.customProperty"/>
  <Override PartName="/xl/customProperty53.bin" ContentType="application/vnd.openxmlformats-officedocument.spreadsheetml.customProperty"/>
  <Override PartName="/xl/customProperty54.bin" ContentType="application/vnd.openxmlformats-officedocument.spreadsheetml.customProperty"/>
  <Override PartName="/xl/customProperty55.bin" ContentType="application/vnd.openxmlformats-officedocument.spreadsheetml.customProperty"/>
  <Override PartName="/xl/customProperty56.bin" ContentType="application/vnd.openxmlformats-officedocument.spreadsheetml.customProperty"/>
  <Override PartName="/xl/customProperty57.bin" ContentType="application/vnd.openxmlformats-officedocument.spreadsheetml.customProperty"/>
  <Override PartName="/xl/customProperty58.bin" ContentType="application/vnd.openxmlformats-officedocument.spreadsheetml.customProperty"/>
  <Override PartName="/xl/customProperty59.bin" ContentType="application/vnd.openxmlformats-officedocument.spreadsheetml.customProperty"/>
  <Override PartName="/xl/customProperty60.bin" ContentType="application/vnd.openxmlformats-officedocument.spreadsheetml.customProperty"/>
  <Override PartName="/xl/customProperty61.bin" ContentType="application/vnd.openxmlformats-officedocument.spreadsheetml.customProperty"/>
  <Override PartName="/xl/drawings/drawing2.xml" ContentType="application/vnd.openxmlformats-officedocument.drawing+xml"/>
  <Override PartName="/xl/customProperty62.bin" ContentType="application/vnd.openxmlformats-officedocument.spreadsheetml.customProperty"/>
  <Override PartName="/xl/customProperty63.bin" ContentType="application/vnd.openxmlformats-officedocument.spreadsheetml.customProperty"/>
  <Override PartName="/xl/customProperty64.bin" ContentType="application/vnd.openxmlformats-officedocument.spreadsheetml.customProperty"/>
  <Override PartName="/xl/customProperty65.bin" ContentType="application/vnd.openxmlformats-officedocument.spreadsheetml.customProperty"/>
  <Override PartName="/xl/customProperty66.bin" ContentType="application/vnd.openxmlformats-officedocument.spreadsheetml.customProperty"/>
  <Override PartName="/xl/customProperty67.bin" ContentType="application/vnd.openxmlformats-officedocument.spreadsheetml.customProperty"/>
  <Override PartName="/xl/customProperty68.bin" ContentType="application/vnd.openxmlformats-officedocument.spreadsheetml.customProperty"/>
  <Override PartName="/xl/customProperty69.bin" ContentType="application/vnd.openxmlformats-officedocument.spreadsheetml.customProperty"/>
  <Override PartName="/xl/customProperty70.bin" ContentType="application/vnd.openxmlformats-officedocument.spreadsheetml.customProperty"/>
  <Override PartName="/xl/customProperty71.bin" ContentType="application/vnd.openxmlformats-officedocument.spreadsheetml.customProperty"/>
  <Override PartName="/xl/customProperty72.bin" ContentType="application/vnd.openxmlformats-officedocument.spreadsheetml.customProperty"/>
  <Override PartName="/xl/customProperty73.bin" ContentType="application/vnd.openxmlformats-officedocument.spreadsheetml.customProperty"/>
  <Override PartName="/xl/drawings/drawing3.xml" ContentType="application/vnd.openxmlformats-officedocument.drawing+xml"/>
  <Override PartName="/xl/customProperty74.bin" ContentType="application/vnd.openxmlformats-officedocument.spreadsheetml.customProperty"/>
  <Override PartName="/xl/customProperty75.bin" ContentType="application/vnd.openxmlformats-officedocument.spreadsheetml.customProperty"/>
  <Override PartName="/xl/customProperty76.bin" ContentType="application/vnd.openxmlformats-officedocument.spreadsheetml.customProperty"/>
  <Override PartName="/xl/customProperty77.bin" ContentType="application/vnd.openxmlformats-officedocument.spreadsheetml.customProperty"/>
  <Override PartName="/xl/customProperty78.bin" ContentType="application/vnd.openxmlformats-officedocument.spreadsheetml.customProperty"/>
  <Override PartName="/xl/customProperty79.bin" ContentType="application/vnd.openxmlformats-officedocument.spreadsheetml.customProperty"/>
  <Override PartName="/xl/customProperty80.bin" ContentType="application/vnd.openxmlformats-officedocument.spreadsheetml.customProperty"/>
  <Override PartName="/xl/customProperty81.bin" ContentType="application/vnd.openxmlformats-officedocument.spreadsheetml.customProperty"/>
  <Override PartName="/xl/customProperty82.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sempra.sharepoint.com/teams/transmissionrevenue/2024/TO6/Formula Rate Mechanism - CLEAN Version/"/>
    </mc:Choice>
  </mc:AlternateContent>
  <xr:revisionPtr revIDLastSave="86" documentId="14_{5A6CB5CF-A888-4888-83A2-7075ADA71ACF}" xr6:coauthVersionLast="47" xr6:coauthVersionMax="47" xr10:uidLastSave="{8621A8A1-645A-4542-8A42-60CBD09351C0}"/>
  <bookViews>
    <workbookView xWindow="-108" yWindow="-108" windowWidth="23256" windowHeight="12576" firstSheet="56" activeTab="61" xr2:uid="{858A8703-D568-49B1-BED3-8F4A955BB7EC}"/>
  </bookViews>
  <sheets>
    <sheet name="BK-1 Retail TRR" sheetId="132" r:id="rId1"/>
    <sheet name="BK-2 ISO TRR" sheetId="133" r:id="rId2"/>
    <sheet name="Stmt AD" sheetId="2" r:id="rId3"/>
    <sheet name="AD-1" sheetId="4" r:id="rId4"/>
    <sheet name="AD-2" sheetId="5" r:id="rId5"/>
    <sheet name="AD-3" sheetId="6" r:id="rId6"/>
    <sheet name="AD-4" sheetId="7" r:id="rId7"/>
    <sheet name="AD-5" sheetId="8" r:id="rId8"/>
    <sheet name="AD-6" sheetId="9" r:id="rId9"/>
    <sheet name="AD-6A" sheetId="10" r:id="rId10"/>
    <sheet name="AD-6B" sheetId="11" r:id="rId11"/>
    <sheet name="AD-7" sheetId="12" r:id="rId12"/>
    <sheet name="AD-8" sheetId="3" r:id="rId13"/>
    <sheet name="AD-9" sheetId="13" r:id="rId14"/>
    <sheet name="AD-10" sheetId="14" r:id="rId15"/>
    <sheet name="Stmt AE" sheetId="22" r:id="rId16"/>
    <sheet name="AE-1" sheetId="23" r:id="rId17"/>
    <sheet name="AE-1A" sheetId="136" r:id="rId18"/>
    <sheet name="AE-1B" sheetId="24" r:id="rId19"/>
    <sheet name="AE-2" sheetId="25" r:id="rId20"/>
    <sheet name="AE-3" sheetId="26" r:id="rId21"/>
    <sheet name="AE-4" sheetId="27" r:id="rId22"/>
    <sheet name="AE-5" sheetId="30" r:id="rId23"/>
    <sheet name="Stmt AF" sheetId="34" r:id="rId24"/>
    <sheet name="AF-1" sheetId="152" r:id="rId25"/>
    <sheet name="AF-2" sheetId="151" r:id="rId26"/>
    <sheet name="AF-3" sheetId="36" r:id="rId27"/>
    <sheet name="AF-4" sheetId="182" r:id="rId28"/>
    <sheet name="Stmt AG" sheetId="38" r:id="rId29"/>
    <sheet name="AG-1" sheetId="109" r:id="rId30"/>
    <sheet name="AG-1A" sheetId="135" r:id="rId31"/>
    <sheet name="Stmt AH" sheetId="40" r:id="rId32"/>
    <sheet name="AH-1" sheetId="41" r:id="rId33"/>
    <sheet name="AH-2" sheetId="42" r:id="rId34"/>
    <sheet name="Stmt AI" sheetId="45" r:id="rId35"/>
    <sheet name="Stmt AJ" sheetId="46" r:id="rId36"/>
    <sheet name="AJ-1" sheetId="47" r:id="rId37"/>
    <sheet name="AJ-1A" sheetId="48" r:id="rId38"/>
    <sheet name="AJ-1B" sheetId="49" r:id="rId39"/>
    <sheet name="AJ-2" sheetId="52" r:id="rId40"/>
    <sheet name="AJ-2A" sheetId="53" r:id="rId41"/>
    <sheet name="AJ-3" sheetId="56" r:id="rId42"/>
    <sheet name="AJ-3A" sheetId="57" r:id="rId43"/>
    <sheet name="AJ-4" sheetId="59" r:id="rId44"/>
    <sheet name="AJ-4A" sheetId="61" r:id="rId45"/>
    <sheet name="AJ-5" sheetId="63" r:id="rId46"/>
    <sheet name="AJ-6" sheetId="65" r:id="rId47"/>
    <sheet name="AJ-7" sheetId="64" r:id="rId48"/>
    <sheet name="Stmt AK" sheetId="66" r:id="rId49"/>
    <sheet name="Stmt AL" sheetId="69" r:id="rId50"/>
    <sheet name="AL-1" sheetId="70" r:id="rId51"/>
    <sheet name="AL-2" sheetId="71" r:id="rId52"/>
    <sheet name="Stmt AM" sheetId="72" r:id="rId53"/>
    <sheet name="AM-1" sheetId="73" r:id="rId54"/>
    <sheet name="Stmt AQ" sheetId="74" r:id="rId55"/>
    <sheet name="Stmt AR" sheetId="75" r:id="rId56"/>
    <sheet name="AR-1" sheetId="153" r:id="rId57"/>
    <sheet name="Stmt AT" sheetId="176" r:id="rId58"/>
    <sheet name="AT-1" sheetId="177" r:id="rId59"/>
    <sheet name="Stmt AU" sheetId="77" r:id="rId60"/>
    <sheet name="AU-1" sheetId="79" r:id="rId61"/>
    <sheet name="Stmt AV" sheetId="82" r:id="rId62"/>
    <sheet name="AV-1A" sheetId="183" r:id="rId63"/>
    <sheet name="AV-1B" sheetId="113" r:id="rId64"/>
    <sheet name="Stmt Misc." sheetId="137" r:id="rId65"/>
    <sheet name="Misc.-1" sheetId="156" r:id="rId66"/>
    <sheet name="Misc.-1.1" sheetId="158" r:id="rId67"/>
    <sheet name="Order 864-1" sheetId="171" r:id="rId68"/>
    <sheet name="Order 864-2" sheetId="172" r:id="rId69"/>
    <sheet name="Order 864-3" sheetId="173" r:id="rId70"/>
    <sheet name="Order 864-4" sheetId="174" r:id="rId71"/>
    <sheet name="True-Up" sheetId="140" r:id="rId72"/>
    <sheet name="TO5 True-Up BK-1" sheetId="144" r:id="rId73"/>
    <sheet name="TO5 Stmt AF Proration" sheetId="157" r:id="rId74"/>
    <sheet name="True-Up Stmt AH" sheetId="184" r:id="rId75"/>
    <sheet name="True-Up AH-2" sheetId="185" r:id="rId76"/>
    <sheet name="True-Up Stmt AL" sheetId="186" r:id="rId77"/>
    <sheet name="True-Up Stmt AV" sheetId="178" r:id="rId78"/>
    <sheet name="True-Up Stmt Misc" sheetId="187" r:id="rId79"/>
    <sheet name="True-Up Misc.-1" sheetId="188" r:id="rId80"/>
    <sheet name="True-Up Misc.-1.1" sheetId="189" r:id="rId81"/>
    <sheet name="Interest TU BP" sheetId="141" r:id="rId82"/>
    <sheet name="Interest TU CY" sheetId="142" r:id="rId83"/>
    <sheet name="HV-LV Plant Study" sheetId="86" r:id="rId84"/>
    <sheet name="Summary of HV-LV Splits" sheetId="118" r:id="rId85"/>
    <sheet name="ET Forecast Capital Additions" sheetId="116" r:id="rId86"/>
    <sheet name="General &amp; Common Plant Addition" sheetId="117" r:id="rId87"/>
    <sheet name="Incentive Transmission Plant" sheetId="119" r:id="rId88"/>
    <sheet name="Incentive CWIP-A" sheetId="120" r:id="rId89"/>
    <sheet name="Incentive CWIP-B" sheetId="121" r:id="rId90"/>
  </sheets>
  <definedNames>
    <definedName name="____May2007">{"2002Frcst","05Month",FALSE,"Frcst Format 2002"}</definedName>
    <definedName name="___May2007">{"2002Frcst","05Month",FALSE,"Frcst Format 2002"}</definedName>
    <definedName name="__FDS_HYPERLINK_TOGGLE_STATE__">"ON"</definedName>
    <definedName name="__May2007">{"2002Frcst","05Month",FALSE,"Frcst Format 2002"}</definedName>
    <definedName name="_AtRisk_SimSetting_AutomaticallyGenerateReports">FALSE</definedName>
    <definedName name="_AtRisk_SimSetting_AutomaticResultsDisplayMode">1</definedName>
    <definedName name="_AtRisk_SimSetting_ConvergenceConfidenceLevel">0.95</definedName>
    <definedName name="_AtRisk_SimSetting_ConvergencePercentileToTest">0.9</definedName>
    <definedName name="_AtRisk_SimSetting_ConvergencePerformMeanTest">TRUE</definedName>
    <definedName name="_AtRisk_SimSetting_ConvergencePerformPercentileTest">FALSE</definedName>
    <definedName name="_AtRisk_SimSetting_ConvergencePerformStdDeviationTest">FALSE</definedName>
    <definedName name="_AtRisk_SimSetting_ConvergenceTestAllOutputs">TRUE</definedName>
    <definedName name="_AtRisk_SimSetting_ConvergenceTestingPeriod">100</definedName>
    <definedName name="_AtRisk_SimSetting_ConvergenceTolerance">0.03</definedName>
    <definedName name="_AtRisk_SimSetting_LiveUpdate">TRUE</definedName>
    <definedName name="_AtRisk_SimSetting_LiveUpdatePeriod">-1</definedName>
    <definedName name="_AtRisk_SimSetting_RandomNumberGenerator">0</definedName>
    <definedName name="_AtRisk_SimSetting_ReportsList">16</definedName>
    <definedName name="_AtRisk_SimSetting_SimNameCount">0</definedName>
    <definedName name="_AtRisk_SimSetting_SmartSensitivityAnalysisEnabled">TRUE</definedName>
    <definedName name="_AtRisk_SimSetting_StatisticFunctionUpdating">1</definedName>
    <definedName name="_AtRisk_SimSetting_StdRecalcBehavior">1</definedName>
    <definedName name="_AtRisk_SimSetting_StdRecalcWithoutRiskStatic">0</definedName>
    <definedName name="_AtRisk_SimSetting_StdRecalcWithoutRiskStaticPercentile">0.5</definedName>
    <definedName name="_May2007">{"2002Frcst","05Month",FALSE,"Frcst Format 2002"}</definedName>
    <definedName name="_Order1">255</definedName>
    <definedName name="_Order2">255</definedName>
    <definedName name="abc">"3Q12KMQDU0T4XKGIPPUR4OEMV"</definedName>
    <definedName name="anscount">2</definedName>
    <definedName name="AS2DocOpenMode">"AS2DocumentEdit"</definedName>
    <definedName name="AS2HasNoAutoHeaderFooter">" "</definedName>
    <definedName name="AS2NamedRange">3</definedName>
    <definedName name="AS2ReportLS">1</definedName>
    <definedName name="AS2SyncStepLS">0</definedName>
    <definedName name="AS2VersionLS">300</definedName>
    <definedName name="BG_Del">15</definedName>
    <definedName name="BG_Ins">4</definedName>
    <definedName name="BG_Mod">6</definedName>
    <definedName name="CBWorkbookPriority">-21190210</definedName>
    <definedName name="ddf">{"2002Frcst","06Month",FALSE,"Frcst Format 2002"}</definedName>
    <definedName name="ev.Calculation">-4105</definedName>
    <definedName name="ev.Initialized">FALSE</definedName>
    <definedName name="EV__LASTREFTIME__">39504.3191203704</definedName>
    <definedName name="hn.ExtDb">FALSE</definedName>
    <definedName name="hn.ModelType">"DEAL"</definedName>
    <definedName name="hn.ModelVersion">1</definedName>
    <definedName name="hn.NoUpload">0</definedName>
    <definedName name="HTML_Control1">{"'Attachment'!$A$1:$L$49"}</definedName>
    <definedName name="HTML_Control2">{"'Attachment'!$A$1:$L$49"}</definedName>
    <definedName name="HTML_Control3">{"'Attachment'!$A$1:$L$49"}</definedName>
    <definedName name="IQ_ACCOUNT_CHANGE">"c1449"</definedName>
    <definedName name="IQ_ACCOUNTING_STANDARD">"c4539"</definedName>
    <definedName name="IQ_ACCOUNTS_PAY">"c1343"</definedName>
    <definedName name="IQ_ACCR_INT_PAY">"c1"</definedName>
    <definedName name="IQ_ACCR_INT_PAY_CF">"c2"</definedName>
    <definedName name="IQ_ACCR_INT_RECEIV">"c3"</definedName>
    <definedName name="IQ_ACCR_INT_RECEIV_CF">"c4"</definedName>
    <definedName name="IQ_ACCRUED_EXP">"c1341"</definedName>
    <definedName name="IQ_ACCT_RECV_10YR_ANN_CAGR">"c6159"</definedName>
    <definedName name="IQ_ACCT_RECV_10YR_ANN_GROWTH">"c1924"</definedName>
    <definedName name="IQ_ACCT_RECV_1YR_ANN_GROWTH">"c1919"</definedName>
    <definedName name="IQ_ACCT_RECV_2YR_ANN_CAGR">"c6155"</definedName>
    <definedName name="IQ_ACCT_RECV_2YR_ANN_GROWTH">"c1920"</definedName>
    <definedName name="IQ_ACCT_RECV_3YR_ANN_CAGR">"c6156"</definedName>
    <definedName name="IQ_ACCT_RECV_3YR_ANN_GROWTH">"c1921"</definedName>
    <definedName name="IQ_ACCT_RECV_5YR_ANN_CAGR">"c6157"</definedName>
    <definedName name="IQ_ACCT_RECV_5YR_ANN_GROWTH">"c1922"</definedName>
    <definedName name="IQ_ACCT_RECV_7YR_ANN_CAGR">"c6158"</definedName>
    <definedName name="IQ_ACCT_RECV_7YR_ANN_GROWTH">"c1923"</definedName>
    <definedName name="IQ_ACCUM_DEP">"c1340"</definedName>
    <definedName name="IQ_ACCUMULATED_PENSION_OBLIGATION">"c2244"</definedName>
    <definedName name="IQ_ACCUMULATED_PENSION_OBLIGATION_DOMESTIC">"c2657"</definedName>
    <definedName name="IQ_ACCUMULATED_PENSION_OBLIGATION_FOREIGN">"c2665"</definedName>
    <definedName name="IQ_ACQ_COST_SUB">"c2125"</definedName>
    <definedName name="IQ_ACQ_COSTS_CAPITALIZED">"c5"</definedName>
    <definedName name="IQ_ACQUIRE_REAL_ESTATE_CF">"c6"</definedName>
    <definedName name="IQ_ACQUISITION_RE_ASSETS">"c1628"</definedName>
    <definedName name="IQ_AD">"c7"</definedName>
    <definedName name="IQ_ADD_PAID_IN">"c1344"</definedName>
    <definedName name="IQ_ADDIN">"AUTO"</definedName>
    <definedName name="IQ_ADJ_AVG_BANK_ASSETS">"c2671"</definedName>
    <definedName name="IQ_ADMIN_RATIO">"c2784"</definedName>
    <definedName name="IQ_ADVERTISING">"c2246"</definedName>
    <definedName name="IQ_ADVERTISING_MARKETING">"c1566"</definedName>
    <definedName name="IQ_AE">"c8"</definedName>
    <definedName name="IQ_AE_BNK">"c9"</definedName>
    <definedName name="IQ_AE_BR">"c10"</definedName>
    <definedName name="IQ_AE_FIN">"c11"</definedName>
    <definedName name="IQ_AE_INS">"c12"</definedName>
    <definedName name="IQ_AE_RE">"c6195"</definedName>
    <definedName name="IQ_AE_REIT">"c13"</definedName>
    <definedName name="IQ_AE_UTI">"c14"</definedName>
    <definedName name="IQ_AH_EARNED">"c2744"</definedName>
    <definedName name="IQ_AH_POLICY_BENEFITS_EXP">"c2789"</definedName>
    <definedName name="IQ_AIR_AIRPLANES_NOT_IN_SERVICE">"c2842"</definedName>
    <definedName name="IQ_AIR_AIRPLANES_SUBLEASED">"c2841"</definedName>
    <definedName name="IQ_AIR_ASK">"c2813"</definedName>
    <definedName name="IQ_AIR_ASK_INCREASE">"c2826"</definedName>
    <definedName name="IQ_AIR_ASM">"c2812"</definedName>
    <definedName name="IQ_AIR_ASM_INCREASE">"c2825"</definedName>
    <definedName name="IQ_AIR_AVG_AGE">"c2843"</definedName>
    <definedName name="IQ_AIR_BREAK_EVEN_FACTOR">"c2822"</definedName>
    <definedName name="IQ_AIR_CAPITAL_LEASE">"c2833"</definedName>
    <definedName name="IQ_AIR_COMPLETION_FACTOR">"c2824"</definedName>
    <definedName name="IQ_AIR_ENPLANED_PSGRS">"c2809"</definedName>
    <definedName name="IQ_AIR_FUEL_CONSUMED">"c2806"</definedName>
    <definedName name="IQ_AIR_FUEL_CONSUMED_L">"c2807"</definedName>
    <definedName name="IQ_AIR_FUEL_COST">"c2803"</definedName>
    <definedName name="IQ_AIR_FUEL_COST_L">"c2804"</definedName>
    <definedName name="IQ_AIR_FUEL_EXP">"c2802"</definedName>
    <definedName name="IQ_AIR_FUEL_EXP_PERCENT">"c2805"</definedName>
    <definedName name="IQ_AIR_LEASED">"c2835"</definedName>
    <definedName name="IQ_AIR_LOAD_FACTOR">"c2823"</definedName>
    <definedName name="IQ_AIR_NEW_AIRPLANES">"c2839"</definedName>
    <definedName name="IQ_AIR_OPER_EXP_ASK">"c2821"</definedName>
    <definedName name="IQ_AIR_OPER_EXP_ASM">"c2820"</definedName>
    <definedName name="IQ_AIR_OPER_LEASE">"c2834"</definedName>
    <definedName name="IQ_AIR_OPER_REV_YIELD_ASK">"c2819"</definedName>
    <definedName name="IQ_AIR_OPER_REV_YIELD_ASM">"c2818"</definedName>
    <definedName name="IQ_AIR_OPTIONS">"c2837"</definedName>
    <definedName name="IQ_AIR_ORDERS">"c2836"</definedName>
    <definedName name="IQ_AIR_OWNED">"c2832"</definedName>
    <definedName name="IQ_AIR_PSGR_REV_YIELD_ASK">"c2817"</definedName>
    <definedName name="IQ_AIR_PSGR_REV_YIELD_ASM">"c2816"</definedName>
    <definedName name="IQ_AIR_PSGR_REV_YIELD_RPK">"c2815"</definedName>
    <definedName name="IQ_AIR_PSGR_REV_YIELD_RPM">"c2814"</definedName>
    <definedName name="IQ_AIR_PURCHASE_RIGHTS">"c2838"</definedName>
    <definedName name="IQ_AIR_RETIRED_AIRPLANES">"c2840"</definedName>
    <definedName name="IQ_AIR_REV_PSGRS_CARRIED">"c2808"</definedName>
    <definedName name="IQ_AIR_REV_SCHEDULED_SERVICE">"c2830"</definedName>
    <definedName name="IQ_AIR_RPK">"c2811"</definedName>
    <definedName name="IQ_AIR_RPM">"c2810"</definedName>
    <definedName name="IQ_AIR_STAGE_LENGTH">"c2828"</definedName>
    <definedName name="IQ_AIR_STAGE_LENGTH_KM">"c2829"</definedName>
    <definedName name="IQ_AIR_TOTAL">"c2831"</definedName>
    <definedName name="IQ_AIR_UTILIZATION">"c2827"</definedName>
    <definedName name="IQ_ALLOW_BORROW_CONST">"c15"</definedName>
    <definedName name="IQ_ALLOW_CONST">"c1342"</definedName>
    <definedName name="IQ_ALLOW_DOUBT_ACCT">"c2092"</definedName>
    <definedName name="IQ_ALLOW_EQUITY_CONST">"c16"</definedName>
    <definedName name="IQ_ALLOW_LL">"c17"</definedName>
    <definedName name="IQ_ALLOWANCE_10YR_ANN_CAGR">"c6035"</definedName>
    <definedName name="IQ_ALLOWANCE_10YR_ANN_GROWTH">"c18"</definedName>
    <definedName name="IQ_ALLOWANCE_1YR_ANN_GROWTH">"c19"</definedName>
    <definedName name="IQ_ALLOWANCE_2YR_ANN_CAGR">"c6036"</definedName>
    <definedName name="IQ_ALLOWANCE_2YR_ANN_GROWTH">"c20"</definedName>
    <definedName name="IQ_ALLOWANCE_3YR_ANN_CAGR">"c6037"</definedName>
    <definedName name="IQ_ALLOWANCE_3YR_ANN_GROWTH">"c21"</definedName>
    <definedName name="IQ_ALLOWANCE_5YR_ANN_CAGR">"c6038"</definedName>
    <definedName name="IQ_ALLOWANCE_5YR_ANN_GROWTH">"c22"</definedName>
    <definedName name="IQ_ALLOWANCE_7YR_ANN_CAGR">"c6039"</definedName>
    <definedName name="IQ_ALLOWANCE_7YR_ANN_GROWTH">"c23"</definedName>
    <definedName name="IQ_ALLOWANCE_CHARGE_OFFS">"c24"</definedName>
    <definedName name="IQ_ALLOWANCE_NON_PERF_LOANS">"c25"</definedName>
    <definedName name="IQ_ALLOWANCE_TOTAL_LOANS">"c26"</definedName>
    <definedName name="IQ_AMORTIZATION">"c1591"</definedName>
    <definedName name="IQ_AMT_OUT">"c2145"</definedName>
    <definedName name="IQ_ANNU_DISTRIBUTION_UNIT">"c3004"</definedName>
    <definedName name="IQ_ANNUALIZED_DIVIDEND">"c1579"</definedName>
    <definedName name="IQ_ANNUITY_LIAB">"c27"</definedName>
    <definedName name="IQ_ANNUITY_PAY">"c28"</definedName>
    <definedName name="IQ_ANNUITY_POLICY_EXP">"c29"</definedName>
    <definedName name="IQ_ANNUITY_REC">"c30"</definedName>
    <definedName name="IQ_ANNUITY_REV">"c31"</definedName>
    <definedName name="IQ_AP">"c32"</definedName>
    <definedName name="IQ_AP_BNK">"c33"</definedName>
    <definedName name="IQ_AP_BR">"c34"</definedName>
    <definedName name="IQ_AP_FIN">"c35"</definedName>
    <definedName name="IQ_AP_INS">"c36"</definedName>
    <definedName name="IQ_AP_RE">"c6196"</definedName>
    <definedName name="IQ_AP_REIT">"c37"</definedName>
    <definedName name="IQ_AP_UTI">"c38"</definedName>
    <definedName name="IQ_APIC">"c39"</definedName>
    <definedName name="IQ_AR">"c40"</definedName>
    <definedName name="IQ_AR_BR">"c41"</definedName>
    <definedName name="IQ_AR_LT">"c42"</definedName>
    <definedName name="IQ_AR_RE">"c6197"</definedName>
    <definedName name="IQ_AR_REIT">"c43"</definedName>
    <definedName name="IQ_AR_TURNS">"c44"</definedName>
    <definedName name="IQ_AR_UTI">"c45"</definedName>
    <definedName name="IQ_ARPU">"c2126"</definedName>
    <definedName name="IQ_ASSET_MGMT_FEE">"c46"</definedName>
    <definedName name="IQ_ASSET_TURNS">"c47"</definedName>
    <definedName name="IQ_ASSET_WRITEDOWN">"c48"</definedName>
    <definedName name="IQ_ASSET_WRITEDOWN_BNK">"c49"</definedName>
    <definedName name="IQ_ASSET_WRITEDOWN_BR">"c50"</definedName>
    <definedName name="IQ_ASSET_WRITEDOWN_CF">"c51"</definedName>
    <definedName name="IQ_ASSET_WRITEDOWN_CF_BNK">"c52"</definedName>
    <definedName name="IQ_ASSET_WRITEDOWN_CF_BR">"c53"</definedName>
    <definedName name="IQ_ASSET_WRITEDOWN_CF_FIN">"c54"</definedName>
    <definedName name="IQ_ASSET_WRITEDOWN_CF_INS">"c55"</definedName>
    <definedName name="IQ_ASSET_WRITEDOWN_CF_RE">"c6198"</definedName>
    <definedName name="IQ_ASSET_WRITEDOWN_CF_REIT">"c56"</definedName>
    <definedName name="IQ_ASSET_WRITEDOWN_CF_UTI">"c57"</definedName>
    <definedName name="IQ_ASSET_WRITEDOWN_FIN">"c58"</definedName>
    <definedName name="IQ_ASSET_WRITEDOWN_INS">"c59"</definedName>
    <definedName name="IQ_ASSET_WRITEDOWN_RE">"c6199"</definedName>
    <definedName name="IQ_ASSET_WRITEDOWN_REIT">"c60"</definedName>
    <definedName name="IQ_ASSET_WRITEDOWN_UTI">"c61"</definedName>
    <definedName name="IQ_ASSETS_CAP_LEASE_DEPR">"c2068"</definedName>
    <definedName name="IQ_ASSETS_CAP_LEASE_GROSS">"c2069"</definedName>
    <definedName name="IQ_ASSETS_OPER_LEASE_DEPR">"c2070"</definedName>
    <definedName name="IQ_ASSETS_OPER_LEASE_GROSS">"c2071"</definedName>
    <definedName name="IQ_ASSUMED_AH_EARNED">"c2741"</definedName>
    <definedName name="IQ_ASSUMED_EARNED">"c2731"</definedName>
    <definedName name="IQ_ASSUMED_LIFE_EARNED">"c2736"</definedName>
    <definedName name="IQ_ASSUMED_LIFE_IN_FORCE">"c2766"</definedName>
    <definedName name="IQ_ASSUMED_PC_EARNED">"c2746"</definedName>
    <definedName name="IQ_ASSUMED_WRITTEN">"c2725"</definedName>
    <definedName name="IQ_AUDITOR_NAME">"c1539"</definedName>
    <definedName name="IQ_AUDITOR_OPINION">"c1540"</definedName>
    <definedName name="IQ_AUTO_WRITTEN">"c62"</definedName>
    <definedName name="IQ_AVG_BANK_ASSETS">"c2072"</definedName>
    <definedName name="IQ_AVG_BANK_LOANS">"c2073"</definedName>
    <definedName name="IQ_AVG_BROKER_REC">"c63"</definedName>
    <definedName name="IQ_AVG_BROKER_REC_NO">"c64"</definedName>
    <definedName name="IQ_AVG_BROKER_REC_NO_REUT">"c5315"</definedName>
    <definedName name="IQ_AVG_BROKER_REC_REUT">"c3630"</definedName>
    <definedName name="IQ_AVG_DAILY_VOL">"c65"</definedName>
    <definedName name="IQ_AVG_EMPLOYEES">"c6019"</definedName>
    <definedName name="IQ_AVG_INDUSTRY_REC">"c4455"</definedName>
    <definedName name="IQ_AVG_INDUSTRY_REC_NO">"c4454"</definedName>
    <definedName name="IQ_AVG_INT_BEAR_LIAB">"c66"</definedName>
    <definedName name="IQ_AVG_INT_BEAR_LIAB_10YR_ANN_CAGR">"c6040"</definedName>
    <definedName name="IQ_AVG_INT_BEAR_LIAB_10YR_ANN_GROWTH">"c67"</definedName>
    <definedName name="IQ_AVG_INT_BEAR_LIAB_1YR_ANN_GROWTH">"c68"</definedName>
    <definedName name="IQ_AVG_INT_BEAR_LIAB_2YR_ANN_CAGR">"c6041"</definedName>
    <definedName name="IQ_AVG_INT_BEAR_LIAB_2YR_ANN_GROWTH">"c69"</definedName>
    <definedName name="IQ_AVG_INT_BEAR_LIAB_3YR_ANN_CAGR">"c6042"</definedName>
    <definedName name="IQ_AVG_INT_BEAR_LIAB_3YR_ANN_GROWTH">"c70"</definedName>
    <definedName name="IQ_AVG_INT_BEAR_LIAB_5YR_ANN_CAGR">"c6043"</definedName>
    <definedName name="IQ_AVG_INT_BEAR_LIAB_5YR_ANN_GROWTH">"c71"</definedName>
    <definedName name="IQ_AVG_INT_BEAR_LIAB_7YR_ANN_CAGR">"c6044"</definedName>
    <definedName name="IQ_AVG_INT_BEAR_LIAB_7YR_ANN_GROWTH">"c72"</definedName>
    <definedName name="IQ_AVG_INT_EARN_ASSETS">"c73"</definedName>
    <definedName name="IQ_AVG_INT_EARN_ASSETS_10YR_ANN_CAGR">"c6045"</definedName>
    <definedName name="IQ_AVG_INT_EARN_ASSETS_10YR_ANN_GROWTH">"c74"</definedName>
    <definedName name="IQ_AVG_INT_EARN_ASSETS_1YR_ANN_GROWTH">"c75"</definedName>
    <definedName name="IQ_AVG_INT_EARN_ASSETS_2YR_ANN_CAGR">"c6046"</definedName>
    <definedName name="IQ_AVG_INT_EARN_ASSETS_2YR_ANN_GROWTH">"c76"</definedName>
    <definedName name="IQ_AVG_INT_EARN_ASSETS_3YR_ANN_CAGR">"c6047"</definedName>
    <definedName name="IQ_AVG_INT_EARN_ASSETS_3YR_ANN_GROWTH">"c77"</definedName>
    <definedName name="IQ_AVG_INT_EARN_ASSETS_5YR_ANN_CAGR">"c6048"</definedName>
    <definedName name="IQ_AVG_INT_EARN_ASSETS_5YR_ANN_GROWTH">"c78"</definedName>
    <definedName name="IQ_AVG_INT_EARN_ASSETS_7YR_ANN_CAGR">"c6049"</definedName>
    <definedName name="IQ_AVG_INT_EARN_ASSETS_7YR_ANN_GROWTH">"c79"</definedName>
    <definedName name="IQ_AVG_MKTCAP">"c80"</definedName>
    <definedName name="IQ_AVG_PRICE">"c81"</definedName>
    <definedName name="IQ_AVG_PRICE_TARGET">"c82"</definedName>
    <definedName name="IQ_AVG_SHAREOUTSTANDING">"c83"</definedName>
    <definedName name="IQ_AVG_TEMP_EMPLOYEES">"c6020"</definedName>
    <definedName name="IQ_AVG_TEV">"c84"</definedName>
    <definedName name="IQ_AVG_VOLUME">"c1346"</definedName>
    <definedName name="IQ_BANK_DEBT">"c2544"</definedName>
    <definedName name="IQ_BANK_DEBT_PCT">"c2545"</definedName>
    <definedName name="IQ_BASIC_EPS_EXCL">"c85"</definedName>
    <definedName name="IQ_BASIC_EPS_INCL">"c86"</definedName>
    <definedName name="IQ_BASIC_NORMAL_EPS">"c1592"</definedName>
    <definedName name="IQ_BASIC_OUTSTANDING_CURRENT_EST">"c4128"</definedName>
    <definedName name="IQ_BASIC_OUTSTANDING_CURRENT_HIGH_EST">"c4129"</definedName>
    <definedName name="IQ_BASIC_OUTSTANDING_CURRENT_LOW_EST">"c4130"</definedName>
    <definedName name="IQ_BASIC_OUTSTANDING_CURRENT_MEDIAN_EST">"c4131"</definedName>
    <definedName name="IQ_BASIC_OUTSTANDING_CURRENT_NUM_EST">"c4132"</definedName>
    <definedName name="IQ_BASIC_OUTSTANDING_CURRENT_STDDEV_EST">"c4133"</definedName>
    <definedName name="IQ_BASIC_OUTSTANDING_EST">"c4134"</definedName>
    <definedName name="IQ_BASIC_OUTSTANDING_HIGH_EST">"c4135"</definedName>
    <definedName name="IQ_BASIC_OUTSTANDING_LOW_EST">"c4136"</definedName>
    <definedName name="IQ_BASIC_OUTSTANDING_MEDIAN_EST">"c4137"</definedName>
    <definedName name="IQ_BASIC_OUTSTANDING_NUM_EST">"c4138"</definedName>
    <definedName name="IQ_BASIC_OUTSTANDING_STDDEV_EST">"c4139"</definedName>
    <definedName name="IQ_BASIC_WEIGHT">"c87"</definedName>
    <definedName name="IQ_BASIC_WEIGHT_EST">"c4140"</definedName>
    <definedName name="IQ_BASIC_WEIGHT_GUIDANCE">"c4141"</definedName>
    <definedName name="IQ_BASIC_WEIGHT_HIGH_EST">"c4142"</definedName>
    <definedName name="IQ_BASIC_WEIGHT_LOW_EST">"c4143"</definedName>
    <definedName name="IQ_BASIC_WEIGHT_MEDIAN_EST">"c4144"</definedName>
    <definedName name="IQ_BASIC_WEIGHT_NUM_EST">"c4145"</definedName>
    <definedName name="IQ_BASIC_WEIGHT_STDDEV_EST">"c4146"</definedName>
    <definedName name="IQ_BENCHMARK_SECURITY">"c2154"</definedName>
    <definedName name="IQ_BENCHMARK_SPRD">"c2153"</definedName>
    <definedName name="IQ_BETA">"c2133"</definedName>
    <definedName name="IQ_BETA_1YR">"c1966"</definedName>
    <definedName name="IQ_BETA_1YR_RSQ">"c2132"</definedName>
    <definedName name="IQ_BETA_2YR">"c1965"</definedName>
    <definedName name="IQ_BETA_2YR_RSQ">"c2131"</definedName>
    <definedName name="IQ_BETA_5YR">"c88"</definedName>
    <definedName name="IQ_BETA_5YR_RSQ">"c2130"</definedName>
    <definedName name="IQ_BIG_INT_BEAR_CD">"c89"</definedName>
    <definedName name="IQ_BOARD_MEMBER">"c96"</definedName>
    <definedName name="IQ_BOARD_MEMBER_BACKGROUND">"c2101"</definedName>
    <definedName name="IQ_BOARD_MEMBER_TITLE">"c97"</definedName>
    <definedName name="IQ_BOND_COUPON">"c2183"</definedName>
    <definedName name="IQ_BOND_COUPON_TYPE">"c2184"</definedName>
    <definedName name="IQ_BOND_PRICE">"c2162"</definedName>
    <definedName name="IQ_BROK_COMISSION">"c98"</definedName>
    <definedName name="IQ_BROK_COMMISSION">"c3514"</definedName>
    <definedName name="IQ_BUILDINGS">"c99"</definedName>
    <definedName name="IQ_BUS_SEG_ASSETS">"c4067"</definedName>
    <definedName name="IQ_BUS_SEG_ASSETS_ABS">"c4089"</definedName>
    <definedName name="IQ_BUS_SEG_ASSETS_TOTAL">"c4112"</definedName>
    <definedName name="IQ_BUS_SEG_CAPEX">"c4079"</definedName>
    <definedName name="IQ_BUS_SEG_CAPEX_ABS">"c4101"</definedName>
    <definedName name="IQ_BUS_SEG_CAPEX_TOTAL">"c4116"</definedName>
    <definedName name="IQ_BUS_SEG_DA">"c4078"</definedName>
    <definedName name="IQ_BUS_SEG_DA_ABS">"c4100"</definedName>
    <definedName name="IQ_BUS_SEG_DA_TOTAL">"c4115"</definedName>
    <definedName name="IQ_BUS_SEG_EARNINGS_OP">"c4063"</definedName>
    <definedName name="IQ_BUS_SEG_EARNINGS_OP_ABS">"c4085"</definedName>
    <definedName name="IQ_BUS_SEG_EARNINGS_OP_TOTAL">"c4108"</definedName>
    <definedName name="IQ_BUS_SEG_EBT">"c4064"</definedName>
    <definedName name="IQ_BUS_SEG_EBT_ABS">"c4086"</definedName>
    <definedName name="IQ_BUS_SEG_EBT_TOTAL">"c4110"</definedName>
    <definedName name="IQ_BUS_SEG_GP">"c4066"</definedName>
    <definedName name="IQ_BUS_SEG_GP_ABS">"c4088"</definedName>
    <definedName name="IQ_BUS_SEG_GP_TOTAL">"c4109"</definedName>
    <definedName name="IQ_BUS_SEG_INC_TAX">"c4077"</definedName>
    <definedName name="IQ_BUS_SEG_INC_TAX_ABS">"c4099"</definedName>
    <definedName name="IQ_BUS_SEG_INC_TAX_TOTAL">"c4114"</definedName>
    <definedName name="IQ_BUS_SEG_INTEREST_EXP">"c4076"</definedName>
    <definedName name="IQ_BUS_SEG_INTEREST_EXP_ABS">"c4098"</definedName>
    <definedName name="IQ_BUS_SEG_INTEREST_EXP_TOTAL">"c4113"</definedName>
    <definedName name="IQ_BUS_SEG_NAME">"c5482"</definedName>
    <definedName name="IQ_BUS_SEG_NAME_ABS">"c5483"</definedName>
    <definedName name="IQ_BUS_SEG_NI">"c4065"</definedName>
    <definedName name="IQ_BUS_SEG_NI_ABS">"c4087"</definedName>
    <definedName name="IQ_BUS_SEG_NI_TOTAL">"c4111"</definedName>
    <definedName name="IQ_BUS_SEG_OPER_INC">"c4062"</definedName>
    <definedName name="IQ_BUS_SEG_OPER_INC_ABS">"c4084"</definedName>
    <definedName name="IQ_BUS_SEG_OPER_INC_TOTAL">"c4107"</definedName>
    <definedName name="IQ_BUS_SEG_REV">"c4068"</definedName>
    <definedName name="IQ_BUS_SEG_REV_ABS">"c4090"</definedName>
    <definedName name="IQ_BUS_SEG_REV_TOTAL">"c4106"</definedName>
    <definedName name="IQ_BUSINESS_DESCRIPTION">"c322"</definedName>
    <definedName name="IQ_BV_EST">"c5624"</definedName>
    <definedName name="IQ_BV_HIGH_EST">"c5626"</definedName>
    <definedName name="IQ_BV_LOW_EST">"c5627"</definedName>
    <definedName name="IQ_BV_MEDIAN_EST">"c5625"</definedName>
    <definedName name="IQ_BV_NUM_EST">"c5628"</definedName>
    <definedName name="IQ_BV_OVER_SHARES">"c1349"</definedName>
    <definedName name="IQ_BV_SHARE">"c100"</definedName>
    <definedName name="IQ_BV_SHARE_ACT_OR_EST">"c3587"</definedName>
    <definedName name="IQ_BV_SHARE_ACT_OR_EST_REUT">"c5477"</definedName>
    <definedName name="IQ_BV_SHARE_EST">"c3541"</definedName>
    <definedName name="IQ_BV_SHARE_EST_REUT">"c5439"</definedName>
    <definedName name="IQ_BV_SHARE_HIGH_EST">"c3542"</definedName>
    <definedName name="IQ_BV_SHARE_HIGH_EST_REUT">"c5441"</definedName>
    <definedName name="IQ_BV_SHARE_LOW_EST">"c3543"</definedName>
    <definedName name="IQ_BV_SHARE_LOW_EST_REUT">"c5442"</definedName>
    <definedName name="IQ_BV_SHARE_MEDIAN_EST">"c3544"</definedName>
    <definedName name="IQ_BV_SHARE_MEDIAN_EST_REUT">"c5440"</definedName>
    <definedName name="IQ_BV_SHARE_NUM_EST">"c3539"</definedName>
    <definedName name="IQ_BV_SHARE_NUM_EST_REUT">"c5443"</definedName>
    <definedName name="IQ_BV_SHARE_STDDEV_EST">"c3540"</definedName>
    <definedName name="IQ_BV_SHARE_STDDEV_EST_REUT">"c5444"</definedName>
    <definedName name="IQ_BV_STDDEV_EST">"c5629"</definedName>
    <definedName name="IQ_CABLE_ARPU">"c2869"</definedName>
    <definedName name="IQ_CABLE_ARPU_ANALOG">"c2864"</definedName>
    <definedName name="IQ_CABLE_ARPU_BASIC">"c2866"</definedName>
    <definedName name="IQ_CABLE_ARPU_BBAND">"c2867"</definedName>
    <definedName name="IQ_CABLE_ARPU_DIG">"c2865"</definedName>
    <definedName name="IQ_CABLE_ARPU_PHONE">"c2868"</definedName>
    <definedName name="IQ_CABLE_BASIC_PENETRATION">"c2850"</definedName>
    <definedName name="IQ_CABLE_BBAND_PENETRATION">"c2852"</definedName>
    <definedName name="IQ_CABLE_BBAND_PENETRATION_THP">"c2851"</definedName>
    <definedName name="IQ_CABLE_CHURN">"c2874"</definedName>
    <definedName name="IQ_CABLE_CHURN_BASIC">"c2871"</definedName>
    <definedName name="IQ_CABLE_CHURN_BBAND">"c2872"</definedName>
    <definedName name="IQ_CABLE_CHURN_DIG">"c2870"</definedName>
    <definedName name="IQ_CABLE_CHURN_PHONE">"c2873"</definedName>
    <definedName name="IQ_CABLE_HOMES_PER_MILE">"c2849"</definedName>
    <definedName name="IQ_CABLE_HP_BBAND">"c2845"</definedName>
    <definedName name="IQ_CABLE_HP_DIG">"c2844"</definedName>
    <definedName name="IQ_CABLE_HP_PHONE">"c2846"</definedName>
    <definedName name="IQ_CABLE_MILES_PASSED">"c2848"</definedName>
    <definedName name="IQ_CABLE_OTHER_REV">"c2882"</definedName>
    <definedName name="IQ_CABLE_PHONE_PENETRATION">"c2853"</definedName>
    <definedName name="IQ_CABLE_PROGRAMMING_COSTS">"c2884"</definedName>
    <definedName name="IQ_CABLE_REV_ADVERT">"c2880"</definedName>
    <definedName name="IQ_CABLE_REV_ANALOG">"c2875"</definedName>
    <definedName name="IQ_CABLE_REV_BASIC">"c2877"</definedName>
    <definedName name="IQ_CABLE_REV_BBAND">"c2878"</definedName>
    <definedName name="IQ_CABLE_REV_COMMERCIAL">"c2881"</definedName>
    <definedName name="IQ_CABLE_REV_DIG">"c2876"</definedName>
    <definedName name="IQ_CABLE_REV_PHONE">"c2879"</definedName>
    <definedName name="IQ_CABLE_RGU">"c2863"</definedName>
    <definedName name="IQ_CABLE_SUBS_ANALOG">"c2855"</definedName>
    <definedName name="IQ_CABLE_SUBS_BASIC">"c2857"</definedName>
    <definedName name="IQ_CABLE_SUBS_BBAND">"c2858"</definedName>
    <definedName name="IQ_CABLE_SUBS_BUNDLED">"c2861"</definedName>
    <definedName name="IQ_CABLE_SUBS_DIG">"c2856"</definedName>
    <definedName name="IQ_CABLE_SUBS_NON_VIDEO">"c2860"</definedName>
    <definedName name="IQ_CABLE_SUBS_PHONE">"c2859"</definedName>
    <definedName name="IQ_CABLE_SUBS_TOTAL">"c2862"</definedName>
    <definedName name="IQ_CABLE_THP">"c2847"</definedName>
    <definedName name="IQ_CABLE_TOTAL_PENETRATION">"c2854"</definedName>
    <definedName name="IQ_CABLE_TOTAL_REV">"c2883"</definedName>
    <definedName name="IQ_CAL_Q">"c101"</definedName>
    <definedName name="IQ_CAL_Y">"c102"</definedName>
    <definedName name="IQ_CALC_TYPE_BS">"c3086"</definedName>
    <definedName name="IQ_CALC_TYPE_CF">"c3085"</definedName>
    <definedName name="IQ_CALC_TYPE_IS">"c3084"</definedName>
    <definedName name="IQ_CALL_DATE_SCHEDULE">"c2481"</definedName>
    <definedName name="IQ_CALL_FEATURE">"c2197"</definedName>
    <definedName name="IQ_CALL_PRICE_SCHEDULE">"c2482"</definedName>
    <definedName name="IQ_CALLABLE">"c2196"</definedName>
    <definedName name="IQ_CAP_LOSS_CF_1YR">"c3474"</definedName>
    <definedName name="IQ_CAP_LOSS_CF_2YR">"c3475"</definedName>
    <definedName name="IQ_CAP_LOSS_CF_3YR">"c3476"</definedName>
    <definedName name="IQ_CAP_LOSS_CF_4YR">"c3477"</definedName>
    <definedName name="IQ_CAP_LOSS_CF_5YR">"c3478"</definedName>
    <definedName name="IQ_CAP_LOSS_CF_AFTER_FIVE">"c3479"</definedName>
    <definedName name="IQ_CAP_LOSS_CF_MAX_YEAR">"c3482"</definedName>
    <definedName name="IQ_CAP_LOSS_CF_NO_EXP">"c3480"</definedName>
    <definedName name="IQ_CAP_LOSS_CF_TOTAL">"c3481"</definedName>
    <definedName name="IQ_CAPEX">"c103"</definedName>
    <definedName name="IQ_CAPEX_10YR_ANN_CAGR">"c6050"</definedName>
    <definedName name="IQ_CAPEX_10YR_ANN_GROWTH">"c104"</definedName>
    <definedName name="IQ_CAPEX_1YR_ANN_GROWTH">"c105"</definedName>
    <definedName name="IQ_CAPEX_2YR_ANN_CAGR">"c6051"</definedName>
    <definedName name="IQ_CAPEX_2YR_ANN_GROWTH">"c106"</definedName>
    <definedName name="IQ_CAPEX_3YR_ANN_CAGR">"c6052"</definedName>
    <definedName name="IQ_CAPEX_3YR_ANN_GROWTH">"c107"</definedName>
    <definedName name="IQ_CAPEX_5YR_ANN_CAGR">"c6053"</definedName>
    <definedName name="IQ_CAPEX_5YR_ANN_GROWTH">"c108"</definedName>
    <definedName name="IQ_CAPEX_7YR_ANN_CAGR">"c6054"</definedName>
    <definedName name="IQ_CAPEX_7YR_ANN_GROWTH">"c109"</definedName>
    <definedName name="IQ_CAPEX_ACT_OR_EST">"c3584"</definedName>
    <definedName name="IQ_CAPEX_ACT_OR_EST_REUT">"c5474"</definedName>
    <definedName name="IQ_CAPEX_BNK">"c110"</definedName>
    <definedName name="IQ_CAPEX_BR">"c111"</definedName>
    <definedName name="IQ_CAPEX_EST">"c3523"</definedName>
    <definedName name="IQ_CAPEX_EST_REUT">"c3969"</definedName>
    <definedName name="IQ_CAPEX_FIN">"c112"</definedName>
    <definedName name="IQ_CAPEX_GUIDANCE">"c4150"</definedName>
    <definedName name="IQ_CAPEX_HIGH_EST">"c3524"</definedName>
    <definedName name="IQ_CAPEX_HIGH_EST_REUT">"c3971"</definedName>
    <definedName name="IQ_CAPEX_HIGH_GUIDANCE">"c4180"</definedName>
    <definedName name="IQ_CAPEX_INS">"c113"</definedName>
    <definedName name="IQ_CAPEX_LOW_EST">"c3525"</definedName>
    <definedName name="IQ_CAPEX_LOW_EST_REUT">"c3972"</definedName>
    <definedName name="IQ_CAPEX_LOW_GUIDANCE">"c4220"</definedName>
    <definedName name="IQ_CAPEX_MEDIAN_EST">"c3526"</definedName>
    <definedName name="IQ_CAPEX_MEDIAN_EST_REUT">"c3970"</definedName>
    <definedName name="IQ_CAPEX_NUM_EST">"c3521"</definedName>
    <definedName name="IQ_CAPEX_NUM_EST_REUT">"c3973"</definedName>
    <definedName name="IQ_CAPEX_STDDEV_EST">"c3522"</definedName>
    <definedName name="IQ_CAPEX_STDDEV_EST_REUT">"c3974"</definedName>
    <definedName name="IQ_CAPEX_UTI">"c114"</definedName>
    <definedName name="IQ_CAPITAL_LEASE">"c1350"</definedName>
    <definedName name="IQ_CAPITAL_LEASES">"c115"</definedName>
    <definedName name="IQ_CAPITAL_LEASES_TOTAL">"c3031"</definedName>
    <definedName name="IQ_CAPITAL_LEASES_TOTAL_PCT">"c2506"</definedName>
    <definedName name="IQ_CAPITALIZED_INTEREST">"c3460"</definedName>
    <definedName name="IQ_CAPITALIZED_INTEREST_BOP">"c3459"</definedName>
    <definedName name="IQ_CAPITALIZED_INTEREST_EOP">"c3464"</definedName>
    <definedName name="IQ_CAPITALIZED_INTEREST_EXP">"c3461"</definedName>
    <definedName name="IQ_CAPITALIZED_INTEREST_OTHER_ADJ">"c3463"</definedName>
    <definedName name="IQ_CAPITALIZED_INTEREST_WRITE_OFF">"c3462"</definedName>
    <definedName name="IQ_CASH">"c1458"</definedName>
    <definedName name="IQ_CASH_ACQUIRE_CF">"c116"</definedName>
    <definedName name="IQ_CASH_CONVERSION">"c117"</definedName>
    <definedName name="IQ_CASH_DUE_BANKS">"c1351"</definedName>
    <definedName name="IQ_CASH_EPS_ACT_OR_EST">"c5638"</definedName>
    <definedName name="IQ_CASH_EPS_EST">"c5631"</definedName>
    <definedName name="IQ_CASH_EPS_HIGH_EST">"c5633"</definedName>
    <definedName name="IQ_CASH_EPS_LOW_EST">"c5634"</definedName>
    <definedName name="IQ_CASH_EPS_MEDIAN_EST">"c5632"</definedName>
    <definedName name="IQ_CASH_EPS_NUM_EST">"c5635"</definedName>
    <definedName name="IQ_CASH_EPS_STDDEV_EST">"c5636"</definedName>
    <definedName name="IQ_CASH_EQUIV">"c118"</definedName>
    <definedName name="IQ_CASH_FINAN">"c119"</definedName>
    <definedName name="IQ_CASH_FLOW_ACT_OR_EST">"c4154"</definedName>
    <definedName name="IQ_CASH_FLOW_EST">"c4153"</definedName>
    <definedName name="IQ_CASH_FLOW_GUIDANCE">"c4155"</definedName>
    <definedName name="IQ_CASH_FLOW_HIGH_EST">"c4156"</definedName>
    <definedName name="IQ_CASH_FLOW_HIGH_GUIDANCE">"c4201"</definedName>
    <definedName name="IQ_CASH_FLOW_LOW_EST">"c4157"</definedName>
    <definedName name="IQ_CASH_FLOW_LOW_GUIDANCE">"c4241"</definedName>
    <definedName name="IQ_CASH_FLOW_MEDIAN_EST">"c4158"</definedName>
    <definedName name="IQ_CASH_FLOW_NUM_EST">"c4159"</definedName>
    <definedName name="IQ_CASH_FLOW_STDDEV_EST">"c4160"</definedName>
    <definedName name="IQ_CASH_INTEREST">"c120"</definedName>
    <definedName name="IQ_CASH_INVEST">"c121"</definedName>
    <definedName name="IQ_CASH_OPER">"c122"</definedName>
    <definedName name="IQ_CASH_OPER_ACT_OR_EST">"c4164"</definedName>
    <definedName name="IQ_CASH_OPER_EST">"c4163"</definedName>
    <definedName name="IQ_CASH_OPER_GUIDANCE">"c4165"</definedName>
    <definedName name="IQ_CASH_OPER_HIGH_EST">"c4166"</definedName>
    <definedName name="IQ_CASH_OPER_HIGH_GUIDANCE">"c4185"</definedName>
    <definedName name="IQ_CASH_OPER_LOW_EST">"c4244"</definedName>
    <definedName name="IQ_CASH_OPER_LOW_GUIDANCE">"c4225"</definedName>
    <definedName name="IQ_CASH_OPER_MEDIAN_EST">"c4245"</definedName>
    <definedName name="IQ_CASH_OPER_NUM_EST">"c4246"</definedName>
    <definedName name="IQ_CASH_OPER_STDDEV_EST">"c4247"</definedName>
    <definedName name="IQ_CASH_SEGREG">"c123"</definedName>
    <definedName name="IQ_CASH_SHARE">"c1911"</definedName>
    <definedName name="IQ_CASH_ST">"c1355"</definedName>
    <definedName name="IQ_CASH_ST_INVEST">"c124"</definedName>
    <definedName name="IQ_CASH_ST_INVEST_EST">"c4249"</definedName>
    <definedName name="IQ_CASH_ST_INVEST_GUIDANCE">"c4250"</definedName>
    <definedName name="IQ_CASH_ST_INVEST_HIGH_EST">"c4251"</definedName>
    <definedName name="IQ_CASH_ST_INVEST_HIGH_GUIDANCE">"c4195"</definedName>
    <definedName name="IQ_CASH_ST_INVEST_LOW_EST">"c4252"</definedName>
    <definedName name="IQ_CASH_ST_INVEST_LOW_GUIDANCE">"c4235"</definedName>
    <definedName name="IQ_CASH_ST_INVEST_MEDIAN_EST">"c4253"</definedName>
    <definedName name="IQ_CASH_ST_INVEST_NUM_EST">"c4254"</definedName>
    <definedName name="IQ_CASH_ST_INVEST_STDDEV_EST">"c4255"</definedName>
    <definedName name="IQ_CASH_TAXES">"c125"</definedName>
    <definedName name="IQ_CDS_ASK">"c6027"</definedName>
    <definedName name="IQ_CDS_BID">"c6026"</definedName>
    <definedName name="IQ_CDS_CURRENCY">"c6031"</definedName>
    <definedName name="IQ_CDS_EVAL_DATE">"c6029"</definedName>
    <definedName name="IQ_CDS_MID">"c6028"</definedName>
    <definedName name="IQ_CDS_NAME">"c6034"</definedName>
    <definedName name="IQ_CDS_TERM">"c6030"</definedName>
    <definedName name="IQ_CDS_TYPE">"c6025"</definedName>
    <definedName name="IQ_CEDED_AH_EARNED">"c2743"</definedName>
    <definedName name="IQ_CEDED_CLAIM_EXP_INCUR">"c2756"</definedName>
    <definedName name="IQ_CEDED_CLAIM_EXP_PAID">"c2759"</definedName>
    <definedName name="IQ_CEDED_CLAIM_EXP_RES">"c2753"</definedName>
    <definedName name="IQ_CEDED_EARNED">"c2733"</definedName>
    <definedName name="IQ_CEDED_LIFE_EARNED">"c2738"</definedName>
    <definedName name="IQ_CEDED_LIFE_IN_FORCE">"c2768"</definedName>
    <definedName name="IQ_CEDED_PC_EARNED">"c2748"</definedName>
    <definedName name="IQ_CEDED_WRITTEN">"c2727"</definedName>
    <definedName name="IQ_CFO_10YR_ANN_CAGR">"c6055"</definedName>
    <definedName name="IQ_CFO_10YR_ANN_GROWTH">"c126"</definedName>
    <definedName name="IQ_CFO_1YR_ANN_GROWTH">"c127"</definedName>
    <definedName name="IQ_CFO_2YR_ANN_CAGR">"c6056"</definedName>
    <definedName name="IQ_CFO_2YR_ANN_GROWTH">"c128"</definedName>
    <definedName name="IQ_CFO_3YR_ANN_CAGR">"c6057"</definedName>
    <definedName name="IQ_CFO_3YR_ANN_GROWTH">"c129"</definedName>
    <definedName name="IQ_CFO_5YR_ANN_CAGR">"c6058"</definedName>
    <definedName name="IQ_CFO_5YR_ANN_GROWTH">"c130"</definedName>
    <definedName name="IQ_CFO_7YR_ANN_CAGR">"c6059"</definedName>
    <definedName name="IQ_CFO_7YR_ANN_GROWTH">"c131"</definedName>
    <definedName name="IQ_CFO_CURRENT_LIAB">"c132"</definedName>
    <definedName name="IQ_CFPS_ACT_OR_EST">"c2217"</definedName>
    <definedName name="IQ_CFPS_ACT_OR_EST_REUT">"c5463"</definedName>
    <definedName name="IQ_CFPS_EST">"c1667"</definedName>
    <definedName name="IQ_CFPS_EST_REUT">"c3844"</definedName>
    <definedName name="IQ_CFPS_GUIDANCE">"c4256"</definedName>
    <definedName name="IQ_CFPS_HIGH_EST">"c1669"</definedName>
    <definedName name="IQ_CFPS_HIGH_EST_REUT">"c3846"</definedName>
    <definedName name="IQ_CFPS_HIGH_GUIDANCE">"c4167"</definedName>
    <definedName name="IQ_CFPS_LOW_EST">"c1670"</definedName>
    <definedName name="IQ_CFPS_LOW_EST_REUT">"c3847"</definedName>
    <definedName name="IQ_CFPS_LOW_GUIDANCE">"c4207"</definedName>
    <definedName name="IQ_CFPS_MEDIAN_EST">"c1668"</definedName>
    <definedName name="IQ_CFPS_MEDIAN_EST_REUT">"c3845"</definedName>
    <definedName name="IQ_CFPS_NUM_EST">"c1671"</definedName>
    <definedName name="IQ_CFPS_NUM_EST_REUT">"c3848"</definedName>
    <definedName name="IQ_CFPS_STDDEV_EST">"c1672"</definedName>
    <definedName name="IQ_CFPS_STDDEV_EST_REUT">"c3849"</definedName>
    <definedName name="IQ_CHANGE_AP">"c133"</definedName>
    <definedName name="IQ_CHANGE_AP_BNK">"c134"</definedName>
    <definedName name="IQ_CHANGE_AP_BR">"c135"</definedName>
    <definedName name="IQ_CHANGE_AP_FIN">"c136"</definedName>
    <definedName name="IQ_CHANGE_AP_INS">"c137"</definedName>
    <definedName name="IQ_CHANGE_AP_RE">"c6200"</definedName>
    <definedName name="IQ_CHANGE_AP_REIT">"c138"</definedName>
    <definedName name="IQ_CHANGE_AP_UTI">"c139"</definedName>
    <definedName name="IQ_CHANGE_AR">"c140"</definedName>
    <definedName name="IQ_CHANGE_AR_BNK">"c141"</definedName>
    <definedName name="IQ_CHANGE_AR_BR">"c142"</definedName>
    <definedName name="IQ_CHANGE_AR_FIN">"c143"</definedName>
    <definedName name="IQ_CHANGE_AR_INS">"c144"</definedName>
    <definedName name="IQ_CHANGE_AR_RE">"c6201"</definedName>
    <definedName name="IQ_CHANGE_AR_REIT">"c145"</definedName>
    <definedName name="IQ_CHANGE_AR_UTI">"c146"</definedName>
    <definedName name="IQ_CHANGE_DEF_TAX">"c147"</definedName>
    <definedName name="IQ_CHANGE_DEPOSIT_ACCT">"c148"</definedName>
    <definedName name="IQ_CHANGE_INC_TAX">"c149"</definedName>
    <definedName name="IQ_CHANGE_INS_RES_LIAB">"c150"</definedName>
    <definedName name="IQ_CHANGE_INVENTORY">"c151"</definedName>
    <definedName name="IQ_CHANGE_NET_OPER_ASSETS">"c3592"</definedName>
    <definedName name="IQ_CHANGE_NET_WORKING_CAPITAL">"c1909"</definedName>
    <definedName name="IQ_CHANGE_OTHER_NET_OPER_ASSETS">"c3593"</definedName>
    <definedName name="IQ_CHANGE_OTHER_NET_OPER_ASSETS_BNK">"c3594"</definedName>
    <definedName name="IQ_CHANGE_OTHER_NET_OPER_ASSETS_BR">"c3595"</definedName>
    <definedName name="IQ_CHANGE_OTHER_NET_OPER_ASSETS_FIN">"c3596"</definedName>
    <definedName name="IQ_CHANGE_OTHER_NET_OPER_ASSETS_INS">"c3597"</definedName>
    <definedName name="IQ_CHANGE_OTHER_NET_OPER_ASSETS_RE">"c6285"</definedName>
    <definedName name="IQ_CHANGE_OTHER_NET_OPER_ASSETS_REIT">"c3598"</definedName>
    <definedName name="IQ_CHANGE_OTHER_NET_OPER_ASSETS_UTI">"c3599"</definedName>
    <definedName name="IQ_CHANGE_OTHER_WORK_CAP">"c152"</definedName>
    <definedName name="IQ_CHANGE_OTHER_WORK_CAP_BNK">"c153"</definedName>
    <definedName name="IQ_CHANGE_OTHER_WORK_CAP_BR">"c154"</definedName>
    <definedName name="IQ_CHANGE_OTHER_WORK_CAP_FIN">"c155"</definedName>
    <definedName name="IQ_CHANGE_OTHER_WORK_CAP_INS">"c156"</definedName>
    <definedName name="IQ_CHANGE_OTHER_WORK_CAP_REIT">"c157"</definedName>
    <definedName name="IQ_CHANGE_OTHER_WORK_CAP_UTI">"c158"</definedName>
    <definedName name="IQ_CHANGE_TRADING_ASSETS">"c159"</definedName>
    <definedName name="IQ_CHANGE_UNEARN_REV">"c160"</definedName>
    <definedName name="IQ_CHANGE_WORK_CAP">"c161"</definedName>
    <definedName name="IQ_CHANGES_WORK_CAP">"c1357"</definedName>
    <definedName name="IQ_CHARGE_OFFS_GROSS">"c162"</definedName>
    <definedName name="IQ_CHARGE_OFFS_NET">"c163"</definedName>
    <definedName name="IQ_CHARGE_OFFS_RECOVERED">"c164"</definedName>
    <definedName name="IQ_CHARGE_OFFS_TOTAL_AVG_LOANS">"c165"</definedName>
    <definedName name="IQ_CITY">"c166"</definedName>
    <definedName name="IQ_CL_DUE_AFTER_FIVE">"c167"</definedName>
    <definedName name="IQ_CL_DUE_CY">"c168"</definedName>
    <definedName name="IQ_CL_DUE_CY1">"c169"</definedName>
    <definedName name="IQ_CL_DUE_CY2">"c170"</definedName>
    <definedName name="IQ_CL_DUE_CY3">"c171"</definedName>
    <definedName name="IQ_CL_DUE_CY4">"c172"</definedName>
    <definedName name="IQ_CL_DUE_NEXT_FIVE">"c173"</definedName>
    <definedName name="IQ_CL_OBLIGATION_IMMEDIATE">"c2253"</definedName>
    <definedName name="IQ_CLASSA_OPTIONS_BEG_OS">"c2679"</definedName>
    <definedName name="IQ_CLASSA_OPTIONS_CANCELLED">"c2682"</definedName>
    <definedName name="IQ_CLASSA_OPTIONS_END_OS">"c2683"</definedName>
    <definedName name="IQ_CLASSA_OPTIONS_EXERCISABLE_END_OS">"c5809"</definedName>
    <definedName name="IQ_CLASSA_OPTIONS_EXERCISED">"c2681"</definedName>
    <definedName name="IQ_CLASSA_OPTIONS_GRANTED">"c2680"</definedName>
    <definedName name="IQ_CLASSA_OPTIONS_STRIKE_PRICE_BEG_OS">"c5810"</definedName>
    <definedName name="IQ_CLASSA_OPTIONS_STRIKE_PRICE_CANCELLED">"c5812"</definedName>
    <definedName name="IQ_CLASSA_OPTIONS_STRIKE_PRICE_EXERCISABLE">"c5813"</definedName>
    <definedName name="IQ_CLASSA_OPTIONS_STRIKE_PRICE_EXERCISED">"c5811"</definedName>
    <definedName name="IQ_CLASSA_OPTIONS_STRIKE_PRICE_OS">"c2684"</definedName>
    <definedName name="IQ_CLASSA_OUTSTANDING_BS_DATE">"c1971"</definedName>
    <definedName name="IQ_CLASSA_OUTSTANDING_FILING_DATE">"c1973"</definedName>
    <definedName name="IQ_CLASSA_STRIKE_PRICE_GRANTED">"c2685"</definedName>
    <definedName name="IQ_CLASSA_WARRANTS_BEG_OS">"c2705"</definedName>
    <definedName name="IQ_CLASSA_WARRANTS_CANCELLED">"c2708"</definedName>
    <definedName name="IQ_CLASSA_WARRANTS_END_OS">"c2709"</definedName>
    <definedName name="IQ_CLASSA_WARRANTS_EXERCISED">"c2707"</definedName>
    <definedName name="IQ_CLASSA_WARRANTS_ISSUED">"c2706"</definedName>
    <definedName name="IQ_CLASSA_WARRANTS_STRIKE_PRICE_ISSUED">"c2711"</definedName>
    <definedName name="IQ_CLASSA_WARRANTS_STRIKE_PRICE_OS">"c2710"</definedName>
    <definedName name="IQ_CLOSEPRICE">"c174"</definedName>
    <definedName name="IQ_CLOSEPRICE_ADJ">"c2115"</definedName>
    <definedName name="IQ_COGS">"c175"</definedName>
    <definedName name="IQ_COMBINED_RATIO">"c176"</definedName>
    <definedName name="IQ_COMMERCIAL_DOM">"c177"</definedName>
    <definedName name="IQ_COMMERCIAL_FIRE_WRITTEN">"c178"</definedName>
    <definedName name="IQ_COMMERCIAL_MORT">"c179"</definedName>
    <definedName name="IQ_COMMISS_FEES">"c180"</definedName>
    <definedName name="IQ_COMMISSION_DEF">"c181"</definedName>
    <definedName name="IQ_COMMON">"c182"</definedName>
    <definedName name="IQ_COMMON_APIC">"c183"</definedName>
    <definedName name="IQ_COMMON_APIC_BNK">"c184"</definedName>
    <definedName name="IQ_COMMON_APIC_BR">"c185"</definedName>
    <definedName name="IQ_COMMON_APIC_FIN">"c186"</definedName>
    <definedName name="IQ_COMMON_APIC_INS">"c187"</definedName>
    <definedName name="IQ_COMMON_APIC_RE">"c6202"</definedName>
    <definedName name="IQ_COMMON_APIC_REIT">"c188"</definedName>
    <definedName name="IQ_COMMON_APIC_UTI">"c189"</definedName>
    <definedName name="IQ_COMMON_DIV">"c3006"</definedName>
    <definedName name="IQ_COMMON_DIV_CF">"c190"</definedName>
    <definedName name="IQ_COMMON_EQUITY_10YR_ANN_CAGR">"c6060"</definedName>
    <definedName name="IQ_COMMON_EQUITY_10YR_ANN_GROWTH">"c191"</definedName>
    <definedName name="IQ_COMMON_EQUITY_1YR_ANN_GROWTH">"c192"</definedName>
    <definedName name="IQ_COMMON_EQUITY_2YR_ANN_CAGR">"c6061"</definedName>
    <definedName name="IQ_COMMON_EQUITY_2YR_ANN_GROWTH">"c193"</definedName>
    <definedName name="IQ_COMMON_EQUITY_3YR_ANN_CAGR">"c6062"</definedName>
    <definedName name="IQ_COMMON_EQUITY_3YR_ANN_GROWTH">"c194"</definedName>
    <definedName name="IQ_COMMON_EQUITY_5YR_ANN_CAGR">"c6063"</definedName>
    <definedName name="IQ_COMMON_EQUITY_5YR_ANN_GROWTH">"c195"</definedName>
    <definedName name="IQ_COMMON_EQUITY_7YR_ANN_CAGR">"c6064"</definedName>
    <definedName name="IQ_COMMON_EQUITY_7YR_ANN_GROWTH">"c196"</definedName>
    <definedName name="IQ_COMMON_ISSUED">"c197"</definedName>
    <definedName name="IQ_COMMON_ISSUED_BNK">"c198"</definedName>
    <definedName name="IQ_COMMON_ISSUED_BR">"c199"</definedName>
    <definedName name="IQ_COMMON_ISSUED_FIN">"c200"</definedName>
    <definedName name="IQ_COMMON_ISSUED_INS">"c201"</definedName>
    <definedName name="IQ_COMMON_ISSUED_RE">"c6203"</definedName>
    <definedName name="IQ_COMMON_ISSUED_REIT">"c202"</definedName>
    <definedName name="IQ_COMMON_ISSUED_UTI">"c203"</definedName>
    <definedName name="IQ_COMMON_PER_ADR">"c204"</definedName>
    <definedName name="IQ_COMMON_PREF_DIV_CF">"c205"</definedName>
    <definedName name="IQ_COMMON_REP">"c206"</definedName>
    <definedName name="IQ_COMMON_REP_BNK">"c207"</definedName>
    <definedName name="IQ_COMMON_REP_BR">"c208"</definedName>
    <definedName name="IQ_COMMON_REP_FIN">"c209"</definedName>
    <definedName name="IQ_COMMON_REP_INS">"c210"</definedName>
    <definedName name="IQ_COMMON_REP_RE">"c6204"</definedName>
    <definedName name="IQ_COMMON_REP_REIT">"c211"</definedName>
    <definedName name="IQ_COMMON_REP_UTI">"c212"</definedName>
    <definedName name="IQ_COMMON_STOCK">"c1358"</definedName>
    <definedName name="IQ_COMP_BENEFITS">"c213"</definedName>
    <definedName name="IQ_COMPANY_ADDRESS">"c214"</definedName>
    <definedName name="IQ_COMPANY_ID">"c3513"</definedName>
    <definedName name="IQ_COMPANY_NAME">"c215"</definedName>
    <definedName name="IQ_COMPANY_NAME_LONG">"c1585"</definedName>
    <definedName name="IQ_COMPANY_PHONE">"c216"</definedName>
    <definedName name="IQ_COMPANY_STATUS">"c2097"</definedName>
    <definedName name="IQ_COMPANY_STREET1">"c217"</definedName>
    <definedName name="IQ_COMPANY_STREET2">"c218"</definedName>
    <definedName name="IQ_COMPANY_TICKER">"c219"</definedName>
    <definedName name="IQ_COMPANY_TYPE">"c2096"</definedName>
    <definedName name="IQ_COMPANY_WEBSITE">"c220"</definedName>
    <definedName name="IQ_COMPANY_ZIP">"c221"</definedName>
    <definedName name="IQ_CONSTRUCTION_LOANS">"c222"</definedName>
    <definedName name="IQ_CONSUMER_LOANS">"c223"</definedName>
    <definedName name="IQ_CONV_DATE">"c2191"</definedName>
    <definedName name="IQ_CONV_EXP_DATE">"c3043"</definedName>
    <definedName name="IQ_CONV_PREMIUM">"c2195"</definedName>
    <definedName name="IQ_CONV_PRICE">"c2193"</definedName>
    <definedName name="IQ_CONV_RATIO">"c2192"</definedName>
    <definedName name="IQ_CONV_SECURITY">"c2189"</definedName>
    <definedName name="IQ_CONV_SECURITY_ISSUER">"c2190"</definedName>
    <definedName name="IQ_CONV_SECURITY_PRICE">"c2194"</definedName>
    <definedName name="IQ_CONVERT">"c2536"</definedName>
    <definedName name="IQ_CONVERT_PCT">"c2537"</definedName>
    <definedName name="IQ_CONVEXITY">"c2182"</definedName>
    <definedName name="IQ_COST_BORROWING">"c2936"</definedName>
    <definedName name="IQ_COST_BORROWINGS">"c225"</definedName>
    <definedName name="IQ_COST_REV">"c226"</definedName>
    <definedName name="IQ_COST_REVENUE">"c1359"</definedName>
    <definedName name="IQ_COST_SAVINGS">"c227"</definedName>
    <definedName name="IQ_COST_SERVICE">"c228"</definedName>
    <definedName name="IQ_COST_TOTAL_BORROWINGS">"c229"</definedName>
    <definedName name="IQ_COUNTRY_NAME">"c230"</definedName>
    <definedName name="IQ_COVERED_POPS">"c2124"</definedName>
    <definedName name="IQ_CP">"c2495"</definedName>
    <definedName name="IQ_CP_PCT">"c2496"</definedName>
    <definedName name="IQ_CQ">5000</definedName>
    <definedName name="IQ_CREDIT_CARD_FEE_BNK">"c231"</definedName>
    <definedName name="IQ_CREDIT_CARD_FEE_FIN">"c1583"</definedName>
    <definedName name="IQ_CREDIT_LOSS_CF">"c232"</definedName>
    <definedName name="IQ_CUMULATIVE_SPLIT_FACTOR">"c2094"</definedName>
    <definedName name="IQ_CURR_DOMESTIC_TAXES">"c2074"</definedName>
    <definedName name="IQ_CURR_FOREIGN_TAXES">"c2075"</definedName>
    <definedName name="IQ_CURRENCY_FACTOR_BS">"c233"</definedName>
    <definedName name="IQ_CURRENCY_FACTOR_IS">"c234"</definedName>
    <definedName name="IQ_CURRENCY_GAIN">"c235"</definedName>
    <definedName name="IQ_CURRENCY_GAIN_BR">"c236"</definedName>
    <definedName name="IQ_CURRENCY_GAIN_FIN">"c237"</definedName>
    <definedName name="IQ_CURRENCY_GAIN_INS">"c238"</definedName>
    <definedName name="IQ_CURRENCY_GAIN_RE">"c6205"</definedName>
    <definedName name="IQ_CURRENCY_GAIN_REIT">"c239"</definedName>
    <definedName name="IQ_CURRENCY_GAIN_UTI">"c240"</definedName>
    <definedName name="IQ_CURRENT_PORT">"c241"</definedName>
    <definedName name="IQ_CURRENT_PORT_BNK">"c242"</definedName>
    <definedName name="IQ_CURRENT_PORT_DEBT">"c243"</definedName>
    <definedName name="IQ_CURRENT_PORT_DEBT_BNK">"c244"</definedName>
    <definedName name="IQ_CURRENT_PORT_DEBT_BR">"c1567"</definedName>
    <definedName name="IQ_CURRENT_PORT_DEBT_FIN">"c1568"</definedName>
    <definedName name="IQ_CURRENT_PORT_DEBT_INS">"c1569"</definedName>
    <definedName name="IQ_CURRENT_PORT_DEBT_RE">"c6283"</definedName>
    <definedName name="IQ_CURRENT_PORT_DEBT_REIT">"c1570"</definedName>
    <definedName name="IQ_CURRENT_PORT_DEBT_UTI">"c1571"</definedName>
    <definedName name="IQ_CURRENT_PORT_FHLB_DEBT">"c5657"</definedName>
    <definedName name="IQ_CURRENT_PORT_LEASES">"c245"</definedName>
    <definedName name="IQ_CURRENT_PORT_PCT">"c2541"</definedName>
    <definedName name="IQ_CURRENT_RATIO">"c246"</definedName>
    <definedName name="IQ_CUSIP">"c2245"</definedName>
    <definedName name="IQ_CY">10000</definedName>
    <definedName name="IQ_DA">"c247"</definedName>
    <definedName name="IQ_DA_BR">"c248"</definedName>
    <definedName name="IQ_DA_CF">"c249"</definedName>
    <definedName name="IQ_DA_CF_BNK">"c250"</definedName>
    <definedName name="IQ_DA_CF_BR">"c251"</definedName>
    <definedName name="IQ_DA_CF_FIN">"c252"</definedName>
    <definedName name="IQ_DA_CF_INS">"c253"</definedName>
    <definedName name="IQ_DA_CF_RE">"c6206"</definedName>
    <definedName name="IQ_DA_CF_REIT">"c254"</definedName>
    <definedName name="IQ_DA_CF_UTI">"c255"</definedName>
    <definedName name="IQ_DA_EBITDA">"c5528"</definedName>
    <definedName name="IQ_DA_FIN">"c256"</definedName>
    <definedName name="IQ_DA_INS">"c257"</definedName>
    <definedName name="IQ_DA_RE">"c6207"</definedName>
    <definedName name="IQ_DA_REIT">"c258"</definedName>
    <definedName name="IQ_DA_SUPPL">"c259"</definedName>
    <definedName name="IQ_DA_SUPPL_BR">"c260"</definedName>
    <definedName name="IQ_DA_SUPPL_CF">"c261"</definedName>
    <definedName name="IQ_DA_SUPPL_CF_BNK">"c262"</definedName>
    <definedName name="IQ_DA_SUPPL_CF_BR">"c263"</definedName>
    <definedName name="IQ_DA_SUPPL_CF_FIN">"c264"</definedName>
    <definedName name="IQ_DA_SUPPL_CF_INS">"c265"</definedName>
    <definedName name="IQ_DA_SUPPL_CF_RE">"c6208"</definedName>
    <definedName name="IQ_DA_SUPPL_CF_REIT">"c266"</definedName>
    <definedName name="IQ_DA_SUPPL_CF_UTI">"c267"</definedName>
    <definedName name="IQ_DA_SUPPL_FIN">"c268"</definedName>
    <definedName name="IQ_DA_SUPPL_INS">"c269"</definedName>
    <definedName name="IQ_DA_SUPPL_RE">"c6209"</definedName>
    <definedName name="IQ_DA_SUPPL_REIT">"c270"</definedName>
    <definedName name="IQ_DA_SUPPL_UTI">"c271"</definedName>
    <definedName name="IQ_DA_UTI">"c272"</definedName>
    <definedName name="IQ_DATED_DATE">"c2185"</definedName>
    <definedName name="IQ_DAY_COUNT">"c2161"</definedName>
    <definedName name="IQ_DAYS_COVER_SHORT">"c1578"</definedName>
    <definedName name="IQ_DAYS_INVENTORY_OUT">"c273"</definedName>
    <definedName name="IQ_DAYS_PAY_OUTST">"c1362"</definedName>
    <definedName name="IQ_DAYS_PAYABLE_OUT">"c274"</definedName>
    <definedName name="IQ_DAYS_SALES_OUT">"c275"</definedName>
    <definedName name="IQ_DAYS_SALES_OUTST">"c1363"</definedName>
    <definedName name="IQ_DEBT_ADJ">"c2515"</definedName>
    <definedName name="IQ_DEBT_ADJ_PCT">"c2516"</definedName>
    <definedName name="IQ_DEBT_EQUITY_EST">"c4257"</definedName>
    <definedName name="IQ_DEBT_EQUITY_HIGH_EST">"c4258"</definedName>
    <definedName name="IQ_DEBT_EQUITY_LOW_EST">"c4259"</definedName>
    <definedName name="IQ_DEBT_EQUITY_MEDIAN_EST">"c4260"</definedName>
    <definedName name="IQ_DEBT_EQUITY_NUM_EST">"c4261"</definedName>
    <definedName name="IQ_DEBT_EQUITY_STDDEV_EST">"c4262"</definedName>
    <definedName name="IQ_DEBT_EQUIV_NET_PBO">"c2938"</definedName>
    <definedName name="IQ_DEBT_EQUIV_OPER_LEASE">"c2935"</definedName>
    <definedName name="IQ_DEF_ACQ_CST">"c1364"</definedName>
    <definedName name="IQ_DEF_AMORT">"c276"</definedName>
    <definedName name="IQ_DEF_AMORT_BNK">"c277"</definedName>
    <definedName name="IQ_DEF_AMORT_BR">"c278"</definedName>
    <definedName name="IQ_DEF_AMORT_FIN">"c279"</definedName>
    <definedName name="IQ_DEF_AMORT_INS">"c280"</definedName>
    <definedName name="IQ_DEF_AMORT_REIT">"c281"</definedName>
    <definedName name="IQ_DEF_AMORT_UTI">"c282"</definedName>
    <definedName name="IQ_DEF_BENEFIT_INTEREST_COST">"c283"</definedName>
    <definedName name="IQ_DEF_BENEFIT_INTEREST_COST_DOMESTIC">"c2652"</definedName>
    <definedName name="IQ_DEF_BENEFIT_INTEREST_COST_FOREIGN">"c2660"</definedName>
    <definedName name="IQ_DEF_BENEFIT_OTHER_COST">"c284"</definedName>
    <definedName name="IQ_DEF_BENEFIT_OTHER_COST_DOMESTIC">"c2654"</definedName>
    <definedName name="IQ_DEF_BENEFIT_OTHER_COST_FOREIGN">"c2662"</definedName>
    <definedName name="IQ_DEF_BENEFIT_ROA">"c285"</definedName>
    <definedName name="IQ_DEF_BENEFIT_ROA_DOMESTIC">"c2653"</definedName>
    <definedName name="IQ_DEF_BENEFIT_ROA_FOREIGN">"c2661"</definedName>
    <definedName name="IQ_DEF_BENEFIT_SERVICE_COST">"c286"</definedName>
    <definedName name="IQ_DEF_BENEFIT_SERVICE_COST_DOMESTIC">"c2651"</definedName>
    <definedName name="IQ_DEF_BENEFIT_SERVICE_COST_FOREIGN">"c2659"</definedName>
    <definedName name="IQ_DEF_BENEFIT_TOTAL_COST">"c287"</definedName>
    <definedName name="IQ_DEF_BENEFIT_TOTAL_COST_DOMESTIC">"c2655"</definedName>
    <definedName name="IQ_DEF_BENEFIT_TOTAL_COST_FOREIGN">"c2663"</definedName>
    <definedName name="IQ_DEF_CHARGES_BR">"c288"</definedName>
    <definedName name="IQ_DEF_CHARGES_CF">"c289"</definedName>
    <definedName name="IQ_DEF_CHARGES_FIN">"c290"</definedName>
    <definedName name="IQ_DEF_CHARGES_INS">"c291"</definedName>
    <definedName name="IQ_DEF_CHARGES_LT">"c292"</definedName>
    <definedName name="IQ_DEF_CHARGES_LT_BNK">"c293"</definedName>
    <definedName name="IQ_DEF_CHARGES_LT_BR">"c294"</definedName>
    <definedName name="IQ_DEF_CHARGES_LT_FIN">"c295"</definedName>
    <definedName name="IQ_DEF_CHARGES_LT_INS">"c296"</definedName>
    <definedName name="IQ_DEF_CHARGES_LT_RE">"c6210"</definedName>
    <definedName name="IQ_DEF_CHARGES_LT_REIT">"c297"</definedName>
    <definedName name="IQ_DEF_CHARGES_LT_UTI">"c298"</definedName>
    <definedName name="IQ_DEF_CHARGES_RE">"c6211"</definedName>
    <definedName name="IQ_DEF_CHARGES_REIT">"c299"</definedName>
    <definedName name="IQ_DEF_CONTRIBUTION_TOTAL_COST">"c300"</definedName>
    <definedName name="IQ_DEF_INC_TAX">"c1365"</definedName>
    <definedName name="IQ_DEF_POLICY_ACQ_COSTS">"c301"</definedName>
    <definedName name="IQ_DEF_POLICY_ACQ_COSTS_CF">"c302"</definedName>
    <definedName name="IQ_DEF_POLICY_AMORT">"c303"</definedName>
    <definedName name="IQ_DEF_TAX_ASSET_LT_BR">"c304"</definedName>
    <definedName name="IQ_DEF_TAX_ASSET_LT_FIN">"c305"</definedName>
    <definedName name="IQ_DEF_TAX_ASSET_LT_INS">"c306"</definedName>
    <definedName name="IQ_DEF_TAX_ASSET_LT_RE">"c6212"</definedName>
    <definedName name="IQ_DEF_TAX_ASSET_LT_REIT">"c307"</definedName>
    <definedName name="IQ_DEF_TAX_ASSET_LT_UTI">"c308"</definedName>
    <definedName name="IQ_DEF_TAX_ASSETS_CURRENT">"c309"</definedName>
    <definedName name="IQ_DEF_TAX_ASSETS_LT">"c310"</definedName>
    <definedName name="IQ_DEF_TAX_ASSETS_LT_BNK">"c311"</definedName>
    <definedName name="IQ_DEF_TAX_LIAB_CURRENT">"c312"</definedName>
    <definedName name="IQ_DEF_TAX_LIAB_LT">"c313"</definedName>
    <definedName name="IQ_DEF_TAX_LIAB_LT_BNK">"c314"</definedName>
    <definedName name="IQ_DEF_TAX_LIAB_LT_BR">"c315"</definedName>
    <definedName name="IQ_DEF_TAX_LIAB_LT_FIN">"c316"</definedName>
    <definedName name="IQ_DEF_TAX_LIAB_LT_INS">"c317"</definedName>
    <definedName name="IQ_DEF_TAX_LIAB_LT_RE">"c6213"</definedName>
    <definedName name="IQ_DEF_TAX_LIAB_LT_REIT">"c318"</definedName>
    <definedName name="IQ_DEF_TAX_LIAB_LT_UTI">"c319"</definedName>
    <definedName name="IQ_DEFERRED_DOMESTIC_TAXES">"c2077"</definedName>
    <definedName name="IQ_DEFERRED_FOREIGN_TAXES">"c2078"</definedName>
    <definedName name="IQ_DEFERRED_INC_TAX">"c1447"</definedName>
    <definedName name="IQ_DEFERRED_TAXES">"c1356"</definedName>
    <definedName name="IQ_DEMAND_DEP">"c320"</definedName>
    <definedName name="IQ_DEPOSITS_FIN">"c321"</definedName>
    <definedName name="IQ_DEPOSITS_INTEREST_SECURITIES">"c5509"</definedName>
    <definedName name="IQ_DEPRE_AMORT">"c1360"</definedName>
    <definedName name="IQ_DEPRE_AMORT_SUPPL">"c1593"</definedName>
    <definedName name="IQ_DEPRE_DEPLE">"c1361"</definedName>
    <definedName name="IQ_DEPRE_SUPP">"c1443"</definedName>
    <definedName name="IQ_DESCRIPTION_LONG">"c1520"</definedName>
    <definedName name="IQ_DEVELOP_LAND">"c323"</definedName>
    <definedName name="IQ_DIFF_LASTCLOSE_TARGET_PRICE">"c1854"</definedName>
    <definedName name="IQ_DIFF_LASTCLOSE_TARGET_PRICE_REUT">"c5436"</definedName>
    <definedName name="IQ_DILUT_ADJUST">"c1621"</definedName>
    <definedName name="IQ_DILUT_EPS_EXCL">"c324"</definedName>
    <definedName name="IQ_DILUT_EPS_INCL">"c325"</definedName>
    <definedName name="IQ_DILUT_EPS_NORM">"c1903"</definedName>
    <definedName name="IQ_DILUT_NI">"c2079"</definedName>
    <definedName name="IQ_DILUT_NORMAL_EPS">"c1594"</definedName>
    <definedName name="IQ_DILUT_OUTSTANDING_CURRENT_EST">"c4263"</definedName>
    <definedName name="IQ_DILUT_OUTSTANDING_CURRENT_HIGH_EST">"c4264"</definedName>
    <definedName name="IQ_DILUT_OUTSTANDING_CURRENT_LOW_EST">"c4265"</definedName>
    <definedName name="IQ_DILUT_OUTSTANDING_CURRENT_MEDIAN_EST">"c4266"</definedName>
    <definedName name="IQ_DILUT_OUTSTANDING_CURRENT_NUM_EST">"c4267"</definedName>
    <definedName name="IQ_DILUT_OUTSTANDING_CURRENT_STDDEV_EST">"c4268"</definedName>
    <definedName name="IQ_DILUT_WEIGHT">"c326"</definedName>
    <definedName name="IQ_DILUT_WEIGHT_EST">"c4269"</definedName>
    <definedName name="IQ_DILUT_WEIGHT_GUIDANCE">"c4270"</definedName>
    <definedName name="IQ_DILUT_WEIGHT_HIGH_EST">"c4271"</definedName>
    <definedName name="IQ_DILUT_WEIGHT_LOW_EST">"c4272"</definedName>
    <definedName name="IQ_DILUT_WEIGHT_MEDIAN_EST">"c4273"</definedName>
    <definedName name="IQ_DILUT_WEIGHT_NUM_EST">"c4274"</definedName>
    <definedName name="IQ_DILUT_WEIGHT_STDDEV_EST">"c4275"</definedName>
    <definedName name="IQ_DIRECT_AH_EARNED">"c2740"</definedName>
    <definedName name="IQ_DIRECT_EARNED">"c2730"</definedName>
    <definedName name="IQ_DIRECT_LIFE_EARNED">"c2735"</definedName>
    <definedName name="IQ_DIRECT_LIFE_IN_FORCE">"c2765"</definedName>
    <definedName name="IQ_DIRECT_PC_EARNED">"c2745"</definedName>
    <definedName name="IQ_DIRECT_WRITTEN">"c2724"</definedName>
    <definedName name="IQ_DISCONT_OPER">"c1367"</definedName>
    <definedName name="IQ_DISCOUNT_RATE_PENSION_DOMESTIC">"c327"</definedName>
    <definedName name="IQ_DISCOUNT_RATE_PENSION_FOREIGN">"c328"</definedName>
    <definedName name="IQ_DISTR_EXCESS_EARN">"c329"</definedName>
    <definedName name="IQ_DISTRIBUTABLE_CASH">"c3002"</definedName>
    <definedName name="IQ_DISTRIBUTABLE_CASH_ACT_OR_EST">"c4278"</definedName>
    <definedName name="IQ_DISTRIBUTABLE_CASH_EST">"c4277"</definedName>
    <definedName name="IQ_DISTRIBUTABLE_CASH_GUIDANCE">"c4279"</definedName>
    <definedName name="IQ_DISTRIBUTABLE_CASH_HIGH_EST">"c4280"</definedName>
    <definedName name="IQ_DISTRIBUTABLE_CASH_HIGH_GUIDANCE">"c4198"</definedName>
    <definedName name="IQ_DISTRIBUTABLE_CASH_LOW_EST">"c4281"</definedName>
    <definedName name="IQ_DISTRIBUTABLE_CASH_LOW_GUIDANCE">"c4238"</definedName>
    <definedName name="IQ_DISTRIBUTABLE_CASH_MEDIAN_EST">"c4282"</definedName>
    <definedName name="IQ_DISTRIBUTABLE_CASH_NUM_EST">"c4283"</definedName>
    <definedName name="IQ_DISTRIBUTABLE_CASH_PAYOUT">"c3005"</definedName>
    <definedName name="IQ_DISTRIBUTABLE_CASH_SHARE">"c3003"</definedName>
    <definedName name="IQ_DISTRIBUTABLE_CASH_SHARE_ACT_OR_EST">"c4286"</definedName>
    <definedName name="IQ_DISTRIBUTABLE_CASH_SHARE_EST">"c4285"</definedName>
    <definedName name="IQ_DISTRIBUTABLE_CASH_SHARE_GUIDANCE">"c4287"</definedName>
    <definedName name="IQ_DISTRIBUTABLE_CASH_SHARE_HIGH_EST">"c4288"</definedName>
    <definedName name="IQ_DISTRIBUTABLE_CASH_SHARE_HIGH_GUIDANCE">"c4199"</definedName>
    <definedName name="IQ_DISTRIBUTABLE_CASH_SHARE_LOW_EST">"c4289"</definedName>
    <definedName name="IQ_DISTRIBUTABLE_CASH_SHARE_LOW_GUIDANCE">"c4239"</definedName>
    <definedName name="IQ_DISTRIBUTABLE_CASH_SHARE_MEDIAN_EST">"c4290"</definedName>
    <definedName name="IQ_DISTRIBUTABLE_CASH_SHARE_NUM_EST">"c4291"</definedName>
    <definedName name="IQ_DISTRIBUTABLE_CASH_SHARE_STDDEV_EST">"c4292"</definedName>
    <definedName name="IQ_DISTRIBUTABLE_CASH_STDDEV_EST">"c4294"</definedName>
    <definedName name="IQ_DIV_AMOUNT">"c3041"</definedName>
    <definedName name="IQ_DIV_PAYMENT_DATE">"c2205"</definedName>
    <definedName name="IQ_DIV_RECORD_DATE">"c2204"</definedName>
    <definedName name="IQ_DIV_SHARE">"c330"</definedName>
    <definedName name="IQ_DIVEST_CF">"c331"</definedName>
    <definedName name="IQ_DIVID_SHARE">"c1366"</definedName>
    <definedName name="IQ_DIVIDEND_EST">"c4296"</definedName>
    <definedName name="IQ_DIVIDEND_HIGH_EST">"c4297"</definedName>
    <definedName name="IQ_DIVIDEND_LOW_EST">"c4298"</definedName>
    <definedName name="IQ_DIVIDEND_MEDIAN_EST">"c4299"</definedName>
    <definedName name="IQ_DIVIDEND_NUM_EST">"c4300"</definedName>
    <definedName name="IQ_DIVIDEND_STDDEV_EST">"c4301"</definedName>
    <definedName name="IQ_DIVIDEND_YIELD">"c332"</definedName>
    <definedName name="IQ_DNTM">700000</definedName>
    <definedName name="IQ_DO">"c333"</definedName>
    <definedName name="IQ_DO_ASSETS_CURRENT">"c334"</definedName>
    <definedName name="IQ_DO_ASSETS_LT">"c335"</definedName>
    <definedName name="IQ_DO_CF">"c336"</definedName>
    <definedName name="IQ_DOC_CLAUSE">"c6032"</definedName>
    <definedName name="IQ_DPAC_ACC">"c2799"</definedName>
    <definedName name="IQ_DPAC_AMORT">"c2795"</definedName>
    <definedName name="IQ_DPAC_BEG">"c2791"</definedName>
    <definedName name="IQ_DPAC_COMMISSIONS">"c2792"</definedName>
    <definedName name="IQ_DPAC_END">"c2801"</definedName>
    <definedName name="IQ_DPAC_FX">"c2798"</definedName>
    <definedName name="IQ_DPAC_OTHER_ADJ">"c2800"</definedName>
    <definedName name="IQ_DPAC_OTHERS">"c2793"</definedName>
    <definedName name="IQ_DPAC_PERIOD">"c2794"</definedName>
    <definedName name="IQ_DPAC_REAL_GAIN">"c2797"</definedName>
    <definedName name="IQ_DPAC_UNREAL_GAIN">"c2796"</definedName>
    <definedName name="IQ_DPS_10YR_ANN_CAGR">"c6065"</definedName>
    <definedName name="IQ_DPS_10YR_ANN_GROWTH">"c337"</definedName>
    <definedName name="IQ_DPS_1YR_ANN_GROWTH">"c338"</definedName>
    <definedName name="IQ_DPS_2YR_ANN_CAGR">"c6066"</definedName>
    <definedName name="IQ_DPS_2YR_ANN_GROWTH">"c339"</definedName>
    <definedName name="IQ_DPS_3YR_ANN_CAGR">"c6067"</definedName>
    <definedName name="IQ_DPS_3YR_ANN_GROWTH">"c340"</definedName>
    <definedName name="IQ_DPS_5YR_ANN_CAGR">"c6068"</definedName>
    <definedName name="IQ_DPS_5YR_ANN_GROWTH">"c341"</definedName>
    <definedName name="IQ_DPS_7YR_ANN_CAGR">"c6069"</definedName>
    <definedName name="IQ_DPS_7YR_ANN_GROWTH">"c342"</definedName>
    <definedName name="IQ_DPS_ACT_OR_EST">"c2218"</definedName>
    <definedName name="IQ_DPS_ACT_OR_EST_REUT">"c5464"</definedName>
    <definedName name="IQ_DPS_EST">"c1674"</definedName>
    <definedName name="IQ_DPS_EST_BOTTOM_UP">"c5493"</definedName>
    <definedName name="IQ_DPS_EST_BOTTOM_UP_REUT">"c5501"</definedName>
    <definedName name="IQ_DPS_EST_REUT">"c3851"</definedName>
    <definedName name="IQ_DPS_GUIDANCE">"c4302"</definedName>
    <definedName name="IQ_DPS_HIGH_EST">"c1676"</definedName>
    <definedName name="IQ_DPS_HIGH_EST_REUT">"c3853"</definedName>
    <definedName name="IQ_DPS_HIGH_GUIDANCE">"c4168"</definedName>
    <definedName name="IQ_DPS_LOW_EST">"c1677"</definedName>
    <definedName name="IQ_DPS_LOW_EST_REUT">"c3854"</definedName>
    <definedName name="IQ_DPS_LOW_GUIDANCE">"c4208"</definedName>
    <definedName name="IQ_DPS_MEDIAN_EST">"c1675"</definedName>
    <definedName name="IQ_DPS_MEDIAN_EST_REUT">"c3852"</definedName>
    <definedName name="IQ_DPS_NUM_EST">"c1678"</definedName>
    <definedName name="IQ_DPS_NUM_EST_REUT">"c3855"</definedName>
    <definedName name="IQ_DPS_STDDEV_EST">"c1679"</definedName>
    <definedName name="IQ_DPS_STDDEV_EST_REUT">"c3856"</definedName>
    <definedName name="IQ_DURATION">"c2181"</definedName>
    <definedName name="IQ_EARNING_ASSET_YIELD">"c343"</definedName>
    <definedName name="IQ_EARNING_CO">"c344"</definedName>
    <definedName name="IQ_EARNING_CO_10YR_ANN_CAGR">"c6070"</definedName>
    <definedName name="IQ_EARNING_CO_10YR_ANN_GROWTH">"c345"</definedName>
    <definedName name="IQ_EARNING_CO_1YR_ANN_GROWTH">"c346"</definedName>
    <definedName name="IQ_EARNING_CO_2YR_ANN_CAGR">"c6071"</definedName>
    <definedName name="IQ_EARNING_CO_2YR_ANN_GROWTH">"c347"</definedName>
    <definedName name="IQ_EARNING_CO_3YR_ANN_CAGR">"c6072"</definedName>
    <definedName name="IQ_EARNING_CO_3YR_ANN_GROWTH">"c348"</definedName>
    <definedName name="IQ_EARNING_CO_5YR_ANN_CAGR">"c6073"</definedName>
    <definedName name="IQ_EARNING_CO_5YR_ANN_GROWTH">"c349"</definedName>
    <definedName name="IQ_EARNING_CO_7YR_ANN_CAGR">"c6074"</definedName>
    <definedName name="IQ_EARNING_CO_7YR_ANN_GROWTH">"c350"</definedName>
    <definedName name="IQ_EARNING_CO_MARGIN">"c351"</definedName>
    <definedName name="IQ_EARNINGS_ANNOUNCE_DATE">"c1649"</definedName>
    <definedName name="IQ_EARNINGS_ANNOUNCE_DATE_REUT">"c5314"</definedName>
    <definedName name="IQ_EBIT">"c352"</definedName>
    <definedName name="IQ_EBIT_10YR_ANN_CAGR">"c6075"</definedName>
    <definedName name="IQ_EBIT_10YR_ANN_GROWTH">"c353"</definedName>
    <definedName name="IQ_EBIT_1YR_ANN_GROWTH">"c354"</definedName>
    <definedName name="IQ_EBIT_2YR_ANN_CAGR">"c6076"</definedName>
    <definedName name="IQ_EBIT_2YR_ANN_GROWTH">"c355"</definedName>
    <definedName name="IQ_EBIT_3YR_ANN_CAGR">"c6077"</definedName>
    <definedName name="IQ_EBIT_3YR_ANN_GROWTH">"c356"</definedName>
    <definedName name="IQ_EBIT_5YR_ANN_CAGR">"c6078"</definedName>
    <definedName name="IQ_EBIT_5YR_ANN_GROWTH">"c357"</definedName>
    <definedName name="IQ_EBIT_7YR_ANN_CAGR">"c6079"</definedName>
    <definedName name="IQ_EBIT_7YR_ANN_GROWTH">"c358"</definedName>
    <definedName name="IQ_EBIT_ACT_OR_EST">"c2219"</definedName>
    <definedName name="IQ_EBIT_ACT_OR_EST_REUT">"c5465"</definedName>
    <definedName name="IQ_EBIT_EQ_INC">"c3498"</definedName>
    <definedName name="IQ_EBIT_EQ_INC_EXCL_SBC">"c3502"</definedName>
    <definedName name="IQ_EBIT_EST">"c1681"</definedName>
    <definedName name="IQ_EBIT_EST_REUT">"c5333"</definedName>
    <definedName name="IQ_EBIT_EXCL_SBC">"c3082"</definedName>
    <definedName name="IQ_EBIT_GUIDANCE">"c4303"</definedName>
    <definedName name="IQ_EBIT_GW_ACT_OR_EST">"c4306"</definedName>
    <definedName name="IQ_EBIT_GW_EST">"c4305"</definedName>
    <definedName name="IQ_EBIT_GW_GUIDANCE">"c4307"</definedName>
    <definedName name="IQ_EBIT_GW_HIGH_EST">"c4308"</definedName>
    <definedName name="IQ_EBIT_GW_HIGH_GUIDANCE">"c4171"</definedName>
    <definedName name="IQ_EBIT_GW_LOW_EST">"c4309"</definedName>
    <definedName name="IQ_EBIT_GW_LOW_GUIDANCE">"c4211"</definedName>
    <definedName name="IQ_EBIT_GW_MEDIAN_EST">"c4310"</definedName>
    <definedName name="IQ_EBIT_GW_NUM_EST">"c4311"</definedName>
    <definedName name="IQ_EBIT_GW_STDDEV_EST">"c4312"</definedName>
    <definedName name="IQ_EBIT_HIGH_EST">"c1683"</definedName>
    <definedName name="IQ_EBIT_HIGH_EST_REUT">"c5335"</definedName>
    <definedName name="IQ_EBIT_HIGH_GUIDANCE">"c4172"</definedName>
    <definedName name="IQ_EBIT_INT">"c360"</definedName>
    <definedName name="IQ_EBIT_LOW_EST">"c1684"</definedName>
    <definedName name="IQ_EBIT_LOW_EST_REUT">"c5336"</definedName>
    <definedName name="IQ_EBIT_LOW_GUIDANCE">"c4212"</definedName>
    <definedName name="IQ_EBIT_MARGIN">"c359"</definedName>
    <definedName name="IQ_EBIT_MEDIAN_EST">"c1682"</definedName>
    <definedName name="IQ_EBIT_MEDIAN_EST_REUT">"c5334"</definedName>
    <definedName name="IQ_EBIT_NUM_EST">"c1685"</definedName>
    <definedName name="IQ_EBIT_NUM_EST_REUT">"c5337"</definedName>
    <definedName name="IQ_EBIT_OVER_IE">"c1369"</definedName>
    <definedName name="IQ_EBIT_SBC_ACT_OR_EST">"c4316"</definedName>
    <definedName name="IQ_EBIT_SBC_EST">"c4315"</definedName>
    <definedName name="IQ_EBIT_SBC_GUIDANCE">"c4317"</definedName>
    <definedName name="IQ_EBIT_SBC_GW_ACT_OR_EST">"c4320"</definedName>
    <definedName name="IQ_EBIT_SBC_GW_EST">"c4319"</definedName>
    <definedName name="IQ_EBIT_SBC_GW_GUIDANCE">"c4321"</definedName>
    <definedName name="IQ_EBIT_SBC_GW_HIGH_EST">"c4322"</definedName>
    <definedName name="IQ_EBIT_SBC_GW_HIGH_GUIDANCE">"c4193"</definedName>
    <definedName name="IQ_EBIT_SBC_GW_LOW_EST">"c4323"</definedName>
    <definedName name="IQ_EBIT_SBC_GW_LOW_GUIDANCE">"c4233"</definedName>
    <definedName name="IQ_EBIT_SBC_GW_MEDIAN_EST">"c4324"</definedName>
    <definedName name="IQ_EBIT_SBC_GW_NUM_EST">"c4325"</definedName>
    <definedName name="IQ_EBIT_SBC_GW_STDDEV_EST">"c4326"</definedName>
    <definedName name="IQ_EBIT_SBC_HIGH_EST">"c4328"</definedName>
    <definedName name="IQ_EBIT_SBC_HIGH_GUIDANCE">"c4192"</definedName>
    <definedName name="IQ_EBIT_SBC_LOW_EST">"c4329"</definedName>
    <definedName name="IQ_EBIT_SBC_LOW_GUIDANCE">"c4232"</definedName>
    <definedName name="IQ_EBIT_SBC_MEDIAN_EST">"c4330"</definedName>
    <definedName name="IQ_EBIT_SBC_NUM_EST">"c4331"</definedName>
    <definedName name="IQ_EBIT_SBC_STDDEV_EST">"c4332"</definedName>
    <definedName name="IQ_EBIT_STDDEV_EST">"c1686"</definedName>
    <definedName name="IQ_EBIT_STDDEV_EST_REUT">"c5338"</definedName>
    <definedName name="IQ_EBITA">"c1910"</definedName>
    <definedName name="IQ_EBITA_10YR_ANN_CAGR">"c6184"</definedName>
    <definedName name="IQ_EBITA_10YR_ANN_GROWTH">"c1954"</definedName>
    <definedName name="IQ_EBITA_1YR_ANN_GROWTH">"c1949"</definedName>
    <definedName name="IQ_EBITA_2YR_ANN_CAGR">"c6180"</definedName>
    <definedName name="IQ_EBITA_2YR_ANN_GROWTH">"c1950"</definedName>
    <definedName name="IQ_EBITA_3YR_ANN_CAGR">"c6181"</definedName>
    <definedName name="IQ_EBITA_3YR_ANN_GROWTH">"c1951"</definedName>
    <definedName name="IQ_EBITA_5YR_ANN_CAGR">"c6182"</definedName>
    <definedName name="IQ_EBITA_5YR_ANN_GROWTH">"c1952"</definedName>
    <definedName name="IQ_EBITA_7YR_ANN_CAGR">"c6183"</definedName>
    <definedName name="IQ_EBITA_7YR_ANN_GROWTH">"c1953"</definedName>
    <definedName name="IQ_EBITA_EQ_INC">"c3497"</definedName>
    <definedName name="IQ_EBITA_EQ_INC_EXCL_SBC">"c3501"</definedName>
    <definedName name="IQ_EBITA_EXCL_SBC">"c3080"</definedName>
    <definedName name="IQ_EBITA_MARGIN">"c1963"</definedName>
    <definedName name="IQ_EBITDA">"c361"</definedName>
    <definedName name="IQ_EBITDA_10YR_ANN_CAGR">"c6080"</definedName>
    <definedName name="IQ_EBITDA_10YR_ANN_GROWTH">"c362"</definedName>
    <definedName name="IQ_EBITDA_1YR_ANN_GROWTH">"c363"</definedName>
    <definedName name="IQ_EBITDA_2YR_ANN_CAGR">"c6081"</definedName>
    <definedName name="IQ_EBITDA_2YR_ANN_GROWTH">"c364"</definedName>
    <definedName name="IQ_EBITDA_3YR_ANN_CAGR">"c6082"</definedName>
    <definedName name="IQ_EBITDA_3YR_ANN_GROWTH">"c365"</definedName>
    <definedName name="IQ_EBITDA_5YR_ANN_CAGR">"c6083"</definedName>
    <definedName name="IQ_EBITDA_5YR_ANN_GROWTH">"c366"</definedName>
    <definedName name="IQ_EBITDA_7YR_ANN_CAGR">"c6084"</definedName>
    <definedName name="IQ_EBITDA_7YR_ANN_GROWTH">"c367"</definedName>
    <definedName name="IQ_EBITDA_ACT_OR_EST">"c2215"</definedName>
    <definedName name="IQ_EBITDA_ACT_OR_EST_REUT">"c5462"</definedName>
    <definedName name="IQ_EBITDA_CAPEX_INT">"c368"</definedName>
    <definedName name="IQ_EBITDA_CAPEX_OVER_TOTAL_IE">"c1370"</definedName>
    <definedName name="IQ_EBITDA_EQ_INC">"c3496"</definedName>
    <definedName name="IQ_EBITDA_EQ_INC_EXCL_SBC">"c3500"</definedName>
    <definedName name="IQ_EBITDA_EST">"c369"</definedName>
    <definedName name="IQ_EBITDA_EST_REUT">"c3640"</definedName>
    <definedName name="IQ_EBITDA_EXCL_SBC">"c3081"</definedName>
    <definedName name="IQ_EBITDA_GUIDANCE">"c4334"</definedName>
    <definedName name="IQ_EBITDA_HIGH_EST">"c370"</definedName>
    <definedName name="IQ_EBITDA_HIGH_EST_REUT">"c3642"</definedName>
    <definedName name="IQ_EBITDA_HIGH_GUIDANCE">"c4170"</definedName>
    <definedName name="IQ_EBITDA_INT">"c373"</definedName>
    <definedName name="IQ_EBITDA_LOW_EST">"c371"</definedName>
    <definedName name="IQ_EBITDA_LOW_EST_REUT">"c3643"</definedName>
    <definedName name="IQ_EBITDA_LOW_GUIDANCE">"c4210"</definedName>
    <definedName name="IQ_EBITDA_MARGIN">"c372"</definedName>
    <definedName name="IQ_EBITDA_MEDIAN_EST">"c1663"</definedName>
    <definedName name="IQ_EBITDA_MEDIAN_EST_REUT">"c3641"</definedName>
    <definedName name="IQ_EBITDA_NUM_EST">"c374"</definedName>
    <definedName name="IQ_EBITDA_NUM_EST_REUT">"c3644"</definedName>
    <definedName name="IQ_EBITDA_OVER_TOTAL_IE">"c1371"</definedName>
    <definedName name="IQ_EBITDA_SBC_ACT_OR_EST">"c4337"</definedName>
    <definedName name="IQ_EBITDA_SBC_EST">"c4336"</definedName>
    <definedName name="IQ_EBITDA_SBC_GUIDANCE">"c4338"</definedName>
    <definedName name="IQ_EBITDA_SBC_HIGH_EST">"c4339"</definedName>
    <definedName name="IQ_EBITDA_SBC_HIGH_GUIDANCE">"c4194"</definedName>
    <definedName name="IQ_EBITDA_SBC_LOW_EST">"c4340"</definedName>
    <definedName name="IQ_EBITDA_SBC_LOW_GUIDANCE">"c4234"</definedName>
    <definedName name="IQ_EBITDA_SBC_MEDIAN_EST">"c4341"</definedName>
    <definedName name="IQ_EBITDA_SBC_NUM_EST">"c4342"</definedName>
    <definedName name="IQ_EBITDA_SBC_STDDEV_EST">"c4343"</definedName>
    <definedName name="IQ_EBITDA_STDDEV_EST">"c375"</definedName>
    <definedName name="IQ_EBITDA_STDDEV_EST_REUT">"c3645"</definedName>
    <definedName name="IQ_EBITDAR">"c2989"</definedName>
    <definedName name="IQ_EBITDAR_EQ_INC">"c3499"</definedName>
    <definedName name="IQ_EBITDAR_EQ_INC_EXCL_SBC">"c3503"</definedName>
    <definedName name="IQ_EBITDAR_EXCL_SBC">"c3083"</definedName>
    <definedName name="IQ_EBT">"c376"</definedName>
    <definedName name="IQ_EBT_BNK">"c377"</definedName>
    <definedName name="IQ_EBT_BR">"c378"</definedName>
    <definedName name="IQ_EBT_EXCL">"c379"</definedName>
    <definedName name="IQ_EBT_EXCL_BNK">"c380"</definedName>
    <definedName name="IQ_EBT_EXCL_BR">"c381"</definedName>
    <definedName name="IQ_EBT_EXCL_FIN">"c382"</definedName>
    <definedName name="IQ_EBT_EXCL_INS">"c383"</definedName>
    <definedName name="IQ_EBT_EXCL_MARGIN">"c1462"</definedName>
    <definedName name="IQ_EBT_EXCL_RE">"c6214"</definedName>
    <definedName name="IQ_EBT_EXCL_REIT">"c384"</definedName>
    <definedName name="IQ_EBT_EXCL_UTI">"c385"</definedName>
    <definedName name="IQ_EBT_FIN">"c386"</definedName>
    <definedName name="IQ_EBT_GAAP_GUIDANCE">"c4345"</definedName>
    <definedName name="IQ_EBT_GAAP_HIGH_GUIDANCE">"c4174"</definedName>
    <definedName name="IQ_EBT_GAAP_LOW_GUIDANCE">"c4214"</definedName>
    <definedName name="IQ_EBT_GUIDANCE">"c4346"</definedName>
    <definedName name="IQ_EBT_GW_GUIDANCE">"c4347"</definedName>
    <definedName name="IQ_EBT_GW_HIGH_GUIDANCE">"c4175"</definedName>
    <definedName name="IQ_EBT_GW_LOW_GUIDANCE">"c4215"</definedName>
    <definedName name="IQ_EBT_HIGH_GUIDANCE">"c4173"</definedName>
    <definedName name="IQ_EBT_INCL_MARGIN">"c387"</definedName>
    <definedName name="IQ_EBT_INS">"c388"</definedName>
    <definedName name="IQ_EBT_LOW_GUIDANCE">"c4213"</definedName>
    <definedName name="IQ_EBT_RE">"c6215"</definedName>
    <definedName name="IQ_EBT_REIT">"c389"</definedName>
    <definedName name="IQ_EBT_SBC_ACT_OR_EST">"c4350"</definedName>
    <definedName name="IQ_EBT_SBC_EST">"c4349"</definedName>
    <definedName name="IQ_EBT_SBC_GUIDANCE">"c4351"</definedName>
    <definedName name="IQ_EBT_SBC_GW_ACT_OR_EST">"c4354"</definedName>
    <definedName name="IQ_EBT_SBC_GW_EST">"c4353"</definedName>
    <definedName name="IQ_EBT_SBC_GW_GUIDANCE">"c4355"</definedName>
    <definedName name="IQ_EBT_SBC_GW_HIGH_EST">"c4356"</definedName>
    <definedName name="IQ_EBT_SBC_GW_HIGH_GUIDANCE">"c4191"</definedName>
    <definedName name="IQ_EBT_SBC_GW_LOW_EST">"c4357"</definedName>
    <definedName name="IQ_EBT_SBC_GW_LOW_GUIDANCE">"c4231"</definedName>
    <definedName name="IQ_EBT_SBC_GW_MEDIAN_EST">"c4358"</definedName>
    <definedName name="IQ_EBT_SBC_GW_NUM_EST">"c4359"</definedName>
    <definedName name="IQ_EBT_SBC_GW_STDDEV_EST">"c4360"</definedName>
    <definedName name="IQ_EBT_SBC_HIGH_EST">"c4362"</definedName>
    <definedName name="IQ_EBT_SBC_HIGH_GUIDANCE">"c4190"</definedName>
    <definedName name="IQ_EBT_SBC_LOW_EST">"c4363"</definedName>
    <definedName name="IQ_EBT_SBC_LOW_GUIDANCE">"c4230"</definedName>
    <definedName name="IQ_EBT_SBC_MEDIAN_EST">"c4364"</definedName>
    <definedName name="IQ_EBT_SBC_NUM_EST">"c4365"</definedName>
    <definedName name="IQ_EBT_SBC_STDDEV_EST">"c4366"</definedName>
    <definedName name="IQ_EBT_UTI">"c390"</definedName>
    <definedName name="IQ_ECS_AUTHORIZED_SHARES">"c5583"</definedName>
    <definedName name="IQ_ECS_AUTHORIZED_SHARES_ABS">"c5597"</definedName>
    <definedName name="IQ_ECS_CONVERT_FACTOR">"c5581"</definedName>
    <definedName name="IQ_ECS_CONVERT_FACTOR_ABS">"c5595"</definedName>
    <definedName name="IQ_ECS_CONVERT_INTO">"c5580"</definedName>
    <definedName name="IQ_ECS_CONVERT_INTO_ABS">"c5594"</definedName>
    <definedName name="IQ_ECS_CONVERT_TYPE">"c5579"</definedName>
    <definedName name="IQ_ECS_CONVERT_TYPE_ABS">"c5593"</definedName>
    <definedName name="IQ_ECS_INACTIVE_DATE">"c5576"</definedName>
    <definedName name="IQ_ECS_INACTIVE_DATE_ABS">"c5590"</definedName>
    <definedName name="IQ_ECS_NAME">"c5571"</definedName>
    <definedName name="IQ_ECS_NAME_ABS">"c5585"</definedName>
    <definedName name="IQ_ECS_NUM_SHAREHOLDERS">"c5584"</definedName>
    <definedName name="IQ_ECS_NUM_SHAREHOLDERS_ABS">"c5598"</definedName>
    <definedName name="IQ_ECS_PAR_VALUE">"c5577"</definedName>
    <definedName name="IQ_ECS_PAR_VALUE_ABS">"c5591"</definedName>
    <definedName name="IQ_ECS_PAR_VALUE_CURRENCY">"c5578"</definedName>
    <definedName name="IQ_ECS_PAR_VALUE_CURRENCY_ABS">"c5592"</definedName>
    <definedName name="IQ_ECS_SHARES_OUT_BS_DATE">"c5572"</definedName>
    <definedName name="IQ_ECS_SHARES_OUT_BS_DATE_ABS">"c5586"</definedName>
    <definedName name="IQ_ECS_SHARES_OUT_FILING_DATE">"c5573"</definedName>
    <definedName name="IQ_ECS_SHARES_OUT_FILING_DATE_ABS">"c5587"</definedName>
    <definedName name="IQ_ECS_START_DATE">"c5575"</definedName>
    <definedName name="IQ_ECS_START_DATE_ABS">"c5589"</definedName>
    <definedName name="IQ_ECS_TYPE">"c5574"</definedName>
    <definedName name="IQ_ECS_TYPE_ABS">"c5588"</definedName>
    <definedName name="IQ_ECS_VOTING">"c5582"</definedName>
    <definedName name="IQ_ECS_VOTING_ABS">"c5596"</definedName>
    <definedName name="IQ_EFFECT_SPECIAL_CHARGE">"c1595"</definedName>
    <definedName name="IQ_EFFECT_TAX_RATE">"c1899"</definedName>
    <definedName name="IQ_EFFICIENCY_RATIO">"c391"</definedName>
    <definedName name="IQ_EMPLOYEES">"c392"</definedName>
    <definedName name="IQ_ENTERPRISE_VALUE">"c1348"</definedName>
    <definedName name="IQ_EPS_10YR_ANN_CAGR">"c6085"</definedName>
    <definedName name="IQ_EPS_10YR_ANN_GROWTH">"c393"</definedName>
    <definedName name="IQ_EPS_1YR_ANN_GROWTH">"c394"</definedName>
    <definedName name="IQ_EPS_2YR_ANN_CAGR">"c6086"</definedName>
    <definedName name="IQ_EPS_2YR_ANN_GROWTH">"c395"</definedName>
    <definedName name="IQ_EPS_3YR_ANN_CAGR">"c6087"</definedName>
    <definedName name="IQ_EPS_3YR_ANN_GROWTH">"c396"</definedName>
    <definedName name="IQ_EPS_5YR_ANN_CAGR">"c6088"</definedName>
    <definedName name="IQ_EPS_5YR_ANN_GROWTH">"c397"</definedName>
    <definedName name="IQ_EPS_7YR_ANN_CAGR">"c6089"</definedName>
    <definedName name="IQ_EPS_7YR_ANN_GROWTH">"c398"</definedName>
    <definedName name="IQ_EPS_ACT_OR_EST">"c2213"</definedName>
    <definedName name="IQ_EPS_ACT_OR_EST_REUT">"c5460"</definedName>
    <definedName name="IQ_EPS_EST">"c399"</definedName>
    <definedName name="IQ_EPS_EST_BOTTOM_UP">"c5489"</definedName>
    <definedName name="IQ_EPS_EST_BOTTOM_UP_REUT">"c5497"</definedName>
    <definedName name="IQ_EPS_EST_REUT">"c5453"</definedName>
    <definedName name="IQ_EPS_EXCL_GUIDANCE">"c4368"</definedName>
    <definedName name="IQ_EPS_EXCL_HIGH_GUIDANCE">"c4369"</definedName>
    <definedName name="IQ_EPS_EXCL_LOW_GUIDANCE">"c4204"</definedName>
    <definedName name="IQ_EPS_GAAP_GUIDANCE">"c4370"</definedName>
    <definedName name="IQ_EPS_GAAP_HIGH_GUIDANCE">"c4371"</definedName>
    <definedName name="IQ_EPS_GAAP_LOW_GUIDANCE">"c4205"</definedName>
    <definedName name="IQ_EPS_GW_ACT_OR_EST">"c2223"</definedName>
    <definedName name="IQ_EPS_GW_ACT_OR_EST_REUT">"c5469"</definedName>
    <definedName name="IQ_EPS_GW_EST">"c1737"</definedName>
    <definedName name="IQ_EPS_GW_EST_BOTTOM_UP">"c5491"</definedName>
    <definedName name="IQ_EPS_GW_EST_BOTTOM_UP_REUT">"c5499"</definedName>
    <definedName name="IQ_EPS_GW_EST_REUT">"c5389"</definedName>
    <definedName name="IQ_EPS_GW_GUIDANCE">"c4372"</definedName>
    <definedName name="IQ_EPS_GW_HIGH_EST">"c1739"</definedName>
    <definedName name="IQ_EPS_GW_HIGH_EST_REUT">"c5391"</definedName>
    <definedName name="IQ_EPS_GW_HIGH_GUIDANCE">"c4373"</definedName>
    <definedName name="IQ_EPS_GW_LOW_EST">"c1740"</definedName>
    <definedName name="IQ_EPS_GW_LOW_EST_REUT">"c5392"</definedName>
    <definedName name="IQ_EPS_GW_LOW_GUIDANCE">"c4206"</definedName>
    <definedName name="IQ_EPS_GW_MEDIAN_EST">"c1738"</definedName>
    <definedName name="IQ_EPS_GW_MEDIAN_EST_REUT">"c5390"</definedName>
    <definedName name="IQ_EPS_GW_NUM_EST">"c1741"</definedName>
    <definedName name="IQ_EPS_GW_NUM_EST_REUT">"c5393"</definedName>
    <definedName name="IQ_EPS_GW_STDDEV_EST">"c1742"</definedName>
    <definedName name="IQ_EPS_GW_STDDEV_EST_REUT">"c5394"</definedName>
    <definedName name="IQ_EPS_HIGH_EST">"c400"</definedName>
    <definedName name="IQ_EPS_HIGH_EST_REUT">"c5454"</definedName>
    <definedName name="IQ_EPS_LOW_EST">"c401"</definedName>
    <definedName name="IQ_EPS_LOW_EST_REUT">"c5455"</definedName>
    <definedName name="IQ_EPS_MEDIAN_EST">"c1661"</definedName>
    <definedName name="IQ_EPS_MEDIAN_EST_REUT">"c5456"</definedName>
    <definedName name="IQ_EPS_NORM">"c1902"</definedName>
    <definedName name="IQ_EPS_NORM_EST">"c2226"</definedName>
    <definedName name="IQ_EPS_NORM_EST_BOTTOM_UP">"c5490"</definedName>
    <definedName name="IQ_EPS_NORM_EST_BOTTOM_UP_REUT">"c5498"</definedName>
    <definedName name="IQ_EPS_NORM_EST_REUT">"c5326"</definedName>
    <definedName name="IQ_EPS_NORM_HIGH_EST">"c2228"</definedName>
    <definedName name="IQ_EPS_NORM_HIGH_EST_REUT">"c5328"</definedName>
    <definedName name="IQ_EPS_NORM_LOW_EST">"c2229"</definedName>
    <definedName name="IQ_EPS_NORM_LOW_EST_REUT">"c5329"</definedName>
    <definedName name="IQ_EPS_NORM_MEDIAN_EST">"c2227"</definedName>
    <definedName name="IQ_EPS_NORM_MEDIAN_EST_REUT">"c5327"</definedName>
    <definedName name="IQ_EPS_NORM_NUM_EST">"c2230"</definedName>
    <definedName name="IQ_EPS_NORM_NUM_EST_REUT">"c5330"</definedName>
    <definedName name="IQ_EPS_NORM_STDDEV_EST">"c2231"</definedName>
    <definedName name="IQ_EPS_NORM_STDDEV_EST_REUT">"c5331"</definedName>
    <definedName name="IQ_EPS_NUM_EST">"c402"</definedName>
    <definedName name="IQ_EPS_NUM_EST_REUT">"c5451"</definedName>
    <definedName name="IQ_EPS_REPORT_ACT_OR_EST">"c2224"</definedName>
    <definedName name="IQ_EPS_REPORT_ACT_OR_EST_REUT">"c5470"</definedName>
    <definedName name="IQ_EPS_REPORTED_EST">"c1744"</definedName>
    <definedName name="IQ_EPS_REPORTED_EST_BOTTOM_UP">"c5492"</definedName>
    <definedName name="IQ_EPS_REPORTED_EST_BOTTOM_UP_REUT">"c5500"</definedName>
    <definedName name="IQ_EPS_REPORTED_EST_REUT">"c5396"</definedName>
    <definedName name="IQ_EPS_REPORTED_HIGH_EST">"c1746"</definedName>
    <definedName name="IQ_EPS_REPORTED_HIGH_EST_REUT">"c5398"</definedName>
    <definedName name="IQ_EPS_REPORTED_LOW_EST">"c1747"</definedName>
    <definedName name="IQ_EPS_REPORTED_LOW_EST_REUT">"c5399"</definedName>
    <definedName name="IQ_EPS_REPORTED_MEDIAN_EST">"c1745"</definedName>
    <definedName name="IQ_EPS_REPORTED_MEDIAN_EST_REUT">"c5397"</definedName>
    <definedName name="IQ_EPS_REPORTED_NUM_EST">"c1748"</definedName>
    <definedName name="IQ_EPS_REPORTED_NUM_EST_REUT">"c5400"</definedName>
    <definedName name="IQ_EPS_REPORTED_STDDEV_EST">"c1749"</definedName>
    <definedName name="IQ_EPS_REPORTED_STDDEV_EST_REUT">"c5401"</definedName>
    <definedName name="IQ_EPS_SBC_ACT_OR_EST">"c4376"</definedName>
    <definedName name="IQ_EPS_SBC_EST">"c4375"</definedName>
    <definedName name="IQ_EPS_SBC_GUIDANCE">"c4377"</definedName>
    <definedName name="IQ_EPS_SBC_GW_ACT_OR_EST">"c4380"</definedName>
    <definedName name="IQ_EPS_SBC_GW_EST">"c4379"</definedName>
    <definedName name="IQ_EPS_SBC_GW_GUIDANCE">"c4381"</definedName>
    <definedName name="IQ_EPS_SBC_GW_HIGH_EST">"c4382"</definedName>
    <definedName name="IQ_EPS_SBC_GW_HIGH_GUIDANCE">"c4189"</definedName>
    <definedName name="IQ_EPS_SBC_GW_LOW_EST">"c4383"</definedName>
    <definedName name="IQ_EPS_SBC_GW_LOW_GUIDANCE">"c4229"</definedName>
    <definedName name="IQ_EPS_SBC_GW_MEDIAN_EST">"c4384"</definedName>
    <definedName name="IQ_EPS_SBC_GW_NUM_EST">"c4385"</definedName>
    <definedName name="IQ_EPS_SBC_GW_STDDEV_EST">"c4386"</definedName>
    <definedName name="IQ_EPS_SBC_HIGH_EST">"c4388"</definedName>
    <definedName name="IQ_EPS_SBC_HIGH_GUIDANCE">"c4188"</definedName>
    <definedName name="IQ_EPS_SBC_LOW_EST">"c4389"</definedName>
    <definedName name="IQ_EPS_SBC_LOW_GUIDANCE">"c4228"</definedName>
    <definedName name="IQ_EPS_SBC_MEDIAN_EST">"c4390"</definedName>
    <definedName name="IQ_EPS_SBC_NUM_EST">"c4391"</definedName>
    <definedName name="IQ_EPS_SBC_STDDEV_EST">"c4392"</definedName>
    <definedName name="IQ_EPS_STDDEV_EST">"c403"</definedName>
    <definedName name="IQ_EPS_STDDEV_EST_REUT">"c5452"</definedName>
    <definedName name="IQ_EQUITY_AFFIL">"c1451"</definedName>
    <definedName name="IQ_EQUITY_METHOD">"c404"</definedName>
    <definedName name="IQ_EQV_OVER_BV">"c1596"</definedName>
    <definedName name="IQ_EQV_OVER_LTM_PRETAX_INC">"c1390"</definedName>
    <definedName name="IQ_ESOP_DEBT">"c1597"</definedName>
    <definedName name="IQ_EST_ACT_BV">"c5630"</definedName>
    <definedName name="IQ_EST_ACT_BV_SHARE">"c3549"</definedName>
    <definedName name="IQ_EST_ACT_BV_SHARE_REUT">"c5445"</definedName>
    <definedName name="IQ_EST_ACT_CAPEX">"c3546"</definedName>
    <definedName name="IQ_EST_ACT_CAPEX_REUT">"c3975"</definedName>
    <definedName name="IQ_EST_ACT_CASH_EPS">"c5637"</definedName>
    <definedName name="IQ_EST_ACT_CASH_FLOW">"c4394"</definedName>
    <definedName name="IQ_EST_ACT_CASH_OPER">"c4395"</definedName>
    <definedName name="IQ_EST_ACT_CFPS">"c1673"</definedName>
    <definedName name="IQ_EST_ACT_CFPS_REUT">"c3850"</definedName>
    <definedName name="IQ_EST_ACT_DISTRIBUTABLE_CASH">"c4396"</definedName>
    <definedName name="IQ_EST_ACT_DISTRIBUTABLE_CASH_SHARE">"c4397"</definedName>
    <definedName name="IQ_EST_ACT_DPS">"c1680"</definedName>
    <definedName name="IQ_EST_ACT_DPS_REUT">"c3857"</definedName>
    <definedName name="IQ_EST_ACT_EBIT">"c1687"</definedName>
    <definedName name="IQ_EST_ACT_EBIT_GW">"c4398"</definedName>
    <definedName name="IQ_EST_ACT_EBIT_REUT">"c5339"</definedName>
    <definedName name="IQ_EST_ACT_EBIT_SBC">"c4399"</definedName>
    <definedName name="IQ_EST_ACT_EBIT_SBC_GW">"c4400"</definedName>
    <definedName name="IQ_EST_ACT_EBITDA">"c1664"</definedName>
    <definedName name="IQ_EST_ACT_EBITDA_REUT">"c3836"</definedName>
    <definedName name="IQ_EST_ACT_EBITDA_SBC">"c4401"</definedName>
    <definedName name="IQ_EST_ACT_EBT_SBC">"c4402"</definedName>
    <definedName name="IQ_EST_ACT_EBT_SBC_GW">"c4403"</definedName>
    <definedName name="IQ_EST_ACT_EPS">"c1648"</definedName>
    <definedName name="IQ_EST_ACT_EPS_GW">"c1743"</definedName>
    <definedName name="IQ_EST_ACT_EPS_GW_REUT">"c5395"</definedName>
    <definedName name="IQ_EST_ACT_EPS_NORM">"c2232"</definedName>
    <definedName name="IQ_EST_ACT_EPS_NORM_REUT">"c5332"</definedName>
    <definedName name="IQ_EST_ACT_EPS_REPORTED">"c1750"</definedName>
    <definedName name="IQ_EST_ACT_EPS_REPORTED_REUT">"c5402"</definedName>
    <definedName name="IQ_EST_ACT_EPS_REUT">"c5457"</definedName>
    <definedName name="IQ_EST_ACT_EPS_SBC">"c4404"</definedName>
    <definedName name="IQ_EST_ACT_EPS_SBC_GW">"c4405"</definedName>
    <definedName name="IQ_EST_ACT_FFO">"c1666"</definedName>
    <definedName name="IQ_EST_ACT_FFO_ADJ">"c4406"</definedName>
    <definedName name="IQ_EST_ACT_FFO_REUT">"c3843"</definedName>
    <definedName name="IQ_EST_ACT_FFO_SHARE">"c4407"</definedName>
    <definedName name="IQ_EST_ACT_GROSS_MARGIN">"c5553"</definedName>
    <definedName name="IQ_EST_ACT_MAINT_CAPEX">"c4408"</definedName>
    <definedName name="IQ_EST_ACT_NAV">"c1757"</definedName>
    <definedName name="IQ_EST_ACT_NAV_SHARE">"c5608"</definedName>
    <definedName name="IQ_EST_ACT_NAV_SHARE_REUT">"c5616"</definedName>
    <definedName name="IQ_EST_ACT_NET_DEBT">"c3545"</definedName>
    <definedName name="IQ_EST_ACT_NET_DEBT_REUT">"c5446"</definedName>
    <definedName name="IQ_EST_ACT_NI">"c1722"</definedName>
    <definedName name="IQ_EST_ACT_NI_GW_REUT">"c5381"</definedName>
    <definedName name="IQ_EST_ACT_NI_REPORTED">"c1736"</definedName>
    <definedName name="IQ_EST_ACT_NI_REPORTED_REUT">"c5388"</definedName>
    <definedName name="IQ_EST_ACT_NI_REUT">"c5374"</definedName>
    <definedName name="IQ_EST_ACT_NI_SBC">"c4409"</definedName>
    <definedName name="IQ_EST_ACT_NI_SBC_GW">"c4410"</definedName>
    <definedName name="IQ_EST_ACT_OPER_INC">"c1694"</definedName>
    <definedName name="IQ_EST_ACT_OPER_INC_REUT">"c5346"</definedName>
    <definedName name="IQ_EST_ACT_PRETAX_GW_INC">"c1708"</definedName>
    <definedName name="IQ_EST_ACT_PRETAX_GW_INC_REUT">"c5360"</definedName>
    <definedName name="IQ_EST_ACT_PRETAX_INC">"c1701"</definedName>
    <definedName name="IQ_EST_ACT_PRETAX_INC_REUT">"c5353"</definedName>
    <definedName name="IQ_EST_ACT_PRETAX_REPORT_INC">"c1715"</definedName>
    <definedName name="IQ_EST_ACT_PRETAX_REPORT_INC_REUT">"c5367"</definedName>
    <definedName name="IQ_EST_ACT_RECURRING_PROFIT">"c4411"</definedName>
    <definedName name="IQ_EST_ACT_RECURRING_PROFIT_SHARE">"c4412"</definedName>
    <definedName name="IQ_EST_ACT_RETURN_ASSETS">"c3547"</definedName>
    <definedName name="IQ_EST_ACT_RETURN_ASSETS_REUT">"c3996"</definedName>
    <definedName name="IQ_EST_ACT_RETURN_EQUITY">"c3548"</definedName>
    <definedName name="IQ_EST_ACT_RETURN_EQUITY_REUT">"c3989"</definedName>
    <definedName name="IQ_EST_ACT_REV">"c2113"</definedName>
    <definedName name="IQ_EST_ACT_REV_REUT">"c3835"</definedName>
    <definedName name="IQ_EST_BV_SHARE_DIFF">"c4147"</definedName>
    <definedName name="IQ_EST_BV_SHARE_SURPRISE_PERCENT">"c4148"</definedName>
    <definedName name="IQ_EST_CAPEX_DIFF">"c4149"</definedName>
    <definedName name="IQ_EST_CAPEX_GROWTH_1YR">"c3588"</definedName>
    <definedName name="IQ_EST_CAPEX_GROWTH_1YR_REUT">"c5447"</definedName>
    <definedName name="IQ_EST_CAPEX_GROWTH_2YR">"c3589"</definedName>
    <definedName name="IQ_EST_CAPEX_GROWTH_2YR_REUT">"c5448"</definedName>
    <definedName name="IQ_EST_CAPEX_GROWTH_Q_1YR">"c3590"</definedName>
    <definedName name="IQ_EST_CAPEX_GROWTH_Q_1YR_REUT">"c5449"</definedName>
    <definedName name="IQ_EST_CAPEX_SEQ_GROWTH_Q">"c3591"</definedName>
    <definedName name="IQ_EST_CAPEX_SEQ_GROWTH_Q_REUT">"c5450"</definedName>
    <definedName name="IQ_EST_CAPEX_SURPRISE_PERCENT">"c4151"</definedName>
    <definedName name="IQ_EST_CASH_FLOW_DIFF">"c4152"</definedName>
    <definedName name="IQ_EST_CASH_FLOW_SURPRISE_PERCENT">"c4161"</definedName>
    <definedName name="IQ_EST_CASH_OPER_DIFF">"c4162"</definedName>
    <definedName name="IQ_EST_CASH_OPER_SURPRISE_PERCENT">"c4248"</definedName>
    <definedName name="IQ_EST_CFPS_DIFF">"c1871"</definedName>
    <definedName name="IQ_EST_CFPS_DIFF_REUT">"c3892"</definedName>
    <definedName name="IQ_EST_CFPS_GROWTH_1YR">"c1774"</definedName>
    <definedName name="IQ_EST_CFPS_GROWTH_1YR_REUT">"c3878"</definedName>
    <definedName name="IQ_EST_CFPS_GROWTH_2YR">"c1775"</definedName>
    <definedName name="IQ_EST_CFPS_GROWTH_2YR_REUT">"c3879"</definedName>
    <definedName name="IQ_EST_CFPS_GROWTH_Q_1YR">"c1776"</definedName>
    <definedName name="IQ_EST_CFPS_GROWTH_Q_1YR_REUT">"c3880"</definedName>
    <definedName name="IQ_EST_CFPS_SEQ_GROWTH_Q">"c1777"</definedName>
    <definedName name="IQ_EST_CFPS_SEQ_GROWTH_Q_REUT">"c3881"</definedName>
    <definedName name="IQ_EST_CFPS_SURPRISE_PERCENT">"c1872"</definedName>
    <definedName name="IQ_EST_CFPS_SURPRISE_PERCENT_REUT">"c3893"</definedName>
    <definedName name="IQ_EST_CURRENCY">"c2140"</definedName>
    <definedName name="IQ_EST_CURRENCY_REUT">"c5437"</definedName>
    <definedName name="IQ_EST_DATE">"c1634"</definedName>
    <definedName name="IQ_EST_DATE_REUT">"c5438"</definedName>
    <definedName name="IQ_EST_DISTRIBUTABLE_CASH_DIFF">"c4276"</definedName>
    <definedName name="IQ_EST_DISTRIBUTABLE_CASH_GROWTH_1YR">"c4413"</definedName>
    <definedName name="IQ_EST_DISTRIBUTABLE_CASH_GROWTH_2YR">"c4414"</definedName>
    <definedName name="IQ_EST_DISTRIBUTABLE_CASH_GROWTH_Q_1YR">"c4415"</definedName>
    <definedName name="IQ_EST_DISTRIBUTABLE_CASH_SEQ_GROWTH_Q">"c4416"</definedName>
    <definedName name="IQ_EST_DISTRIBUTABLE_CASH_SHARE_DIFF">"c4284"</definedName>
    <definedName name="IQ_EST_DISTRIBUTABLE_CASH_SHARE_GROWTH_1YR">"c4417"</definedName>
    <definedName name="IQ_EST_DISTRIBUTABLE_CASH_SHARE_GROWTH_2YR">"c4418"</definedName>
    <definedName name="IQ_EST_DISTRIBUTABLE_CASH_SHARE_GROWTH_Q_1YR">"c4419"</definedName>
    <definedName name="IQ_EST_DISTRIBUTABLE_CASH_SHARE_SEQ_GROWTH_Q">"c4420"</definedName>
    <definedName name="IQ_EST_DISTRIBUTABLE_CASH_SHARE_SURPRISE_PERCENT">"c4293"</definedName>
    <definedName name="IQ_EST_DISTRIBUTABLE_CASH_SURPRISE_PERCENT">"c4295"</definedName>
    <definedName name="IQ_EST_DPS_DIFF">"c1873"</definedName>
    <definedName name="IQ_EST_DPS_DIFF_REUT">"c3894"</definedName>
    <definedName name="IQ_EST_DPS_GROWTH_1YR">"c1778"</definedName>
    <definedName name="IQ_EST_DPS_GROWTH_1YR_REUT">"c3882"</definedName>
    <definedName name="IQ_EST_DPS_GROWTH_2YR">"c1779"</definedName>
    <definedName name="IQ_EST_DPS_GROWTH_2YR_REUT">"c3883"</definedName>
    <definedName name="IQ_EST_DPS_GROWTH_Q_1YR">"c1780"</definedName>
    <definedName name="IQ_EST_DPS_GROWTH_Q_1YR_REUT">"c3884"</definedName>
    <definedName name="IQ_EST_DPS_SEQ_GROWTH_Q">"c1781"</definedName>
    <definedName name="IQ_EST_DPS_SEQ_GROWTH_Q_REUT">"c3885"</definedName>
    <definedName name="IQ_EST_DPS_SURPRISE_PERCENT">"c1874"</definedName>
    <definedName name="IQ_EST_DPS_SURPRISE_PERCENT_REUT">"c3895"</definedName>
    <definedName name="IQ_EST_EBIT_DIFF">"c1875"</definedName>
    <definedName name="IQ_EST_EBIT_DIFF_REUT">"c5413"</definedName>
    <definedName name="IQ_EST_EBIT_GW_DIFF">"c4304"</definedName>
    <definedName name="IQ_EST_EBIT_GW_SURPRISE_PERCENT">"c4313"</definedName>
    <definedName name="IQ_EST_EBIT_SBC_DIFF">"c4314"</definedName>
    <definedName name="IQ_EST_EBIT_SBC_GW_DIFF">"c4318"</definedName>
    <definedName name="IQ_EST_EBIT_SBC_GW_SURPRISE_PERCENT">"c4327"</definedName>
    <definedName name="IQ_EST_EBIT_SBC_SURPRISE_PERCENT">"c4333"</definedName>
    <definedName name="IQ_EST_EBIT_SURPRISE_PERCENT">"c1876"</definedName>
    <definedName name="IQ_EST_EBIT_SURPRISE_PERCENT_REUT">"c5414"</definedName>
    <definedName name="IQ_EST_EBITDA_DIFF">"c1867"</definedName>
    <definedName name="IQ_EST_EBITDA_DIFF_REUT">"c3888"</definedName>
    <definedName name="IQ_EST_EBITDA_GROWTH_1YR">"c1766"</definedName>
    <definedName name="IQ_EST_EBITDA_GROWTH_1YR_REUT">"c3864"</definedName>
    <definedName name="IQ_EST_EBITDA_GROWTH_2YR">"c1767"</definedName>
    <definedName name="IQ_EST_EBITDA_GROWTH_2YR_REUT">"c3865"</definedName>
    <definedName name="IQ_EST_EBITDA_GROWTH_Q_1YR">"c1768"</definedName>
    <definedName name="IQ_EST_EBITDA_GROWTH_Q_1YR_REUT">"c3866"</definedName>
    <definedName name="IQ_EST_EBITDA_SBC_DIFF">"c4335"</definedName>
    <definedName name="IQ_EST_EBITDA_SBC_SURPRISE_PERCENT">"c4344"</definedName>
    <definedName name="IQ_EST_EBITDA_SEQ_GROWTH_Q">"c1769"</definedName>
    <definedName name="IQ_EST_EBITDA_SEQ_GROWTH_Q_REUT">"c3867"</definedName>
    <definedName name="IQ_EST_EBITDA_SURPRISE_PERCENT">"c1868"</definedName>
    <definedName name="IQ_EST_EBITDA_SURPRISE_PERCENT_REUT">"c3889"</definedName>
    <definedName name="IQ_EST_EBT_SBC_DIFF">"c4348"</definedName>
    <definedName name="IQ_EST_EBT_SBC_GW_DIFF">"c4352"</definedName>
    <definedName name="IQ_EST_EBT_SBC_GW_SURPRISE_PERCENT">"c4361"</definedName>
    <definedName name="IQ_EST_EBT_SBC_SURPRISE_PERCENT">"c4367"</definedName>
    <definedName name="IQ_EST_EPS_DIFF">"c1864"</definedName>
    <definedName name="IQ_EST_EPS_DIFF_REUT">"c5458"</definedName>
    <definedName name="IQ_EST_EPS_GROWTH_1YR">"c1636"</definedName>
    <definedName name="IQ_EST_EPS_GROWTH_1YR_REUT">"c3646"</definedName>
    <definedName name="IQ_EST_EPS_GROWTH_2YR">"c1637"</definedName>
    <definedName name="IQ_EST_EPS_GROWTH_2YR_REUT">"c3858"</definedName>
    <definedName name="IQ_EST_EPS_GROWTH_5YR">"c1655"</definedName>
    <definedName name="IQ_EST_EPS_GROWTH_5YR_BOTTOM_UP">"c5487"</definedName>
    <definedName name="IQ_EST_EPS_GROWTH_5YR_BOTTOM_UP_REUT">"c5495"</definedName>
    <definedName name="IQ_EST_EPS_GROWTH_5YR_HIGH">"c1657"</definedName>
    <definedName name="IQ_EST_EPS_GROWTH_5YR_HIGH_REUT">"c5322"</definedName>
    <definedName name="IQ_EST_EPS_GROWTH_5YR_LOW">"c1658"</definedName>
    <definedName name="IQ_EST_EPS_GROWTH_5YR_LOW_REUT">"c5323"</definedName>
    <definedName name="IQ_EST_EPS_GROWTH_5YR_MEDIAN">"c1656"</definedName>
    <definedName name="IQ_EST_EPS_GROWTH_5YR_MEDIAN_REUT">"c5321"</definedName>
    <definedName name="IQ_EST_EPS_GROWTH_5YR_NUM">"c1659"</definedName>
    <definedName name="IQ_EST_EPS_GROWTH_5YR_NUM_REUT">"c5324"</definedName>
    <definedName name="IQ_EST_EPS_GROWTH_5YR_REUT">"c3633"</definedName>
    <definedName name="IQ_EST_EPS_GROWTH_5YR_STDDEV">"c1660"</definedName>
    <definedName name="IQ_EST_EPS_GROWTH_5YR_STDDEV_REUT">"c5325"</definedName>
    <definedName name="IQ_EST_EPS_GROWTH_Q_1YR">"c1641"</definedName>
    <definedName name="IQ_EST_EPS_GROWTH_Q_1YR_REUT">"c5410"</definedName>
    <definedName name="IQ_EST_EPS_GW_DIFF">"c1891"</definedName>
    <definedName name="IQ_EST_EPS_GW_DIFF_REUT">"c5429"</definedName>
    <definedName name="IQ_EST_EPS_GW_SURPRISE_PERCENT">"c1892"</definedName>
    <definedName name="IQ_EST_EPS_GW_SURPRISE_PERCENT_REUT">"c5430"</definedName>
    <definedName name="IQ_EST_EPS_NORM_DIFF">"c2247"</definedName>
    <definedName name="IQ_EST_EPS_NORM_DIFF_REUT">"c5411"</definedName>
    <definedName name="IQ_EST_EPS_NORM_SURPRISE_PERCENT">"c2248"</definedName>
    <definedName name="IQ_EST_EPS_NORM_SURPRISE_PERCENT_REUT">"c5412"</definedName>
    <definedName name="IQ_EST_EPS_REPORT_DIFF">"c1893"</definedName>
    <definedName name="IQ_EST_EPS_REPORT_DIFF_REUT">"c5431"</definedName>
    <definedName name="IQ_EST_EPS_REPORT_SURPRISE_PERCENT">"c1894"</definedName>
    <definedName name="IQ_EST_EPS_REPORT_SURPRISE_PERCENT_REUT">"c5432"</definedName>
    <definedName name="IQ_EST_EPS_SBC_DIFF">"c4374"</definedName>
    <definedName name="IQ_EST_EPS_SBC_GW_DIFF">"c4378"</definedName>
    <definedName name="IQ_EST_EPS_SBC_GW_SURPRISE_PERCENT">"c4387"</definedName>
    <definedName name="IQ_EST_EPS_SBC_SURPRISE_PERCENT">"c4393"</definedName>
    <definedName name="IQ_EST_EPS_SEQ_GROWTH_Q">"c1764"</definedName>
    <definedName name="IQ_EST_EPS_SEQ_GROWTH_Q_REUT">"c3859"</definedName>
    <definedName name="IQ_EST_EPS_SURPRISE_PERCENT">"c1635"</definedName>
    <definedName name="IQ_EST_EPS_SURPRISE_PERCENT_REUT">"c5459"</definedName>
    <definedName name="IQ_EST_FFO_ADJ_DIFF">"c4433"</definedName>
    <definedName name="IQ_EST_FFO_ADJ_GROWTH_1YR">"c4421"</definedName>
    <definedName name="IQ_EST_FFO_ADJ_GROWTH_2YR">"c4422"</definedName>
    <definedName name="IQ_EST_FFO_ADJ_GROWTH_Q_1YR">"c4423"</definedName>
    <definedName name="IQ_EST_FFO_ADJ_SEQ_GROWTH_Q">"c4424"</definedName>
    <definedName name="IQ_EST_FFO_ADJ_SURPRISE_PERCENT">"c4442"</definedName>
    <definedName name="IQ_EST_FFO_DIFF">"c1869"</definedName>
    <definedName name="IQ_EST_FFO_DIFF_REUT">"c3890"</definedName>
    <definedName name="IQ_EST_FFO_GROWTH_1YR">"c1770"</definedName>
    <definedName name="IQ_EST_FFO_GROWTH_1YR_REUT">"c3874"</definedName>
    <definedName name="IQ_EST_FFO_GROWTH_2YR">"c1771"</definedName>
    <definedName name="IQ_EST_FFO_GROWTH_2YR_REUT">"c3875"</definedName>
    <definedName name="IQ_EST_FFO_GROWTH_Q_1YR">"c1772"</definedName>
    <definedName name="IQ_EST_FFO_GROWTH_Q_1YR_REUT">"c3876"</definedName>
    <definedName name="IQ_EST_FFO_SEQ_GROWTH_Q">"c1773"</definedName>
    <definedName name="IQ_EST_FFO_SEQ_GROWTH_Q_REUT">"c3877"</definedName>
    <definedName name="IQ_EST_FFO_SHARE_DIFF">"c4444"</definedName>
    <definedName name="IQ_EST_FFO_SHARE_GROWTH_1YR">"c4425"</definedName>
    <definedName name="IQ_EST_FFO_SHARE_GROWTH_2YR">"c4426"</definedName>
    <definedName name="IQ_EST_FFO_SHARE_GROWTH_Q_1YR">"c4427"</definedName>
    <definedName name="IQ_EST_FFO_SHARE_SEQ_GROWTH_Q">"c4428"</definedName>
    <definedName name="IQ_EST_FFO_SHARE_SURPRISE_PERCENT">"c4453"</definedName>
    <definedName name="IQ_EST_FFO_SURPRISE_PERCENT">"c1870"</definedName>
    <definedName name="IQ_EST_FFO_SURPRISE_PERCENT_REUT">"c3891"</definedName>
    <definedName name="IQ_EST_FOOTNOTE">"c4540"</definedName>
    <definedName name="IQ_EST_FOOTNOTE_REUT">"c5478"</definedName>
    <definedName name="IQ_EST_MAINT_CAPEX_DIFF">"c4456"</definedName>
    <definedName name="IQ_EST_MAINT_CAPEX_GROWTH_1YR">"c4429"</definedName>
    <definedName name="IQ_EST_MAINT_CAPEX_GROWTH_2YR">"c4430"</definedName>
    <definedName name="IQ_EST_MAINT_CAPEX_GROWTH_Q_1YR">"c4431"</definedName>
    <definedName name="IQ_EST_MAINT_CAPEX_SEQ_GROWTH_Q">"c4432"</definedName>
    <definedName name="IQ_EST_MAINT_CAPEX_SURPRISE_PERCENT">"c4465"</definedName>
    <definedName name="IQ_EST_NAV_DIFF">"c1895"</definedName>
    <definedName name="IQ_EST_NAV_SHARE_SURPRISE_PERCENT">"c1896"</definedName>
    <definedName name="IQ_EST_NET_DEBT_DIFF">"c4466"</definedName>
    <definedName name="IQ_EST_NET_DEBT_SURPRISE_PERCENT">"c4468"</definedName>
    <definedName name="IQ_EST_NI_DIFF">"c1885"</definedName>
    <definedName name="IQ_EST_NI_DIFF_REUT">"c5423"</definedName>
    <definedName name="IQ_EST_NI_GW_DIFF_REUT">"c5425"</definedName>
    <definedName name="IQ_EST_NI_GW_SURPRISE_PERCENT_REUT">"c5426"</definedName>
    <definedName name="IQ_EST_NI_REPORT_DIFF">"c1889"</definedName>
    <definedName name="IQ_EST_NI_REPORT_DIFF_REUT">"c5427"</definedName>
    <definedName name="IQ_EST_NI_REPORT_SURPRISE_PERCENT">"c1890"</definedName>
    <definedName name="IQ_EST_NI_REPORT_SURPRISE_PERCENT_REUT">"c5428"</definedName>
    <definedName name="IQ_EST_NI_SBC_DIFF">"c4472"</definedName>
    <definedName name="IQ_EST_NI_SBC_GW_DIFF">"c4476"</definedName>
    <definedName name="IQ_EST_NI_SBC_GW_SURPRISE_PERCENT">"c4485"</definedName>
    <definedName name="IQ_EST_NI_SBC_SURPRISE_PERCENT">"c4491"</definedName>
    <definedName name="IQ_EST_NI_SURPRISE_PERCENT">"c1886"</definedName>
    <definedName name="IQ_EST_NI_SURPRISE_PERCENT_REUT">"c5424"</definedName>
    <definedName name="IQ_EST_NUM_BUY">"c1759"</definedName>
    <definedName name="IQ_EST_NUM_HIGH_REC">"c5649"</definedName>
    <definedName name="IQ_EST_NUM_HIGH_REC_REUT">"c3870"</definedName>
    <definedName name="IQ_EST_NUM_HIGHEST_REC">"c5648"</definedName>
    <definedName name="IQ_EST_NUM_HIGHEST_REC_REUT">"c3869"</definedName>
    <definedName name="IQ_EST_NUM_HOLD">"c1761"</definedName>
    <definedName name="IQ_EST_NUM_LOW_REC">"c5651"</definedName>
    <definedName name="IQ_EST_NUM_LOW_REC_REUT">"c3872"</definedName>
    <definedName name="IQ_EST_NUM_LOWEST_REC">"c5652"</definedName>
    <definedName name="IQ_EST_NUM_LOWEST_REC_REUT">"c3873"</definedName>
    <definedName name="IQ_EST_NUM_NEUTRAL_REC">"c5650"</definedName>
    <definedName name="IQ_EST_NUM_NEUTRAL_REC_REUT">"c3871"</definedName>
    <definedName name="IQ_EST_NUM_NO_OPINION">"c1758"</definedName>
    <definedName name="IQ_EST_NUM_NO_OPINION_REUT">"c3868"</definedName>
    <definedName name="IQ_EST_NUM_OUTPERFORM">"c1760"</definedName>
    <definedName name="IQ_EST_NUM_SELL">"c1763"</definedName>
    <definedName name="IQ_EST_NUM_UNDERPERFORM">"c1762"</definedName>
    <definedName name="IQ_EST_OPER_INC_DIFF">"c1877"</definedName>
    <definedName name="IQ_EST_OPER_INC_DIFF_REUT">"c5415"</definedName>
    <definedName name="IQ_EST_OPER_INC_SURPRISE_PERCENT">"c1878"</definedName>
    <definedName name="IQ_EST_OPER_INC_SURPRISE_PERCENT_REUT">"c5416"</definedName>
    <definedName name="IQ_EST_PRE_TAX_DIFF">"c1879"</definedName>
    <definedName name="IQ_EST_PRE_TAX_DIFF_REUT">"c5417"</definedName>
    <definedName name="IQ_EST_PRE_TAX_GW_DIFF">"c1881"</definedName>
    <definedName name="IQ_EST_PRE_TAX_GW_DIFF_REUT">"c5419"</definedName>
    <definedName name="IQ_EST_PRE_TAX_GW_SURPRISE_PERCENT">"c1882"</definedName>
    <definedName name="IQ_EST_PRE_TAX_GW_SURPRISE_PERCENT_REUT">"c5420"</definedName>
    <definedName name="IQ_EST_PRE_TAX_REPORT_DIFF">"c1883"</definedName>
    <definedName name="IQ_EST_PRE_TAX_REPORT_DIFF_REUT">"c5421"</definedName>
    <definedName name="IQ_EST_PRE_TAX_REPORT_SURPRISE_PERCENT">"c1884"</definedName>
    <definedName name="IQ_EST_PRE_TAX_REPORT_SURPRISE_PERCENT_REUT">"c5422"</definedName>
    <definedName name="IQ_EST_PRE_TAX_SURPRISE_PERCENT">"c1880"</definedName>
    <definedName name="IQ_EST_PRE_TAX_SURPRISE_PERCENT_REUT">"c5418"</definedName>
    <definedName name="IQ_EST_RECURRING_PROFIT_SHARE_DIFF">"c4505"</definedName>
    <definedName name="IQ_EST_RECURRING_PROFIT_SHARE_SURPRISE_PERCENT">"c4515"</definedName>
    <definedName name="IQ_EST_REV_DIFF">"c1865"</definedName>
    <definedName name="IQ_EST_REV_DIFF_REUT">"c3886"</definedName>
    <definedName name="IQ_EST_REV_GROWTH_1YR">"c1638"</definedName>
    <definedName name="IQ_EST_REV_GROWTH_1YR_REUT">"c3860"</definedName>
    <definedName name="IQ_EST_REV_GROWTH_2YR">"c1639"</definedName>
    <definedName name="IQ_EST_REV_GROWTH_2YR_REUT">"c3861"</definedName>
    <definedName name="IQ_EST_REV_GROWTH_Q_1YR">"c1640"</definedName>
    <definedName name="IQ_EST_REV_GROWTH_Q_1YR_REUT">"c3862"</definedName>
    <definedName name="IQ_EST_REV_SEQ_GROWTH_Q">"c1765"</definedName>
    <definedName name="IQ_EST_REV_SEQ_GROWTH_Q_REUT">"c3863"</definedName>
    <definedName name="IQ_EST_REV_SURPRISE_PERCENT">"c1866"</definedName>
    <definedName name="IQ_EST_REV_SURPRISE_PERCENT_REUT">"c3887"</definedName>
    <definedName name="IQ_EST_VENDOR">"c5564"</definedName>
    <definedName name="IQ_EV_OVER_EMPLOYEE">"c1428"</definedName>
    <definedName name="IQ_EV_OVER_LTM_EBIT">"c1426"</definedName>
    <definedName name="IQ_EV_OVER_LTM_EBITDA">"c1427"</definedName>
    <definedName name="IQ_EV_OVER_LTM_REVENUE">"c1429"</definedName>
    <definedName name="IQ_EVAL_DATE">"c2180"</definedName>
    <definedName name="IQ_EXCHANGE">"c405"</definedName>
    <definedName name="IQ_EXCISE_TAXES_EXCL_SALES">"c5515"</definedName>
    <definedName name="IQ_EXCISE_TAXES_INCL_SALES">"c5514"</definedName>
    <definedName name="IQ_EXERCISE_PRICE">"c1897"</definedName>
    <definedName name="IQ_EXERCISED">"c406"</definedName>
    <definedName name="IQ_EXP_RETURN_PENSION_DOMESTIC">"c407"</definedName>
    <definedName name="IQ_EXP_RETURN_PENSION_FOREIGN">"c408"</definedName>
    <definedName name="IQ_EXPLORE_DRILL">"c409"</definedName>
    <definedName name="IQ_EXTRA_ACC_ITEMS">"c410"</definedName>
    <definedName name="IQ_EXTRA_ACC_ITEMS_BNK">"c411"</definedName>
    <definedName name="IQ_EXTRA_ACC_ITEMS_BR">"c412"</definedName>
    <definedName name="IQ_EXTRA_ACC_ITEMS_FIN">"c413"</definedName>
    <definedName name="IQ_EXTRA_ACC_ITEMS_INS">"c414"</definedName>
    <definedName name="IQ_EXTRA_ACC_ITEMS_RE">"c6216"</definedName>
    <definedName name="IQ_EXTRA_ACC_ITEMS_REIT">"c415"</definedName>
    <definedName name="IQ_EXTRA_ACC_ITEMS_UTI">"c416"</definedName>
    <definedName name="IQ_EXTRA_ITEMS">"c1459"</definedName>
    <definedName name="IQ_FDIC">"c417"</definedName>
    <definedName name="IQ_FEDFUNDS_SOLD">"c2256"</definedName>
    <definedName name="IQ_FFO">"c1574"</definedName>
    <definedName name="IQ_FFO_ACT_OR_EST">"c2216"</definedName>
    <definedName name="IQ_FFO_ADJ_ACT_OR_EST">"c4435"</definedName>
    <definedName name="IQ_FFO_ADJ_EST">"c4434"</definedName>
    <definedName name="IQ_FFO_ADJ_GUIDANCE">"c4436"</definedName>
    <definedName name="IQ_FFO_ADJ_HIGH_EST">"c4437"</definedName>
    <definedName name="IQ_FFO_ADJ_HIGH_GUIDANCE">"c4202"</definedName>
    <definedName name="IQ_FFO_ADJ_LOW_EST">"c4438"</definedName>
    <definedName name="IQ_FFO_ADJ_LOW_GUIDANCE">"c4242"</definedName>
    <definedName name="IQ_FFO_ADJ_MEDIAN_EST">"c4439"</definedName>
    <definedName name="IQ_FFO_ADJ_NUM_EST">"c4440"</definedName>
    <definedName name="IQ_FFO_ADJ_STDDEV_EST">"c4441"</definedName>
    <definedName name="IQ_FFO_EST">"c418"</definedName>
    <definedName name="IQ_FFO_EST_REUT">"c3837"</definedName>
    <definedName name="IQ_FFO_GUIDANCE">"c4443"</definedName>
    <definedName name="IQ_FFO_HIGH_EST">"c419"</definedName>
    <definedName name="IQ_FFO_HIGH_EST_REUT">"c3839"</definedName>
    <definedName name="IQ_FFO_HIGH_GUIDANCE">"c4184"</definedName>
    <definedName name="IQ_FFO_LOW_EST">"c420"</definedName>
    <definedName name="IQ_FFO_LOW_EST_REUT">"c3840"</definedName>
    <definedName name="IQ_FFO_LOW_GUIDANCE">"c4224"</definedName>
    <definedName name="IQ_FFO_MEDIAN_EST">"c1665"</definedName>
    <definedName name="IQ_FFO_MEDIAN_EST_REUT">"c3838"</definedName>
    <definedName name="IQ_FFO_NUM_EST">"c421"</definedName>
    <definedName name="IQ_FFO_NUM_EST_REUT">"c3841"</definedName>
    <definedName name="IQ_FFO_PAYOUT_RATIO">"c3492"</definedName>
    <definedName name="IQ_FFO_SHARE_ACT_OR_EST">"c4446"</definedName>
    <definedName name="IQ_FFO_SHARE_EST">"c4445"</definedName>
    <definedName name="IQ_FFO_SHARE_GUIDANCE">"c4447"</definedName>
    <definedName name="IQ_FFO_SHARE_HIGH_EST">"c4448"</definedName>
    <definedName name="IQ_FFO_SHARE_HIGH_GUIDANCE">"c4203"</definedName>
    <definedName name="IQ_FFO_SHARE_LOW_EST">"c4449"</definedName>
    <definedName name="IQ_FFO_SHARE_LOW_GUIDANCE">"c4243"</definedName>
    <definedName name="IQ_FFO_SHARE_MEDIAN_EST">"c4450"</definedName>
    <definedName name="IQ_FFO_SHARE_NUM_EST">"c4451"</definedName>
    <definedName name="IQ_FFO_SHARE_STDDEV_EST">"c4452"</definedName>
    <definedName name="IQ_FFO_STDDEV_EST">"c422"</definedName>
    <definedName name="IQ_FFO_STDDEV_EST_REUT">"c3842"</definedName>
    <definedName name="IQ_FHLB_DEBT">"c423"</definedName>
    <definedName name="IQ_FHLB_DUE_CY">"c2080"</definedName>
    <definedName name="IQ_FHLB_DUE_CY1">"c2081"</definedName>
    <definedName name="IQ_FHLB_DUE_CY2">"c2082"</definedName>
    <definedName name="IQ_FHLB_DUE_CY3">"c2083"</definedName>
    <definedName name="IQ_FHLB_DUE_CY4">"c2084"</definedName>
    <definedName name="IQ_FHLB_DUE_NEXT_FIVE">"c2085"</definedName>
    <definedName name="IQ_FILING_CURRENCY">"c2129"</definedName>
    <definedName name="IQ_FILINGDATE_BS">"c424"</definedName>
    <definedName name="IQ_FILINGDATE_CF">"c425"</definedName>
    <definedName name="IQ_FILINGDATE_IS">"c426"</definedName>
    <definedName name="IQ_FILM_RIGHTS">"c2254"</definedName>
    <definedName name="IQ_FIN_DIV_ASSETS_CURRENT">"c427"</definedName>
    <definedName name="IQ_FIN_DIV_ASSETS_LT">"c428"</definedName>
    <definedName name="IQ_FIN_DIV_CURRENT_PORT_DEBT_TOTAL">"c5524"</definedName>
    <definedName name="IQ_FIN_DIV_CURRENT_PORT_LEASES_TOTAL">"c5523"</definedName>
    <definedName name="IQ_FIN_DIV_DEBT_CURRENT">"c429"</definedName>
    <definedName name="IQ_FIN_DIV_DEBT_LT">"c430"</definedName>
    <definedName name="IQ_FIN_DIV_DEBT_LT_TOTAL">"c5526"</definedName>
    <definedName name="IQ_FIN_DIV_DEBT_TOTAL">"c5656"</definedName>
    <definedName name="IQ_FIN_DIV_EXP">"c431"</definedName>
    <definedName name="IQ_FIN_DIV_INT_EXP">"c432"</definedName>
    <definedName name="IQ_FIN_DIV_LEASES_LT_TOTAL">"c5525"</definedName>
    <definedName name="IQ_FIN_DIV_LIAB_CURRENT">"c433"</definedName>
    <definedName name="IQ_FIN_DIV_LIAB_LT">"c434"</definedName>
    <definedName name="IQ_FIN_DIV_LOANS_CURRENT">"c435"</definedName>
    <definedName name="IQ_FIN_DIV_LOANS_LT">"c436"</definedName>
    <definedName name="IQ_FIN_DIV_LT_DEBT_TOTAL">"c5655"</definedName>
    <definedName name="IQ_FIN_DIV_NOTES_PAY_TOTAL">"c5522"</definedName>
    <definedName name="IQ_FIN_DIV_REV">"c437"</definedName>
    <definedName name="IQ_FIN_DIV_ST_DEBT_TOTAL">"c5527"</definedName>
    <definedName name="IQ_FINANCING_CASH">"c1405"</definedName>
    <definedName name="IQ_FINANCING_CASH_SUPPL">"c1406"</definedName>
    <definedName name="IQ_FINANCING_OBLIG_CURRENT">"c6190"</definedName>
    <definedName name="IQ_FINANCING_OBLIG_NON_CURRENT">"c6191"</definedName>
    <definedName name="IQ_FINISHED_INV">"c438"</definedName>
    <definedName name="IQ_FIRST_INT_DATE">"c2186"</definedName>
    <definedName name="IQ_FIRST_YEAR_LIFE">"c439"</definedName>
    <definedName name="IQ_FIRST_YEAR_LIFE_PREM">"c2787"</definedName>
    <definedName name="IQ_FIRST_YEAR_PREM">"c2786"</definedName>
    <definedName name="IQ_FIRSTPRICINGDATE">"c3050"</definedName>
    <definedName name="IQ_FISCAL_Q">"c440"</definedName>
    <definedName name="IQ_FISCAL_Y">"c441"</definedName>
    <definedName name="IQ_FIVE_PERCENT_OWNER">"c442"</definedName>
    <definedName name="IQ_FIVEPERCENT_PERCENT">"c443"</definedName>
    <definedName name="IQ_FIVEPERCENT_SHARES">"c444"</definedName>
    <definedName name="IQ_FIXED_ASSET_TURNS">"c445"</definedName>
    <definedName name="IQ_FLOAT_PERCENT">"c1575"</definedName>
    <definedName name="IQ_FOREIGN_DEP_IB">"c446"</definedName>
    <definedName name="IQ_FOREIGN_DEP_NON_IB">"c447"</definedName>
    <definedName name="IQ_FOREIGN_EXCHANGE">"c1376"</definedName>
    <definedName name="IQ_FOREIGN_LOANS">"c448"</definedName>
    <definedName name="IQ_FQ">500</definedName>
    <definedName name="IQ_FUEL">"c449"</definedName>
    <definedName name="IQ_FULL_TIME">"c450"</definedName>
    <definedName name="IQ_FWD_CY">10001</definedName>
    <definedName name="IQ_FWD_CY1">10002</definedName>
    <definedName name="IQ_FWD_CY2">10003</definedName>
    <definedName name="IQ_FWD_FY">1001</definedName>
    <definedName name="IQ_FWD_FY1">1002</definedName>
    <definedName name="IQ_FWD_FY2">1003</definedName>
    <definedName name="IQ_FWD_Q">501</definedName>
    <definedName name="IQ_FWD_Q1">502</definedName>
    <definedName name="IQ_FWD_Q2">503</definedName>
    <definedName name="IQ_FX">"c451"</definedName>
    <definedName name="IQ_FY">1000</definedName>
    <definedName name="IQ_GA_EXP">"c2241"</definedName>
    <definedName name="IQ_GAAP_IS">"c6194"</definedName>
    <definedName name="IQ_GAIN_ASSETS">"c452"</definedName>
    <definedName name="IQ_GAIN_ASSETS_BNK">"c453"</definedName>
    <definedName name="IQ_GAIN_ASSETS_BR">"c454"</definedName>
    <definedName name="IQ_GAIN_ASSETS_CF">"c455"</definedName>
    <definedName name="IQ_GAIN_ASSETS_CF_BNK">"c456"</definedName>
    <definedName name="IQ_GAIN_ASSETS_CF_BR">"c457"</definedName>
    <definedName name="IQ_GAIN_ASSETS_CF_FIN">"c458"</definedName>
    <definedName name="IQ_GAIN_ASSETS_CF_INS">"c459"</definedName>
    <definedName name="IQ_GAIN_ASSETS_CF_RE">"c6217"</definedName>
    <definedName name="IQ_GAIN_ASSETS_CF_REIT">"c460"</definedName>
    <definedName name="IQ_GAIN_ASSETS_CF_UTI">"c461"</definedName>
    <definedName name="IQ_GAIN_ASSETS_FIN">"c462"</definedName>
    <definedName name="IQ_GAIN_ASSETS_INS">"c463"</definedName>
    <definedName name="IQ_GAIN_ASSETS_RE">"c6218"</definedName>
    <definedName name="IQ_GAIN_ASSETS_REIT">"c471"</definedName>
    <definedName name="IQ_GAIN_ASSETS_REV">"c472"</definedName>
    <definedName name="IQ_GAIN_ASSETS_REV_BNK">"c473"</definedName>
    <definedName name="IQ_GAIN_ASSETS_REV_BR">"c474"</definedName>
    <definedName name="IQ_GAIN_ASSETS_REV_FIN">"c475"</definedName>
    <definedName name="IQ_GAIN_ASSETS_REV_INS">"c476"</definedName>
    <definedName name="IQ_GAIN_ASSETS_REV_RE">"c6219"</definedName>
    <definedName name="IQ_GAIN_ASSETS_REV_REIT">"c477"</definedName>
    <definedName name="IQ_GAIN_ASSETS_REV_UTI">"c478"</definedName>
    <definedName name="IQ_GAIN_ASSETS_UTI">"c479"</definedName>
    <definedName name="IQ_GAIN_INVEST">"c1463"</definedName>
    <definedName name="IQ_GAIN_INVEST_BNK">"c1582"</definedName>
    <definedName name="IQ_GAIN_INVEST_BR">"c1464"</definedName>
    <definedName name="IQ_GAIN_INVEST_CF">"c480"</definedName>
    <definedName name="IQ_GAIN_INVEST_CF_BNK">"c481"</definedName>
    <definedName name="IQ_GAIN_INVEST_CF_BR">"c482"</definedName>
    <definedName name="IQ_GAIN_INVEST_CF_FIN">"c483"</definedName>
    <definedName name="IQ_GAIN_INVEST_CF_INS">"c484"</definedName>
    <definedName name="IQ_GAIN_INVEST_CF_RE">"c6220"</definedName>
    <definedName name="IQ_GAIN_INVEST_CF_REIT">"c485"</definedName>
    <definedName name="IQ_GAIN_INVEST_CF_UTI">"c486"</definedName>
    <definedName name="IQ_GAIN_INVEST_FIN">"c1465"</definedName>
    <definedName name="IQ_GAIN_INVEST_INS">"c1466"</definedName>
    <definedName name="IQ_GAIN_INVEST_RE">"c6278"</definedName>
    <definedName name="IQ_GAIN_INVEST_REIT">"c1467"</definedName>
    <definedName name="IQ_GAIN_INVEST_REV">"c494"</definedName>
    <definedName name="IQ_GAIN_INVEST_REV_BNK">"c495"</definedName>
    <definedName name="IQ_GAIN_INVEST_REV_BR">"c496"</definedName>
    <definedName name="IQ_GAIN_INVEST_REV_FIN">"c497"</definedName>
    <definedName name="IQ_GAIN_INVEST_REV_INS">"c498"</definedName>
    <definedName name="IQ_GAIN_INVEST_REV_RE">"c6221"</definedName>
    <definedName name="IQ_GAIN_INVEST_REV_REIT">"c499"</definedName>
    <definedName name="IQ_GAIN_INVEST_REV_UTI">"c500"</definedName>
    <definedName name="IQ_GAIN_INVEST_UTI">"c1468"</definedName>
    <definedName name="IQ_GAIN_LOANS_REC">"c501"</definedName>
    <definedName name="IQ_GAIN_LOANS_RECEIV">"c502"</definedName>
    <definedName name="IQ_GAIN_LOANS_RECEIV_REV_FIN">"c503"</definedName>
    <definedName name="IQ_GAIN_LOANS_REV">"c504"</definedName>
    <definedName name="IQ_GAIN_SALE_ASSETS">"c1377"</definedName>
    <definedName name="IQ_GEO_SEG_ASSETS">"c4069"</definedName>
    <definedName name="IQ_GEO_SEG_ASSETS_ABS">"c4091"</definedName>
    <definedName name="IQ_GEO_SEG_ASSETS_TOTAL">"c4123"</definedName>
    <definedName name="IQ_GEO_SEG_CAPEX">"c4083"</definedName>
    <definedName name="IQ_GEO_SEG_CAPEX_ABS">"c4105"</definedName>
    <definedName name="IQ_GEO_SEG_CAPEX_TOTAL">"c4127"</definedName>
    <definedName name="IQ_GEO_SEG_DA">"c4082"</definedName>
    <definedName name="IQ_GEO_SEG_DA_ABS">"c4104"</definedName>
    <definedName name="IQ_GEO_SEG_DA_TOTAL">"c4126"</definedName>
    <definedName name="IQ_GEO_SEG_EARNINGS_OP">"c4073"</definedName>
    <definedName name="IQ_GEO_SEG_EARNINGS_OP_ABS">"c4095"</definedName>
    <definedName name="IQ_GEO_SEG_EARNINGS_OP_TOTAL">"c4119"</definedName>
    <definedName name="IQ_GEO_SEG_EBT">"c4072"</definedName>
    <definedName name="IQ_GEO_SEG_EBT_ABS">"c4094"</definedName>
    <definedName name="IQ_GEO_SEG_EBT_TOTAL">"c4121"</definedName>
    <definedName name="IQ_GEO_SEG_GP">"c4070"</definedName>
    <definedName name="IQ_GEO_SEG_GP_ABS">"c4092"</definedName>
    <definedName name="IQ_GEO_SEG_GP_TOTAL">"c4120"</definedName>
    <definedName name="IQ_GEO_SEG_INC_TAX">"c4081"</definedName>
    <definedName name="IQ_GEO_SEG_INC_TAX_ABS">"c4103"</definedName>
    <definedName name="IQ_GEO_SEG_INC_TAX_TOTAL">"c4125"</definedName>
    <definedName name="IQ_GEO_SEG_INTEREST_EXP">"c4080"</definedName>
    <definedName name="IQ_GEO_SEG_INTEREST_EXP_ABS">"c4102"</definedName>
    <definedName name="IQ_GEO_SEG_INTEREST_EXP_TOTAL">"c4124"</definedName>
    <definedName name="IQ_GEO_SEG_NAME">"c5484"</definedName>
    <definedName name="IQ_GEO_SEG_NAME_ABS">"c5485"</definedName>
    <definedName name="IQ_GEO_SEG_NI">"c4071"</definedName>
    <definedName name="IQ_GEO_SEG_NI_ABS">"c4093"</definedName>
    <definedName name="IQ_GEO_SEG_NI_TOTAL">"c4122"</definedName>
    <definedName name="IQ_GEO_SEG_OPER_INC">"c4075"</definedName>
    <definedName name="IQ_GEO_SEG_OPER_INC_ABS">"c4097"</definedName>
    <definedName name="IQ_GEO_SEG_OPER_INC_TOTAL">"c4118"</definedName>
    <definedName name="IQ_GEO_SEG_REV">"c4074"</definedName>
    <definedName name="IQ_GEO_SEG_REV_ABS">"c4096"</definedName>
    <definedName name="IQ_GEO_SEG_REV_TOTAL">"c4117"</definedName>
    <definedName name="IQ_GOODWILL_NET">"c1380"</definedName>
    <definedName name="IQ_GP">"c511"</definedName>
    <definedName name="IQ_GP_10YR_ANN_CAGR">"c6090"</definedName>
    <definedName name="IQ_GP_10YR_ANN_GROWTH">"c512"</definedName>
    <definedName name="IQ_GP_1YR_ANN_GROWTH">"c513"</definedName>
    <definedName name="IQ_GP_2YR_ANN_CAGR">"c6091"</definedName>
    <definedName name="IQ_GP_2YR_ANN_GROWTH">"c514"</definedName>
    <definedName name="IQ_GP_3YR_ANN_CAGR">"c6092"</definedName>
    <definedName name="IQ_GP_3YR_ANN_GROWTH">"c515"</definedName>
    <definedName name="IQ_GP_5YR_ANN_CAGR">"c6093"</definedName>
    <definedName name="IQ_GP_5YR_ANN_GROWTH">"c516"</definedName>
    <definedName name="IQ_GP_7YR_ANN_CAGR">"c6094"</definedName>
    <definedName name="IQ_GP_7YR_ANN_GROWTH">"c517"</definedName>
    <definedName name="IQ_GPPE">"c518"</definedName>
    <definedName name="IQ_GROSS_AH_EARNED">"c2742"</definedName>
    <definedName name="IQ_GROSS_CLAIM_EXP_INCUR">"c2755"</definedName>
    <definedName name="IQ_GROSS_CLAIM_EXP_PAID">"c2758"</definedName>
    <definedName name="IQ_GROSS_CLAIM_EXP_RES">"c2752"</definedName>
    <definedName name="IQ_GROSS_DIVID">"c1446"</definedName>
    <definedName name="IQ_GROSS_EARNED">"c2732"</definedName>
    <definedName name="IQ_GROSS_LIFE_EARNED">"c2737"</definedName>
    <definedName name="IQ_GROSS_LIFE_IN_FORCE">"c2767"</definedName>
    <definedName name="IQ_GROSS_LOANS">"c521"</definedName>
    <definedName name="IQ_GROSS_LOANS_10YR_ANN_CAGR">"c6095"</definedName>
    <definedName name="IQ_GROSS_LOANS_10YR_ANN_GROWTH">"c522"</definedName>
    <definedName name="IQ_GROSS_LOANS_1YR_ANN_GROWTH">"c523"</definedName>
    <definedName name="IQ_GROSS_LOANS_2YR_ANN_CAGR">"c6096"</definedName>
    <definedName name="IQ_GROSS_LOANS_2YR_ANN_GROWTH">"c524"</definedName>
    <definedName name="IQ_GROSS_LOANS_3YR_ANN_CAGR">"c6097"</definedName>
    <definedName name="IQ_GROSS_LOANS_3YR_ANN_GROWTH">"c525"</definedName>
    <definedName name="IQ_GROSS_LOANS_5YR_ANN_CAGR">"c6098"</definedName>
    <definedName name="IQ_GROSS_LOANS_5YR_ANN_GROWTH">"c526"</definedName>
    <definedName name="IQ_GROSS_LOANS_7YR_ANN_CAGR">"c6099"</definedName>
    <definedName name="IQ_GROSS_LOANS_7YR_ANN_GROWTH">"c527"</definedName>
    <definedName name="IQ_GROSS_LOANS_TOTAL_DEPOSITS">"c528"</definedName>
    <definedName name="IQ_GROSS_MARGIN">"c529"</definedName>
    <definedName name="IQ_GROSS_MARGIN_ACT_OR_EST">"c5554"</definedName>
    <definedName name="IQ_GROSS_MARGIN_EST">"c5547"</definedName>
    <definedName name="IQ_GROSS_MARGIN_HIGH_EST">"c5549"</definedName>
    <definedName name="IQ_GROSS_MARGIN_LOW_EST">"c5550"</definedName>
    <definedName name="IQ_GROSS_MARGIN_MEDIAN_EST">"c5548"</definedName>
    <definedName name="IQ_GROSS_MARGIN_NUM_EST">"c5551"</definedName>
    <definedName name="IQ_GROSS_MARGIN_STDDEV_EST">"c5552"</definedName>
    <definedName name="IQ_GROSS_PC_EARNED">"c2747"</definedName>
    <definedName name="IQ_GROSS_PROFIT">"c1378"</definedName>
    <definedName name="IQ_GROSS_SPRD">"c2155"</definedName>
    <definedName name="IQ_GROSS_WRITTEN">"c2726"</definedName>
    <definedName name="IQ_GW">"c530"</definedName>
    <definedName name="IQ_GW_AMORT_BR">"c532"</definedName>
    <definedName name="IQ_GW_AMORT_FIN">"c540"</definedName>
    <definedName name="IQ_GW_AMORT_INS">"c541"</definedName>
    <definedName name="IQ_GW_AMORT_REIT">"c542"</definedName>
    <definedName name="IQ_GW_AMORT_UTI">"c543"</definedName>
    <definedName name="IQ_GW_INTAN_AMORT">"c1469"</definedName>
    <definedName name="IQ_GW_INTAN_AMORT_BNK">"c544"</definedName>
    <definedName name="IQ_GW_INTAN_AMORT_BR">"c1470"</definedName>
    <definedName name="IQ_GW_INTAN_AMORT_CF">"c1471"</definedName>
    <definedName name="IQ_GW_INTAN_AMORT_CF_BNK">"c1472"</definedName>
    <definedName name="IQ_GW_INTAN_AMORT_CF_BR">"c1473"</definedName>
    <definedName name="IQ_GW_INTAN_AMORT_CF_FIN">"c1474"</definedName>
    <definedName name="IQ_GW_INTAN_AMORT_CF_INS">"c1475"</definedName>
    <definedName name="IQ_GW_INTAN_AMORT_CF_RE">"c6279"</definedName>
    <definedName name="IQ_GW_INTAN_AMORT_CF_REIT">"c1476"</definedName>
    <definedName name="IQ_GW_INTAN_AMORT_CF_UTI">"c1477"</definedName>
    <definedName name="IQ_GW_INTAN_AMORT_FIN">"c1478"</definedName>
    <definedName name="IQ_GW_INTAN_AMORT_INS">"c1479"</definedName>
    <definedName name="IQ_GW_INTAN_AMORT_RE">"c6280"</definedName>
    <definedName name="IQ_GW_INTAN_AMORT_REIT">"c1480"</definedName>
    <definedName name="IQ_GW_INTAN_AMORT_UTI">"c1481"</definedName>
    <definedName name="IQ_HC_ADMISSIONS">"c5953"</definedName>
    <definedName name="IQ_HC_ADMISSIONS_GROWTH">"c5997"</definedName>
    <definedName name="IQ_HC_ADMISSIONS_MANAGED_CARE">"c5956"</definedName>
    <definedName name="IQ_HC_ADMISSIONS_MEDICAID">"c5955"</definedName>
    <definedName name="IQ_HC_ADMISSIONS_MEDICARE">"c5954"</definedName>
    <definedName name="IQ_HC_ADMISSIONS_OTHER">"c5957"</definedName>
    <definedName name="IQ_HC_ADMISSIONS_SF">"c6006"</definedName>
    <definedName name="IQ_HC_ALFS">"c5952"</definedName>
    <definedName name="IQ_HC_AVG_BEDS_SVC">"c5951"</definedName>
    <definedName name="IQ_HC_AVG_DAILY_CENSUS">"c5965"</definedName>
    <definedName name="IQ_HC_AVG_LICENSED_BEDS">"c5949"</definedName>
    <definedName name="IQ_HC_AVG_LICENSED_BEDS_SF">"c6004"</definedName>
    <definedName name="IQ_HC_AVG_STAY">"c5966"</definedName>
    <definedName name="IQ_HC_AVG_STAY_SF">"c6016"</definedName>
    <definedName name="IQ_HC_BEDS_SVC">"c5950"</definedName>
    <definedName name="IQ_HC_DAYS_REV_OUT">"c5993"</definedName>
    <definedName name="IQ_HC_EQUIV_ADMISSIONS_GROWTH">"c5998"</definedName>
    <definedName name="IQ_HC_EQUIVALENT_ADMISSIONS">"c5958"</definedName>
    <definedName name="IQ_HC_EQUIVALENT_ADMISSIONS_SF">"c6007"</definedName>
    <definedName name="IQ_HC_ER_VISITS">"c5964"</definedName>
    <definedName name="IQ_HC_ER_VISITS_SF">"c6017"</definedName>
    <definedName name="IQ_HC_GROSS_INPATIENT_REV">"c5987"</definedName>
    <definedName name="IQ_HC_GROSS_OUTPATIENT_REV">"c5988"</definedName>
    <definedName name="IQ_HC_GROSS_PATIENT_REV">"c5989"</definedName>
    <definedName name="IQ_HC_HOSP_FACILITIES_CONSOL">"c5945"</definedName>
    <definedName name="IQ_HC_HOSP_FACILITIES_CONSOL_SF">"c6000"</definedName>
    <definedName name="IQ_HC_HOSP_FACILITIES_NON_CONSOL">"c5946"</definedName>
    <definedName name="IQ_HC_HOSP_FACILITIES_NON_CONSOL_SF">"c6001"</definedName>
    <definedName name="IQ_HC_HOSP_FACILITIES_TOTAL">"c5947"</definedName>
    <definedName name="IQ_HC_HOSP_FACILITIES_TOTAL_SF">"c6002"</definedName>
    <definedName name="IQ_HC_INPATIENT_PROCEDURES">"c5961"</definedName>
    <definedName name="IQ_HC_INPATIENT_PROCEDURES_SF">"c6011"</definedName>
    <definedName name="IQ_HC_INPATIENT_REV_PER_ADMISSION">"c5994"</definedName>
    <definedName name="IQ_HC_INTPATIENT_SVCS_PCT_REV">"c5975"</definedName>
    <definedName name="IQ_HC_INTPATIENT_SVCS_PCT_REV_SF">"c6015"</definedName>
    <definedName name="IQ_HC_LICENSED_BEDS">"c5948"</definedName>
    <definedName name="IQ_HC_LICENSED_BEDS_SF">"c6003"</definedName>
    <definedName name="IQ_HC_MANAGED_CARE_PCT_ADMISSIONS">"c5982"</definedName>
    <definedName name="IQ_HC_MANAGED_CARE_PCT_REV">"c5978"</definedName>
    <definedName name="IQ_HC_MEDICAID_PCT_ADMISSIONS">"c5981"</definedName>
    <definedName name="IQ_HC_MEDICAID_PCT_REV">"c5977"</definedName>
    <definedName name="IQ_HC_MEDICARE_PCT_ADMISSIONS">"c5980"</definedName>
    <definedName name="IQ_HC_MEDICARE_PCT_REV">"c5976"</definedName>
    <definedName name="IQ_HC_NET_INPATIENT_REV">"c5984"</definedName>
    <definedName name="IQ_HC_NET_OUTPATIENT_REV">"c5985"</definedName>
    <definedName name="IQ_HC_NET_PATIENT_REV">"c5986"</definedName>
    <definedName name="IQ_HC_NET_PATIENT_REV_SF">"c6005"</definedName>
    <definedName name="IQ_HC_OCC_RATE">"c5967"</definedName>
    <definedName name="IQ_HC_OCC_RATE_LICENSED_BEDS">"c5968"</definedName>
    <definedName name="IQ_HC_OCC_RATE_SF">"c6009"</definedName>
    <definedName name="IQ_HC_OPEX_SUPPLIES">"c5990"</definedName>
    <definedName name="IQ_HC_OTHER_OPEX_PCT_REV">"c5973"</definedName>
    <definedName name="IQ_HC_OUTPATIENT_PROCEDURES">"c5962"</definedName>
    <definedName name="IQ_HC_OUTPATIENT_PROCEDURES_SF">"c6012"</definedName>
    <definedName name="IQ_HC_OUTPATIENT_REV_PER_ADMISSION">"c5995"</definedName>
    <definedName name="IQ_HC_OUTPATIENT_SVCS_PCT_REV">"c5974"</definedName>
    <definedName name="IQ_HC_OUTPATIENT_SVCS_PCT_REV_SF">"c6014"</definedName>
    <definedName name="IQ_HC_PATIENT_DAYS">"c5960"</definedName>
    <definedName name="IQ_HC_PATIENT_DAYS_SF">"c6010"</definedName>
    <definedName name="IQ_HC_PROF_GEN_LIAB_CLAIM_PAID">"c5991"</definedName>
    <definedName name="IQ_HC_PROF_GEN_LIAB_EXP_BENEFIT">"c5992"</definedName>
    <definedName name="IQ_HC_PROVISION_DOUBTFUL_PCT_REV">"c5972"</definedName>
    <definedName name="IQ_HC_REV_GROWTH">"c5996"</definedName>
    <definedName name="IQ_HC_REV_PER_EQUIV_ADMISSION">"c5959"</definedName>
    <definedName name="IQ_HC_REV_PER_EQUIV_ADMISSION_SF">"c6008"</definedName>
    <definedName name="IQ_HC_REV_PER_EQUIV_ADMISSIONS_GROWTH">"c5999"</definedName>
    <definedName name="IQ_HC_REV_PER_PATIENT_DAY">"c5969"</definedName>
    <definedName name="IQ_HC_REV_PER_PATIENT_DAY_SF">"c6018"</definedName>
    <definedName name="IQ_HC_SALARIES_PCT_REV">"c5970"</definedName>
    <definedName name="IQ_HC_SUPPLIES_PCT_REV">"c5971"</definedName>
    <definedName name="IQ_HC_TOTAL_PROCEDURES">"c5963"</definedName>
    <definedName name="IQ_HC_TOTAL_PROCEDURES_SF">"c6013"</definedName>
    <definedName name="IQ_HC_UNINSURED_PCT_ADMISSIONS">"c5983"</definedName>
    <definedName name="IQ_HC_UNINSURED_PCT_REV">"c5979"</definedName>
    <definedName name="IQ_HIGH_TARGET_PRICE">"c1651"</definedName>
    <definedName name="IQ_HIGH_TARGET_PRICE_REUT">"c5317"</definedName>
    <definedName name="IQ_HIGHPRICE">"c545"</definedName>
    <definedName name="IQ_HOME_AVG_LOAN_SIZE">"c5911"</definedName>
    <definedName name="IQ_HOME_BACKLOG">"c5844"</definedName>
    <definedName name="IQ_HOME_BACKLOG_AVG_JV">"c5848"</definedName>
    <definedName name="IQ_HOME_BACKLOG_AVG_JV_GROWTH">"c5928"</definedName>
    <definedName name="IQ_HOME_BACKLOG_AVG_JV_INC">"c5851"</definedName>
    <definedName name="IQ_HOME_BACKLOG_AVG_JV_INC_GROWTH">"c5931"</definedName>
    <definedName name="IQ_HOME_BACKLOG_AVG_PRICE">"c5845"</definedName>
    <definedName name="IQ_HOME_BACKLOG_AVG_PRICE_GROWTH">"c5925"</definedName>
    <definedName name="IQ_HOME_BACKLOG_GROWTH">"c5924"</definedName>
    <definedName name="IQ_HOME_BACKLOG_JV">"c5847"</definedName>
    <definedName name="IQ_HOME_BACKLOG_JV_GROWTH">"c5927"</definedName>
    <definedName name="IQ_HOME_BACKLOG_JV_INC">"c5850"</definedName>
    <definedName name="IQ_HOME_BACKLOG_JV_INC_GROWTH">"c5930"</definedName>
    <definedName name="IQ_HOME_BACKLOG_VALUE">"c5846"</definedName>
    <definedName name="IQ_HOME_BACKLOG_VALUE_GROWTH">"c5926"</definedName>
    <definedName name="IQ_HOME_BACKLOG_VALUE_JV">"c5849"</definedName>
    <definedName name="IQ_HOME_BACKLOG_VALUE_JV_GROWTH">"c5929"</definedName>
    <definedName name="IQ_HOME_BACKLOG_VALUE_JV_INC">"c5852"</definedName>
    <definedName name="IQ_HOME_BACKLOG_VALUE_JV_INC_GROWTH">"c5932"</definedName>
    <definedName name="IQ_HOME_COMMUNITIES_ACTIVE">"c5862"</definedName>
    <definedName name="IQ_HOME_COMMUNITIES_ACTIVE_GROWTH">"c5942"</definedName>
    <definedName name="IQ_HOME_COMMUNITIES_ACTIVE_JV">"c5863"</definedName>
    <definedName name="IQ_HOME_COMMUNITIES_ACTIVE_JV_GROWTH">"c5943"</definedName>
    <definedName name="IQ_HOME_COMMUNITIES_ACTIVE_JV_INC">"c5864"</definedName>
    <definedName name="IQ_HOME_COMMUNITIES_ACTIVE_JV_INC_GROWTH">"c5944"</definedName>
    <definedName name="IQ_HOME_COST_CONSTRUCTION_SVCS">"c5882"</definedName>
    <definedName name="IQ_HOME_COST_ELIMINATIONS_OTHER">"c5883"</definedName>
    <definedName name="IQ_HOME_COST_FINANCIAL_SVCS">"c5881"</definedName>
    <definedName name="IQ_HOME_COST_HOUSING">"c5877"</definedName>
    <definedName name="IQ_HOME_COST_LAND_LOT">"c5878"</definedName>
    <definedName name="IQ_HOME_COST_OTHER_HOMEBUILDING">"c5879"</definedName>
    <definedName name="IQ_HOME_COST_TOTAL">"c5884"</definedName>
    <definedName name="IQ_HOME_COST_TOTAL_HOMEBUILDING">"c5880"</definedName>
    <definedName name="IQ_HOME_DELIVERED">"c5835"</definedName>
    <definedName name="IQ_HOME_DELIVERED_AVG_PRICE">"c5836"</definedName>
    <definedName name="IQ_HOME_DELIVERED_AVG_PRICE_GROWTH">"c5916"</definedName>
    <definedName name="IQ_HOME_DELIVERED_AVG_PRICE_JV">"c5839"</definedName>
    <definedName name="IQ_HOME_DELIVERED_AVG_PRICE_JV_GROWTH">"c5919"</definedName>
    <definedName name="IQ_HOME_DELIVERED_AVG_PRICE_JV_INC">"c5842"</definedName>
    <definedName name="IQ_HOME_DELIVERED_AVG_PRICE_JV_INC_GROWTH">"c5922"</definedName>
    <definedName name="IQ_HOME_DELIVERED_GROWTH">"c5915"</definedName>
    <definedName name="IQ_HOME_DELIVERED_JV">"c5838"</definedName>
    <definedName name="IQ_HOME_DELIVERED_JV_GROWTH">"c5918"</definedName>
    <definedName name="IQ_HOME_DELIVERED_JV_INC">"c5841"</definedName>
    <definedName name="IQ_HOME_DELIVERED_JV_INC_GROWTH">"c5921"</definedName>
    <definedName name="IQ_HOME_DELIVERED_VALUE">"c5837"</definedName>
    <definedName name="IQ_HOME_DELIVERED_VALUE_GROWTH">"c5917"</definedName>
    <definedName name="IQ_HOME_DELIVERED_VALUE_JV">"c5840"</definedName>
    <definedName name="IQ_HOME_DELIVERED_VALUE_JV_GROWTH">"c5920"</definedName>
    <definedName name="IQ_HOME_DELIVERED_VALUE_JV_INC">"c5843"</definedName>
    <definedName name="IQ_HOME_DELIVERED_VALUE_JV_INC_GROWTH">"c5923"</definedName>
    <definedName name="IQ_HOME_FINISHED_HOMES_CIP">"c5865"</definedName>
    <definedName name="IQ_HOME_FIRSTLIEN_MORT_ORIGINATED">"c5905"</definedName>
    <definedName name="IQ_HOME_FIRSTLIEN_MORT_ORIGINATED_VOL">"c5908"</definedName>
    <definedName name="IQ_HOME_HUC">"c5822"</definedName>
    <definedName name="IQ_HOME_HUC_JV">"c5823"</definedName>
    <definedName name="IQ_HOME_HUC_JV_INC">"c5824"</definedName>
    <definedName name="IQ_HOME_INV_NOT_OWNED">"c5868"</definedName>
    <definedName name="IQ_HOME_LAND_DEVELOPMENT">"c5866"</definedName>
    <definedName name="IQ_HOME_LAND_FUTURE_DEVELOPMENT">"c5867"</definedName>
    <definedName name="IQ_HOME_LOAN_APPLICATIONS">"c5910"</definedName>
    <definedName name="IQ_HOME_LOANS_SOLD_COUNT">"c5912"</definedName>
    <definedName name="IQ_HOME_LOANS_SOLD_VALUE">"c5913"</definedName>
    <definedName name="IQ_HOME_LOTS_CONTROLLED">"c5831"</definedName>
    <definedName name="IQ_HOME_LOTS_FINISHED">"c5827"</definedName>
    <definedName name="IQ_HOME_LOTS_HELD_SALE">"c5830"</definedName>
    <definedName name="IQ_HOME_LOTS_JV">"c5833"</definedName>
    <definedName name="IQ_HOME_LOTS_JV_INC">"c5834"</definedName>
    <definedName name="IQ_HOME_LOTS_OTHER">"c5832"</definedName>
    <definedName name="IQ_HOME_LOTS_OWNED">"c5828"</definedName>
    <definedName name="IQ_HOME_LOTS_UNDER_DEVELOPMENT">"c5826"</definedName>
    <definedName name="IQ_HOME_LOTS_UNDER_OPTION">"c5829"</definedName>
    <definedName name="IQ_HOME_LOTS_UNDEVELOPED">"c5825"</definedName>
    <definedName name="IQ_HOME_MORT_CAPTURE_RATE">"c5906"</definedName>
    <definedName name="IQ_HOME_MORT_ORIGINATED">"c5907"</definedName>
    <definedName name="IQ_HOME_OBLIGATIONS_INV_NOT_OWNED">"c5914"</definedName>
    <definedName name="IQ_HOME_ORDERS">"c5853"</definedName>
    <definedName name="IQ_HOME_ORDERS_AVG_PRICE">"c5854"</definedName>
    <definedName name="IQ_HOME_ORDERS_AVG_PRICE_GROWTH">"c5934"</definedName>
    <definedName name="IQ_HOME_ORDERS_AVG_PRICE_JV">"c5857"</definedName>
    <definedName name="IQ_HOME_ORDERS_AVG_PRICE_JV_GROWTH">"c5937"</definedName>
    <definedName name="IQ_HOME_ORDERS_AVG_PRICE_JV_INC">"c5860"</definedName>
    <definedName name="IQ_HOME_ORDERS_AVG_PRICE_JV_INC_GROWTH">"c5940"</definedName>
    <definedName name="IQ_HOME_ORDERS_GROWTH">"c5933"</definedName>
    <definedName name="IQ_HOME_ORDERS_JV">"c5856"</definedName>
    <definedName name="IQ_HOME_ORDERS_JV_GROWTH">"c5936"</definedName>
    <definedName name="IQ_HOME_ORDERS_JV_INC">"c5859"</definedName>
    <definedName name="IQ_HOME_ORDERS_JV_INC_GROWTH">"c5939"</definedName>
    <definedName name="IQ_HOME_ORDERS_VALUE">"c5855"</definedName>
    <definedName name="IQ_HOME_ORDERS_VALUE_GROWTH">"c5935"</definedName>
    <definedName name="IQ_HOME_ORDERS_VALUE_JV">"c5858"</definedName>
    <definedName name="IQ_HOME_ORDERS_VALUE_JV_GROWTH">"c5938"</definedName>
    <definedName name="IQ_HOME_ORDERS_VALUE_JV_INC">"c5861"</definedName>
    <definedName name="IQ_HOME_ORDERS_VALUE_JV_INC_GROWTH">"c5941"</definedName>
    <definedName name="IQ_HOME_ORIGINATION_TOTAL">"c5909"</definedName>
    <definedName name="IQ_HOME_PRETAX_INC_CONSTRUCTION_SVCS">"c5890"</definedName>
    <definedName name="IQ_HOME_PRETAX_INC_ELIMINATIONS_OTHER">"c5891"</definedName>
    <definedName name="IQ_HOME_PRETAX_INC_FINANCIAL_SVCS">"c5889"</definedName>
    <definedName name="IQ_HOME_PRETAX_INC_HOUSING">"c5885"</definedName>
    <definedName name="IQ_HOME_PRETAX_INC_LAND_LOT">"c5886"</definedName>
    <definedName name="IQ_HOME_PRETAX_INC_OTHER_HOMEBUILDING">"c5887"</definedName>
    <definedName name="IQ_HOME_PRETAX_INC_TOTAL">"c5892"</definedName>
    <definedName name="IQ_HOME_PRETAX_INC_TOTAL_HOMEBUILDING">"c5888"</definedName>
    <definedName name="IQ_HOME_PURCH_OBLIGATION_1YR">"c5898"</definedName>
    <definedName name="IQ_HOME_PURCH_OBLIGATION_2YR">"c5899"</definedName>
    <definedName name="IQ_HOME_PURCH_OBLIGATION_3YR">"c5900"</definedName>
    <definedName name="IQ_HOME_PURCH_OBLIGATION_4YR">"c5901"</definedName>
    <definedName name="IQ_HOME_PURCH_OBLIGATION_5YR">"c5902"</definedName>
    <definedName name="IQ_HOME_PURCH_OBLIGATION_AFTER5">"c5903"</definedName>
    <definedName name="IQ_HOME_PURCH_OBLIGATION_TOTAL">"c5904"</definedName>
    <definedName name="IQ_HOME_REV_CONSTRUCTION_SERVICES">"c5874"</definedName>
    <definedName name="IQ_HOME_REV_ELIMINATIONS_OTHER">"c5875"</definedName>
    <definedName name="IQ_HOME_REV_FINANCIAL_SERVICES">"c5873"</definedName>
    <definedName name="IQ_HOME_REV_HOUSING">"c5872"</definedName>
    <definedName name="IQ_HOME_REV_LAND_LOT">"c5870"</definedName>
    <definedName name="IQ_HOME_REV_OTHER_HOMEBUILDING">"c5871"</definedName>
    <definedName name="IQ_HOME_REV_TOTAL">"c5876"</definedName>
    <definedName name="IQ_HOME_TOTAL_INV">"c5869"</definedName>
    <definedName name="IQ_HOME_WARRANTY_RES_BEG">"c5893"</definedName>
    <definedName name="IQ_HOME_WARRANTY_RES_END">"c5897"</definedName>
    <definedName name="IQ_HOME_WARRANTY_RES_ISS">"c5894"</definedName>
    <definedName name="IQ_HOME_WARRANTY_RES_OTHER">"c5896"</definedName>
    <definedName name="IQ_HOME_WARRANTY_RES_PAY">"c5895"</definedName>
    <definedName name="IQ_HOMEOWNERS_WRITTEN">"c546"</definedName>
    <definedName name="IQ_IMPAIR_OIL">"c547"</definedName>
    <definedName name="IQ_IMPAIRMENT_GW">"c548"</definedName>
    <definedName name="IQ_IMPUT_OPER_LEASE_DEPR">"c2987"</definedName>
    <definedName name="IQ_IMPUT_OPER_LEASE_INT_EXP">"c2986"</definedName>
    <definedName name="IQ_INC_AFTER_TAX">"c1598"</definedName>
    <definedName name="IQ_INC_AVAIL_EXCL">"c1395"</definedName>
    <definedName name="IQ_INC_AVAIL_INCL">"c1396"</definedName>
    <definedName name="IQ_INC_BEFORE_TAX">"c1375"</definedName>
    <definedName name="IQ_INC_EQUITY">"c549"</definedName>
    <definedName name="IQ_INC_EQUITY_BR">"c550"</definedName>
    <definedName name="IQ_INC_EQUITY_CF">"c551"</definedName>
    <definedName name="IQ_INC_EQUITY_FIN">"c552"</definedName>
    <definedName name="IQ_INC_EQUITY_INS">"c553"</definedName>
    <definedName name="IQ_INC_EQUITY_RE">"c6222"</definedName>
    <definedName name="IQ_INC_EQUITY_REC_BNK">"c554"</definedName>
    <definedName name="IQ_INC_EQUITY_REIT">"c555"</definedName>
    <definedName name="IQ_INC_EQUITY_REV_BNK">"c556"</definedName>
    <definedName name="IQ_INC_EQUITY_UTI">"c557"</definedName>
    <definedName name="IQ_INC_REAL_ESTATE_REC">"c558"</definedName>
    <definedName name="IQ_INC_REAL_ESTATE_REV">"c559"</definedName>
    <definedName name="IQ_INC_TAX">"c560"</definedName>
    <definedName name="IQ_INC_TAX_EXCL">"c1599"</definedName>
    <definedName name="IQ_INC_TAX_PAY_CURRENT">"c561"</definedName>
    <definedName name="IQ_INC_TRADE_ACT">"c562"</definedName>
    <definedName name="IQ_INDUSTRY">"c3601"</definedName>
    <definedName name="IQ_INDUSTRY_GROUP">"c3602"</definedName>
    <definedName name="IQ_INDUSTRY_SECTOR">"c3603"</definedName>
    <definedName name="IQ_INS_ANNUITY_LIAB">"c563"</definedName>
    <definedName name="IQ_INS_ANNUITY_REV">"c2788"</definedName>
    <definedName name="IQ_INS_DIV_EXP">"c564"</definedName>
    <definedName name="IQ_INS_DIV_REV">"c565"</definedName>
    <definedName name="IQ_INS_IN_FORCE">"c566"</definedName>
    <definedName name="IQ_INS_LIAB">"c567"</definedName>
    <definedName name="IQ_INS_POLICY_EXP">"c568"</definedName>
    <definedName name="IQ_INS_REV">"c569"</definedName>
    <definedName name="IQ_INS_SETTLE">"c570"</definedName>
    <definedName name="IQ_INS_SETTLE_BNK">"c571"</definedName>
    <definedName name="IQ_INS_SETTLE_BR">"c572"</definedName>
    <definedName name="IQ_INS_SETTLE_FIN">"c573"</definedName>
    <definedName name="IQ_INS_SETTLE_INS">"c574"</definedName>
    <definedName name="IQ_INS_SETTLE_RE">"c6223"</definedName>
    <definedName name="IQ_INS_SETTLE_REIT">"c575"</definedName>
    <definedName name="IQ_INS_SETTLE_UTI">"c576"</definedName>
    <definedName name="IQ_INSIDER_3MTH_BOUGHT_PCT">"c1534"</definedName>
    <definedName name="IQ_INSIDER_3MTH_NET_PCT">"c1535"</definedName>
    <definedName name="IQ_INSIDER_3MTH_SOLD_PCT">"c1533"</definedName>
    <definedName name="IQ_INSIDER_6MTH_BOUGHT_PCT">"c1537"</definedName>
    <definedName name="IQ_INSIDER_6MTH_NET_PCT">"c1538"</definedName>
    <definedName name="IQ_INSIDER_6MTH_SOLD_PCT">"c1536"</definedName>
    <definedName name="IQ_INSIDER_OVER_TOTAL">"c1581"</definedName>
    <definedName name="IQ_INSIDER_OWNER">"c577"</definedName>
    <definedName name="IQ_INSIDER_PERCENT">"c578"</definedName>
    <definedName name="IQ_INSIDER_SHARES">"c579"</definedName>
    <definedName name="IQ_INSTITUTIONAL_OVER_TOTAL">"c1580"</definedName>
    <definedName name="IQ_INSTITUTIONAL_OWNER">"c580"</definedName>
    <definedName name="IQ_INSTITUTIONAL_PERCENT">"c581"</definedName>
    <definedName name="IQ_INSTITUTIONAL_SHARES">"c582"</definedName>
    <definedName name="IQ_INSUR_RECEIV">"c1600"</definedName>
    <definedName name="IQ_INT_BORROW">"c583"</definedName>
    <definedName name="IQ_INT_DEPOSITS">"c584"</definedName>
    <definedName name="IQ_INT_DIV_INC">"c585"</definedName>
    <definedName name="IQ_INT_EXP_BR">"c586"</definedName>
    <definedName name="IQ_INT_EXP_COVERAGE">"c587"</definedName>
    <definedName name="IQ_INT_EXP_FIN">"c588"</definedName>
    <definedName name="IQ_INT_EXP_INCL_CAP">"c2988"</definedName>
    <definedName name="IQ_INT_EXP_INS">"c589"</definedName>
    <definedName name="IQ_INT_EXP_LTD">"c2086"</definedName>
    <definedName name="IQ_INT_EXP_RE">"c6224"</definedName>
    <definedName name="IQ_INT_EXP_REIT">"c590"</definedName>
    <definedName name="IQ_INT_EXP_TOTAL">"c591"</definedName>
    <definedName name="IQ_INT_EXP_UTI">"c592"</definedName>
    <definedName name="IQ_INT_INC_BR">"c593"</definedName>
    <definedName name="IQ_INT_INC_FIN">"c594"</definedName>
    <definedName name="IQ_INT_INC_INVEST">"c595"</definedName>
    <definedName name="IQ_INT_INC_LOANS">"c596"</definedName>
    <definedName name="IQ_INT_INC_RE">"c6225"</definedName>
    <definedName name="IQ_INT_INC_REIT">"c597"</definedName>
    <definedName name="IQ_INT_INC_TOTAL">"c598"</definedName>
    <definedName name="IQ_INT_INC_UTI">"c599"</definedName>
    <definedName name="IQ_INT_INV_INC">"c600"</definedName>
    <definedName name="IQ_INT_INV_INC_RE">"c6226"</definedName>
    <definedName name="IQ_INT_INV_INC_REIT">"c601"</definedName>
    <definedName name="IQ_INT_INV_INC_UTI">"c602"</definedName>
    <definedName name="IQ_INT_ON_BORROWING_COVERAGE">"c603"</definedName>
    <definedName name="IQ_INT_RATE_SPREAD">"c604"</definedName>
    <definedName name="IQ_INTANGIBLES_NET">"c1407"</definedName>
    <definedName name="IQ_INTEREST_CASH_DEPOSITS">"c2255"</definedName>
    <definedName name="IQ_INTEREST_EXP">"c618"</definedName>
    <definedName name="IQ_INTEREST_EXP_NET">"c1450"</definedName>
    <definedName name="IQ_INTEREST_EXP_NON">"c1383"</definedName>
    <definedName name="IQ_INTEREST_EXP_SUPPL">"c1460"</definedName>
    <definedName name="IQ_INTEREST_INC">"c1393"</definedName>
    <definedName name="IQ_INTEREST_INC_NON">"c1384"</definedName>
    <definedName name="IQ_INTEREST_INVEST_INC">"c619"</definedName>
    <definedName name="IQ_INV_10YR_ANN_CAGR">"c6164"</definedName>
    <definedName name="IQ_INV_10YR_ANN_GROWTH">"c1930"</definedName>
    <definedName name="IQ_INV_1YR_ANN_GROWTH">"c1925"</definedName>
    <definedName name="IQ_INV_2YR_ANN_CAGR">"c6160"</definedName>
    <definedName name="IQ_INV_2YR_ANN_GROWTH">"c1926"</definedName>
    <definedName name="IQ_INV_3YR_ANN_CAGR">"c6161"</definedName>
    <definedName name="IQ_INV_3YR_ANN_GROWTH">"c1927"</definedName>
    <definedName name="IQ_INV_5YR_ANN_CAGR">"c6162"</definedName>
    <definedName name="IQ_INV_5YR_ANN_GROWTH">"c1928"</definedName>
    <definedName name="IQ_INV_7YR_ANN_CAGR">"c6163"</definedName>
    <definedName name="IQ_INV_7YR_ANN_GROWTH">"c1929"</definedName>
    <definedName name="IQ_INV_BANKING_FEE">"c620"</definedName>
    <definedName name="IQ_INV_METHOD">"c621"</definedName>
    <definedName name="IQ_INVENTORY">"c622"</definedName>
    <definedName name="IQ_INVENTORY_TURNS">"c623"</definedName>
    <definedName name="IQ_INVENTORY_UTI">"c624"</definedName>
    <definedName name="IQ_INVEST_DEBT">"c625"</definedName>
    <definedName name="IQ_INVEST_EQUITY_PREF">"c626"</definedName>
    <definedName name="IQ_INVEST_FHLB">"c627"</definedName>
    <definedName name="IQ_INVEST_GOV_SECURITY">"c5510"</definedName>
    <definedName name="IQ_INVEST_LOANS_CF">"c628"</definedName>
    <definedName name="IQ_INVEST_LOANS_CF_BNK">"c629"</definedName>
    <definedName name="IQ_INVEST_LOANS_CF_BR">"c630"</definedName>
    <definedName name="IQ_INVEST_LOANS_CF_FIN">"c631"</definedName>
    <definedName name="IQ_INVEST_LOANS_CF_INS">"c632"</definedName>
    <definedName name="IQ_INVEST_LOANS_CF_RE">"c6227"</definedName>
    <definedName name="IQ_INVEST_LOANS_CF_REIT">"c633"</definedName>
    <definedName name="IQ_INVEST_LOANS_CF_UTI">"c634"</definedName>
    <definedName name="IQ_INVEST_MUNI_SECURITY">"c5512"</definedName>
    <definedName name="IQ_INVEST_REAL_ESTATE">"c635"</definedName>
    <definedName name="IQ_INVEST_SECURITY">"c636"</definedName>
    <definedName name="IQ_INVEST_SECURITY_CF">"c637"</definedName>
    <definedName name="IQ_INVEST_SECURITY_CF_BNK">"c638"</definedName>
    <definedName name="IQ_INVEST_SECURITY_CF_BR">"c639"</definedName>
    <definedName name="IQ_INVEST_SECURITY_CF_FIN">"c640"</definedName>
    <definedName name="IQ_INVEST_SECURITY_CF_INS">"c641"</definedName>
    <definedName name="IQ_INVEST_SECURITY_CF_RE">"c6228"</definedName>
    <definedName name="IQ_INVEST_SECURITY_CF_REIT">"c642"</definedName>
    <definedName name="IQ_INVEST_SECURITY_CF_UTI">"c643"</definedName>
    <definedName name="IQ_INVEST_SECURITY_SUPPL">"c5511"</definedName>
    <definedName name="IQ_IPRD">"c644"</definedName>
    <definedName name="IQ_ISS_DEBT_NET">"c1391"</definedName>
    <definedName name="IQ_ISS_STOCK_NET">"c1601"</definedName>
    <definedName name="IQ_ISSUE_CURRENCY">"c2156"</definedName>
    <definedName name="IQ_ISSUE_NAME">"c2142"</definedName>
    <definedName name="IQ_ISSUER">"c2143"</definedName>
    <definedName name="IQ_ISSUER_CIQID">"c2258"</definedName>
    <definedName name="IQ_ISSUER_PARENT">"c2144"</definedName>
    <definedName name="IQ_ISSUER_PARENT_CIQID">"c2260"</definedName>
    <definedName name="IQ_ISSUER_PARENT_TICKER">"c2259"</definedName>
    <definedName name="IQ_ISSUER_TICKER">"c2252"</definedName>
    <definedName name="IQ_JR_SUB_DEBT">"c2534"</definedName>
    <definedName name="IQ_JR_SUB_DEBT_EBITDA">"c2560"</definedName>
    <definedName name="IQ_JR_SUB_DEBT_EBITDA_CAPEX">"c2561"</definedName>
    <definedName name="IQ_JR_SUB_DEBT_PCT">"c2535"</definedName>
    <definedName name="IQ_LAND">"c645"</definedName>
    <definedName name="IQ_LAST_PMT_DATE">"c2188"</definedName>
    <definedName name="IQ_LAST_SPLIT_DATE">"c2095"</definedName>
    <definedName name="IQ_LAST_SPLIT_FACTOR">"c2093"</definedName>
    <definedName name="IQ_LASTPRICINGDATE">"c3051"</definedName>
    <definedName name="IQ_LASTSALEPRICE">"c646"</definedName>
    <definedName name="IQ_LASTSALEPRICE_DATE">"c2109"</definedName>
    <definedName name="IQ_LATESTK">1000</definedName>
    <definedName name="IQ_LATESTQ">500</definedName>
    <definedName name="IQ_LEGAL_SETTLE">"c647"</definedName>
    <definedName name="IQ_LEGAL_SETTLE_BNK">"c648"</definedName>
    <definedName name="IQ_LEGAL_SETTLE_BR">"c649"</definedName>
    <definedName name="IQ_LEGAL_SETTLE_FIN">"c650"</definedName>
    <definedName name="IQ_LEGAL_SETTLE_INS">"c651"</definedName>
    <definedName name="IQ_LEGAL_SETTLE_RE">"c6229"</definedName>
    <definedName name="IQ_LEGAL_SETTLE_REIT">"c652"</definedName>
    <definedName name="IQ_LEGAL_SETTLE_UTI">"c653"</definedName>
    <definedName name="IQ_LEVERAGE_RATIO">"c654"</definedName>
    <definedName name="IQ_LEVERED_FCF">"c1907"</definedName>
    <definedName name="IQ_LFCF_10YR_ANN_CAGR">"c6174"</definedName>
    <definedName name="IQ_LFCF_10YR_ANN_GROWTH">"c1942"</definedName>
    <definedName name="IQ_LFCF_1YR_ANN_GROWTH">"c1937"</definedName>
    <definedName name="IQ_LFCF_2YR_ANN_CAGR">"c6170"</definedName>
    <definedName name="IQ_LFCF_2YR_ANN_GROWTH">"c1938"</definedName>
    <definedName name="IQ_LFCF_3YR_ANN_CAGR">"c6171"</definedName>
    <definedName name="IQ_LFCF_3YR_ANN_GROWTH">"c1939"</definedName>
    <definedName name="IQ_LFCF_5YR_ANN_CAGR">"c6172"</definedName>
    <definedName name="IQ_LFCF_5YR_ANN_GROWTH">"c1940"</definedName>
    <definedName name="IQ_LFCF_7YR_ANN_CAGR">"c6173"</definedName>
    <definedName name="IQ_LFCF_7YR_ANN_GROWTH">"c1941"</definedName>
    <definedName name="IQ_LFCF_MARGIN">"c1961"</definedName>
    <definedName name="IQ_LH_STATUTORY_SURPLUS">"c2771"</definedName>
    <definedName name="IQ_LICENSED_POPS">"c2123"</definedName>
    <definedName name="IQ_LIFE_EARNED">"c2739"</definedName>
    <definedName name="IQ_LIFOR">"c655"</definedName>
    <definedName name="IQ_LL">"c656"</definedName>
    <definedName name="IQ_LOAN_LEASE_RECEIV">"c657"</definedName>
    <definedName name="IQ_LOAN_LOSS">"c1386"</definedName>
    <definedName name="IQ_LOAN_SERVICE_REV">"c658"</definedName>
    <definedName name="IQ_LOANS_CF">"c659"</definedName>
    <definedName name="IQ_LOANS_CF_BNK">"c660"</definedName>
    <definedName name="IQ_LOANS_CF_BR">"c661"</definedName>
    <definedName name="IQ_LOANS_CF_FIN">"c662"</definedName>
    <definedName name="IQ_LOANS_CF_INS">"c663"</definedName>
    <definedName name="IQ_LOANS_CF_RE">"c6230"</definedName>
    <definedName name="IQ_LOANS_CF_REIT">"c664"</definedName>
    <definedName name="IQ_LOANS_CF_UTI">"c665"</definedName>
    <definedName name="IQ_LOANS_FOR_SALE">"c666"</definedName>
    <definedName name="IQ_LOANS_PAST_DUE">"c667"</definedName>
    <definedName name="IQ_LOANS_RECEIV_CURRENT">"c668"</definedName>
    <definedName name="IQ_LOANS_RECEIV_LT">"c669"</definedName>
    <definedName name="IQ_LOANS_RECEIV_LT_UTI">"c670"</definedName>
    <definedName name="IQ_LONG_TERM_DEBT">"c1387"</definedName>
    <definedName name="IQ_LONG_TERM_DEBT_OVER_TOTAL_CAP">"c1388"</definedName>
    <definedName name="IQ_LONG_TERM_GROWTH">"c671"</definedName>
    <definedName name="IQ_LONG_TERM_INV">"c1389"</definedName>
    <definedName name="IQ_LOSS_LOSS_EXP">"c672"</definedName>
    <definedName name="IQ_LOSS_TO_NET_EARNED">"c2751"</definedName>
    <definedName name="IQ_LOW_TARGET_PRICE">"c1652"</definedName>
    <definedName name="IQ_LOW_TARGET_PRICE_REUT">"c5318"</definedName>
    <definedName name="IQ_LOWPRICE">"c673"</definedName>
    <definedName name="IQ_LT_DEBT">"c674"</definedName>
    <definedName name="IQ_LT_DEBT_BNK">"c675"</definedName>
    <definedName name="IQ_LT_DEBT_BR">"c676"</definedName>
    <definedName name="IQ_LT_DEBT_CAPITAL">"c677"</definedName>
    <definedName name="IQ_LT_DEBT_CAPITAL_LEASES">"c2542"</definedName>
    <definedName name="IQ_LT_DEBT_CAPITAL_LEASES_PCT">"c2543"</definedName>
    <definedName name="IQ_LT_DEBT_EQUITY">"c678"</definedName>
    <definedName name="IQ_LT_DEBT_FIN">"c679"</definedName>
    <definedName name="IQ_LT_DEBT_INS">"c680"</definedName>
    <definedName name="IQ_LT_DEBT_ISSUED">"c681"</definedName>
    <definedName name="IQ_LT_DEBT_ISSUED_BNK">"c682"</definedName>
    <definedName name="IQ_LT_DEBT_ISSUED_BR">"c683"</definedName>
    <definedName name="IQ_LT_DEBT_ISSUED_FIN">"c684"</definedName>
    <definedName name="IQ_LT_DEBT_ISSUED_INS">"c685"</definedName>
    <definedName name="IQ_LT_DEBT_ISSUED_RE">"c6231"</definedName>
    <definedName name="IQ_LT_DEBT_ISSUED_REIT">"c686"</definedName>
    <definedName name="IQ_LT_DEBT_ISSUED_UTI">"c687"</definedName>
    <definedName name="IQ_LT_DEBT_RE">"c6232"</definedName>
    <definedName name="IQ_LT_DEBT_REIT">"c688"</definedName>
    <definedName name="IQ_LT_DEBT_REPAID">"c689"</definedName>
    <definedName name="IQ_LT_DEBT_REPAID_BNK">"c690"</definedName>
    <definedName name="IQ_LT_DEBT_REPAID_BR">"c691"</definedName>
    <definedName name="IQ_LT_DEBT_REPAID_FIN">"c692"</definedName>
    <definedName name="IQ_LT_DEBT_REPAID_INS">"c693"</definedName>
    <definedName name="IQ_LT_DEBT_REPAID_RE">"c6233"</definedName>
    <definedName name="IQ_LT_DEBT_REPAID_REIT">"c694"</definedName>
    <definedName name="IQ_LT_DEBT_REPAID_UTI">"c695"</definedName>
    <definedName name="IQ_LT_DEBT_UTI">"c696"</definedName>
    <definedName name="IQ_LT_INVEST">"c697"</definedName>
    <definedName name="IQ_LT_INVEST_BR">"c698"</definedName>
    <definedName name="IQ_LT_INVEST_FIN">"c699"</definedName>
    <definedName name="IQ_LT_INVEST_RE">"c6234"</definedName>
    <definedName name="IQ_LT_INVEST_REIT">"c700"</definedName>
    <definedName name="IQ_LT_INVEST_UTI">"c701"</definedName>
    <definedName name="IQ_LT_NOTE_RECEIV">"c1602"</definedName>
    <definedName name="IQ_LTD_DUE_AFTER_FIVE">"c704"</definedName>
    <definedName name="IQ_LTD_DUE_CY">"c705"</definedName>
    <definedName name="IQ_LTD_DUE_CY1">"c706"</definedName>
    <definedName name="IQ_LTD_DUE_CY2">"c707"</definedName>
    <definedName name="IQ_LTD_DUE_CY3">"c708"</definedName>
    <definedName name="IQ_LTD_DUE_CY4">"c709"</definedName>
    <definedName name="IQ_LTD_DUE_NEXT_FIVE">"c710"</definedName>
    <definedName name="IQ_LTM">2000</definedName>
    <definedName name="IQ_LTM_REVENUE_OVER_EMPLOYEES">"c1437"</definedName>
    <definedName name="IQ_LTMMONTH">120000</definedName>
    <definedName name="IQ_MACHINERY">"c711"</definedName>
    <definedName name="IQ_MAINT_CAPEX">"c2947"</definedName>
    <definedName name="IQ_MAINT_CAPEX_ACT_OR_EST">"c4458"</definedName>
    <definedName name="IQ_MAINT_CAPEX_EST">"c4457"</definedName>
    <definedName name="IQ_MAINT_CAPEX_GUIDANCE">"c4459"</definedName>
    <definedName name="IQ_MAINT_CAPEX_HIGH_EST">"c4460"</definedName>
    <definedName name="IQ_MAINT_CAPEX_HIGH_GUIDANCE">"c4197"</definedName>
    <definedName name="IQ_MAINT_CAPEX_LOW_EST">"c4461"</definedName>
    <definedName name="IQ_MAINT_CAPEX_LOW_GUIDANCE">"c4237"</definedName>
    <definedName name="IQ_MAINT_CAPEX_MEDIAN_EST">"c4462"</definedName>
    <definedName name="IQ_MAINT_CAPEX_NUM_EST">"c4463"</definedName>
    <definedName name="IQ_MAINT_CAPEX_STDDEV_EST">"c4464"</definedName>
    <definedName name="IQ_MAINT_REPAIR">"c2087"</definedName>
    <definedName name="IQ_MAKE_WHOLE_END_DATE">"c2493"</definedName>
    <definedName name="IQ_MAKE_WHOLE_SPREAD">"c2494"</definedName>
    <definedName name="IQ_MAKE_WHOLE_START_DATE">"c2492"</definedName>
    <definedName name="IQ_MARKET_CAP_LFCF">"c2209"</definedName>
    <definedName name="IQ_MARKETCAP">"c712"</definedName>
    <definedName name="IQ_MARKETING">"c2239"</definedName>
    <definedName name="IQ_MATURITY_DATE">"c2146"</definedName>
    <definedName name="IQ_MC_RATIO">"c2783"</definedName>
    <definedName name="IQ_MC_STATUTORY_SURPLUS">"c2772"</definedName>
    <definedName name="IQ_MEDIAN_TARGET_PRICE">"c1650"</definedName>
    <definedName name="IQ_MEDIAN_TARGET_PRICE_REUT">"c5316"</definedName>
    <definedName name="IQ_MERGER">"c713"</definedName>
    <definedName name="IQ_MERGER_BNK">"c714"</definedName>
    <definedName name="IQ_MERGER_BR">"c715"</definedName>
    <definedName name="IQ_MERGER_FIN">"c716"</definedName>
    <definedName name="IQ_MERGER_INS">"c717"</definedName>
    <definedName name="IQ_MERGER_RE">"c6235"</definedName>
    <definedName name="IQ_MERGER_REIT">"c718"</definedName>
    <definedName name="IQ_MERGER_RESTRUCTURE">"c719"</definedName>
    <definedName name="IQ_MERGER_RESTRUCTURE_BNK">"c720"</definedName>
    <definedName name="IQ_MERGER_RESTRUCTURE_BR">"c721"</definedName>
    <definedName name="IQ_MERGER_RESTRUCTURE_FIN">"c722"</definedName>
    <definedName name="IQ_MERGER_RESTRUCTURE_INS">"c723"</definedName>
    <definedName name="IQ_MERGER_RESTRUCTURE_RE">"c6236"</definedName>
    <definedName name="IQ_MERGER_RESTRUCTURE_REIT">"c724"</definedName>
    <definedName name="IQ_MERGER_RESTRUCTURE_UTI">"c725"</definedName>
    <definedName name="IQ_MERGER_UTI">"c726"</definedName>
    <definedName name="IQ_MINORITY_INTEREST">"c727"</definedName>
    <definedName name="IQ_MINORITY_INTEREST_BNK">"c728"</definedName>
    <definedName name="IQ_MINORITY_INTEREST_BR">"c729"</definedName>
    <definedName name="IQ_MINORITY_INTEREST_CF">"c730"</definedName>
    <definedName name="IQ_MINORITY_INTEREST_FIN">"c731"</definedName>
    <definedName name="IQ_MINORITY_INTEREST_INS">"c732"</definedName>
    <definedName name="IQ_MINORITY_INTEREST_IS">"c733"</definedName>
    <definedName name="IQ_MINORITY_INTEREST_RE">"c6237"</definedName>
    <definedName name="IQ_MINORITY_INTEREST_REIT">"c734"</definedName>
    <definedName name="IQ_MINORITY_INTEREST_TOTAL">"c1905"</definedName>
    <definedName name="IQ_MINORITY_INTEREST_UTI">"c735"</definedName>
    <definedName name="IQ_MISC_ADJUST_CF">"c736"</definedName>
    <definedName name="IQ_MISC_EARN_ADJ">"c1603"</definedName>
    <definedName name="IQ_MKTCAP_EBT_EXCL">"c737"</definedName>
    <definedName name="IQ_MKTCAP_EBT_EXCL_AVG">"c738"</definedName>
    <definedName name="IQ_MKTCAP_EBT_INCL_AVG">"c739"</definedName>
    <definedName name="IQ_MKTCAP_TOTAL_REV">"c740"</definedName>
    <definedName name="IQ_MKTCAP_TOTAL_REV_AVG">"c741"</definedName>
    <definedName name="IQ_MKTCAP_TOTAL_REV_FWD">"c742"</definedName>
    <definedName name="IQ_MKTCAP_TOTAL_REV_FWD_REUT">"c4048"</definedName>
    <definedName name="IQ_MM_ACCOUNT">"c743"</definedName>
    <definedName name="IQ_MORT_BANK_ACT">"c744"</definedName>
    <definedName name="IQ_MORT_BANKING_FEE">"c745"</definedName>
    <definedName name="IQ_MORT_INT_INC">"c746"</definedName>
    <definedName name="IQ_MORT_LOANS">"c747"</definedName>
    <definedName name="IQ_MORT_SECURITY">"c748"</definedName>
    <definedName name="IQ_MORTGAGE_SERV_RIGHTS">"c2242"</definedName>
    <definedName name="IQ_MTD">800000</definedName>
    <definedName name="IQ_NAMES_REVISION_DATE_">43052.9034953704</definedName>
    <definedName name="IQ_NAV_EST">"c1751"</definedName>
    <definedName name="IQ_NAV_HIGH_EST">"c1753"</definedName>
    <definedName name="IQ_NAV_LOW_EST">"c1754"</definedName>
    <definedName name="IQ_NAV_MEDIAN_EST">"c1752"</definedName>
    <definedName name="IQ_NAV_NUM_EST">"c1755"</definedName>
    <definedName name="IQ_NAV_SHARE_ACT_OR_EST">"c2225"</definedName>
    <definedName name="IQ_NAV_SHARE_ACT_OR_EST_REUT">"c5623"</definedName>
    <definedName name="IQ_NAV_SHARE_EST">"c5609"</definedName>
    <definedName name="IQ_NAV_SHARE_EST_REUT">"c5617"</definedName>
    <definedName name="IQ_NAV_SHARE_HIGH_EST">"c5612"</definedName>
    <definedName name="IQ_NAV_SHARE_HIGH_EST_REUT">"c5620"</definedName>
    <definedName name="IQ_NAV_SHARE_LOW_EST">"c5613"</definedName>
    <definedName name="IQ_NAV_SHARE_LOW_EST_REUT">"c5621"</definedName>
    <definedName name="IQ_NAV_SHARE_MEDIAN_EST">"c5610"</definedName>
    <definedName name="IQ_NAV_SHARE_MEDIAN_EST_REUT">"c5618"</definedName>
    <definedName name="IQ_NAV_SHARE_NUM_EST">"c5614"</definedName>
    <definedName name="IQ_NAV_SHARE_NUM_EST_REUT">"c5622"</definedName>
    <definedName name="IQ_NAV_SHARE_STDDEV_EST">"c5611"</definedName>
    <definedName name="IQ_NAV_SHARE_STDDEV_EST_REUT">"c5619"</definedName>
    <definedName name="IQ_NAV_STDDEV_EST">"c1756"</definedName>
    <definedName name="IQ_NET_CHANGE">"c749"</definedName>
    <definedName name="IQ_NET_CLAIM_EXP_INCUR">"c2757"</definedName>
    <definedName name="IQ_NET_CLAIM_EXP_INCUR_CY">"c2761"</definedName>
    <definedName name="IQ_NET_CLAIM_EXP_INCUR_PY">"c2762"</definedName>
    <definedName name="IQ_NET_CLAIM_EXP_PAID">"c2760"</definedName>
    <definedName name="IQ_NET_CLAIM_EXP_PAID_CY">"c2763"</definedName>
    <definedName name="IQ_NET_CLAIM_EXP_PAID_PY">"c2764"</definedName>
    <definedName name="IQ_NET_CLAIM_EXP_RES">"c2754"</definedName>
    <definedName name="IQ_NET_DEBT">"c1584"</definedName>
    <definedName name="IQ_NET_DEBT_ACT_OR_EST">"c3583"</definedName>
    <definedName name="IQ_NET_DEBT_ACT_OR_EST_REUT">"c5473"</definedName>
    <definedName name="IQ_NET_DEBT_EBITDA">"c750"</definedName>
    <definedName name="IQ_NET_DEBT_EBITDA_CAPEX">"c2949"</definedName>
    <definedName name="IQ_NET_DEBT_EST">"c3517"</definedName>
    <definedName name="IQ_NET_DEBT_EST_REUT">"c3976"</definedName>
    <definedName name="IQ_NET_DEBT_GUIDANCE">"c4467"</definedName>
    <definedName name="IQ_NET_DEBT_HIGH_EST">"c3518"</definedName>
    <definedName name="IQ_NET_DEBT_HIGH_EST_REUT">"c3978"</definedName>
    <definedName name="IQ_NET_DEBT_HIGH_GUIDANCE">"c4181"</definedName>
    <definedName name="IQ_NET_DEBT_ISSUED">"c751"</definedName>
    <definedName name="IQ_NET_DEBT_ISSUED_BNK">"c752"</definedName>
    <definedName name="IQ_NET_DEBT_ISSUED_BR">"c753"</definedName>
    <definedName name="IQ_NET_DEBT_ISSUED_FIN">"c754"</definedName>
    <definedName name="IQ_NET_DEBT_ISSUED_INS">"c755"</definedName>
    <definedName name="IQ_NET_DEBT_ISSUED_RE">"c6238"</definedName>
    <definedName name="IQ_NET_DEBT_ISSUED_REIT">"c756"</definedName>
    <definedName name="IQ_NET_DEBT_ISSUED_UTI">"c757"</definedName>
    <definedName name="IQ_NET_DEBT_LOW_EST">"c3519"</definedName>
    <definedName name="IQ_NET_DEBT_LOW_EST_REUT">"c3979"</definedName>
    <definedName name="IQ_NET_DEBT_LOW_GUIDANCE">"c4221"</definedName>
    <definedName name="IQ_NET_DEBT_MEDIAN_EST">"c3520"</definedName>
    <definedName name="IQ_NET_DEBT_MEDIAN_EST_REUT">"c3977"</definedName>
    <definedName name="IQ_NET_DEBT_NUM_EST">"c3515"</definedName>
    <definedName name="IQ_NET_DEBT_NUM_EST_REUT">"c3980"</definedName>
    <definedName name="IQ_NET_DEBT_STDDEV_EST">"c3516"</definedName>
    <definedName name="IQ_NET_DEBT_STDDEV_EST_REUT">"c3981"</definedName>
    <definedName name="IQ_NET_EARNED">"c2734"</definedName>
    <definedName name="IQ_NET_INC">"c1394"</definedName>
    <definedName name="IQ_NET_INC_BEFORE">"c1368"</definedName>
    <definedName name="IQ_NET_INC_CF">"c1397"</definedName>
    <definedName name="IQ_NET_INC_MARGIN">"c1398"</definedName>
    <definedName name="IQ_NET_INT_INC_10YR_ANN_CAGR">"c6100"</definedName>
    <definedName name="IQ_NET_INT_INC_10YR_ANN_GROWTH">"c758"</definedName>
    <definedName name="IQ_NET_INT_INC_1YR_ANN_GROWTH">"c759"</definedName>
    <definedName name="IQ_NET_INT_INC_2YR_ANN_CAGR">"c6101"</definedName>
    <definedName name="IQ_NET_INT_INC_2YR_ANN_GROWTH">"c760"</definedName>
    <definedName name="IQ_NET_INT_INC_3YR_ANN_CAGR">"c6102"</definedName>
    <definedName name="IQ_NET_INT_INC_3YR_ANN_GROWTH">"c761"</definedName>
    <definedName name="IQ_NET_INT_INC_5YR_ANN_CAGR">"c6103"</definedName>
    <definedName name="IQ_NET_INT_INC_5YR_ANN_GROWTH">"c762"</definedName>
    <definedName name="IQ_NET_INT_INC_7YR_ANN_CAGR">"c6104"</definedName>
    <definedName name="IQ_NET_INT_INC_7YR_ANN_GROWTH">"c763"</definedName>
    <definedName name="IQ_NET_INT_INC_BNK">"c764"</definedName>
    <definedName name="IQ_NET_INT_INC_BR">"c765"</definedName>
    <definedName name="IQ_NET_INT_INC_FIN">"c766"</definedName>
    <definedName name="IQ_NET_INT_INC_TOTAL_REV">"c767"</definedName>
    <definedName name="IQ_NET_INT_MARGIN">"c768"</definedName>
    <definedName name="IQ_NET_INTEREST_EXP">"c769"</definedName>
    <definedName name="IQ_NET_INTEREST_EXP_RE">"c6239"</definedName>
    <definedName name="IQ_NET_INTEREST_EXP_REIT">"c770"</definedName>
    <definedName name="IQ_NET_INTEREST_EXP_UTI">"c771"</definedName>
    <definedName name="IQ_NET_INTEREST_INC">"c1392"</definedName>
    <definedName name="IQ_NET_INTEREST_INC_AFTER_LL">"c1604"</definedName>
    <definedName name="IQ_NET_LIFE_INS_IN_FORCE">"c2769"</definedName>
    <definedName name="IQ_NET_LOANS">"c772"</definedName>
    <definedName name="IQ_NET_LOANS_10YR_ANN_CAGR">"c6105"</definedName>
    <definedName name="IQ_NET_LOANS_10YR_ANN_GROWTH">"c773"</definedName>
    <definedName name="IQ_NET_LOANS_1YR_ANN_GROWTH">"c774"</definedName>
    <definedName name="IQ_NET_LOANS_2YR_ANN_CAGR">"c6106"</definedName>
    <definedName name="IQ_NET_LOANS_2YR_ANN_GROWTH">"c775"</definedName>
    <definedName name="IQ_NET_LOANS_3YR_ANN_CAGR">"c6107"</definedName>
    <definedName name="IQ_NET_LOANS_3YR_ANN_GROWTH">"c776"</definedName>
    <definedName name="IQ_NET_LOANS_5YR_ANN_CAGR">"c6108"</definedName>
    <definedName name="IQ_NET_LOANS_5YR_ANN_GROWTH">"c777"</definedName>
    <definedName name="IQ_NET_LOANS_7YR_ANN_CAGR">"c6109"</definedName>
    <definedName name="IQ_NET_LOANS_7YR_ANN_GROWTH">"c778"</definedName>
    <definedName name="IQ_NET_LOANS_TOTAL_DEPOSITS">"c779"</definedName>
    <definedName name="IQ_NET_RENTAL_EXP_FN">"c780"</definedName>
    <definedName name="IQ_NET_TO_GROSS_EARNED">"c2750"</definedName>
    <definedName name="IQ_NET_TO_GROSS_WRITTEN">"c2729"</definedName>
    <definedName name="IQ_NET_WORKING_CAP">"c3493"</definedName>
    <definedName name="IQ_NET_WRITTEN">"c2728"</definedName>
    <definedName name="IQ_NEW_PREM">"c2785"</definedName>
    <definedName name="IQ_NEXT_CALL_DATE">"c2198"</definedName>
    <definedName name="IQ_NEXT_CALL_PRICE">"c2199"</definedName>
    <definedName name="IQ_NEXT_INT_DATE">"c2187"</definedName>
    <definedName name="IQ_NEXT_PUT_DATE">"c2200"</definedName>
    <definedName name="IQ_NEXT_PUT_PRICE">"c2201"</definedName>
    <definedName name="IQ_NEXT_SINK_FUND_AMOUNT">"c2490"</definedName>
    <definedName name="IQ_NEXT_SINK_FUND_DATE">"c2489"</definedName>
    <definedName name="IQ_NEXT_SINK_FUND_PRICE">"c2491"</definedName>
    <definedName name="IQ_NI">"c781"</definedName>
    <definedName name="IQ_NI_10YR_ANN_CAGR">"c6110"</definedName>
    <definedName name="IQ_NI_10YR_ANN_GROWTH">"c782"</definedName>
    <definedName name="IQ_NI_1YR_ANN_GROWTH">"c783"</definedName>
    <definedName name="IQ_NI_2YR_ANN_CAGR">"c6111"</definedName>
    <definedName name="IQ_NI_2YR_ANN_GROWTH">"c784"</definedName>
    <definedName name="IQ_NI_3YR_ANN_CAGR">"c6112"</definedName>
    <definedName name="IQ_NI_3YR_ANN_GROWTH">"c785"</definedName>
    <definedName name="IQ_NI_5YR_ANN_CAGR">"c6113"</definedName>
    <definedName name="IQ_NI_5YR_ANN_GROWTH">"c786"</definedName>
    <definedName name="IQ_NI_7YR_ANN_CAGR">"c6114"</definedName>
    <definedName name="IQ_NI_7YR_ANN_GROWTH">"c787"</definedName>
    <definedName name="IQ_NI_ACT_OR_EST">"c2222"</definedName>
    <definedName name="IQ_NI_ACT_OR_EST_REUT">"c5468"</definedName>
    <definedName name="IQ_NI_AFTER_CAPITALIZED">"c788"</definedName>
    <definedName name="IQ_NI_AVAIL_EXCL">"c789"</definedName>
    <definedName name="IQ_NI_AVAIL_EXCL_MARGIN">"c790"</definedName>
    <definedName name="IQ_NI_AVAIL_INCL">"c791"</definedName>
    <definedName name="IQ_NI_BEFORE_CAPITALIZED">"c792"</definedName>
    <definedName name="IQ_NI_CF">"c793"</definedName>
    <definedName name="IQ_NI_EST">"c1716"</definedName>
    <definedName name="IQ_NI_EST_REUT">"c5368"</definedName>
    <definedName name="IQ_NI_GAAP_GUIDANCE">"c4470"</definedName>
    <definedName name="IQ_NI_GAAP_HIGH_GUIDANCE">"c4177"</definedName>
    <definedName name="IQ_NI_GAAP_LOW_GUIDANCE">"c4217"</definedName>
    <definedName name="IQ_NI_GUIDANCE">"c4469"</definedName>
    <definedName name="IQ_NI_GW_EST_REUT">"c5375"</definedName>
    <definedName name="IQ_NI_GW_GUIDANCE">"c4471"</definedName>
    <definedName name="IQ_NI_GW_HIGH_EST_REUT">"c5377"</definedName>
    <definedName name="IQ_NI_GW_HIGH_GUIDANCE">"c4178"</definedName>
    <definedName name="IQ_NI_GW_LOW_EST_REUT">"c5378"</definedName>
    <definedName name="IQ_NI_GW_LOW_GUIDANCE">"c4218"</definedName>
    <definedName name="IQ_NI_GW_MEDIAN_EST_REUT">"c5376"</definedName>
    <definedName name="IQ_NI_GW_NUM_EST_REUT">"c5379"</definedName>
    <definedName name="IQ_NI_GW_STDDEV_EST_REUT">"c5380"</definedName>
    <definedName name="IQ_NI_HIGH_EST">"c1718"</definedName>
    <definedName name="IQ_NI_HIGH_EST_REUT">"c5370"</definedName>
    <definedName name="IQ_NI_HIGH_GUIDANCE">"c4176"</definedName>
    <definedName name="IQ_NI_LOW_EST">"c1719"</definedName>
    <definedName name="IQ_NI_LOW_EST_REUT">"c5371"</definedName>
    <definedName name="IQ_NI_LOW_GUIDANCE">"c4216"</definedName>
    <definedName name="IQ_NI_MARGIN">"c794"</definedName>
    <definedName name="IQ_NI_MEDIAN_EST">"c1717"</definedName>
    <definedName name="IQ_NI_MEDIAN_EST_REUT">"c5369"</definedName>
    <definedName name="IQ_NI_NORM">"c1901"</definedName>
    <definedName name="IQ_NI_NORM_10YR_ANN_CAGR">"c6189"</definedName>
    <definedName name="IQ_NI_NORM_10YR_ANN_GROWTH">"c1960"</definedName>
    <definedName name="IQ_NI_NORM_1YR_ANN_GROWTH">"c1955"</definedName>
    <definedName name="IQ_NI_NORM_2YR_ANN_CAGR">"c6185"</definedName>
    <definedName name="IQ_NI_NORM_2YR_ANN_GROWTH">"c1956"</definedName>
    <definedName name="IQ_NI_NORM_3YR_ANN_CAGR">"c6186"</definedName>
    <definedName name="IQ_NI_NORM_3YR_ANN_GROWTH">"c1957"</definedName>
    <definedName name="IQ_NI_NORM_5YR_ANN_CAGR">"c6187"</definedName>
    <definedName name="IQ_NI_NORM_5YR_ANN_GROWTH">"c1958"</definedName>
    <definedName name="IQ_NI_NORM_7YR_ANN_CAGR">"c6188"</definedName>
    <definedName name="IQ_NI_NORM_7YR_ANN_GROWTH">"c1959"</definedName>
    <definedName name="IQ_NI_NORM_MARGIN">"c1964"</definedName>
    <definedName name="IQ_NI_NUM_EST">"c1720"</definedName>
    <definedName name="IQ_NI_NUM_EST_REUT">"c5372"</definedName>
    <definedName name="IQ_NI_REPORTED_EST">"c1730"</definedName>
    <definedName name="IQ_NI_REPORTED_EST_REUT">"c5382"</definedName>
    <definedName name="IQ_NI_REPORTED_HIGH_EST">"c1732"</definedName>
    <definedName name="IQ_NI_REPORTED_HIGH_EST_REUT">"c5384"</definedName>
    <definedName name="IQ_NI_REPORTED_LOW_EST">"c1733"</definedName>
    <definedName name="IQ_NI_REPORTED_LOW_EST_REUT">"c5385"</definedName>
    <definedName name="IQ_NI_REPORTED_MEDIAN_EST">"c1731"</definedName>
    <definedName name="IQ_NI_REPORTED_MEDIAN_EST_REUT">"c5383"</definedName>
    <definedName name="IQ_NI_REPORTED_NUM_EST">"c1734"</definedName>
    <definedName name="IQ_NI_REPORTED_NUM_EST_REUT">"c5386"</definedName>
    <definedName name="IQ_NI_REPORTED_STDDEV_EST">"c1735"</definedName>
    <definedName name="IQ_NI_REPORTED_STDDEV_EST_REUT">"c5387"</definedName>
    <definedName name="IQ_NI_SBC_ACT_OR_EST">"c4474"</definedName>
    <definedName name="IQ_NI_SBC_EST">"c4473"</definedName>
    <definedName name="IQ_NI_SBC_GUIDANCE">"c4475"</definedName>
    <definedName name="IQ_NI_SBC_GW_ACT_OR_EST">"c4478"</definedName>
    <definedName name="IQ_NI_SBC_GW_EST">"c4477"</definedName>
    <definedName name="IQ_NI_SBC_GW_GUIDANCE">"c4479"</definedName>
    <definedName name="IQ_NI_SBC_GW_HIGH_EST">"c4480"</definedName>
    <definedName name="IQ_NI_SBC_GW_HIGH_GUIDANCE">"c4187"</definedName>
    <definedName name="IQ_NI_SBC_GW_LOW_EST">"c4481"</definedName>
    <definedName name="IQ_NI_SBC_GW_LOW_GUIDANCE">"c4227"</definedName>
    <definedName name="IQ_NI_SBC_GW_MEDIAN_EST">"c4482"</definedName>
    <definedName name="IQ_NI_SBC_GW_NUM_EST">"c4483"</definedName>
    <definedName name="IQ_NI_SBC_GW_STDDEV_EST">"c4484"</definedName>
    <definedName name="IQ_NI_SBC_HIGH_EST">"c4486"</definedName>
    <definedName name="IQ_NI_SBC_HIGH_GUIDANCE">"c4186"</definedName>
    <definedName name="IQ_NI_SBC_LOW_EST">"c4487"</definedName>
    <definedName name="IQ_NI_SBC_LOW_GUIDANCE">"c4226"</definedName>
    <definedName name="IQ_NI_SBC_MEDIAN_EST">"c4488"</definedName>
    <definedName name="IQ_NI_SBC_NUM_EST">"c4489"</definedName>
    <definedName name="IQ_NI_SBC_STDDEV_EST">"c4490"</definedName>
    <definedName name="IQ_NI_SFAS">"c795"</definedName>
    <definedName name="IQ_NI_STDDEV_EST">"c1721"</definedName>
    <definedName name="IQ_NI_STDDEV_EST_REUT">"c5373"</definedName>
    <definedName name="IQ_NOL_CF_1YR">"c3465"</definedName>
    <definedName name="IQ_NOL_CF_2YR">"c3466"</definedName>
    <definedName name="IQ_NOL_CF_3YR">"c3467"</definedName>
    <definedName name="IQ_NOL_CF_4YR">"c3468"</definedName>
    <definedName name="IQ_NOL_CF_5YR">"c3469"</definedName>
    <definedName name="IQ_NOL_CF_AFTER_FIVE">"c3470"</definedName>
    <definedName name="IQ_NOL_CF_MAX_YEAR">"c3473"</definedName>
    <definedName name="IQ_NOL_CF_NO_EXP">"c3471"</definedName>
    <definedName name="IQ_NOL_CF_TOTAL">"c3472"</definedName>
    <definedName name="IQ_NON_ACCRUAL_LOANS">"c796"</definedName>
    <definedName name="IQ_NON_CASH">"c1399"</definedName>
    <definedName name="IQ_NON_CASH_ITEMS">"c797"</definedName>
    <definedName name="IQ_NON_INS_EXP">"c798"</definedName>
    <definedName name="IQ_NON_INS_REV">"c799"</definedName>
    <definedName name="IQ_NON_INT_BEAR_CD">"c800"</definedName>
    <definedName name="IQ_NON_INT_EXP">"c801"</definedName>
    <definedName name="IQ_NON_INT_INC">"c802"</definedName>
    <definedName name="IQ_NON_INT_INC_10YR_ANN_CAGR">"c6115"</definedName>
    <definedName name="IQ_NON_INT_INC_10YR_ANN_GROWTH">"c803"</definedName>
    <definedName name="IQ_NON_INT_INC_1YR_ANN_GROWTH">"c804"</definedName>
    <definedName name="IQ_NON_INT_INC_2YR_ANN_CAGR">"c6116"</definedName>
    <definedName name="IQ_NON_INT_INC_2YR_ANN_GROWTH">"c805"</definedName>
    <definedName name="IQ_NON_INT_INC_3YR_ANN_CAGR">"c6117"</definedName>
    <definedName name="IQ_NON_INT_INC_3YR_ANN_GROWTH">"c806"</definedName>
    <definedName name="IQ_NON_INT_INC_5YR_ANN_CAGR">"c6118"</definedName>
    <definedName name="IQ_NON_INT_INC_5YR_ANN_GROWTH">"c807"</definedName>
    <definedName name="IQ_NON_INT_INC_7YR_ANN_CAGR">"c6119"</definedName>
    <definedName name="IQ_NON_INT_INC_7YR_ANN_GROWTH">"c808"</definedName>
    <definedName name="IQ_NON_INTEREST_EXP">"c1400"</definedName>
    <definedName name="IQ_NON_INTEREST_INC">"c1401"</definedName>
    <definedName name="IQ_NON_OPER_EXP">"c809"</definedName>
    <definedName name="IQ_NON_OPER_INC">"c810"</definedName>
    <definedName name="IQ_NON_PERF_ASSETS_10YR_ANN_CAGR">"c6120"</definedName>
    <definedName name="IQ_NON_PERF_ASSETS_10YR_ANN_GROWTH">"c811"</definedName>
    <definedName name="IQ_NON_PERF_ASSETS_1YR_ANN_GROWTH">"c812"</definedName>
    <definedName name="IQ_NON_PERF_ASSETS_2YR_ANN_CAGR">"c6121"</definedName>
    <definedName name="IQ_NON_PERF_ASSETS_2YR_ANN_GROWTH">"c813"</definedName>
    <definedName name="IQ_NON_PERF_ASSETS_3YR_ANN_CAGR">"c6122"</definedName>
    <definedName name="IQ_NON_PERF_ASSETS_3YR_ANN_GROWTH">"c814"</definedName>
    <definedName name="IQ_NON_PERF_ASSETS_5YR_ANN_CAGR">"c6123"</definedName>
    <definedName name="IQ_NON_PERF_ASSETS_5YR_ANN_GROWTH">"c815"</definedName>
    <definedName name="IQ_NON_PERF_ASSETS_7YR_ANN_CAGR">"c6124"</definedName>
    <definedName name="IQ_NON_PERF_ASSETS_7YR_ANN_GROWTH">"c816"</definedName>
    <definedName name="IQ_NON_PERF_ASSETS_TOTAL_ASSETS">"c817"</definedName>
    <definedName name="IQ_NON_PERF_LOANS_10YR_ANN_CAGR">"c6125"</definedName>
    <definedName name="IQ_NON_PERF_LOANS_10YR_ANN_GROWTH">"c818"</definedName>
    <definedName name="IQ_NON_PERF_LOANS_1YR_ANN_GROWTH">"c819"</definedName>
    <definedName name="IQ_NON_PERF_LOANS_2YR_ANN_CAGR">"c6126"</definedName>
    <definedName name="IQ_NON_PERF_LOANS_2YR_ANN_GROWTH">"c820"</definedName>
    <definedName name="IQ_NON_PERF_LOANS_3YR_ANN_CAGR">"c6127"</definedName>
    <definedName name="IQ_NON_PERF_LOANS_3YR_ANN_GROWTH">"c821"</definedName>
    <definedName name="IQ_NON_PERF_LOANS_5YR_ANN_CAGR">"c6128"</definedName>
    <definedName name="IQ_NON_PERF_LOANS_5YR_ANN_GROWTH">"c822"</definedName>
    <definedName name="IQ_NON_PERF_LOANS_7YR_ANN_CAGR">"c6129"</definedName>
    <definedName name="IQ_NON_PERF_LOANS_7YR_ANN_GROWTH">"c823"</definedName>
    <definedName name="IQ_NON_PERF_LOANS_TOTAL_ASSETS">"c824"</definedName>
    <definedName name="IQ_NON_PERF_LOANS_TOTAL_LOANS">"c825"</definedName>
    <definedName name="IQ_NON_PERFORMING_ASSETS">"c826"</definedName>
    <definedName name="IQ_NON_PERFORMING_LOANS">"c827"</definedName>
    <definedName name="IQ_NONCASH_PENSION_EXP">"c3000"</definedName>
    <definedName name="IQ_NONRECOURSE_DEBT">"c2550"</definedName>
    <definedName name="IQ_NONRECOURSE_DEBT_PCT">"c2551"</definedName>
    <definedName name="IQ_NONUTIL_REV">"c2089"</definedName>
    <definedName name="IQ_NORM_EPS_ACT_OR_EST">"c2249"</definedName>
    <definedName name="IQ_NORM_EPS_ACT_OR_EST_REUT">"c5472"</definedName>
    <definedName name="IQ_NORMAL_INC_AFTER">"c1605"</definedName>
    <definedName name="IQ_NORMAL_INC_AVAIL">"c1606"</definedName>
    <definedName name="IQ_NORMAL_INC_BEFORE">"c1607"</definedName>
    <definedName name="IQ_NOTES_PAY">"c1423"</definedName>
    <definedName name="IQ_NOW_ACCOUNT">"c828"</definedName>
    <definedName name="IQ_NPPE">"c829"</definedName>
    <definedName name="IQ_NPPE_10YR_ANN_CAGR">"c6130"</definedName>
    <definedName name="IQ_NPPE_10YR_ANN_GROWTH">"c830"</definedName>
    <definedName name="IQ_NPPE_1YR_ANN_GROWTH">"c831"</definedName>
    <definedName name="IQ_NPPE_2YR_ANN_CAGR">"c6131"</definedName>
    <definedName name="IQ_NPPE_2YR_ANN_GROWTH">"c832"</definedName>
    <definedName name="IQ_NPPE_3YR_ANN_CAGR">"c6132"</definedName>
    <definedName name="IQ_NPPE_3YR_ANN_GROWTH">"c833"</definedName>
    <definedName name="IQ_NPPE_5YR_ANN_CAGR">"c6133"</definedName>
    <definedName name="IQ_NPPE_5YR_ANN_GROWTH">"c834"</definedName>
    <definedName name="IQ_NPPE_7YR_ANN_CAGR">"c6134"</definedName>
    <definedName name="IQ_NPPE_7YR_ANN_GROWTH">"c835"</definedName>
    <definedName name="IQ_NTM">6000</definedName>
    <definedName name="IQ_NUKE">"c836"</definedName>
    <definedName name="IQ_NUKE_CF">"c837"</definedName>
    <definedName name="IQ_NUKE_CONTR">"c838"</definedName>
    <definedName name="IQ_NUM_BRANCHES">"c2088"</definedName>
    <definedName name="IQ_NUMBER_ADRHOLDERS">"c1970"</definedName>
    <definedName name="IQ_NUMBER_DAYS">"c1904"</definedName>
    <definedName name="IQ_NUMBER_SHAREHOLDERS">"c1967"</definedName>
    <definedName name="IQ_NUMBER_SHAREHOLDERS_CLASSA">"c1968"</definedName>
    <definedName name="IQ_NUMBER_SHAREHOLDERS_OTHER">"c1969"</definedName>
    <definedName name="IQ_OCCUPY_EXP">"c839"</definedName>
    <definedName name="IQ_OFFER_AMOUNT">"c2152"</definedName>
    <definedName name="IQ_OFFER_COUPON">"c2147"</definedName>
    <definedName name="IQ_OFFER_COUPON_TYPE">"c2148"</definedName>
    <definedName name="IQ_OFFER_DATE">"c2149"</definedName>
    <definedName name="IQ_OFFER_PRICE">"c2150"</definedName>
    <definedName name="IQ_OFFER_YIELD">"c2151"</definedName>
    <definedName name="IQ_OG_10DISC">"c1998"</definedName>
    <definedName name="IQ_OG_10DISC_GAS">"c2018"</definedName>
    <definedName name="IQ_OG_10DISC_OIL">"c2008"</definedName>
    <definedName name="IQ_OG_ACQ_COST_PROVED">"c1975"</definedName>
    <definedName name="IQ_OG_ACQ_COST_PROVED_GAS">"c1987"</definedName>
    <definedName name="IQ_OG_ACQ_COST_PROVED_OIL">"c1981"</definedName>
    <definedName name="IQ_OG_ACQ_COST_UNPROVED">"c1976"</definedName>
    <definedName name="IQ_OG_ACQ_COST_UNPROVED_GAS">"c1988"</definedName>
    <definedName name="IQ_OG_ACQ_COST_UNPROVED_OIL">"c1982"</definedName>
    <definedName name="IQ_OG_AVG_DAILY_PROD_GAS">"c2910"</definedName>
    <definedName name="IQ_OG_AVG_DAILY_PROD_NGL">"c2911"</definedName>
    <definedName name="IQ_OG_AVG_DAILY_PROD_OIL">"c2909"</definedName>
    <definedName name="IQ_OG_AVG_DAILY_SALES_VOL_EQ_INC_GAS">"c5797"</definedName>
    <definedName name="IQ_OG_AVG_DAILY_SALES_VOL_EQ_INC_NGL">"c5798"</definedName>
    <definedName name="IQ_OG_AVG_DAILY_SALES_VOL_EQ_INC_OIL">"c5796"</definedName>
    <definedName name="IQ_OG_CLOSE_BALANCE_GAS">"c2049"</definedName>
    <definedName name="IQ_OG_CLOSE_BALANCE_NGL">"c2920"</definedName>
    <definedName name="IQ_OG_CLOSE_BALANCE_OIL">"c2037"</definedName>
    <definedName name="IQ_OG_DCF_BEFORE_TAXES">"c2023"</definedName>
    <definedName name="IQ_OG_DCF_BEFORE_TAXES_GAS">"c2025"</definedName>
    <definedName name="IQ_OG_DCF_BEFORE_TAXES_OIL">"c2024"</definedName>
    <definedName name="IQ_OG_DEVELOPED_ACRE_GROSS_EQ_INC">"c5802"</definedName>
    <definedName name="IQ_OG_DEVELOPED_ACRE_NET_EQ_INC">"c5803"</definedName>
    <definedName name="IQ_OG_DEVELOPED_RESERVES_GAS">"c2053"</definedName>
    <definedName name="IQ_OG_DEVELOPED_RESERVES_NGL">"c2922"</definedName>
    <definedName name="IQ_OG_DEVELOPED_RESERVES_OIL">"c2054"</definedName>
    <definedName name="IQ_OG_DEVELOPMENT_COSTS">"c1978"</definedName>
    <definedName name="IQ_OG_DEVELOPMENT_COSTS_GAS">"c1990"</definedName>
    <definedName name="IQ_OG_DEVELOPMENT_COSTS_OIL">"c1984"</definedName>
    <definedName name="IQ_OG_EQUITY_DCF">"c2002"</definedName>
    <definedName name="IQ_OG_EQUITY_DCF_GAS">"c2022"</definedName>
    <definedName name="IQ_OG_EQUITY_DCF_OIL">"c2012"</definedName>
    <definedName name="IQ_OG_EQUTY_RESERVES_GAS">"c2050"</definedName>
    <definedName name="IQ_OG_EQUTY_RESERVES_NGL">"c2921"</definedName>
    <definedName name="IQ_OG_EQUTY_RESERVES_OIL">"c2038"</definedName>
    <definedName name="IQ_OG_EXPLORATION_COSTS">"c1977"</definedName>
    <definedName name="IQ_OG_EXPLORATION_COSTS_GAS">"c1989"</definedName>
    <definedName name="IQ_OG_EXPLORATION_COSTS_OIL">"c1983"</definedName>
    <definedName name="IQ_OG_EXT_DISC_GAS">"c2043"</definedName>
    <definedName name="IQ_OG_EXT_DISC_NGL">"c2914"</definedName>
    <definedName name="IQ_OG_EXT_DISC_OIL">"c2031"</definedName>
    <definedName name="IQ_OG_FUTURE_CASH_INFLOWS">"c1993"</definedName>
    <definedName name="IQ_OG_FUTURE_CASH_INFLOWS_GAS">"c2013"</definedName>
    <definedName name="IQ_OG_FUTURE_CASH_INFLOWS_OIL">"c2003"</definedName>
    <definedName name="IQ_OG_FUTURE_DEVELOPMENT_COSTS">"c1995"</definedName>
    <definedName name="IQ_OG_FUTURE_DEVELOPMENT_COSTS_GAS">"c2015"</definedName>
    <definedName name="IQ_OG_FUTURE_DEVELOPMENT_COSTS_OIL">"c2005"</definedName>
    <definedName name="IQ_OG_FUTURE_INC_TAXES">"c1997"</definedName>
    <definedName name="IQ_OG_FUTURE_INC_TAXES_GAS">"c2017"</definedName>
    <definedName name="IQ_OG_FUTURE_INC_TAXES_OIL">"c2007"</definedName>
    <definedName name="IQ_OG_FUTURE_PRODUCTION_COSTS">"c1994"</definedName>
    <definedName name="IQ_OG_FUTURE_PRODUCTION_COSTS_GAS">"c2014"</definedName>
    <definedName name="IQ_OG_FUTURE_PRODUCTION_COSTS_OIL">"c2004"</definedName>
    <definedName name="IQ_OG_GAS_PRICE_HEDGED">"c2056"</definedName>
    <definedName name="IQ_OG_GAS_PRICE_UNHEDGED">"c2058"</definedName>
    <definedName name="IQ_OG_IMPROVED_RECOVERY_GAS">"c2044"</definedName>
    <definedName name="IQ_OG_IMPROVED_RECOVERY_NGL">"c2915"</definedName>
    <definedName name="IQ_OG_IMPROVED_RECOVERY_OIL">"c2032"</definedName>
    <definedName name="IQ_OG_LIQUID_GAS_PRICE_HEDGED">"c2233"</definedName>
    <definedName name="IQ_OG_LIQUID_GAS_PRICE_UNHEDGED">"c2234"</definedName>
    <definedName name="IQ_OG_NET_FUTURE_CASH_FLOWS">"c1996"</definedName>
    <definedName name="IQ_OG_NET_FUTURE_CASH_FLOWS_GAS">"c2016"</definedName>
    <definedName name="IQ_OG_NET_FUTURE_CASH_FLOWS_OIL">"c2006"</definedName>
    <definedName name="IQ_OG_OIL_PRICE_HEDGED">"c2055"</definedName>
    <definedName name="IQ_OG_OIL_PRICE_UNHEDGED">"c2057"</definedName>
    <definedName name="IQ_OG_OPEN_BALANCE_GAS">"c2041"</definedName>
    <definedName name="IQ_OG_OPEN_BALANCE_NGL">"c2912"</definedName>
    <definedName name="IQ_OG_OPEN_BALANCE_OIL">"c2029"</definedName>
    <definedName name="IQ_OG_OTHER_ADJ_FCF">"c1999"</definedName>
    <definedName name="IQ_OG_OTHER_ADJ_FCF_GAS">"c2019"</definedName>
    <definedName name="IQ_OG_OTHER_ADJ_FCF_OIL">"c2009"</definedName>
    <definedName name="IQ_OG_OTHER_ADJ_GAS">"c2048"</definedName>
    <definedName name="IQ_OG_OTHER_ADJ_NGL">"c2919"</definedName>
    <definedName name="IQ_OG_OTHER_ADJ_OIL">"c2036"</definedName>
    <definedName name="IQ_OG_OTHER_COSTS">"c1979"</definedName>
    <definedName name="IQ_OG_OTHER_COSTS_GAS">"c1991"</definedName>
    <definedName name="IQ_OG_OTHER_COSTS_OIL">"c1985"</definedName>
    <definedName name="IQ_OG_PRODUCTION_GAS">"c2047"</definedName>
    <definedName name="IQ_OG_PRODUCTION_NGL">"c2918"</definedName>
    <definedName name="IQ_OG_PRODUCTION_OIL">"c2035"</definedName>
    <definedName name="IQ_OG_PURCHASES_GAS">"c2045"</definedName>
    <definedName name="IQ_OG_PURCHASES_NGL">"c2916"</definedName>
    <definedName name="IQ_OG_PURCHASES_OIL">"c2033"</definedName>
    <definedName name="IQ_OG_RESERVE_REPLACEMENT_RATIO">"c5799"</definedName>
    <definedName name="IQ_OG_REVISIONS_GAS">"c2042"</definedName>
    <definedName name="IQ_OG_REVISIONS_NGL">"c2913"</definedName>
    <definedName name="IQ_OG_REVISIONS_OIL">"c2030"</definedName>
    <definedName name="IQ_OG_SALES_IN_PLACE_GAS">"c2046"</definedName>
    <definedName name="IQ_OG_SALES_IN_PLACE_NGL">"c2917"</definedName>
    <definedName name="IQ_OG_SALES_IN_PLACE_OIL">"c2034"</definedName>
    <definedName name="IQ_OG_SALES_VOL_EQ_INC_GAS">"c5794"</definedName>
    <definedName name="IQ_OG_SALES_VOL_EQ_INC_NGL">"c5795"</definedName>
    <definedName name="IQ_OG_SALES_VOL_EQ_INC_OIL">"c5793"</definedName>
    <definedName name="IQ_OG_STANDARDIZED_DCF">"c2000"</definedName>
    <definedName name="IQ_OG_STANDARDIZED_DCF_GAS">"c2020"</definedName>
    <definedName name="IQ_OG_STANDARDIZED_DCF_HEDGED">"c2001"</definedName>
    <definedName name="IQ_OG_STANDARDIZED_DCF_HEDGED_GAS">"c2021"</definedName>
    <definedName name="IQ_OG_STANDARDIZED_DCF_HEDGED_OIL">"c2011"</definedName>
    <definedName name="IQ_OG_STANDARDIZED_DCF_OIL">"c2010"</definedName>
    <definedName name="IQ_OG_TAXES">"c2026"</definedName>
    <definedName name="IQ_OG_TAXES_GAS">"c2028"</definedName>
    <definedName name="IQ_OG_TAXES_OIL">"c2027"</definedName>
    <definedName name="IQ_OG_TOTAL_COSTS">"c1980"</definedName>
    <definedName name="IQ_OG_TOTAL_COSTS_GAS">"c1992"</definedName>
    <definedName name="IQ_OG_TOTAL_COSTS_OIL">"c1986"</definedName>
    <definedName name="IQ_OG_TOTAL_EST_PROVED_RESERVES_GAS">"c2052"</definedName>
    <definedName name="IQ_OG_TOTAL_GAS_PRODUCTION">"c2060"</definedName>
    <definedName name="IQ_OG_TOTAL_LIQUID_GAS_PRODUCTION">"c2235"</definedName>
    <definedName name="IQ_OG_TOTAL_OIL_PRODUCTION">"c2059"</definedName>
    <definedName name="IQ_OG_TOTAL_OIL_PRODUCTON">"c2059"</definedName>
    <definedName name="IQ_OG_UNDEVELOPED_ACRE_GROSS_EQ_INC">"c5800"</definedName>
    <definedName name="IQ_OG_UNDEVELOPED_ACRE_NET_EQ_INC">"c5801"</definedName>
    <definedName name="IQ_OG_UNDEVELOPED_RESERVES_GAS">"c2051"</definedName>
    <definedName name="IQ_OG_UNDEVELOPED_RESERVES_NGL">"c2923"</definedName>
    <definedName name="IQ_OG_UNDEVELOPED_RESERVES_OIL">"c2039"</definedName>
    <definedName name="IQ_OIL_IMPAIR">"c840"</definedName>
    <definedName name="IQ_OL_COMM_AFTER_FIVE">"c841"</definedName>
    <definedName name="IQ_OL_COMM_CY">"c842"</definedName>
    <definedName name="IQ_OL_COMM_CY1">"c843"</definedName>
    <definedName name="IQ_OL_COMM_CY2">"c844"</definedName>
    <definedName name="IQ_OL_COMM_CY3">"c845"</definedName>
    <definedName name="IQ_OL_COMM_CY4">"c846"</definedName>
    <definedName name="IQ_OL_COMM_NEXT_FIVE">"c847"</definedName>
    <definedName name="IQ_OPEB_ACCRUED_LIAB">"c3308"</definedName>
    <definedName name="IQ_OPEB_ACCRUED_LIAB_DOM">"c3306"</definedName>
    <definedName name="IQ_OPEB_ACCRUED_LIAB_FOREIGN">"c3307"</definedName>
    <definedName name="IQ_OPEB_ACCUM_OTHER_CI">"c3314"</definedName>
    <definedName name="IQ_OPEB_ACCUM_OTHER_CI_DOM">"c3312"</definedName>
    <definedName name="IQ_OPEB_ACCUM_OTHER_CI_FOREIGN">"c3313"</definedName>
    <definedName name="IQ_OPEB_ACT_NEXT">"c5774"</definedName>
    <definedName name="IQ_OPEB_ACT_NEXT_DOM">"c5772"</definedName>
    <definedName name="IQ_OPEB_ACT_NEXT_FOREIGN">"c5773"</definedName>
    <definedName name="IQ_OPEB_AMT_RECOG_NEXT">"c5783"</definedName>
    <definedName name="IQ_OPEB_AMT_RECOG_NEXT_DOM">"c5781"</definedName>
    <definedName name="IQ_OPEB_AMT_RECOG_NEXT_FOREIGN">"c5782"</definedName>
    <definedName name="IQ_OPEB_ASSETS">"c3356"</definedName>
    <definedName name="IQ_OPEB_ASSETS_ACQ">"c3347"</definedName>
    <definedName name="IQ_OPEB_ASSETS_ACQ_DOM">"c3345"</definedName>
    <definedName name="IQ_OPEB_ASSETS_ACQ_FOREIGN">"c3346"</definedName>
    <definedName name="IQ_OPEB_ASSETS_ACTUAL_RETURN">"c3332"</definedName>
    <definedName name="IQ_OPEB_ASSETS_ACTUAL_RETURN_DOM">"c3330"</definedName>
    <definedName name="IQ_OPEB_ASSETS_ACTUAL_RETURN_FOREIGN">"c3331"</definedName>
    <definedName name="IQ_OPEB_ASSETS_BEG">"c3329"</definedName>
    <definedName name="IQ_OPEB_ASSETS_BEG_DOM">"c3327"</definedName>
    <definedName name="IQ_OPEB_ASSETS_BEG_FOREIGN">"c3328"</definedName>
    <definedName name="IQ_OPEB_ASSETS_BENEFITS_PAID">"c3341"</definedName>
    <definedName name="IQ_OPEB_ASSETS_BENEFITS_PAID_DOM">"c3339"</definedName>
    <definedName name="IQ_OPEB_ASSETS_BENEFITS_PAID_FOREIGN">"c3340"</definedName>
    <definedName name="IQ_OPEB_ASSETS_CURTAIL">"c3350"</definedName>
    <definedName name="IQ_OPEB_ASSETS_CURTAIL_DOM">"c3348"</definedName>
    <definedName name="IQ_OPEB_ASSETS_CURTAIL_FOREIGN">"c3349"</definedName>
    <definedName name="IQ_OPEB_ASSETS_DOM">"c3354"</definedName>
    <definedName name="IQ_OPEB_ASSETS_EMPLOYER_CONTRIBUTIONS">"c3335"</definedName>
    <definedName name="IQ_OPEB_ASSETS_EMPLOYER_CONTRIBUTIONS_DOM">"c3333"</definedName>
    <definedName name="IQ_OPEB_ASSETS_EMPLOYER_CONTRIBUTIONS_FOREIGN">"c3334"</definedName>
    <definedName name="IQ_OPEB_ASSETS_FOREIGN">"c3355"</definedName>
    <definedName name="IQ_OPEB_ASSETS_FX_ADJ">"c3344"</definedName>
    <definedName name="IQ_OPEB_ASSETS_FX_ADJ_DOM">"c3342"</definedName>
    <definedName name="IQ_OPEB_ASSETS_FX_ADJ_FOREIGN">"c3343"</definedName>
    <definedName name="IQ_OPEB_ASSETS_OTHER_PLAN_ADJ">"c3353"</definedName>
    <definedName name="IQ_OPEB_ASSETS_OTHER_PLAN_ADJ_DOM">"c3351"</definedName>
    <definedName name="IQ_OPEB_ASSETS_OTHER_PLAN_ADJ_FOREIGN">"c3352"</definedName>
    <definedName name="IQ_OPEB_ASSETS_PARTICIP_CONTRIBUTIONS">"c3338"</definedName>
    <definedName name="IQ_OPEB_ASSETS_PARTICIP_CONTRIBUTIONS_DOM">"c3336"</definedName>
    <definedName name="IQ_OPEB_ASSETS_PARTICIP_CONTRIBUTIONS_FOREIGN">"c3337"</definedName>
    <definedName name="IQ_OPEB_BENEFIT_INFO_DATE">"c3410"</definedName>
    <definedName name="IQ_OPEB_BENEFIT_INFO_DATE_DOM">"c3408"</definedName>
    <definedName name="IQ_OPEB_BENEFIT_INFO_DATE_FOREIGN">"c3409"</definedName>
    <definedName name="IQ_OPEB_BREAKDOWN_EQ">"c3275"</definedName>
    <definedName name="IQ_OPEB_BREAKDOWN_EQ_DOM">"c3273"</definedName>
    <definedName name="IQ_OPEB_BREAKDOWN_EQ_FOREIGN">"c3274"</definedName>
    <definedName name="IQ_OPEB_BREAKDOWN_FI">"c3278"</definedName>
    <definedName name="IQ_OPEB_BREAKDOWN_FI_DOM">"c3276"</definedName>
    <definedName name="IQ_OPEB_BREAKDOWN_FI_FOREIGN">"c3277"</definedName>
    <definedName name="IQ_OPEB_BREAKDOWN_OTHER">"c3284"</definedName>
    <definedName name="IQ_OPEB_BREAKDOWN_OTHER_DOM">"c3282"</definedName>
    <definedName name="IQ_OPEB_BREAKDOWN_OTHER_FOREIGN">"c3283"</definedName>
    <definedName name="IQ_OPEB_BREAKDOWN_PCT_EQ">"c3263"</definedName>
    <definedName name="IQ_OPEB_BREAKDOWN_PCT_EQ_DOM">"c3261"</definedName>
    <definedName name="IQ_OPEB_BREAKDOWN_PCT_EQ_FOREIGN">"c3262"</definedName>
    <definedName name="IQ_OPEB_BREAKDOWN_PCT_FI">"c3266"</definedName>
    <definedName name="IQ_OPEB_BREAKDOWN_PCT_FI_DOM">"c3264"</definedName>
    <definedName name="IQ_OPEB_BREAKDOWN_PCT_FI_FOREIGN">"c3265"</definedName>
    <definedName name="IQ_OPEB_BREAKDOWN_PCT_OTHER">"c3272"</definedName>
    <definedName name="IQ_OPEB_BREAKDOWN_PCT_OTHER_DOM">"c3270"</definedName>
    <definedName name="IQ_OPEB_BREAKDOWN_PCT_OTHER_FOREIGN">"c3271"</definedName>
    <definedName name="IQ_OPEB_BREAKDOWN_PCT_RE">"c3269"</definedName>
    <definedName name="IQ_OPEB_BREAKDOWN_PCT_RE_DOM">"c3267"</definedName>
    <definedName name="IQ_OPEB_BREAKDOWN_PCT_RE_FOREIGN">"c3268"</definedName>
    <definedName name="IQ_OPEB_BREAKDOWN_RE">"c3281"</definedName>
    <definedName name="IQ_OPEB_BREAKDOWN_RE_DOM">"c3279"</definedName>
    <definedName name="IQ_OPEB_BREAKDOWN_RE_FOREIGN">"c3280"</definedName>
    <definedName name="IQ_OPEB_CI_ACT">"c5759"</definedName>
    <definedName name="IQ_OPEB_CI_ACT_DOM">"c5757"</definedName>
    <definedName name="IQ_OPEB_CI_ACT_FOREIGN">"c5758"</definedName>
    <definedName name="IQ_OPEB_CI_NET_AMT_RECOG">"c5771"</definedName>
    <definedName name="IQ_OPEB_CI_NET_AMT_RECOG_DOM">"c5769"</definedName>
    <definedName name="IQ_OPEB_CI_NET_AMT_RECOG_FOREIGN">"c5770"</definedName>
    <definedName name="IQ_OPEB_CI_OTHER_MISC_ADJ">"c5768"</definedName>
    <definedName name="IQ_OPEB_CI_OTHER_MISC_ADJ_DOM">"c5766"</definedName>
    <definedName name="IQ_OPEB_CI_OTHER_MISC_ADJ_FOREIGN">"c5767"</definedName>
    <definedName name="IQ_OPEB_CI_PRIOR_SERVICE">"c5762"</definedName>
    <definedName name="IQ_OPEB_CI_PRIOR_SERVICE_DOM">"c5760"</definedName>
    <definedName name="IQ_OPEB_CI_PRIOR_SERVICE_FOREIGN">"c5761"</definedName>
    <definedName name="IQ_OPEB_CI_TRANSITION">"c5765"</definedName>
    <definedName name="IQ_OPEB_CI_TRANSITION_DOM">"c5763"</definedName>
    <definedName name="IQ_OPEB_CI_TRANSITION_FOREIGN">"c5764"</definedName>
    <definedName name="IQ_OPEB_CL">"c5789"</definedName>
    <definedName name="IQ_OPEB_CL_DOM">"c5787"</definedName>
    <definedName name="IQ_OPEB_CL_FOREIGN">"c5788"</definedName>
    <definedName name="IQ_OPEB_DECREASE_EFFECT_PBO">"c3458"</definedName>
    <definedName name="IQ_OPEB_DECREASE_EFFECT_PBO_DOM">"c3456"</definedName>
    <definedName name="IQ_OPEB_DECREASE_EFFECT_PBO_FOREIGN">"c3457"</definedName>
    <definedName name="IQ_OPEB_DECREASE_EFFECT_SERVICE_INT_COST">"c3455"</definedName>
    <definedName name="IQ_OPEB_DECREASE_EFFECT_SERVICE_INT_COST_DOM">"c3453"</definedName>
    <definedName name="IQ_OPEB_DECREASE_EFFECT_SERVICE_INT_COST_FOREIGN">"c3454"</definedName>
    <definedName name="IQ_OPEB_DISC_RATE_MAX">"c3422"</definedName>
    <definedName name="IQ_OPEB_DISC_RATE_MAX_DOM">"c3420"</definedName>
    <definedName name="IQ_OPEB_DISC_RATE_MAX_FOREIGN">"c3421"</definedName>
    <definedName name="IQ_OPEB_DISC_RATE_MIN">"c3419"</definedName>
    <definedName name="IQ_OPEB_DISC_RATE_MIN_DOM">"c3417"</definedName>
    <definedName name="IQ_OPEB_DISC_RATE_MIN_FOREIGN">"c3418"</definedName>
    <definedName name="IQ_OPEB_EST_BENEFIT_1YR">"c3287"</definedName>
    <definedName name="IQ_OPEB_EST_BENEFIT_1YR_DOM">"c3285"</definedName>
    <definedName name="IQ_OPEB_EST_BENEFIT_1YR_FOREIGN">"c3286"</definedName>
    <definedName name="IQ_OPEB_EST_BENEFIT_2YR">"c3290"</definedName>
    <definedName name="IQ_OPEB_EST_BENEFIT_2YR_DOM">"c3288"</definedName>
    <definedName name="IQ_OPEB_EST_BENEFIT_2YR_FOREIGN">"c3289"</definedName>
    <definedName name="IQ_OPEB_EST_BENEFIT_3YR">"c3293"</definedName>
    <definedName name="IQ_OPEB_EST_BENEFIT_3YR_DOM">"c3291"</definedName>
    <definedName name="IQ_OPEB_EST_BENEFIT_3YR_FOREIGN">"c3292"</definedName>
    <definedName name="IQ_OPEB_EST_BENEFIT_4YR">"c3296"</definedName>
    <definedName name="IQ_OPEB_EST_BENEFIT_4YR_DOM">"c3294"</definedName>
    <definedName name="IQ_OPEB_EST_BENEFIT_4YR_FOREIGN">"c3295"</definedName>
    <definedName name="IQ_OPEB_EST_BENEFIT_5YR">"c3299"</definedName>
    <definedName name="IQ_OPEB_EST_BENEFIT_5YR_DOM">"c3297"</definedName>
    <definedName name="IQ_OPEB_EST_BENEFIT_5YR_FOREIGN">"c3298"</definedName>
    <definedName name="IQ_OPEB_EST_BENEFIT_AFTER5">"c3302"</definedName>
    <definedName name="IQ_OPEB_EST_BENEFIT_AFTER5_DOM">"c3300"</definedName>
    <definedName name="IQ_OPEB_EST_BENEFIT_AFTER5_FOREIGN">"c3301"</definedName>
    <definedName name="IQ_OPEB_EXP_RATE_RETURN_MAX">"c3434"</definedName>
    <definedName name="IQ_OPEB_EXP_RATE_RETURN_MAX_DOM">"c3432"</definedName>
    <definedName name="IQ_OPEB_EXP_RATE_RETURN_MAX_FOREIGN">"c3433"</definedName>
    <definedName name="IQ_OPEB_EXP_RATE_RETURN_MIN">"c3431"</definedName>
    <definedName name="IQ_OPEB_EXP_RATE_RETURN_MIN_DOM">"c3429"</definedName>
    <definedName name="IQ_OPEB_EXP_RATE_RETURN_MIN_FOREIGN">"c3430"</definedName>
    <definedName name="IQ_OPEB_EXP_RETURN">"c3398"</definedName>
    <definedName name="IQ_OPEB_EXP_RETURN_DOM">"c3396"</definedName>
    <definedName name="IQ_OPEB_EXP_RETURN_FOREIGN">"c3397"</definedName>
    <definedName name="IQ_OPEB_HEALTH_COST_TREND_INITIAL">"c3413"</definedName>
    <definedName name="IQ_OPEB_HEALTH_COST_TREND_INITIAL_DOM">"c3411"</definedName>
    <definedName name="IQ_OPEB_HEALTH_COST_TREND_INITIAL_FOREIGN">"c3412"</definedName>
    <definedName name="IQ_OPEB_HEALTH_COST_TREND_ULTIMATE">"c3416"</definedName>
    <definedName name="IQ_OPEB_HEALTH_COST_TREND_ULTIMATE_DOM">"c3414"</definedName>
    <definedName name="IQ_OPEB_HEALTH_COST_TREND_ULTIMATE_FOREIGN">"c3415"</definedName>
    <definedName name="IQ_OPEB_INCREASE_EFFECT_PBO">"c3452"</definedName>
    <definedName name="IQ_OPEB_INCREASE_EFFECT_PBO_DOM">"c3450"</definedName>
    <definedName name="IQ_OPEB_INCREASE_EFFECT_PBO_FOREIGN">"c3451"</definedName>
    <definedName name="IQ_OPEB_INCREASE_EFFECT_SERVICE_INT_COST">"c3449"</definedName>
    <definedName name="IQ_OPEB_INCREASE_EFFECT_SERVICE_INT_COST_DOM">"c3447"</definedName>
    <definedName name="IQ_OPEB_INCREASE_EFFECT_SERVICE_INT_COST_FOREIGN">"c3448"</definedName>
    <definedName name="IQ_OPEB_INTAN_ASSETS">"c3311"</definedName>
    <definedName name="IQ_OPEB_INTAN_ASSETS_DOM">"c3309"</definedName>
    <definedName name="IQ_OPEB_INTAN_ASSETS_FOREIGN">"c3310"</definedName>
    <definedName name="IQ_OPEB_INTEREST_COST">"c3395"</definedName>
    <definedName name="IQ_OPEB_INTEREST_COST_DOM">"c3393"</definedName>
    <definedName name="IQ_OPEB_INTEREST_COST_FOREIGN">"c3394"</definedName>
    <definedName name="IQ_OPEB_LT_ASSETS">"c5786"</definedName>
    <definedName name="IQ_OPEB_LT_ASSETS_DOM">"c5784"</definedName>
    <definedName name="IQ_OPEB_LT_ASSETS_FOREIGN">"c5785"</definedName>
    <definedName name="IQ_OPEB_LT_LIAB">"c5792"</definedName>
    <definedName name="IQ_OPEB_LT_LIAB_DOM">"c5790"</definedName>
    <definedName name="IQ_OPEB_LT_LIAB_FOREIGN">"c5791"</definedName>
    <definedName name="IQ_OPEB_NET_ASSET_RECOG">"c3326"</definedName>
    <definedName name="IQ_OPEB_NET_ASSET_RECOG_DOM">"c3324"</definedName>
    <definedName name="IQ_OPEB_NET_ASSET_RECOG_FOREIGN">"c3325"</definedName>
    <definedName name="IQ_OPEB_OBLIGATION_ACCUMULATED">"c3407"</definedName>
    <definedName name="IQ_OPEB_OBLIGATION_ACCUMULATED_DOM">"c3405"</definedName>
    <definedName name="IQ_OPEB_OBLIGATION_ACCUMULATED_FOREIGN">"c3406"</definedName>
    <definedName name="IQ_OPEB_OBLIGATION_ACQ">"c3380"</definedName>
    <definedName name="IQ_OPEB_OBLIGATION_ACQ_DOM">"c3378"</definedName>
    <definedName name="IQ_OPEB_OBLIGATION_ACQ_FOREIGN">"c3379"</definedName>
    <definedName name="IQ_OPEB_OBLIGATION_ACTUARIAL_GAIN_LOSS">"c3371"</definedName>
    <definedName name="IQ_OPEB_OBLIGATION_ACTUARIAL_GAIN_LOSS_DOM">"c3369"</definedName>
    <definedName name="IQ_OPEB_OBLIGATION_ACTUARIAL_GAIN_LOSS_FOREIGN">"c3370"</definedName>
    <definedName name="IQ_OPEB_OBLIGATION_BEG">"c3359"</definedName>
    <definedName name="IQ_OPEB_OBLIGATION_BEG_DOM">"c3357"</definedName>
    <definedName name="IQ_OPEB_OBLIGATION_BEG_FOREIGN">"c3358"</definedName>
    <definedName name="IQ_OPEB_OBLIGATION_CURTAIL">"c3383"</definedName>
    <definedName name="IQ_OPEB_OBLIGATION_CURTAIL_DOM">"c3381"</definedName>
    <definedName name="IQ_OPEB_OBLIGATION_CURTAIL_FOREIGN">"c3382"</definedName>
    <definedName name="IQ_OPEB_OBLIGATION_EMPLOYEE_CONTRIBUTIONS">"c3368"</definedName>
    <definedName name="IQ_OPEB_OBLIGATION_EMPLOYEE_CONTRIBUTIONS_DOM">"c3366"</definedName>
    <definedName name="IQ_OPEB_OBLIGATION_EMPLOYEE_CONTRIBUTIONS_FOREIGN">"c3367"</definedName>
    <definedName name="IQ_OPEB_OBLIGATION_FX_ADJ">"c3377"</definedName>
    <definedName name="IQ_OPEB_OBLIGATION_FX_ADJ_DOM">"c3375"</definedName>
    <definedName name="IQ_OPEB_OBLIGATION_FX_ADJ_FOREIGN">"c3376"</definedName>
    <definedName name="IQ_OPEB_OBLIGATION_INTEREST_COST">"c3365"</definedName>
    <definedName name="IQ_OPEB_OBLIGATION_INTEREST_COST_DOM">"c3363"</definedName>
    <definedName name="IQ_OPEB_OBLIGATION_INTEREST_COST_FOREIGN">"c3364"</definedName>
    <definedName name="IQ_OPEB_OBLIGATION_OTHER_PLAN_ADJ">"c3386"</definedName>
    <definedName name="IQ_OPEB_OBLIGATION_OTHER_PLAN_ADJ_DOM">"c3384"</definedName>
    <definedName name="IQ_OPEB_OBLIGATION_OTHER_PLAN_ADJ_FOREIGN">"c3385"</definedName>
    <definedName name="IQ_OPEB_OBLIGATION_PAID">"c3374"</definedName>
    <definedName name="IQ_OPEB_OBLIGATION_PAID_DOM">"c3372"</definedName>
    <definedName name="IQ_OPEB_OBLIGATION_PAID_FOREIGN">"c3373"</definedName>
    <definedName name="IQ_OPEB_OBLIGATION_PROJECTED">"c3389"</definedName>
    <definedName name="IQ_OPEB_OBLIGATION_PROJECTED_DOM">"c3387"</definedName>
    <definedName name="IQ_OPEB_OBLIGATION_PROJECTED_FOREIGN">"c3388"</definedName>
    <definedName name="IQ_OPEB_OBLIGATION_SERVICE_COST">"c3362"</definedName>
    <definedName name="IQ_OPEB_OBLIGATION_SERVICE_COST_DOM">"c3360"</definedName>
    <definedName name="IQ_OPEB_OBLIGATION_SERVICE_COST_FOREIGN">"c3361"</definedName>
    <definedName name="IQ_OPEB_OTHER">"c3317"</definedName>
    <definedName name="IQ_OPEB_OTHER_ADJ">"c3323"</definedName>
    <definedName name="IQ_OPEB_OTHER_ADJ_DOM">"c3321"</definedName>
    <definedName name="IQ_OPEB_OTHER_ADJ_FOREIGN">"c3322"</definedName>
    <definedName name="IQ_OPEB_OTHER_COST">"c3401"</definedName>
    <definedName name="IQ_OPEB_OTHER_COST_DOM">"c3399"</definedName>
    <definedName name="IQ_OPEB_OTHER_COST_FOREIGN">"c3400"</definedName>
    <definedName name="IQ_OPEB_OTHER_DOM">"c3315"</definedName>
    <definedName name="IQ_OPEB_OTHER_FOREIGN">"c3316"</definedName>
    <definedName name="IQ_OPEB_PBO_ASSUMED_RATE_RET_MAX">"c3440"</definedName>
    <definedName name="IQ_OPEB_PBO_ASSUMED_RATE_RET_MAX_DOM">"c3438"</definedName>
    <definedName name="IQ_OPEB_PBO_ASSUMED_RATE_RET_MAX_FOREIGN">"c3439"</definedName>
    <definedName name="IQ_OPEB_PBO_ASSUMED_RATE_RET_MIN">"c3437"</definedName>
    <definedName name="IQ_OPEB_PBO_ASSUMED_RATE_RET_MIN_DOM">"c3435"</definedName>
    <definedName name="IQ_OPEB_PBO_ASSUMED_RATE_RET_MIN_FOREIGN">"c3436"</definedName>
    <definedName name="IQ_OPEB_PBO_RATE_COMP_INCREASE_MAX">"c3446"</definedName>
    <definedName name="IQ_OPEB_PBO_RATE_COMP_INCREASE_MAX_DOM">"c3444"</definedName>
    <definedName name="IQ_OPEB_PBO_RATE_COMP_INCREASE_MAX_FOREIGN">"c3445"</definedName>
    <definedName name="IQ_OPEB_PBO_RATE_COMP_INCREASE_MIN">"c3443"</definedName>
    <definedName name="IQ_OPEB_PBO_RATE_COMP_INCREASE_MIN_DOM">"c3441"</definedName>
    <definedName name="IQ_OPEB_PBO_RATE_COMP_INCREASE_MIN_FOREIGN">"c3442"</definedName>
    <definedName name="IQ_OPEB_PREPAID_COST">"c3305"</definedName>
    <definedName name="IQ_OPEB_PREPAID_COST_DOM">"c3303"</definedName>
    <definedName name="IQ_OPEB_PREPAID_COST_FOREIGN">"c3304"</definedName>
    <definedName name="IQ_OPEB_PRIOR_SERVICE_NEXT">"c5777"</definedName>
    <definedName name="IQ_OPEB_PRIOR_SERVICE_NEXT_DOM">"c5775"</definedName>
    <definedName name="IQ_OPEB_PRIOR_SERVICE_NEXT_FOREIGN">"c5776"</definedName>
    <definedName name="IQ_OPEB_RATE_COMP_INCREASE_MAX">"c3428"</definedName>
    <definedName name="IQ_OPEB_RATE_COMP_INCREASE_MAX_DOM">"c3426"</definedName>
    <definedName name="IQ_OPEB_RATE_COMP_INCREASE_MAX_FOREIGN">"c3427"</definedName>
    <definedName name="IQ_OPEB_RATE_COMP_INCREASE_MIN">"c3425"</definedName>
    <definedName name="IQ_OPEB_RATE_COMP_INCREASE_MIN_DOM">"c3423"</definedName>
    <definedName name="IQ_OPEB_RATE_COMP_INCREASE_MIN_FOREIGN">"c3424"</definedName>
    <definedName name="IQ_OPEB_SERVICE_COST">"c3392"</definedName>
    <definedName name="IQ_OPEB_SERVICE_COST_DOM">"c3390"</definedName>
    <definedName name="IQ_OPEB_SERVICE_COST_FOREIGN">"c3391"</definedName>
    <definedName name="IQ_OPEB_TOTAL_COST">"c3404"</definedName>
    <definedName name="IQ_OPEB_TOTAL_COST_DOM">"c3402"</definedName>
    <definedName name="IQ_OPEB_TOTAL_COST_FOREIGN">"c3403"</definedName>
    <definedName name="IQ_OPEB_TRANSITION_NEXT">"c5780"</definedName>
    <definedName name="IQ_OPEB_TRANSITION_NEXT_DOM">"c5778"</definedName>
    <definedName name="IQ_OPEB_TRANSITION_NEXT_FOREIGN">"c5779"</definedName>
    <definedName name="IQ_OPEB_UNRECOG_PRIOR">"c3320"</definedName>
    <definedName name="IQ_OPEB_UNRECOG_PRIOR_DOM">"c3318"</definedName>
    <definedName name="IQ_OPEB_UNRECOG_PRIOR_FOREIGN">"c3319"</definedName>
    <definedName name="IQ_OPENPRICE">"c848"</definedName>
    <definedName name="IQ_OPER_INC">"c849"</definedName>
    <definedName name="IQ_OPER_INC_ACT_OR_EST">"c2220"</definedName>
    <definedName name="IQ_OPER_INC_ACT_OR_EST_REUT">"c5466"</definedName>
    <definedName name="IQ_OPER_INC_BR">"c850"</definedName>
    <definedName name="IQ_OPER_INC_EST">"c1688"</definedName>
    <definedName name="IQ_OPER_INC_EST_REUT">"c5340"</definedName>
    <definedName name="IQ_OPER_INC_FIN">"c851"</definedName>
    <definedName name="IQ_OPER_INC_HIGH_EST">"c1690"</definedName>
    <definedName name="IQ_OPER_INC_HIGH_EST_REUT">"c5342"</definedName>
    <definedName name="IQ_OPER_INC_INS">"c852"</definedName>
    <definedName name="IQ_OPER_INC_LOW_EST">"c1691"</definedName>
    <definedName name="IQ_OPER_INC_LOW_EST_REUT">"c5343"</definedName>
    <definedName name="IQ_OPER_INC_MARGIN">"c1448"</definedName>
    <definedName name="IQ_OPER_INC_MEDIAN_EST">"c1689"</definedName>
    <definedName name="IQ_OPER_INC_MEDIAN_EST_REUT">"c5341"</definedName>
    <definedName name="IQ_OPER_INC_NUM_EST">"c1692"</definedName>
    <definedName name="IQ_OPER_INC_NUM_EST_REUT">"c5344"</definedName>
    <definedName name="IQ_OPER_INC_RE">"c6240"</definedName>
    <definedName name="IQ_OPER_INC_REIT">"c853"</definedName>
    <definedName name="IQ_OPER_INC_STDDEV_EST">"c1693"</definedName>
    <definedName name="IQ_OPER_INC_STDDEV_EST_REUT">"c5345"</definedName>
    <definedName name="IQ_OPER_INC_UTI">"c854"</definedName>
    <definedName name="IQ_OPERATIONS_EXP">"c855"</definedName>
    <definedName name="IQ_OPTIONS_BEG_OS">"c1572"</definedName>
    <definedName name="IQ_OPTIONS_CANCELLED">"c856"</definedName>
    <definedName name="IQ_OPTIONS_END_OS">"c1573"</definedName>
    <definedName name="IQ_OPTIONS_EXERCISABLE_END_OS">"c5804"</definedName>
    <definedName name="IQ_OPTIONS_EXERCISED">"c2116"</definedName>
    <definedName name="IQ_OPTIONS_GRANTED">"c2673"</definedName>
    <definedName name="IQ_OPTIONS_ISSUED">"c857"</definedName>
    <definedName name="IQ_OPTIONS_STRIKE_PRICE_BEG_OS">"c5805"</definedName>
    <definedName name="IQ_OPTIONS_STRIKE_PRICE_CANCELLED">"c5807"</definedName>
    <definedName name="IQ_OPTIONS_STRIKE_PRICE_EXERCISABLE">"c5808"</definedName>
    <definedName name="IQ_OPTIONS_STRIKE_PRICE_EXERCISED">"c5806"</definedName>
    <definedName name="IQ_OPTIONS_STRIKE_PRICE_GRANTED">"c2678"</definedName>
    <definedName name="IQ_OPTIONS_STRIKE_PRICE_OS">"c2677"</definedName>
    <definedName name="IQ_ORDER_BACKLOG">"c2090"</definedName>
    <definedName name="IQ_OTHER_ADJUST_GROSS_LOANS">"c859"</definedName>
    <definedName name="IQ_OTHER_AMORT">"c5563"</definedName>
    <definedName name="IQ_OTHER_AMORT_BNK">"c5565"</definedName>
    <definedName name="IQ_OTHER_AMORT_BR">"c5566"</definedName>
    <definedName name="IQ_OTHER_AMORT_FIN">"c5567"</definedName>
    <definedName name="IQ_OTHER_AMORT_INS">"c5568"</definedName>
    <definedName name="IQ_OTHER_AMORT_RE">"c6287"</definedName>
    <definedName name="IQ_OTHER_AMORT_REIT">"c5569"</definedName>
    <definedName name="IQ_OTHER_AMORT_UTI">"c5570"</definedName>
    <definedName name="IQ_OTHER_ASSETS">"c860"</definedName>
    <definedName name="IQ_OTHER_ASSETS_BNK">"c861"</definedName>
    <definedName name="IQ_OTHER_ASSETS_BR">"c862"</definedName>
    <definedName name="IQ_OTHER_ASSETS_FIN">"c863"</definedName>
    <definedName name="IQ_OTHER_ASSETS_INS">"c864"</definedName>
    <definedName name="IQ_OTHER_ASSETS_RE">"c6241"</definedName>
    <definedName name="IQ_OTHER_ASSETS_REIT">"c865"</definedName>
    <definedName name="IQ_OTHER_ASSETS_SERV_RIGHTS">"c2243"</definedName>
    <definedName name="IQ_OTHER_ASSETS_UTI">"c866"</definedName>
    <definedName name="IQ_OTHER_BEARING_LIAB">"c1608"</definedName>
    <definedName name="IQ_OTHER_BENEFITS_OBLIGATION">"c867"</definedName>
    <definedName name="IQ_OTHER_CA">"c868"</definedName>
    <definedName name="IQ_OTHER_CA_SUPPL">"c869"</definedName>
    <definedName name="IQ_OTHER_CA_SUPPL_BNK">"c870"</definedName>
    <definedName name="IQ_OTHER_CA_SUPPL_BR">"c871"</definedName>
    <definedName name="IQ_OTHER_CA_SUPPL_FIN">"c872"</definedName>
    <definedName name="IQ_OTHER_CA_SUPPL_INS">"c873"</definedName>
    <definedName name="IQ_OTHER_CA_SUPPL_RE">"c6242"</definedName>
    <definedName name="IQ_OTHER_CA_SUPPL_REIT">"c874"</definedName>
    <definedName name="IQ_OTHER_CA_SUPPL_UTI">"c875"</definedName>
    <definedName name="IQ_OTHER_CA_UTI">"c876"</definedName>
    <definedName name="IQ_OTHER_CL">"c877"</definedName>
    <definedName name="IQ_OTHER_CL_SUPPL">"c878"</definedName>
    <definedName name="IQ_OTHER_CL_SUPPL_BNK">"c879"</definedName>
    <definedName name="IQ_OTHER_CL_SUPPL_BR">"c880"</definedName>
    <definedName name="IQ_OTHER_CL_SUPPL_FIN">"c881"</definedName>
    <definedName name="IQ_OTHER_CL_SUPPL_INS">"C6021"</definedName>
    <definedName name="IQ_OTHER_CL_SUPPL_RE">"c6243"</definedName>
    <definedName name="IQ_OTHER_CL_SUPPL_REIT">"c882"</definedName>
    <definedName name="IQ_OTHER_CL_SUPPL_UTI">"c883"</definedName>
    <definedName name="IQ_OTHER_CL_UTI">"c884"</definedName>
    <definedName name="IQ_OTHER_CURRENT_ASSETS">"c1403"</definedName>
    <definedName name="IQ_OTHER_CURRENT_LIAB">"c1404"</definedName>
    <definedName name="IQ_OTHER_DEBT">"c2507"</definedName>
    <definedName name="IQ_OTHER_DEBT_PCT">"c2508"</definedName>
    <definedName name="IQ_OTHER_DEP">"c885"</definedName>
    <definedName name="IQ_OTHER_EARNING">"c1609"</definedName>
    <definedName name="IQ_OTHER_EQUITY">"c886"</definedName>
    <definedName name="IQ_OTHER_EQUITY_BNK">"c887"</definedName>
    <definedName name="IQ_OTHER_EQUITY_BR">"c888"</definedName>
    <definedName name="IQ_OTHER_EQUITY_FIN">"c889"</definedName>
    <definedName name="IQ_OTHER_EQUITY_INS">"c890"</definedName>
    <definedName name="IQ_OTHER_EQUITY_RE">"c6244"</definedName>
    <definedName name="IQ_OTHER_EQUITY_REIT">"c891"</definedName>
    <definedName name="IQ_OTHER_EQUITY_UTI">"c892"</definedName>
    <definedName name="IQ_OTHER_FINANCE_ACT">"c893"</definedName>
    <definedName name="IQ_OTHER_FINANCE_ACT_BNK">"c894"</definedName>
    <definedName name="IQ_OTHER_FINANCE_ACT_BR">"c895"</definedName>
    <definedName name="IQ_OTHER_FINANCE_ACT_FIN">"c896"</definedName>
    <definedName name="IQ_OTHER_FINANCE_ACT_INS">"c897"</definedName>
    <definedName name="IQ_OTHER_FINANCE_ACT_RE">"c6245"</definedName>
    <definedName name="IQ_OTHER_FINANCE_ACT_REIT">"c898"</definedName>
    <definedName name="IQ_OTHER_FINANCE_ACT_SUPPL">"c899"</definedName>
    <definedName name="IQ_OTHER_FINANCE_ACT_SUPPL_BNK">"c900"</definedName>
    <definedName name="IQ_OTHER_FINANCE_ACT_SUPPL_BR">"c901"</definedName>
    <definedName name="IQ_OTHER_FINANCE_ACT_SUPPL_FIN">"c902"</definedName>
    <definedName name="IQ_OTHER_FINANCE_ACT_SUPPL_INS">"c903"</definedName>
    <definedName name="IQ_OTHER_FINANCE_ACT_SUPPL_RE">"c6246"</definedName>
    <definedName name="IQ_OTHER_FINANCE_ACT_SUPPL_REIT">"c904"</definedName>
    <definedName name="IQ_OTHER_FINANCE_ACT_SUPPL_UTI">"c905"</definedName>
    <definedName name="IQ_OTHER_FINANCE_ACT_UTI">"c906"</definedName>
    <definedName name="IQ_OTHER_INTAN">"c907"</definedName>
    <definedName name="IQ_OTHER_INTAN_BNK">"c908"</definedName>
    <definedName name="IQ_OTHER_INTAN_BR">"c909"</definedName>
    <definedName name="IQ_OTHER_INTAN_FIN">"c910"</definedName>
    <definedName name="IQ_OTHER_INTAN_INS">"c911"</definedName>
    <definedName name="IQ_OTHER_INTAN_RE">"c6247"</definedName>
    <definedName name="IQ_OTHER_INTAN_REIT">"c912"</definedName>
    <definedName name="IQ_OTHER_INTAN_UTI">"c913"</definedName>
    <definedName name="IQ_OTHER_INV">"c914"</definedName>
    <definedName name="IQ_OTHER_INVEST">"c915"</definedName>
    <definedName name="IQ_OTHER_INVEST_ACT">"c916"</definedName>
    <definedName name="IQ_OTHER_INVEST_ACT_BNK">"c917"</definedName>
    <definedName name="IQ_OTHER_INVEST_ACT_BR">"c918"</definedName>
    <definedName name="IQ_OTHER_INVEST_ACT_FIN">"c919"</definedName>
    <definedName name="IQ_OTHER_INVEST_ACT_INS">"c920"</definedName>
    <definedName name="IQ_OTHER_INVEST_ACT_RE">"c6248"</definedName>
    <definedName name="IQ_OTHER_INVEST_ACT_REIT">"c921"</definedName>
    <definedName name="IQ_OTHER_INVEST_ACT_SUPPL">"c922"</definedName>
    <definedName name="IQ_OTHER_INVEST_ACT_SUPPL_BNK">"c923"</definedName>
    <definedName name="IQ_OTHER_INVEST_ACT_SUPPL_BR">"c924"</definedName>
    <definedName name="IQ_OTHER_INVEST_ACT_SUPPL_FIN">"c925"</definedName>
    <definedName name="IQ_OTHER_INVEST_ACT_SUPPL_INS">"c926"</definedName>
    <definedName name="IQ_OTHER_INVEST_ACT_SUPPL_RE">"c6249"</definedName>
    <definedName name="IQ_OTHER_INVEST_ACT_SUPPL_REIT">"c927"</definedName>
    <definedName name="IQ_OTHER_INVEST_ACT_SUPPL_UTI">"c928"</definedName>
    <definedName name="IQ_OTHER_INVEST_ACT_UTI">"c929"</definedName>
    <definedName name="IQ_OTHER_INVESTING">"c1408"</definedName>
    <definedName name="IQ_OTHER_LIAB">"c930"</definedName>
    <definedName name="IQ_OTHER_LIAB_BNK">"c931"</definedName>
    <definedName name="IQ_OTHER_LIAB_BR">"c932"</definedName>
    <definedName name="IQ_OTHER_LIAB_FIN">"c933"</definedName>
    <definedName name="IQ_OTHER_LIAB_INS">"c934"</definedName>
    <definedName name="IQ_OTHER_LIAB_LT">"c935"</definedName>
    <definedName name="IQ_OTHER_LIAB_LT_BNK">"c936"</definedName>
    <definedName name="IQ_OTHER_LIAB_LT_BR">"c937"</definedName>
    <definedName name="IQ_OTHER_LIAB_LT_FIN">"c938"</definedName>
    <definedName name="IQ_OTHER_LIAB_LT_INS">"c939"</definedName>
    <definedName name="IQ_OTHER_LIAB_LT_RE">"c6250"</definedName>
    <definedName name="IQ_OTHER_LIAB_LT_REIT">"c940"</definedName>
    <definedName name="IQ_OTHER_LIAB_LT_UTI">"c941"</definedName>
    <definedName name="IQ_OTHER_LIAB_RE">"c6251"</definedName>
    <definedName name="IQ_OTHER_LIAB_REIT">"c942"</definedName>
    <definedName name="IQ_OTHER_LIAB_UTI">"c943"</definedName>
    <definedName name="IQ_OTHER_LIAB_WRITTEN">"c944"</definedName>
    <definedName name="IQ_OTHER_LOANS">"c945"</definedName>
    <definedName name="IQ_OTHER_LONG_TERM">"c1409"</definedName>
    <definedName name="IQ_OTHER_LT_ASSETS">"c946"</definedName>
    <definedName name="IQ_OTHER_LT_ASSETS_BNK">"c947"</definedName>
    <definedName name="IQ_OTHER_LT_ASSETS_BR">"c948"</definedName>
    <definedName name="IQ_OTHER_LT_ASSETS_FIN">"c949"</definedName>
    <definedName name="IQ_OTHER_LT_ASSETS_INS">"c950"</definedName>
    <definedName name="IQ_OTHER_LT_ASSETS_RE">"c6252"</definedName>
    <definedName name="IQ_OTHER_LT_ASSETS_REIT">"c951"</definedName>
    <definedName name="IQ_OTHER_LT_ASSETS_UTI">"c952"</definedName>
    <definedName name="IQ_OTHER_NET">"c1453"</definedName>
    <definedName name="IQ_OTHER_NON_INT_EXP">"c953"</definedName>
    <definedName name="IQ_OTHER_NON_INT_EXP_TOTAL">"c954"</definedName>
    <definedName name="IQ_OTHER_NON_INT_INC">"c955"</definedName>
    <definedName name="IQ_OTHER_NON_OPER_EXP">"c956"</definedName>
    <definedName name="IQ_OTHER_NON_OPER_EXP_BR">"c957"</definedName>
    <definedName name="IQ_OTHER_NON_OPER_EXP_FIN">"c958"</definedName>
    <definedName name="IQ_OTHER_NON_OPER_EXP_INS">"c959"</definedName>
    <definedName name="IQ_OTHER_NON_OPER_EXP_RE">"c6253"</definedName>
    <definedName name="IQ_OTHER_NON_OPER_EXP_REIT">"c960"</definedName>
    <definedName name="IQ_OTHER_NON_OPER_EXP_SUPPL">"c961"</definedName>
    <definedName name="IQ_OTHER_NON_OPER_EXP_SUPPL_BR">"c962"</definedName>
    <definedName name="IQ_OTHER_NON_OPER_EXP_SUPPL_FIN">"c963"</definedName>
    <definedName name="IQ_OTHER_NON_OPER_EXP_SUPPL_INS">"c964"</definedName>
    <definedName name="IQ_OTHER_NON_OPER_EXP_SUPPL_RE">"c6254"</definedName>
    <definedName name="IQ_OTHER_NON_OPER_EXP_SUPPL_REIT">"c965"</definedName>
    <definedName name="IQ_OTHER_NON_OPER_EXP_SUPPL_UTI">"c966"</definedName>
    <definedName name="IQ_OTHER_NON_OPER_EXP_UTI">"c967"</definedName>
    <definedName name="IQ_OTHER_OPER">"c982"</definedName>
    <definedName name="IQ_OTHER_OPER_ACT">"c983"</definedName>
    <definedName name="IQ_OTHER_OPER_ACT_BNK">"c984"</definedName>
    <definedName name="IQ_OTHER_OPER_ACT_BR">"c985"</definedName>
    <definedName name="IQ_OTHER_OPER_ACT_FIN">"c986"</definedName>
    <definedName name="IQ_OTHER_OPER_ACT_INS">"c987"</definedName>
    <definedName name="IQ_OTHER_OPER_ACT_RE">"c6255"</definedName>
    <definedName name="IQ_OTHER_OPER_ACT_REIT">"c988"</definedName>
    <definedName name="IQ_OTHER_OPER_ACT_UTI">"c989"</definedName>
    <definedName name="IQ_OTHER_OPER_BR">"c990"</definedName>
    <definedName name="IQ_OTHER_OPER_FIN">"c991"</definedName>
    <definedName name="IQ_OTHER_OPER_INS">"c992"</definedName>
    <definedName name="IQ_OTHER_OPER_RE">"c6256"</definedName>
    <definedName name="IQ_OTHER_OPER_REIT">"c993"</definedName>
    <definedName name="IQ_OTHER_OPER_SUPPL_BR">"c994"</definedName>
    <definedName name="IQ_OTHER_OPER_SUPPL_FIN">"c995"</definedName>
    <definedName name="IQ_OTHER_OPER_SUPPL_INS">"c996"</definedName>
    <definedName name="IQ_OTHER_OPER_SUPPL_RE">"c6257"</definedName>
    <definedName name="IQ_OTHER_OPER_SUPPL_REIT">"c997"</definedName>
    <definedName name="IQ_OTHER_OPER_SUPPL_UTI">"c998"</definedName>
    <definedName name="IQ_OTHER_OPER_TOT_BNK">"c999"</definedName>
    <definedName name="IQ_OTHER_OPER_TOT_BR">"c1000"</definedName>
    <definedName name="IQ_OTHER_OPER_TOT_FIN">"c1001"</definedName>
    <definedName name="IQ_OTHER_OPER_TOT_INS">"c1002"</definedName>
    <definedName name="IQ_OTHER_OPER_TOT_RE">"c6258"</definedName>
    <definedName name="IQ_OTHER_OPER_TOT_REIT">"c1003"</definedName>
    <definedName name="IQ_OTHER_OPER_TOT_UTI">"c1004"</definedName>
    <definedName name="IQ_OTHER_OPER_UTI">"c1005"</definedName>
    <definedName name="IQ_OTHER_OPTIONS_BEG_OS">"c2686"</definedName>
    <definedName name="IQ_OTHER_OPTIONS_CANCELLED">"c2689"</definedName>
    <definedName name="IQ_OTHER_OPTIONS_END_OS">"c2690"</definedName>
    <definedName name="IQ_OTHER_OPTIONS_EXERCISABLE_END_OS">"c5814"</definedName>
    <definedName name="IQ_OTHER_OPTIONS_EXERCISED">"c2688"</definedName>
    <definedName name="IQ_OTHER_OPTIONS_GRANTED">"c2687"</definedName>
    <definedName name="IQ_OTHER_OPTIONS_STRIKE_PRICE_BEG_OS">"c5815"</definedName>
    <definedName name="IQ_OTHER_OPTIONS_STRIKE_PRICE_CANCELLED">"c5817"</definedName>
    <definedName name="IQ_OTHER_OPTIONS_STRIKE_PRICE_EXERCISABLE">"c5818"</definedName>
    <definedName name="IQ_OTHER_OPTIONS_STRIKE_PRICE_EXERCISED">"c5816"</definedName>
    <definedName name="IQ_OTHER_OPTIONS_STRIKE_PRICE_OS">"c2691"</definedName>
    <definedName name="IQ_OTHER_OUTSTANDING_BS_DATE">"c1972"</definedName>
    <definedName name="IQ_OTHER_OUTSTANDING_FILING_DATE">"c1974"</definedName>
    <definedName name="IQ_OTHER_PC_WRITTEN">"c1006"</definedName>
    <definedName name="IQ_OTHER_REAL_ESTATE">"c1007"</definedName>
    <definedName name="IQ_OTHER_RECEIV">"c1008"</definedName>
    <definedName name="IQ_OTHER_RECEIV_INS">"c1009"</definedName>
    <definedName name="IQ_OTHER_REV">"c1010"</definedName>
    <definedName name="IQ_OTHER_REV_BR">"c1011"</definedName>
    <definedName name="IQ_OTHER_REV_FIN">"c1012"</definedName>
    <definedName name="IQ_OTHER_REV_INS">"c1013"</definedName>
    <definedName name="IQ_OTHER_REV_RE">"c6259"</definedName>
    <definedName name="IQ_OTHER_REV_REIT">"c1014"</definedName>
    <definedName name="IQ_OTHER_REV_SUPPL">"c1015"</definedName>
    <definedName name="IQ_OTHER_REV_SUPPL_BR">"c1016"</definedName>
    <definedName name="IQ_OTHER_REV_SUPPL_FIN">"c1017"</definedName>
    <definedName name="IQ_OTHER_REV_SUPPL_INS">"c1018"</definedName>
    <definedName name="IQ_OTHER_REV_SUPPL_RE">"c6260"</definedName>
    <definedName name="IQ_OTHER_REV_SUPPL_REIT">"c1019"</definedName>
    <definedName name="IQ_OTHER_REV_SUPPL_UTI">"c1020"</definedName>
    <definedName name="IQ_OTHER_REV_UTI">"c1021"</definedName>
    <definedName name="IQ_OTHER_REVENUE">"c1410"</definedName>
    <definedName name="IQ_OTHER_STRIKE_PRICE_GRANTED">"c2692"</definedName>
    <definedName name="IQ_OTHER_UNDRAWN">"c2522"</definedName>
    <definedName name="IQ_OTHER_UNUSUAL">"c1488"</definedName>
    <definedName name="IQ_OTHER_UNUSUAL_BNK">"c1560"</definedName>
    <definedName name="IQ_OTHER_UNUSUAL_BR">"c1561"</definedName>
    <definedName name="IQ_OTHER_UNUSUAL_FIN">"c1562"</definedName>
    <definedName name="IQ_OTHER_UNUSUAL_INS">"c1563"</definedName>
    <definedName name="IQ_OTHER_UNUSUAL_RE">"c6282"</definedName>
    <definedName name="IQ_OTHER_UNUSUAL_REIT">"c1564"</definedName>
    <definedName name="IQ_OTHER_UNUSUAL_SUPPL">"c1494"</definedName>
    <definedName name="IQ_OTHER_UNUSUAL_SUPPL_BNK">"c1495"</definedName>
    <definedName name="IQ_OTHER_UNUSUAL_SUPPL_BR">"c1496"</definedName>
    <definedName name="IQ_OTHER_UNUSUAL_SUPPL_FIN">"c1497"</definedName>
    <definedName name="IQ_OTHER_UNUSUAL_SUPPL_INS">"c1498"</definedName>
    <definedName name="IQ_OTHER_UNUSUAL_SUPPL_RE">"c6281"</definedName>
    <definedName name="IQ_OTHER_UNUSUAL_SUPPL_REIT">"c1499"</definedName>
    <definedName name="IQ_OTHER_UNUSUAL_SUPPL_UTI">"c1500"</definedName>
    <definedName name="IQ_OTHER_UNUSUAL_UTI">"c1565"</definedName>
    <definedName name="IQ_OTHER_WARRANTS_BEG_OS">"c2712"</definedName>
    <definedName name="IQ_OTHER_WARRANTS_CANCELLED">"c2715"</definedName>
    <definedName name="IQ_OTHER_WARRANTS_END_OS">"c2716"</definedName>
    <definedName name="IQ_OTHER_WARRANTS_EXERCISED">"c2714"</definedName>
    <definedName name="IQ_OTHER_WARRANTS_ISSUED">"c2713"</definedName>
    <definedName name="IQ_OTHER_WARRANTS_STRIKE_PRICE_ISSUED">"c2718"</definedName>
    <definedName name="IQ_OTHER_WARRANTS_STRIKE_PRICE_OS">"c2717"</definedName>
    <definedName name="IQ_OUTSTANDING_BS_DATE">"c2128"</definedName>
    <definedName name="IQ_OUTSTANDING_FILING_DATE">"c1023"</definedName>
    <definedName name="IQ_OWNERSHIP">"c2160"</definedName>
    <definedName name="IQ_PART_TIME">"c1024"</definedName>
    <definedName name="IQ_PAY_ACCRUED">"c1457"</definedName>
    <definedName name="IQ_PAYOUT_RATIO">"c1900"</definedName>
    <definedName name="IQ_PBV">"c1025"</definedName>
    <definedName name="IQ_PBV_AVG">"c1026"</definedName>
    <definedName name="IQ_PC_EARNED">"c2749"</definedName>
    <definedName name="IQ_PC_GAAP_COMBINED_RATIO">"c2781"</definedName>
    <definedName name="IQ_PC_GAAP_COMBINED_RATIO_EXCL_CL">"c2782"</definedName>
    <definedName name="IQ_PC_GAAP_EXPENSE_RATIO">"c2780"</definedName>
    <definedName name="IQ_PC_GAAP_LOSS">"c2779"</definedName>
    <definedName name="IQ_PC_POLICY_BENEFITS_EXP">"c2790"</definedName>
    <definedName name="IQ_PC_STAT_COMBINED_RATIO">"c2778"</definedName>
    <definedName name="IQ_PC_STAT_COMBINED_RATIO_EXCL_DIV">"c2777"</definedName>
    <definedName name="IQ_PC_STAT_DIVIDEND_RATIO">"c2776"</definedName>
    <definedName name="IQ_PC_STAT_EXPENSE_RATIO">"c2775"</definedName>
    <definedName name="IQ_PC_STAT_LOSS_RATIO">"c2774"</definedName>
    <definedName name="IQ_PC_STATUTORY_SURPLUS">"c2770"</definedName>
    <definedName name="IQ_PC_WRITTEN">"c1027"</definedName>
    <definedName name="IQ_PE_EXCL">"c1028"</definedName>
    <definedName name="IQ_PE_EXCL_AVG">"c1029"</definedName>
    <definedName name="IQ_PE_EXCL_FWD">"c1030"</definedName>
    <definedName name="IQ_PE_EXCL_FWD_REUT">"c4049"</definedName>
    <definedName name="IQ_PE_NORMALIZED">"c2207"</definedName>
    <definedName name="IQ_PE_RATIO">"c1610"</definedName>
    <definedName name="IQ_PEG_FWD">"c1863"</definedName>
    <definedName name="IQ_PEG_FWD_REUT">"c4052"</definedName>
    <definedName name="IQ_PENSION">"c1031"</definedName>
    <definedName name="IQ_PENSION_ACCRUED_LIAB">"c3134"</definedName>
    <definedName name="IQ_PENSION_ACCRUED_LIAB_DOM">"c3132"</definedName>
    <definedName name="IQ_PENSION_ACCRUED_LIAB_FOREIGN">"c3133"</definedName>
    <definedName name="IQ_PENSION_ACCUM_OTHER_CI">"c3140"</definedName>
    <definedName name="IQ_PENSION_ACCUM_OTHER_CI_DOM">"c3138"</definedName>
    <definedName name="IQ_PENSION_ACCUM_OTHER_CI_FOREIGN">"c3139"</definedName>
    <definedName name="IQ_PENSION_ACCUMULATED_OBLIGATION">"c3570"</definedName>
    <definedName name="IQ_PENSION_ACCUMULATED_OBLIGATION_DOMESTIC">"c3568"</definedName>
    <definedName name="IQ_PENSION_ACCUMULATED_OBLIGATION_FOREIGN">"c3569"</definedName>
    <definedName name="IQ_PENSION_ACT_NEXT">"c5738"</definedName>
    <definedName name="IQ_PENSION_ACT_NEXT_DOM">"c5736"</definedName>
    <definedName name="IQ_PENSION_ACT_NEXT_FOREIGN">"c5737"</definedName>
    <definedName name="IQ_PENSION_AMT_RECOG_NEXT_DOM">"c5745"</definedName>
    <definedName name="IQ_PENSION_AMT_RECOG_NEXT_FOREIGN">"c5746"</definedName>
    <definedName name="IQ_PENSION_AMT_RECOG_PERIOD">"c5747"</definedName>
    <definedName name="IQ_PENSION_ASSETS">"c3182"</definedName>
    <definedName name="IQ_PENSION_ASSETS_ACQ">"c3173"</definedName>
    <definedName name="IQ_PENSION_ASSETS_ACQ_DOM">"c3171"</definedName>
    <definedName name="IQ_PENSION_ASSETS_ACQ_FOREIGN">"c3172"</definedName>
    <definedName name="IQ_PENSION_ASSETS_ACTUAL_RETURN">"c3158"</definedName>
    <definedName name="IQ_PENSION_ASSETS_ACTUAL_RETURN_DOM">"c3156"</definedName>
    <definedName name="IQ_PENSION_ASSETS_ACTUAL_RETURN_FOREIGN">"c3157"</definedName>
    <definedName name="IQ_PENSION_ASSETS_BEG">"c3155"</definedName>
    <definedName name="IQ_PENSION_ASSETS_BEG_DOM">"c3153"</definedName>
    <definedName name="IQ_PENSION_ASSETS_BEG_FOREIGN">"c3154"</definedName>
    <definedName name="IQ_PENSION_ASSETS_BENEFITS_PAID">"c3167"</definedName>
    <definedName name="IQ_PENSION_ASSETS_BENEFITS_PAID_DOM">"c3165"</definedName>
    <definedName name="IQ_PENSION_ASSETS_BENEFITS_PAID_FOREIGN">"c3166"</definedName>
    <definedName name="IQ_PENSION_ASSETS_CURTAIL">"c3176"</definedName>
    <definedName name="IQ_PENSION_ASSETS_CURTAIL_DOM">"c3174"</definedName>
    <definedName name="IQ_PENSION_ASSETS_CURTAIL_FOREIGN">"c3175"</definedName>
    <definedName name="IQ_PENSION_ASSETS_DOM">"c3180"</definedName>
    <definedName name="IQ_PENSION_ASSETS_EMPLOYER_CONTRIBUTIONS">"c3161"</definedName>
    <definedName name="IQ_PENSION_ASSETS_EMPLOYER_CONTRIBUTIONS_DOM">"c3159"</definedName>
    <definedName name="IQ_PENSION_ASSETS_EMPLOYER_CONTRIBUTIONS_FOREIGN">"c3160"</definedName>
    <definedName name="IQ_PENSION_ASSETS_FOREIGN">"c3181"</definedName>
    <definedName name="IQ_PENSION_ASSETS_FX_ADJ">"c3170"</definedName>
    <definedName name="IQ_PENSION_ASSETS_FX_ADJ_DOM">"c3168"</definedName>
    <definedName name="IQ_PENSION_ASSETS_FX_ADJ_FOREIGN">"c3169"</definedName>
    <definedName name="IQ_PENSION_ASSETS_OTHER_PLAN_ADJ">"c3179"</definedName>
    <definedName name="IQ_PENSION_ASSETS_OTHER_PLAN_ADJ_DOM">"c3177"</definedName>
    <definedName name="IQ_PENSION_ASSETS_OTHER_PLAN_ADJ_FOREIGN">"c3178"</definedName>
    <definedName name="IQ_PENSION_ASSETS_PARTICIP_CONTRIBUTIONS">"c3164"</definedName>
    <definedName name="IQ_PENSION_ASSETS_PARTICIP_CONTRIBUTIONS_DOM">"c3162"</definedName>
    <definedName name="IQ_PENSION_ASSETS_PARTICIP_CONTRIBUTIONS_FOREIGN">"c3163"</definedName>
    <definedName name="IQ_PENSION_BENEFIT_INFO_DATE">"c3230"</definedName>
    <definedName name="IQ_PENSION_BENEFIT_INFO_DATE_DOM">"c3228"</definedName>
    <definedName name="IQ_PENSION_BENEFIT_INFO_DATE_FOREIGN">"c3229"</definedName>
    <definedName name="IQ_PENSION_BREAKDOWN_EQ">"c3101"</definedName>
    <definedName name="IQ_PENSION_BREAKDOWN_EQ_DOM">"c3099"</definedName>
    <definedName name="IQ_PENSION_BREAKDOWN_EQ_FOREIGN">"c3100"</definedName>
    <definedName name="IQ_PENSION_BREAKDOWN_FI">"c3104"</definedName>
    <definedName name="IQ_PENSION_BREAKDOWN_FI_DOM">"c3102"</definedName>
    <definedName name="IQ_PENSION_BREAKDOWN_FI_FOREIGN">"c3103"</definedName>
    <definedName name="IQ_PENSION_BREAKDOWN_OTHER">"c3110"</definedName>
    <definedName name="IQ_PENSION_BREAKDOWN_OTHER_DOM">"c3108"</definedName>
    <definedName name="IQ_PENSION_BREAKDOWN_OTHER_FOREIGN">"c3109"</definedName>
    <definedName name="IQ_PENSION_BREAKDOWN_PCT_EQ">"c3089"</definedName>
    <definedName name="IQ_PENSION_BREAKDOWN_PCT_EQ_DOM">"c3087"</definedName>
    <definedName name="IQ_PENSION_BREAKDOWN_PCT_EQ_FOREIGN">"c3088"</definedName>
    <definedName name="IQ_PENSION_BREAKDOWN_PCT_FI">"c3092"</definedName>
    <definedName name="IQ_PENSION_BREAKDOWN_PCT_FI_DOM">"c3090"</definedName>
    <definedName name="IQ_PENSION_BREAKDOWN_PCT_FI_FOREIGN">"c3091"</definedName>
    <definedName name="IQ_PENSION_BREAKDOWN_PCT_OTHER">"c3098"</definedName>
    <definedName name="IQ_PENSION_BREAKDOWN_PCT_OTHER_DOM">"c3096"</definedName>
    <definedName name="IQ_PENSION_BREAKDOWN_PCT_OTHER_FOREIGN">"c3097"</definedName>
    <definedName name="IQ_PENSION_BREAKDOWN_PCT_RE">"c3095"</definedName>
    <definedName name="IQ_PENSION_BREAKDOWN_PCT_RE_DOM">"c3093"</definedName>
    <definedName name="IQ_PENSION_BREAKDOWN_PCT_RE_FOREIGN">"c3094"</definedName>
    <definedName name="IQ_PENSION_BREAKDOWN_RE">"c3107"</definedName>
    <definedName name="IQ_PENSION_BREAKDOWN_RE_DOM">"c3105"</definedName>
    <definedName name="IQ_PENSION_BREAKDOWN_RE_FOREIGN">"c3106"</definedName>
    <definedName name="IQ_PENSION_CI_ACT">"c5723"</definedName>
    <definedName name="IQ_PENSION_CI_ACT_DOM">"c5721"</definedName>
    <definedName name="IQ_PENSION_CI_ACT_FOREIGN">"c5722"</definedName>
    <definedName name="IQ_PENSION_CI_NET_AMT_RECOG">"c5735"</definedName>
    <definedName name="IQ_PENSION_CI_NET_AMT_RECOG_DOM">"c5733"</definedName>
    <definedName name="IQ_PENSION_CI_NET_AMT_RECOG_FOREIGN">"c5734"</definedName>
    <definedName name="IQ_PENSION_CI_OTHER_MISC_ADJ">"c5732"</definedName>
    <definedName name="IQ_PENSION_CI_OTHER_MISC_ADJ_DOM">"c5730"</definedName>
    <definedName name="IQ_PENSION_CI_OTHER_MISC_ADJ_FOREIGN">"c5731"</definedName>
    <definedName name="IQ_PENSION_CI_PRIOR_SERVICE">"c5726"</definedName>
    <definedName name="IQ_PENSION_CI_PRIOR_SERVICE_DOM">"c5724"</definedName>
    <definedName name="IQ_PENSION_CI_PRIOR_SERVICE_FOREIGN">"c5725"</definedName>
    <definedName name="IQ_PENSION_CI_TRANSITION">"c5729"</definedName>
    <definedName name="IQ_PENSION_CI_TRANSITION_DOM">"c5727"</definedName>
    <definedName name="IQ_PENSION_CI_TRANSITION_FOREIGN">"c5728"</definedName>
    <definedName name="IQ_PENSION_CL">"c5753"</definedName>
    <definedName name="IQ_PENSION_CL_DOM">"c5751"</definedName>
    <definedName name="IQ_PENSION_CL_FOREIGN">"c5752"</definedName>
    <definedName name="IQ_PENSION_CONTRIBUTION_TOTAL_COST">"c3559"</definedName>
    <definedName name="IQ_PENSION_DISC_RATE_MAX">"c3236"</definedName>
    <definedName name="IQ_PENSION_DISC_RATE_MAX_DOM">"c3234"</definedName>
    <definedName name="IQ_PENSION_DISC_RATE_MAX_FOREIGN">"c3235"</definedName>
    <definedName name="IQ_PENSION_DISC_RATE_MIN">"c3233"</definedName>
    <definedName name="IQ_PENSION_DISC_RATE_MIN_DOM">"c3231"</definedName>
    <definedName name="IQ_PENSION_DISC_RATE_MIN_FOREIGN">"c3232"</definedName>
    <definedName name="IQ_PENSION_DISCOUNT_RATE_DOMESTIC">"c3573"</definedName>
    <definedName name="IQ_PENSION_DISCOUNT_RATE_FOREIGN">"c3574"</definedName>
    <definedName name="IQ_PENSION_EST_BENEFIT_1YR">"c3113"</definedName>
    <definedName name="IQ_PENSION_EST_BENEFIT_1YR_DOM">"c3111"</definedName>
    <definedName name="IQ_PENSION_EST_BENEFIT_1YR_FOREIGN">"c3112"</definedName>
    <definedName name="IQ_PENSION_EST_BENEFIT_2YR">"c3116"</definedName>
    <definedName name="IQ_PENSION_EST_BENEFIT_2YR_DOM">"c3114"</definedName>
    <definedName name="IQ_PENSION_EST_BENEFIT_2YR_FOREIGN">"c3115"</definedName>
    <definedName name="IQ_PENSION_EST_BENEFIT_3YR">"c3119"</definedName>
    <definedName name="IQ_PENSION_EST_BENEFIT_3YR_DOM">"c3117"</definedName>
    <definedName name="IQ_PENSION_EST_BENEFIT_3YR_FOREIGN">"c3118"</definedName>
    <definedName name="IQ_PENSION_EST_BENEFIT_4YR">"c3122"</definedName>
    <definedName name="IQ_PENSION_EST_BENEFIT_4YR_DOM">"c3120"</definedName>
    <definedName name="IQ_PENSION_EST_BENEFIT_4YR_FOREIGN">"c3121"</definedName>
    <definedName name="IQ_PENSION_EST_BENEFIT_5YR">"c3125"</definedName>
    <definedName name="IQ_PENSION_EST_BENEFIT_5YR_DOM">"c3123"</definedName>
    <definedName name="IQ_PENSION_EST_BENEFIT_5YR_FOREIGN">"c3124"</definedName>
    <definedName name="IQ_PENSION_EST_BENEFIT_AFTER5">"c3128"</definedName>
    <definedName name="IQ_PENSION_EST_BENEFIT_AFTER5_DOM">"c3126"</definedName>
    <definedName name="IQ_PENSION_EST_BENEFIT_AFTER5_FOREIGN">"c3127"</definedName>
    <definedName name="IQ_PENSION_EST_CONTRIBUTIONS_NEXTYR">"c3218"</definedName>
    <definedName name="IQ_PENSION_EST_CONTRIBUTIONS_NEXTYR_DOM">"c3216"</definedName>
    <definedName name="IQ_PENSION_EST_CONTRIBUTIONS_NEXTYR_FOREIGN">"c3217"</definedName>
    <definedName name="IQ_PENSION_EXP_RATE_RETURN_MAX">"c3248"</definedName>
    <definedName name="IQ_PENSION_EXP_RATE_RETURN_MAX_DOM">"c3246"</definedName>
    <definedName name="IQ_PENSION_EXP_RATE_RETURN_MAX_FOREIGN">"c3247"</definedName>
    <definedName name="IQ_PENSION_EXP_RATE_RETURN_MIN">"c3245"</definedName>
    <definedName name="IQ_PENSION_EXP_RATE_RETURN_MIN_DOM">"c3243"</definedName>
    <definedName name="IQ_PENSION_EXP_RATE_RETURN_MIN_FOREIGN">"c3244"</definedName>
    <definedName name="IQ_PENSION_EXP_RETURN_DOMESTIC">"c3571"</definedName>
    <definedName name="IQ_PENSION_EXP_RETURN_FOREIGN">"c3572"</definedName>
    <definedName name="IQ_PENSION_INTAN_ASSETS">"c3137"</definedName>
    <definedName name="IQ_PENSION_INTAN_ASSETS_DOM">"c3135"</definedName>
    <definedName name="IQ_PENSION_INTAN_ASSETS_FOREIGN">"c3136"</definedName>
    <definedName name="IQ_PENSION_INTEREST_COST">"c3582"</definedName>
    <definedName name="IQ_PENSION_INTEREST_COST_DOM">"c3580"</definedName>
    <definedName name="IQ_PENSION_INTEREST_COST_FOREIGN">"c3581"</definedName>
    <definedName name="IQ_PENSION_LT_ASSETS">"c5750"</definedName>
    <definedName name="IQ_PENSION_LT_ASSETS_DOM">"c5748"</definedName>
    <definedName name="IQ_PENSION_LT_ASSETS_FOREIGN">"c5749"</definedName>
    <definedName name="IQ_PENSION_LT_LIAB">"c5756"</definedName>
    <definedName name="IQ_PENSION_LT_LIAB_DOM">"c5754"</definedName>
    <definedName name="IQ_PENSION_LT_LIAB_FOREIGN">"c5755"</definedName>
    <definedName name="IQ_PENSION_NET_ASSET_RECOG">"c3152"</definedName>
    <definedName name="IQ_PENSION_NET_ASSET_RECOG_DOM">"c3150"</definedName>
    <definedName name="IQ_PENSION_NET_ASSET_RECOG_FOREIGN">"c3151"</definedName>
    <definedName name="IQ_PENSION_OBLIGATION_ACQ">"c3206"</definedName>
    <definedName name="IQ_PENSION_OBLIGATION_ACQ_DOM">"c3204"</definedName>
    <definedName name="IQ_PENSION_OBLIGATION_ACQ_FOREIGN">"c3205"</definedName>
    <definedName name="IQ_PENSION_OBLIGATION_ACTUARIAL_GAIN_LOSS">"c3197"</definedName>
    <definedName name="IQ_PENSION_OBLIGATION_ACTUARIAL_GAIN_LOSS_DOM">"c3195"</definedName>
    <definedName name="IQ_PENSION_OBLIGATION_ACTUARIAL_GAIN_LOSS_FOREIGN">"c3196"</definedName>
    <definedName name="IQ_PENSION_OBLIGATION_BEG">"c3185"</definedName>
    <definedName name="IQ_PENSION_OBLIGATION_BEG_DOM">"c3183"</definedName>
    <definedName name="IQ_PENSION_OBLIGATION_BEG_FOREIGN">"c3184"</definedName>
    <definedName name="IQ_PENSION_OBLIGATION_CURTAIL">"c3209"</definedName>
    <definedName name="IQ_PENSION_OBLIGATION_CURTAIL_DOM">"c3207"</definedName>
    <definedName name="IQ_PENSION_OBLIGATION_CURTAIL_FOREIGN">"c3208"</definedName>
    <definedName name="IQ_PENSION_OBLIGATION_EMPLOYEE_CONTRIBUTIONS">"c3194"</definedName>
    <definedName name="IQ_PENSION_OBLIGATION_EMPLOYEE_CONTRIBUTIONS_DOM">"c3192"</definedName>
    <definedName name="IQ_PENSION_OBLIGATION_EMPLOYEE_CONTRIBUTIONS_FOREIGN">"c3193"</definedName>
    <definedName name="IQ_PENSION_OBLIGATION_FX_ADJ">"c3203"</definedName>
    <definedName name="IQ_PENSION_OBLIGATION_FX_ADJ_DOM">"c3201"</definedName>
    <definedName name="IQ_PENSION_OBLIGATION_FX_ADJ_FOREIGN">"c3202"</definedName>
    <definedName name="IQ_PENSION_OBLIGATION_INTEREST_COST">"c3191"</definedName>
    <definedName name="IQ_PENSION_OBLIGATION_INTEREST_COST_DOM">"c3189"</definedName>
    <definedName name="IQ_PENSION_OBLIGATION_INTEREST_COST_FOREIGN">"c3190"</definedName>
    <definedName name="IQ_PENSION_OBLIGATION_OTHER_COST">"c3555"</definedName>
    <definedName name="IQ_PENSION_OBLIGATION_OTHER_COST_DOM">"c3553"</definedName>
    <definedName name="IQ_PENSION_OBLIGATION_OTHER_COST_FOREIGN">"c3554"</definedName>
    <definedName name="IQ_PENSION_OBLIGATION_OTHER_PLAN_ADJ">"c3212"</definedName>
    <definedName name="IQ_PENSION_OBLIGATION_OTHER_PLAN_ADJ_DOM">"c3210"</definedName>
    <definedName name="IQ_PENSION_OBLIGATION_OTHER_PLAN_ADJ_FOREIGN">"c3211"</definedName>
    <definedName name="IQ_PENSION_OBLIGATION_PAID">"c3200"</definedName>
    <definedName name="IQ_PENSION_OBLIGATION_PAID_DOM">"c3198"</definedName>
    <definedName name="IQ_PENSION_OBLIGATION_PAID_FOREIGN">"c3199"</definedName>
    <definedName name="IQ_PENSION_OBLIGATION_PROJECTED">"c3215"</definedName>
    <definedName name="IQ_PENSION_OBLIGATION_PROJECTED_DOM">"c3213"</definedName>
    <definedName name="IQ_PENSION_OBLIGATION_PROJECTED_FOREIGN">"c3214"</definedName>
    <definedName name="IQ_PENSION_OBLIGATION_ROA">"c3552"</definedName>
    <definedName name="IQ_PENSION_OBLIGATION_ROA_DOM">"c3550"</definedName>
    <definedName name="IQ_PENSION_OBLIGATION_ROA_FOREIGN">"c3551"</definedName>
    <definedName name="IQ_PENSION_OBLIGATION_SERVICE_COST">"c3188"</definedName>
    <definedName name="IQ_PENSION_OBLIGATION_SERVICE_COST_DOM">"c3186"</definedName>
    <definedName name="IQ_PENSION_OBLIGATION_SERVICE_COST_FOREIGN">"c3187"</definedName>
    <definedName name="IQ_PENSION_OBLIGATION_TOTAL_COST">"c3558"</definedName>
    <definedName name="IQ_PENSION_OBLIGATION_TOTAL_COST_DOM">"c3556"</definedName>
    <definedName name="IQ_PENSION_OBLIGATION_TOTAL_COST_FOREIGN">"c3557"</definedName>
    <definedName name="IQ_PENSION_OTHER">"c3143"</definedName>
    <definedName name="IQ_PENSION_OTHER_ADJ">"c3149"</definedName>
    <definedName name="IQ_PENSION_OTHER_ADJ_DOM">"c3147"</definedName>
    <definedName name="IQ_PENSION_OTHER_ADJ_FOREIGN">"c3148"</definedName>
    <definedName name="IQ_PENSION_OTHER_DOM">"c3141"</definedName>
    <definedName name="IQ_PENSION_OTHER_FOREIGN">"c3142"</definedName>
    <definedName name="IQ_PENSION_PBO_ASSUMED_RATE_RET_MAX">"c3254"</definedName>
    <definedName name="IQ_PENSION_PBO_ASSUMED_RATE_RET_MAX_DOM">"c3252"</definedName>
    <definedName name="IQ_PENSION_PBO_ASSUMED_RATE_RET_MAX_FOREIGN">"c3253"</definedName>
    <definedName name="IQ_PENSION_PBO_ASSUMED_RATE_RET_MIN">"c3251"</definedName>
    <definedName name="IQ_PENSION_PBO_ASSUMED_RATE_RET_MIN_DOM">"c3249"</definedName>
    <definedName name="IQ_PENSION_PBO_ASSUMED_RATE_RET_MIN_FOREIGN">"c3250"</definedName>
    <definedName name="IQ_PENSION_PBO_RATE_COMP_INCREASE_MAX">"c3260"</definedName>
    <definedName name="IQ_PENSION_PBO_RATE_COMP_INCREASE_MAX_DOM">"c3258"</definedName>
    <definedName name="IQ_PENSION_PBO_RATE_COMP_INCREASE_MAX_FOREIGN">"c3259"</definedName>
    <definedName name="IQ_PENSION_PBO_RATE_COMP_INCREASE_MIN">"c3257"</definedName>
    <definedName name="IQ_PENSION_PBO_RATE_COMP_INCREASE_MIN_DOM">"c3255"</definedName>
    <definedName name="IQ_PENSION_PBO_RATE_COMP_INCREASE_MIN_FOREIGN">"c3256"</definedName>
    <definedName name="IQ_PENSION_PREPAID_COST">"c3131"</definedName>
    <definedName name="IQ_PENSION_PREPAID_COST_DOM">"c3129"</definedName>
    <definedName name="IQ_PENSION_PREPAID_COST_FOREIGN">"c3130"</definedName>
    <definedName name="IQ_PENSION_PRIOR_SERVICE_NEXT">"c5741"</definedName>
    <definedName name="IQ_PENSION_PRIOR_SERVICE_NEXT_DOM">"c5739"</definedName>
    <definedName name="IQ_PENSION_PRIOR_SERVICE_NEXT_FOREIGN">"c5740"</definedName>
    <definedName name="IQ_PENSION_PROJECTED_OBLIGATION">"c3566"</definedName>
    <definedName name="IQ_PENSION_PROJECTED_OBLIGATION_DOMESTIC">"c3564"</definedName>
    <definedName name="IQ_PENSION_PROJECTED_OBLIGATION_FOREIGN">"c3565"</definedName>
    <definedName name="IQ_PENSION_QUART_ADDL_CONTRIBUTIONS_EXP">"c3224"</definedName>
    <definedName name="IQ_PENSION_QUART_ADDL_CONTRIBUTIONS_EXP_DOM">"c3222"</definedName>
    <definedName name="IQ_PENSION_QUART_ADDL_CONTRIBUTIONS_EXP_FOREIGN">"c3223"</definedName>
    <definedName name="IQ_PENSION_QUART_EMPLOYER_CONTRIBUTIONS">"c3221"</definedName>
    <definedName name="IQ_PENSION_QUART_EMPLOYER_CONTRIBUTIONS_DOM">"c3219"</definedName>
    <definedName name="IQ_PENSION_QUART_EMPLOYER_CONTRIBUTIONS_FOREIGN">"c3220"</definedName>
    <definedName name="IQ_PENSION_RATE_COMP_GROWTH_DOMESTIC">"c3575"</definedName>
    <definedName name="IQ_PENSION_RATE_COMP_GROWTH_FOREIGN">"c3576"</definedName>
    <definedName name="IQ_PENSION_RATE_COMP_INCREASE_MAX">"c3242"</definedName>
    <definedName name="IQ_PENSION_RATE_COMP_INCREASE_MAX_DOM">"c3240"</definedName>
    <definedName name="IQ_PENSION_RATE_COMP_INCREASE_MAX_FOREIGN">"c3241"</definedName>
    <definedName name="IQ_PENSION_RATE_COMP_INCREASE_MIN">"c3239"</definedName>
    <definedName name="IQ_PENSION_RATE_COMP_INCREASE_MIN_DOM">"c3237"</definedName>
    <definedName name="IQ_PENSION_RATE_COMP_INCREASE_MIN_FOREIGN">"c3238"</definedName>
    <definedName name="IQ_PENSION_SERVICE_COST">"c3579"</definedName>
    <definedName name="IQ_PENSION_SERVICE_COST_DOM">"c3577"</definedName>
    <definedName name="IQ_PENSION_SERVICE_COST_FOREIGN">"c3578"</definedName>
    <definedName name="IQ_PENSION_TOTAL_ASSETS">"c3563"</definedName>
    <definedName name="IQ_PENSION_TOTAL_ASSETS_DOMESTIC">"c3561"</definedName>
    <definedName name="IQ_PENSION_TOTAL_ASSETS_FOREIGN">"c3562"</definedName>
    <definedName name="IQ_PENSION_TOTAL_EXP">"c3560"</definedName>
    <definedName name="IQ_PENSION_TRANSITION_NEXT">"c5744"</definedName>
    <definedName name="IQ_PENSION_TRANSITION_NEXT_DOM">"c5742"</definedName>
    <definedName name="IQ_PENSION_TRANSITION_NEXT_FOREIGN">"c5743"</definedName>
    <definedName name="IQ_PENSION_UNFUNDED_ADDL_MIN_LIAB">"c3227"</definedName>
    <definedName name="IQ_PENSION_UNFUNDED_ADDL_MIN_LIAB_DOM">"c3225"</definedName>
    <definedName name="IQ_PENSION_UNFUNDED_ADDL_MIN_LIAB_FOREIGN">"c3226"</definedName>
    <definedName name="IQ_PENSION_UNRECOG_PRIOR">"c3146"</definedName>
    <definedName name="IQ_PENSION_UNRECOG_PRIOR_DOM">"c3144"</definedName>
    <definedName name="IQ_PENSION_UNRECOG_PRIOR_FOREIGN">"c3145"</definedName>
    <definedName name="IQ_PENSION_UV_LIAB">"c3567"</definedName>
    <definedName name="IQ_PERCENT_CHANGE_EST_5YR_GROWTH_RATE_12MONTHS">"c1852"</definedName>
    <definedName name="IQ_PERCENT_CHANGE_EST_5YR_GROWTH_RATE_12MONTHS_REUT">"c3959"</definedName>
    <definedName name="IQ_PERCENT_CHANGE_EST_5YR_GROWTH_RATE_18MONTHS">"c1853"</definedName>
    <definedName name="IQ_PERCENT_CHANGE_EST_5YR_GROWTH_RATE_18MONTHS_REUT">"c3960"</definedName>
    <definedName name="IQ_PERCENT_CHANGE_EST_5YR_GROWTH_RATE_3MONTHS">"c1849"</definedName>
    <definedName name="IQ_PERCENT_CHANGE_EST_5YR_GROWTH_RATE_3MONTHS_REUT">"c3956"</definedName>
    <definedName name="IQ_PERCENT_CHANGE_EST_5YR_GROWTH_RATE_6MONTHS">"c1850"</definedName>
    <definedName name="IQ_PERCENT_CHANGE_EST_5YR_GROWTH_RATE_6MONTHS_REUT">"c3957"</definedName>
    <definedName name="IQ_PERCENT_CHANGE_EST_5YR_GROWTH_RATE_9MONTHS">"c1851"</definedName>
    <definedName name="IQ_PERCENT_CHANGE_EST_5YR_GROWTH_RATE_9MONTHS_REUT">"c3958"</definedName>
    <definedName name="IQ_PERCENT_CHANGE_EST_5YR_GROWTH_RATE_DAY">"c1846"</definedName>
    <definedName name="IQ_PERCENT_CHANGE_EST_5YR_GROWTH_RATE_DAY_REUT">"c3954"</definedName>
    <definedName name="IQ_PERCENT_CHANGE_EST_5YR_GROWTH_RATE_MONTH">"c1848"</definedName>
    <definedName name="IQ_PERCENT_CHANGE_EST_5YR_GROWTH_RATE_MONTH_REUT">"c3955"</definedName>
    <definedName name="IQ_PERCENT_CHANGE_EST_5YR_GROWTH_RATE_WEEK">"c1847"</definedName>
    <definedName name="IQ_PERCENT_CHANGE_EST_5YR_GROWTH_RATE_WEEK_REUT">"c5435"</definedName>
    <definedName name="IQ_PERCENT_CHANGE_EST_CFPS_12MONTHS">"c1812"</definedName>
    <definedName name="IQ_PERCENT_CHANGE_EST_CFPS_12MONTHS_REUT">"c3924"</definedName>
    <definedName name="IQ_PERCENT_CHANGE_EST_CFPS_18MONTHS">"c1813"</definedName>
    <definedName name="IQ_PERCENT_CHANGE_EST_CFPS_18MONTHS_REUT">"c3925"</definedName>
    <definedName name="IQ_PERCENT_CHANGE_EST_CFPS_3MONTHS">"c1809"</definedName>
    <definedName name="IQ_PERCENT_CHANGE_EST_CFPS_3MONTHS_REUT">"c3921"</definedName>
    <definedName name="IQ_PERCENT_CHANGE_EST_CFPS_6MONTHS">"c1810"</definedName>
    <definedName name="IQ_PERCENT_CHANGE_EST_CFPS_6MONTHS_REUT">"c3922"</definedName>
    <definedName name="IQ_PERCENT_CHANGE_EST_CFPS_9MONTHS">"c1811"</definedName>
    <definedName name="IQ_PERCENT_CHANGE_EST_CFPS_9MONTHS_REUT">"c3923"</definedName>
    <definedName name="IQ_PERCENT_CHANGE_EST_CFPS_DAY">"c1806"</definedName>
    <definedName name="IQ_PERCENT_CHANGE_EST_CFPS_DAY_REUT">"c3919"</definedName>
    <definedName name="IQ_PERCENT_CHANGE_EST_CFPS_MONTH">"c1808"</definedName>
    <definedName name="IQ_PERCENT_CHANGE_EST_CFPS_MONTH_REUT">"c3920"</definedName>
    <definedName name="IQ_PERCENT_CHANGE_EST_CFPS_WEEK">"c1807"</definedName>
    <definedName name="IQ_PERCENT_CHANGE_EST_CFPS_WEEK_REUT">"c3962"</definedName>
    <definedName name="IQ_PERCENT_CHANGE_EST_DPS_12MONTHS">"c1820"</definedName>
    <definedName name="IQ_PERCENT_CHANGE_EST_DPS_12MONTHS_REUT">"c3931"</definedName>
    <definedName name="IQ_PERCENT_CHANGE_EST_DPS_18MONTHS">"c1821"</definedName>
    <definedName name="IQ_PERCENT_CHANGE_EST_DPS_18MONTHS_REUT">"c3932"</definedName>
    <definedName name="IQ_PERCENT_CHANGE_EST_DPS_3MONTHS">"c1817"</definedName>
    <definedName name="IQ_PERCENT_CHANGE_EST_DPS_3MONTHS_REUT">"c3928"</definedName>
    <definedName name="IQ_PERCENT_CHANGE_EST_DPS_6MONTHS">"c1818"</definedName>
    <definedName name="IQ_PERCENT_CHANGE_EST_DPS_6MONTHS_REUT">"c3929"</definedName>
    <definedName name="IQ_PERCENT_CHANGE_EST_DPS_9MONTHS">"c1819"</definedName>
    <definedName name="IQ_PERCENT_CHANGE_EST_DPS_9MONTHS_REUT">"c3930"</definedName>
    <definedName name="IQ_PERCENT_CHANGE_EST_DPS_DAY">"c1814"</definedName>
    <definedName name="IQ_PERCENT_CHANGE_EST_DPS_DAY_REUT">"c3926"</definedName>
    <definedName name="IQ_PERCENT_CHANGE_EST_DPS_MONTH">"c1816"</definedName>
    <definedName name="IQ_PERCENT_CHANGE_EST_DPS_MONTH_REUT">"c3927"</definedName>
    <definedName name="IQ_PERCENT_CHANGE_EST_DPS_WEEK">"c1815"</definedName>
    <definedName name="IQ_PERCENT_CHANGE_EST_DPS_WEEK_REUT">"c3963"</definedName>
    <definedName name="IQ_PERCENT_CHANGE_EST_EBITDA_12MONTHS">"c1804"</definedName>
    <definedName name="IQ_PERCENT_CHANGE_EST_EBITDA_12MONTHS_REUT">"c3917"</definedName>
    <definedName name="IQ_PERCENT_CHANGE_EST_EBITDA_18MONTHS">"c1805"</definedName>
    <definedName name="IQ_PERCENT_CHANGE_EST_EBITDA_18MONTHS_REUT">"c3918"</definedName>
    <definedName name="IQ_PERCENT_CHANGE_EST_EBITDA_3MONTHS">"c1801"</definedName>
    <definedName name="IQ_PERCENT_CHANGE_EST_EBITDA_3MONTHS_REUT">"c3914"</definedName>
    <definedName name="IQ_PERCENT_CHANGE_EST_EBITDA_6MONTHS">"c1802"</definedName>
    <definedName name="IQ_PERCENT_CHANGE_EST_EBITDA_6MONTHS_REUT">"c3915"</definedName>
    <definedName name="IQ_PERCENT_CHANGE_EST_EBITDA_9MONTHS">"c1803"</definedName>
    <definedName name="IQ_PERCENT_CHANGE_EST_EBITDA_9MONTHS_REUT">"c3916"</definedName>
    <definedName name="IQ_PERCENT_CHANGE_EST_EBITDA_DAY">"c1798"</definedName>
    <definedName name="IQ_PERCENT_CHANGE_EST_EBITDA_DAY_REUT">"c3912"</definedName>
    <definedName name="IQ_PERCENT_CHANGE_EST_EBITDA_MONTH">"c1800"</definedName>
    <definedName name="IQ_PERCENT_CHANGE_EST_EBITDA_MONTH_REUT">"c3913"</definedName>
    <definedName name="IQ_PERCENT_CHANGE_EST_EBITDA_WEEK">"c1799"</definedName>
    <definedName name="IQ_PERCENT_CHANGE_EST_EBITDA_WEEK_REUT">"c3961"</definedName>
    <definedName name="IQ_PERCENT_CHANGE_EST_EPS_12MONTHS">"c1788"</definedName>
    <definedName name="IQ_PERCENT_CHANGE_EST_EPS_12MONTHS_REUT">"c3902"</definedName>
    <definedName name="IQ_PERCENT_CHANGE_EST_EPS_18MONTHS">"c1789"</definedName>
    <definedName name="IQ_PERCENT_CHANGE_EST_EPS_18MONTHS_REUT">"c3903"</definedName>
    <definedName name="IQ_PERCENT_CHANGE_EST_EPS_3MONTHS">"c1785"</definedName>
    <definedName name="IQ_PERCENT_CHANGE_EST_EPS_3MONTHS_REUT">"c3899"</definedName>
    <definedName name="IQ_PERCENT_CHANGE_EST_EPS_6MONTHS">"c1786"</definedName>
    <definedName name="IQ_PERCENT_CHANGE_EST_EPS_6MONTHS_REUT">"c3900"</definedName>
    <definedName name="IQ_PERCENT_CHANGE_EST_EPS_9MONTHS">"c1787"</definedName>
    <definedName name="IQ_PERCENT_CHANGE_EST_EPS_9MONTHS_REUT">"c3901"</definedName>
    <definedName name="IQ_PERCENT_CHANGE_EST_EPS_DAY">"c1782"</definedName>
    <definedName name="IQ_PERCENT_CHANGE_EST_EPS_DAY_REUT">"c3896"</definedName>
    <definedName name="IQ_PERCENT_CHANGE_EST_EPS_MONTH">"c1784"</definedName>
    <definedName name="IQ_PERCENT_CHANGE_EST_EPS_MONTH_REUT">"c3898"</definedName>
    <definedName name="IQ_PERCENT_CHANGE_EST_EPS_WEEK">"c1783"</definedName>
    <definedName name="IQ_PERCENT_CHANGE_EST_EPS_WEEK_REUT">"c3897"</definedName>
    <definedName name="IQ_PERCENT_CHANGE_EST_FFO_12MONTHS">"c1828"</definedName>
    <definedName name="IQ_PERCENT_CHANGE_EST_FFO_12MONTHS_REUT">"c3938"</definedName>
    <definedName name="IQ_PERCENT_CHANGE_EST_FFO_18MONTHS">"c1829"</definedName>
    <definedName name="IQ_PERCENT_CHANGE_EST_FFO_18MONTHS_REUT">"c3939"</definedName>
    <definedName name="IQ_PERCENT_CHANGE_EST_FFO_3MONTHS">"c1825"</definedName>
    <definedName name="IQ_PERCENT_CHANGE_EST_FFO_3MONTHS_REUT">"c3935"</definedName>
    <definedName name="IQ_PERCENT_CHANGE_EST_FFO_6MONTHS">"c1826"</definedName>
    <definedName name="IQ_PERCENT_CHANGE_EST_FFO_6MONTHS_REUT">"c3936"</definedName>
    <definedName name="IQ_PERCENT_CHANGE_EST_FFO_9MONTHS">"c1827"</definedName>
    <definedName name="IQ_PERCENT_CHANGE_EST_FFO_9MONTHS_REUT">"c3937"</definedName>
    <definedName name="IQ_PERCENT_CHANGE_EST_FFO_DAY">"c1822"</definedName>
    <definedName name="IQ_PERCENT_CHANGE_EST_FFO_DAY_REUT">"c3933"</definedName>
    <definedName name="IQ_PERCENT_CHANGE_EST_FFO_MONTH">"c1824"</definedName>
    <definedName name="IQ_PERCENT_CHANGE_EST_FFO_MONTH_REUT">"c3934"</definedName>
    <definedName name="IQ_PERCENT_CHANGE_EST_FFO_WEEK">"c1823"</definedName>
    <definedName name="IQ_PERCENT_CHANGE_EST_FFO_WEEK_REUT">"c3964"</definedName>
    <definedName name="IQ_PERCENT_CHANGE_EST_PRICE_TARGET_12MONTHS">"c1844"</definedName>
    <definedName name="IQ_PERCENT_CHANGE_EST_PRICE_TARGET_12MONTHS_REUT">"c3952"</definedName>
    <definedName name="IQ_PERCENT_CHANGE_EST_PRICE_TARGET_18MONTHS">"c1845"</definedName>
    <definedName name="IQ_PERCENT_CHANGE_EST_PRICE_TARGET_18MONTHS_REUT">"c3953"</definedName>
    <definedName name="IQ_PERCENT_CHANGE_EST_PRICE_TARGET_3MONTHS">"c1841"</definedName>
    <definedName name="IQ_PERCENT_CHANGE_EST_PRICE_TARGET_3MONTHS_REUT">"c3949"</definedName>
    <definedName name="IQ_PERCENT_CHANGE_EST_PRICE_TARGET_6MONTHS">"c1842"</definedName>
    <definedName name="IQ_PERCENT_CHANGE_EST_PRICE_TARGET_6MONTHS_REUT">"c3950"</definedName>
    <definedName name="IQ_PERCENT_CHANGE_EST_PRICE_TARGET_9MONTHS">"c1843"</definedName>
    <definedName name="IQ_PERCENT_CHANGE_EST_PRICE_TARGET_9MONTHS_REUT">"c3951"</definedName>
    <definedName name="IQ_PERCENT_CHANGE_EST_PRICE_TARGET_DAY">"c1838"</definedName>
    <definedName name="IQ_PERCENT_CHANGE_EST_PRICE_TARGET_DAY_REUT">"c3947"</definedName>
    <definedName name="IQ_PERCENT_CHANGE_EST_PRICE_TARGET_MONTH">"c1840"</definedName>
    <definedName name="IQ_PERCENT_CHANGE_EST_PRICE_TARGET_MONTH_REUT">"c3948"</definedName>
    <definedName name="IQ_PERCENT_CHANGE_EST_PRICE_TARGET_WEEK">"c1839"</definedName>
    <definedName name="IQ_PERCENT_CHANGE_EST_PRICE_TARGET_WEEK_REUT">"c3967"</definedName>
    <definedName name="IQ_PERCENT_CHANGE_EST_RECO_12MONTHS">"c1836"</definedName>
    <definedName name="IQ_PERCENT_CHANGE_EST_RECO_12MONTHS_REUT">"c3945"</definedName>
    <definedName name="IQ_PERCENT_CHANGE_EST_RECO_18MONTHS">"c1837"</definedName>
    <definedName name="IQ_PERCENT_CHANGE_EST_RECO_18MONTHS_REUT">"c3946"</definedName>
    <definedName name="IQ_PERCENT_CHANGE_EST_RECO_3MONTHS">"c1833"</definedName>
    <definedName name="IQ_PERCENT_CHANGE_EST_RECO_3MONTHS_REUT">"c3942"</definedName>
    <definedName name="IQ_PERCENT_CHANGE_EST_RECO_6MONTHS">"c1834"</definedName>
    <definedName name="IQ_PERCENT_CHANGE_EST_RECO_6MONTHS_REUT">"c3943"</definedName>
    <definedName name="IQ_PERCENT_CHANGE_EST_RECO_9MONTHS">"c1835"</definedName>
    <definedName name="IQ_PERCENT_CHANGE_EST_RECO_9MONTHS_REUT">"c3944"</definedName>
    <definedName name="IQ_PERCENT_CHANGE_EST_RECO_DAY">"c1830"</definedName>
    <definedName name="IQ_PERCENT_CHANGE_EST_RECO_DAY_REUT">"c3940"</definedName>
    <definedName name="IQ_PERCENT_CHANGE_EST_RECO_MONTH">"c1832"</definedName>
    <definedName name="IQ_PERCENT_CHANGE_EST_RECO_MONTH_REUT">"c3941"</definedName>
    <definedName name="IQ_PERCENT_CHANGE_EST_RECO_WEEK">"c1831"</definedName>
    <definedName name="IQ_PERCENT_CHANGE_EST_RECO_WEEK_REUT">"c3966"</definedName>
    <definedName name="IQ_PERCENT_CHANGE_EST_REV_12MONTHS">"c1796"</definedName>
    <definedName name="IQ_PERCENT_CHANGE_EST_REV_12MONTHS_REUT">"c3910"</definedName>
    <definedName name="IQ_PERCENT_CHANGE_EST_REV_18MONTHS">"c1797"</definedName>
    <definedName name="IQ_PERCENT_CHANGE_EST_REV_18MONTHS_REUT">"c3911"</definedName>
    <definedName name="IQ_PERCENT_CHANGE_EST_REV_3MONTHS">"c1793"</definedName>
    <definedName name="IQ_PERCENT_CHANGE_EST_REV_3MONTHS_REUT">"c3907"</definedName>
    <definedName name="IQ_PERCENT_CHANGE_EST_REV_6MONTHS">"c1794"</definedName>
    <definedName name="IQ_PERCENT_CHANGE_EST_REV_6MONTHS_REUT">"c3908"</definedName>
    <definedName name="IQ_PERCENT_CHANGE_EST_REV_9MONTHS">"c1795"</definedName>
    <definedName name="IQ_PERCENT_CHANGE_EST_REV_9MONTHS_REUT">"c3909"</definedName>
    <definedName name="IQ_PERCENT_CHANGE_EST_REV_DAY">"c1790"</definedName>
    <definedName name="IQ_PERCENT_CHANGE_EST_REV_DAY_REUT">"c3904"</definedName>
    <definedName name="IQ_PERCENT_CHANGE_EST_REV_MONTH">"c1792"</definedName>
    <definedName name="IQ_PERCENT_CHANGE_EST_REV_MONTH_REUT">"c3906"</definedName>
    <definedName name="IQ_PERCENT_CHANGE_EST_REV_WEEK">"c1791"</definedName>
    <definedName name="IQ_PERCENT_CHANGE_EST_REV_WEEK_REUT">"c3905"</definedName>
    <definedName name="IQ_PERIODDATE">"c1414"</definedName>
    <definedName name="IQ_PERIODDATE_BS">"c1032"</definedName>
    <definedName name="IQ_PERIODDATE_CF">"c1033"</definedName>
    <definedName name="IQ_PERIODDATE_IS">"c1034"</definedName>
    <definedName name="IQ_PERIODLENGTH_CF">"c1502"</definedName>
    <definedName name="IQ_PERIODLENGTH_IS">"c1503"</definedName>
    <definedName name="IQ_PERTYPE">"c1611"</definedName>
    <definedName name="IQ_PLL">"c2114"</definedName>
    <definedName name="IQ_PMT_FREQ">"c2236"</definedName>
    <definedName name="IQ_POISON_PUT_EFFECT_DATE">"c2486"</definedName>
    <definedName name="IQ_POISON_PUT_EXPIRATION_DATE">"c2487"</definedName>
    <definedName name="IQ_POISON_PUT_PRICE">"c2488"</definedName>
    <definedName name="IQ_POLICY_BENEFITS">"c1036"</definedName>
    <definedName name="IQ_POLICY_COST">"c1037"</definedName>
    <definedName name="IQ_POLICY_LIAB">"c1612"</definedName>
    <definedName name="IQ_POLICY_LOANS">"c1038"</definedName>
    <definedName name="IQ_POST_RETIRE_EXP">"c1039"</definedName>
    <definedName name="IQ_POSTPAID_CHURN">"c2121"</definedName>
    <definedName name="IQ_POSTPAID_SUBS">"c2118"</definedName>
    <definedName name="IQ_POTENTIAL_UPSIDE">"c1855"</definedName>
    <definedName name="IQ_POTENTIAL_UPSIDE_REUT">"c3968"</definedName>
    <definedName name="IQ_PRE_OPEN_COST">"c1040"</definedName>
    <definedName name="IQ_PRE_TAX_ACT_OR_EST">"c2221"</definedName>
    <definedName name="IQ_PRE_TAX_ACT_OR_EST_REUT">"c5467"</definedName>
    <definedName name="IQ_PREF_CONVERT">"c1041"</definedName>
    <definedName name="IQ_PREF_DIV_CF">"c1042"</definedName>
    <definedName name="IQ_PREF_DIV_OTHER">"c1043"</definedName>
    <definedName name="IQ_PREF_DIVID">"c1461"</definedName>
    <definedName name="IQ_PREF_EQUITY">"c1044"</definedName>
    <definedName name="IQ_PREF_ISSUED">"c1045"</definedName>
    <definedName name="IQ_PREF_ISSUED_BNK">"c1046"</definedName>
    <definedName name="IQ_PREF_ISSUED_BR">"c1047"</definedName>
    <definedName name="IQ_PREF_ISSUED_FIN">"c1048"</definedName>
    <definedName name="IQ_PREF_ISSUED_INS">"c1049"</definedName>
    <definedName name="IQ_PREF_ISSUED_RE">"c6261"</definedName>
    <definedName name="IQ_PREF_ISSUED_REIT">"c1050"</definedName>
    <definedName name="IQ_PREF_ISSUED_UTI">"c1051"</definedName>
    <definedName name="IQ_PREF_NON_REDEEM">"c1052"</definedName>
    <definedName name="IQ_PREF_OTHER">"c1053"</definedName>
    <definedName name="IQ_PREF_OTHER_BNK">"c1054"</definedName>
    <definedName name="IQ_PREF_OTHER_BR">"c1055"</definedName>
    <definedName name="IQ_PREF_OTHER_FIN">"c1056"</definedName>
    <definedName name="IQ_PREF_OTHER_INS">"c1057"</definedName>
    <definedName name="IQ_PREF_OTHER_RE">"c6262"</definedName>
    <definedName name="IQ_PREF_OTHER_REIT">"c1058"</definedName>
    <definedName name="IQ_PREF_OTHER_UTI">"C6022"</definedName>
    <definedName name="IQ_PREF_REDEEM">"c1059"</definedName>
    <definedName name="IQ_PREF_REP">"c1060"</definedName>
    <definedName name="IQ_PREF_REP_BNK">"c1061"</definedName>
    <definedName name="IQ_PREF_REP_BR">"c1062"</definedName>
    <definedName name="IQ_PREF_REP_FIN">"c1063"</definedName>
    <definedName name="IQ_PREF_REP_INS">"c1064"</definedName>
    <definedName name="IQ_PREF_REP_RE">"c6263"</definedName>
    <definedName name="IQ_PREF_REP_REIT">"c1065"</definedName>
    <definedName name="IQ_PREF_REP_UTI">"c1066"</definedName>
    <definedName name="IQ_PREF_STOCK">"c1416"</definedName>
    <definedName name="IQ_PREF_TOT">"c1415"</definedName>
    <definedName name="IQ_PREMIUMS_ANNUITY_REV">"c1067"</definedName>
    <definedName name="IQ_PREPAID_CHURN">"c2120"</definedName>
    <definedName name="IQ_PREPAID_EXP">"c1068"</definedName>
    <definedName name="IQ_PREPAID_EXPEN">"c1418"</definedName>
    <definedName name="IQ_PREPAID_SUBS">"c2117"</definedName>
    <definedName name="IQ_PRETAX_GW_INC_EST">"c1702"</definedName>
    <definedName name="IQ_PRETAX_GW_INC_EST_REUT">"c5354"</definedName>
    <definedName name="IQ_PRETAX_GW_INC_HIGH_EST">"c1704"</definedName>
    <definedName name="IQ_PRETAX_GW_INC_HIGH_EST_REUT">"c5356"</definedName>
    <definedName name="IQ_PRETAX_GW_INC_LOW_EST">"c1705"</definedName>
    <definedName name="IQ_PRETAX_GW_INC_LOW_EST_REUT">"c5357"</definedName>
    <definedName name="IQ_PRETAX_GW_INC_MEDIAN_EST">"c1703"</definedName>
    <definedName name="IQ_PRETAX_GW_INC_MEDIAN_EST_REUT">"c5355"</definedName>
    <definedName name="IQ_PRETAX_GW_INC_NUM_EST">"c1706"</definedName>
    <definedName name="IQ_PRETAX_GW_INC_NUM_EST_REUT">"c5358"</definedName>
    <definedName name="IQ_PRETAX_GW_INC_STDDEV_EST">"c1707"</definedName>
    <definedName name="IQ_PRETAX_GW_INC_STDDEV_EST_REUT">"c5359"</definedName>
    <definedName name="IQ_PRETAX_INC_EST">"c1695"</definedName>
    <definedName name="IQ_PRETAX_INC_EST_REUT">"c5347"</definedName>
    <definedName name="IQ_PRETAX_INC_HIGH_EST">"c1697"</definedName>
    <definedName name="IQ_PRETAX_INC_HIGH_EST_REUT">"c5349"</definedName>
    <definedName name="IQ_PRETAX_INC_LOW_EST">"c1698"</definedName>
    <definedName name="IQ_PRETAX_INC_LOW_EST_REUT">"c5350"</definedName>
    <definedName name="IQ_PRETAX_INC_MEDIAN_EST">"c1696"</definedName>
    <definedName name="IQ_PRETAX_INC_MEDIAN_EST_REUT">"c5348"</definedName>
    <definedName name="IQ_PRETAX_INC_NUM_EST">"c1699"</definedName>
    <definedName name="IQ_PRETAX_INC_NUM_EST_REUT">"c5351"</definedName>
    <definedName name="IQ_PRETAX_INC_STDDEV_EST">"c1700"</definedName>
    <definedName name="IQ_PRETAX_INC_STDDEV_EST_REUT">"c5352"</definedName>
    <definedName name="IQ_PRETAX_REPORT_INC_EST">"c1709"</definedName>
    <definedName name="IQ_PRETAX_REPORT_INC_EST_REUT">"c5361"</definedName>
    <definedName name="IQ_PRETAX_REPORT_INC_HIGH_EST">"c1711"</definedName>
    <definedName name="IQ_PRETAX_REPORT_INC_HIGH_EST_REUT">"c5363"</definedName>
    <definedName name="IQ_PRETAX_REPORT_INC_LOW_EST">"c1712"</definedName>
    <definedName name="IQ_PRETAX_REPORT_INC_LOW_EST_REUT">"c5364"</definedName>
    <definedName name="IQ_PRETAX_REPORT_INC_MEDIAN_EST">"c1710"</definedName>
    <definedName name="IQ_PRETAX_REPORT_INC_MEDIAN_EST_REUT">"c5362"</definedName>
    <definedName name="IQ_PRETAX_REPORT_INC_NUM_EST">"c1713"</definedName>
    <definedName name="IQ_PRETAX_REPORT_INC_NUM_EST_REUT">"c5365"</definedName>
    <definedName name="IQ_PRETAX_REPORT_INC_STDDEV_EST">"c1714"</definedName>
    <definedName name="IQ_PRETAX_REPORT_INC_STDDEV_EST_REUT">"c5366"</definedName>
    <definedName name="IQ_PRICE_CFPS_FWD">"c2237"</definedName>
    <definedName name="IQ_PRICE_CFPS_FWD_REUT">"c4053"</definedName>
    <definedName name="IQ_PRICE_OVER_BVPS">"c1412"</definedName>
    <definedName name="IQ_PRICE_OVER_LTM_EPS">"c1413"</definedName>
    <definedName name="IQ_PRICE_TARGET">"c82"</definedName>
    <definedName name="IQ_PRICE_TARGET_BOTTOM_UP">"c5486"</definedName>
    <definedName name="IQ_PRICE_TARGET_BOTTOM_UP_REUT">"c5494"</definedName>
    <definedName name="IQ_PRICE_TARGET_REUT">"c3631"</definedName>
    <definedName name="IQ_PRICE_VOLATILITY_EST">"c4492"</definedName>
    <definedName name="IQ_PRICE_VOLATILITY_HIGH">"c4493"</definedName>
    <definedName name="IQ_PRICE_VOLATILITY_LOW">"c4494"</definedName>
    <definedName name="IQ_PRICE_VOLATILITY_MEDIAN">"c4495"</definedName>
    <definedName name="IQ_PRICE_VOLATILITY_NUM">"c4496"</definedName>
    <definedName name="IQ_PRICE_VOLATILITY_STDDEV">"c4497"</definedName>
    <definedName name="IQ_PRICEDATE">"c1069"</definedName>
    <definedName name="IQ_PRICING_DATE">"c1613"</definedName>
    <definedName name="IQ_PRIMARY_EPS_TYPE">"c4498"</definedName>
    <definedName name="IQ_PRIMARY_EPS_TYPE_REUT">"c5481"</definedName>
    <definedName name="IQ_PRIMARY_INDUSTRY">"c1070"</definedName>
    <definedName name="IQ_PRINCIPAL_AMT">"c2157"</definedName>
    <definedName name="IQ_PRO_FORMA_BASIC_EPS">"c1614"</definedName>
    <definedName name="IQ_PRO_FORMA_DILUT_EPS">"c1615"</definedName>
    <definedName name="IQ_PRO_FORMA_NET_INC">"c1452"</definedName>
    <definedName name="IQ_PROFESSIONAL">"c1071"</definedName>
    <definedName name="IQ_PROFESSIONAL_TITLE">"c1072"</definedName>
    <definedName name="IQ_PROJECTED_PENSION_OBLIGATION">"c1292"</definedName>
    <definedName name="IQ_PROJECTED_PENSION_OBLIGATION_DOMESTIC">"c2656"</definedName>
    <definedName name="IQ_PROJECTED_PENSION_OBLIGATION_FOREIGN">"c2664"</definedName>
    <definedName name="IQ_PROPERTY_EXP">"c1073"</definedName>
    <definedName name="IQ_PROPERTY_GROSS">"c1379"</definedName>
    <definedName name="IQ_PROPERTY_MGMT_FEE">"c1074"</definedName>
    <definedName name="IQ_PROPERTY_NET">"c1402"</definedName>
    <definedName name="IQ_PROV_BAD_DEBTS">"c1075"</definedName>
    <definedName name="IQ_PROV_BAD_DEBTS_CF">"c1076"</definedName>
    <definedName name="IQ_PROVISION_10YR_ANN_CAGR">"c6135"</definedName>
    <definedName name="IQ_PROVISION_10YR_ANN_GROWTH">"c1077"</definedName>
    <definedName name="IQ_PROVISION_1YR_ANN_GROWTH">"c1078"</definedName>
    <definedName name="IQ_PROVISION_2YR_ANN_CAGR">"c6136"</definedName>
    <definedName name="IQ_PROVISION_2YR_ANN_GROWTH">"c1079"</definedName>
    <definedName name="IQ_PROVISION_3YR_ANN_CAGR">"c6137"</definedName>
    <definedName name="IQ_PROVISION_3YR_ANN_GROWTH">"c1080"</definedName>
    <definedName name="IQ_PROVISION_5YR_ANN_CAGR">"c6138"</definedName>
    <definedName name="IQ_PROVISION_5YR_ANN_GROWTH">"c1081"</definedName>
    <definedName name="IQ_PROVISION_7YR_ANN_CAGR">"c6139"</definedName>
    <definedName name="IQ_PROVISION_7YR_ANN_GROWTH">"c1082"</definedName>
    <definedName name="IQ_PROVISION_CHARGE_OFFS">"c1083"</definedName>
    <definedName name="IQ_PTBV">"c1084"</definedName>
    <definedName name="IQ_PTBV_AVG">"c1085"</definedName>
    <definedName name="IQ_PUT_DATE_SCHEDULE">"c2483"</definedName>
    <definedName name="IQ_PUT_NOTIFICATION">"c2485"</definedName>
    <definedName name="IQ_PUT_PRICE_SCHEDULE">"c2484"</definedName>
    <definedName name="IQ_QTD">750000</definedName>
    <definedName name="IQ_QUICK_RATIO">"c1086"</definedName>
    <definedName name="IQ_RATE_COMP_GROWTH_DOMESTIC">"c1087"</definedName>
    <definedName name="IQ_RATE_COMP_GROWTH_FOREIGN">"c1088"</definedName>
    <definedName name="IQ_RAW_INV">"c1089"</definedName>
    <definedName name="IQ_RC">"c2497"</definedName>
    <definedName name="IQ_RC_PCT">"c2498"</definedName>
    <definedName name="IQ_RD_EXP">"c1090"</definedName>
    <definedName name="IQ_RD_EXP_FN">"c1091"</definedName>
    <definedName name="IQ_RE">"c1092"</definedName>
    <definedName name="IQ_REAL_ESTATE">"c1093"</definedName>
    <definedName name="IQ_REAL_ESTATE_ASSETS">"c1094"</definedName>
    <definedName name="IQ_RECURRING_PROFIT_ACT_OR_EST">"c4507"</definedName>
    <definedName name="IQ_RECURRING_PROFIT_EST">"c4499"</definedName>
    <definedName name="IQ_RECURRING_PROFIT_GUIDANCE">"c4500"</definedName>
    <definedName name="IQ_RECURRING_PROFIT_HIGH_EST">"c4501"</definedName>
    <definedName name="IQ_RECURRING_PROFIT_HIGH_GUIDANCE">"c4179"</definedName>
    <definedName name="IQ_RECURRING_PROFIT_LOW_EST">"c4502"</definedName>
    <definedName name="IQ_RECURRING_PROFIT_LOW_GUIDANCE">"c4219"</definedName>
    <definedName name="IQ_RECURRING_PROFIT_MEDIAN_EST">"c4503"</definedName>
    <definedName name="IQ_RECURRING_PROFIT_NUM_EST">"c4504"</definedName>
    <definedName name="IQ_RECURRING_PROFIT_SHARE_ACT_OR_EST">"c4508"</definedName>
    <definedName name="IQ_RECURRING_PROFIT_SHARE_EST">"c4506"</definedName>
    <definedName name="IQ_RECURRING_PROFIT_SHARE_GUIDANCE">"c4509"</definedName>
    <definedName name="IQ_RECURRING_PROFIT_SHARE_HIGH_EST">"c4510"</definedName>
    <definedName name="IQ_RECURRING_PROFIT_SHARE_HIGH_GUIDANCE">"c4200"</definedName>
    <definedName name="IQ_RECURRING_PROFIT_SHARE_LOW_EST">"c4511"</definedName>
    <definedName name="IQ_RECURRING_PROFIT_SHARE_LOW_GUIDANCE">"c4240"</definedName>
    <definedName name="IQ_RECURRING_PROFIT_SHARE_MEDIAN_EST">"c4512"</definedName>
    <definedName name="IQ_RECURRING_PROFIT_SHARE_NUM_EST">"c4513"</definedName>
    <definedName name="IQ_RECURRING_PROFIT_SHARE_STDDEV_EST">"c4514"</definedName>
    <definedName name="IQ_RECURRING_PROFIT_STDDEV_EST">"c4516"</definedName>
    <definedName name="IQ_REDEEM_PREF_STOCK">"c1417"</definedName>
    <definedName name="IQ_REF_ENTITY">"c6033"</definedName>
    <definedName name="IQ_REF_ENTITY_CIQID">"c6024"</definedName>
    <definedName name="IQ_REF_ENTITY_TICKER">"c6023"</definedName>
    <definedName name="IQ_REG_ASSETS">"c1095"</definedName>
    <definedName name="IQ_REINSUR_PAY">"c1096"</definedName>
    <definedName name="IQ_REINSUR_PAY_CF">"c1097"</definedName>
    <definedName name="IQ_REINSUR_RECOVER">"c1098"</definedName>
    <definedName name="IQ_REINSUR_RECOVER_CF">"c1099"</definedName>
    <definedName name="IQ_REINSURANCE">"c1100"</definedName>
    <definedName name="IQ_RENTAL_REV">"c1101"</definedName>
    <definedName name="IQ_RESEARCH_DEV">"c1419"</definedName>
    <definedName name="IQ_RESIDENTIAL_LOANS">"c1102"</definedName>
    <definedName name="IQ_RESTATEMENT_BS">"c1643"</definedName>
    <definedName name="IQ_RESTATEMENT_CF">"c1644"</definedName>
    <definedName name="IQ_RESTATEMENT_IS">"c1642"</definedName>
    <definedName name="IQ_RESTR_STOCK_COMP">"c3506"</definedName>
    <definedName name="IQ_RESTR_STOCK_COMP_PRETAX">"c3504"</definedName>
    <definedName name="IQ_RESTR_STOCK_COMP_TAX">"c3505"</definedName>
    <definedName name="IQ_RESTRICTED_CASH">"c1103"</definedName>
    <definedName name="IQ_RESTRICTED_CASH_NON_CURRENT">"c6192"</definedName>
    <definedName name="IQ_RESTRICTED_CASH_TOTAL">"c6193"</definedName>
    <definedName name="IQ_RESTRUCTURE">"c1104"</definedName>
    <definedName name="IQ_RESTRUCTURE_BNK">"c1105"</definedName>
    <definedName name="IQ_RESTRUCTURE_BR">"c1106"</definedName>
    <definedName name="IQ_RESTRUCTURE_CF">"c1107"</definedName>
    <definedName name="IQ_RESTRUCTURE_FIN">"c1108"</definedName>
    <definedName name="IQ_RESTRUCTURE_INS">"c1109"</definedName>
    <definedName name="IQ_RESTRUCTURE_RE">"c6264"</definedName>
    <definedName name="IQ_RESTRUCTURE_REIT">"c1110"</definedName>
    <definedName name="IQ_RESTRUCTURE_UTI">"c1111"</definedName>
    <definedName name="IQ_RESTRUCTURED_LOANS">"c1112"</definedName>
    <definedName name="IQ_RETAIL_ACQUIRED_FRANCHISE_STORES">"c2895"</definedName>
    <definedName name="IQ_RETAIL_ACQUIRED_OWNED_STORES">"c2903"</definedName>
    <definedName name="IQ_RETAIL_ACQUIRED_STORES">"c2887"</definedName>
    <definedName name="IQ_RETAIL_AVG_STORE_SIZE_GROSS">"c2066"</definedName>
    <definedName name="IQ_RETAIL_AVG_STORE_SIZE_NET">"c2067"</definedName>
    <definedName name="IQ_RETAIL_AVG_WK_SALES">"c2891"</definedName>
    <definedName name="IQ_RETAIL_AVG_WK_SALES_FRANCHISE">"c2899"</definedName>
    <definedName name="IQ_RETAIL_AVG_WK_SALES_OWNED">"c2907"</definedName>
    <definedName name="IQ_RETAIL_CLOSED_FRANCHISE_STORES">"c2896"</definedName>
    <definedName name="IQ_RETAIL_CLOSED_OWNED_STORES">"c2904"</definedName>
    <definedName name="IQ_RETAIL_CLOSED_STORES">"c2063"</definedName>
    <definedName name="IQ_RETAIL_FRANCHISE_STORES_BEG">"c2893"</definedName>
    <definedName name="IQ_RETAIL_OPENED_FRANCHISE_STORES">"c2894"</definedName>
    <definedName name="IQ_RETAIL_OPENED_OWNED_STORES">"c2902"</definedName>
    <definedName name="IQ_RETAIL_OPENED_STORES">"c2062"</definedName>
    <definedName name="IQ_RETAIL_OWNED_STORES_BEG">"c2901"</definedName>
    <definedName name="IQ_RETAIL_SALES_SQFT_ALL_GROSS">"c2138"</definedName>
    <definedName name="IQ_RETAIL_SALES_SQFT_ALL_NET">"c2139"</definedName>
    <definedName name="IQ_RETAIL_SALES_SQFT_COMPARABLE_GROSS">"c2136"</definedName>
    <definedName name="IQ_RETAIL_SALES_SQFT_COMPARABLE_NET">"c2137"</definedName>
    <definedName name="IQ_RETAIL_SALES_SQFT_OWNED_GROSS">"c2134"</definedName>
    <definedName name="IQ_RETAIL_SALES_SQFT_OWNED_NET">"c2135"</definedName>
    <definedName name="IQ_RETAIL_SOLD_FRANCHISE_STORES">"c2897"</definedName>
    <definedName name="IQ_RETAIL_SOLD_OWNED_STORES">"c2905"</definedName>
    <definedName name="IQ_RETAIL_SOLD_STORES">"c2889"</definedName>
    <definedName name="IQ_RETAIL_SQ_FOOTAGE">"c2064"</definedName>
    <definedName name="IQ_RETAIL_STORE_SELLING_AREA">"c2065"</definedName>
    <definedName name="IQ_RETAIL_STORES_BEG">"c2885"</definedName>
    <definedName name="IQ_RETAIL_TOTAL_FRANCHISE_STORES">"c2898"</definedName>
    <definedName name="IQ_RETAIL_TOTAL_OWNED_STORES">"c2906"</definedName>
    <definedName name="IQ_RETAIL_TOTAL_STORES">"c2061"</definedName>
    <definedName name="IQ_RETAINED_EARN">"c1420"</definedName>
    <definedName name="IQ_RETURN_ASSETS">"c1113"</definedName>
    <definedName name="IQ_RETURN_ASSETS_ACT_OR_EST">"c3585"</definedName>
    <definedName name="IQ_RETURN_ASSETS_ACT_OR_EST_REUT">"c5475"</definedName>
    <definedName name="IQ_RETURN_ASSETS_BANK">"c1114"</definedName>
    <definedName name="IQ_RETURN_ASSETS_BROK">"c1115"</definedName>
    <definedName name="IQ_RETURN_ASSETS_EST">"c3529"</definedName>
    <definedName name="IQ_RETURN_ASSETS_EST_REUT">"c3990"</definedName>
    <definedName name="IQ_RETURN_ASSETS_FS">"c1116"</definedName>
    <definedName name="IQ_RETURN_ASSETS_GUIDANCE">"c4517"</definedName>
    <definedName name="IQ_RETURN_ASSETS_HIGH_EST">"c3530"</definedName>
    <definedName name="IQ_RETURN_ASSETS_HIGH_EST_REUT">"c3992"</definedName>
    <definedName name="IQ_RETURN_ASSETS_HIGH_GUIDANCE">"c4183"</definedName>
    <definedName name="IQ_RETURN_ASSETS_LOW_EST">"c3531"</definedName>
    <definedName name="IQ_RETURN_ASSETS_LOW_EST_REUT">"c3993"</definedName>
    <definedName name="IQ_RETURN_ASSETS_LOW_GUIDANCE">"c4223"</definedName>
    <definedName name="IQ_RETURN_ASSETS_MEDIAN_EST">"c3532"</definedName>
    <definedName name="IQ_RETURN_ASSETS_MEDIAN_EST_REUT">"c3991"</definedName>
    <definedName name="IQ_RETURN_ASSETS_NUM_EST">"c3527"</definedName>
    <definedName name="IQ_RETURN_ASSETS_NUM_EST_REUT">"c3994"</definedName>
    <definedName name="IQ_RETURN_ASSETS_STDDEV_EST">"c3528"</definedName>
    <definedName name="IQ_RETURN_ASSETS_STDDEV_EST_REUT">"c3995"</definedName>
    <definedName name="IQ_RETURN_CAPITAL">"c1117"</definedName>
    <definedName name="IQ_RETURN_EQUITY">"c1118"</definedName>
    <definedName name="IQ_RETURN_EQUITY_ACT_OR_EST">"c3586"</definedName>
    <definedName name="IQ_RETURN_EQUITY_ACT_OR_EST_REUT">"c5476"</definedName>
    <definedName name="IQ_RETURN_EQUITY_BANK">"c1119"</definedName>
    <definedName name="IQ_RETURN_EQUITY_BROK">"c1120"</definedName>
    <definedName name="IQ_RETURN_EQUITY_EST">"c3535"</definedName>
    <definedName name="IQ_RETURN_EQUITY_EST_REUT">"c3983"</definedName>
    <definedName name="IQ_RETURN_EQUITY_FS">"c1121"</definedName>
    <definedName name="IQ_RETURN_EQUITY_GUIDANCE">"c4518"</definedName>
    <definedName name="IQ_RETURN_EQUITY_HIGH_EST">"c3536"</definedName>
    <definedName name="IQ_RETURN_EQUITY_HIGH_EST_REUT">"c3985"</definedName>
    <definedName name="IQ_RETURN_EQUITY_HIGH_GUIDANCE">"c4182"</definedName>
    <definedName name="IQ_RETURN_EQUITY_LOW_EST">"c3537"</definedName>
    <definedName name="IQ_RETURN_EQUITY_LOW_EST_REUT">"c3986"</definedName>
    <definedName name="IQ_RETURN_EQUITY_LOW_GUIDANCE">"c4222"</definedName>
    <definedName name="IQ_RETURN_EQUITY_MEDIAN_EST">"c3538"</definedName>
    <definedName name="IQ_RETURN_EQUITY_MEDIAN_EST_REUT">"c3984"</definedName>
    <definedName name="IQ_RETURN_EQUITY_NUM_EST">"c3533"</definedName>
    <definedName name="IQ_RETURN_EQUITY_NUM_EST_REUT">"c3987"</definedName>
    <definedName name="IQ_RETURN_EQUITY_STDDEV_EST">"c3534"</definedName>
    <definedName name="IQ_RETURN_EQUITY_STDDEV_EST_REUT">"c3988"</definedName>
    <definedName name="IQ_RETURN_INVESTMENT">"c1421"</definedName>
    <definedName name="IQ_REV">"c1122"</definedName>
    <definedName name="IQ_REV_BEFORE_LL">"c1123"</definedName>
    <definedName name="IQ_REV_STDDEV_EST">"c1124"</definedName>
    <definedName name="IQ_REV_STDDEV_EST_REUT">"c3639"</definedName>
    <definedName name="IQ_REV_UTI">"c1125"</definedName>
    <definedName name="IQ_REVENUE">"c1422"</definedName>
    <definedName name="IQ_REVENUE_ACT_OR_EST">"c2214"</definedName>
    <definedName name="IQ_REVENUE_ACT_OR_EST_REUT">"c5461"</definedName>
    <definedName name="IQ_REVENUE_EST">"c1126"</definedName>
    <definedName name="IQ_REVENUE_EST_BOTTOM_UP">"c5488"</definedName>
    <definedName name="IQ_REVENUE_EST_BOTTOM_UP_REUT">"c5496"</definedName>
    <definedName name="IQ_REVENUE_EST_REUT">"c3634"</definedName>
    <definedName name="IQ_REVENUE_GUIDANCE">"c4519"</definedName>
    <definedName name="IQ_REVENUE_HIGH_EST">"c1127"</definedName>
    <definedName name="IQ_REVENUE_HIGH_EST_REUT">"c3636"</definedName>
    <definedName name="IQ_REVENUE_HIGH_GUIDANCE">"c4169"</definedName>
    <definedName name="IQ_REVENUE_LOW_EST">"c1128"</definedName>
    <definedName name="IQ_REVENUE_LOW_EST_REUT">"c3637"</definedName>
    <definedName name="IQ_REVENUE_LOW_GUIDANCE">"c4209"</definedName>
    <definedName name="IQ_REVENUE_MEDIAN_EST">"c1662"</definedName>
    <definedName name="IQ_REVENUE_MEDIAN_EST_REUT">"c3635"</definedName>
    <definedName name="IQ_REVENUE_NUM_EST">"c1129"</definedName>
    <definedName name="IQ_REVENUE_NUM_EST_REUT">"c3638"</definedName>
    <definedName name="IQ_REVISION_DATE_">39620.6696064815</definedName>
    <definedName name="IQ_RISK_ADJ_BANK_ASSETS">"c2670"</definedName>
    <definedName name="IQ_SALARY">"c1130"</definedName>
    <definedName name="IQ_SALE_INTAN_CF">"c1131"</definedName>
    <definedName name="IQ_SALE_INTAN_CF_BNK">"c1132"</definedName>
    <definedName name="IQ_SALE_INTAN_CF_BR">"c1133"</definedName>
    <definedName name="IQ_SALE_INTAN_CF_FIN">"c1134"</definedName>
    <definedName name="IQ_SALE_INTAN_CF_INS">"c1135"</definedName>
    <definedName name="IQ_SALE_INTAN_CF_RE">"c6284"</definedName>
    <definedName name="IQ_SALE_INTAN_CF_REIT">"c1627"</definedName>
    <definedName name="IQ_SALE_INTAN_CF_UTI">"c1136"</definedName>
    <definedName name="IQ_SALE_PPE_CF">"c1137"</definedName>
    <definedName name="IQ_SALE_PPE_CF_BNK">"c1138"</definedName>
    <definedName name="IQ_SALE_PPE_CF_BR">"c1139"</definedName>
    <definedName name="IQ_SALE_PPE_CF_FIN">"c1140"</definedName>
    <definedName name="IQ_SALE_PPE_CF_INS">"c1141"</definedName>
    <definedName name="IQ_SALE_PPE_CF_UTI">"c1142"</definedName>
    <definedName name="IQ_SALE_RE_ASSETS">"c1629"</definedName>
    <definedName name="IQ_SALE_REAL_ESTATE_CF">"c1143"</definedName>
    <definedName name="IQ_SALE_REAL_ESTATE_CF_BNK">"c1144"</definedName>
    <definedName name="IQ_SALE_REAL_ESTATE_CF_BR">"c1145"</definedName>
    <definedName name="IQ_SALE_REAL_ESTATE_CF_FIN">"c1146"</definedName>
    <definedName name="IQ_SALE_REAL_ESTATE_CF_INS">"c1147"</definedName>
    <definedName name="IQ_SALE_REAL_ESTATE_CF_UTI">"c1148"</definedName>
    <definedName name="IQ_SALES_MARKETING">"c2240"</definedName>
    <definedName name="IQ_SAME_STORE">"c1149"</definedName>
    <definedName name="IQ_SAME_STORE_FRANCHISE">"c2900"</definedName>
    <definedName name="IQ_SAME_STORE_OWNED">"c2908"</definedName>
    <definedName name="IQ_SAME_STORE_TOTAL">"c2892"</definedName>
    <definedName name="IQ_SAVING_DEP">"c1150"</definedName>
    <definedName name="IQ_SEC_PURCHASED_RESELL">"c5513"</definedName>
    <definedName name="IQ_SECUR_RECEIV">"c1151"</definedName>
    <definedName name="IQ_SECURED_DEBT">"c2546"</definedName>
    <definedName name="IQ_SECURED_DEBT_PCT">"c2547"</definedName>
    <definedName name="IQ_SECURITY_BORROW">"c1152"</definedName>
    <definedName name="IQ_SECURITY_LEVEL">"c2159"</definedName>
    <definedName name="IQ_SECURITY_NOTES">"c2202"</definedName>
    <definedName name="IQ_SECURITY_OWN">"c1153"</definedName>
    <definedName name="IQ_SECURITY_RESELL">"c1154"</definedName>
    <definedName name="IQ_SECURITY_TYPE">"c2158"</definedName>
    <definedName name="IQ_SEPARATE_ACCT_ASSETS">"c1155"</definedName>
    <definedName name="IQ_SEPARATE_ACCT_LIAB">"c1156"</definedName>
    <definedName name="IQ_SERV_CHARGE_DEPOSITS">"c1157"</definedName>
    <definedName name="IQ_SGA">"c1158"</definedName>
    <definedName name="IQ_SGA_BNK">"c1159"</definedName>
    <definedName name="IQ_SGA_INS">"c1160"</definedName>
    <definedName name="IQ_SGA_MARGIN">"c1898"</definedName>
    <definedName name="IQ_SGA_RE">"c6265"</definedName>
    <definedName name="IQ_SGA_REIT">"c1161"</definedName>
    <definedName name="IQ_SGA_SUPPL">"c1162"</definedName>
    <definedName name="IQ_SGA_UTI">"c1163"</definedName>
    <definedName name="IQ_SHAREOUTSTANDING">"c1347"</definedName>
    <definedName name="IQ_SHARES_PURCHASED_AVERAGE_PRICE">"c5821"</definedName>
    <definedName name="IQ_SHARES_PURCHASED_QUARTER">"c5820"</definedName>
    <definedName name="IQ_SHARESOUTSTANDING">"c1164"</definedName>
    <definedName name="IQ_SHORT_INTEREST">"c1165"</definedName>
    <definedName name="IQ_SHORT_INTEREST_OVER_FLOAT">"c1577"</definedName>
    <definedName name="IQ_SHORT_INTEREST_PERCENT">"c1576"</definedName>
    <definedName name="IQ_SHORT_TERM_INVEST">"c1425"</definedName>
    <definedName name="IQ_SMALL_INT_BEAR_CD">"c1166"</definedName>
    <definedName name="IQ_SOFTWARE">"c1167"</definedName>
    <definedName name="IQ_SOURCE">"c1168"</definedName>
    <definedName name="IQ_SPECIAL_DIV_CF">"c1169"</definedName>
    <definedName name="IQ_SPECIAL_DIV_CF_BNK">"c1170"</definedName>
    <definedName name="IQ_SPECIAL_DIV_CF_BR">"c1171"</definedName>
    <definedName name="IQ_SPECIAL_DIV_CF_FIN">"c1172"</definedName>
    <definedName name="IQ_SPECIAL_DIV_CF_INS">"c1173"</definedName>
    <definedName name="IQ_SPECIAL_DIV_CF_RE">"c6266"</definedName>
    <definedName name="IQ_SPECIAL_DIV_CF_REIT">"c1174"</definedName>
    <definedName name="IQ_SPECIAL_DIV_CF_UTI">"c1175"</definedName>
    <definedName name="IQ_SPECIAL_DIV_SHARE">"c3007"</definedName>
    <definedName name="IQ_SR_BONDS_NOTES">"c2501"</definedName>
    <definedName name="IQ_SR_BONDS_NOTES_PCT">"c2502"</definedName>
    <definedName name="IQ_SR_DEBT">"c2526"</definedName>
    <definedName name="IQ_SR_DEBT_EBITDA">"c2552"</definedName>
    <definedName name="IQ_SR_DEBT_EBITDA_CAPEX">"c2553"</definedName>
    <definedName name="IQ_SR_DEBT_PCT">"c2527"</definedName>
    <definedName name="IQ_SR_SUB_DEBT">"c2530"</definedName>
    <definedName name="IQ_SR_SUB_DEBT_EBITDA">"c2556"</definedName>
    <definedName name="IQ_SR_SUB_DEBT_EBITDA_CAPEX">"c2557"</definedName>
    <definedName name="IQ_SR_SUB_DEBT_PCT">"c2531"</definedName>
    <definedName name="IQ_ST_DEBT">"c1176"</definedName>
    <definedName name="IQ_ST_DEBT_BNK">"c1177"</definedName>
    <definedName name="IQ_ST_DEBT_BR">"c1178"</definedName>
    <definedName name="IQ_ST_DEBT_FIN">"c1179"</definedName>
    <definedName name="IQ_ST_DEBT_INS">"c1180"</definedName>
    <definedName name="IQ_ST_DEBT_ISSUED">"c1181"</definedName>
    <definedName name="IQ_ST_DEBT_ISSUED_BNK">"c1182"</definedName>
    <definedName name="IQ_ST_DEBT_ISSUED_BR">"c1183"</definedName>
    <definedName name="IQ_ST_DEBT_ISSUED_FIN">"c1184"</definedName>
    <definedName name="IQ_ST_DEBT_ISSUED_INS">"c1185"</definedName>
    <definedName name="IQ_ST_DEBT_ISSUED_RE">"c6267"</definedName>
    <definedName name="IQ_ST_DEBT_ISSUED_REIT">"c1186"</definedName>
    <definedName name="IQ_ST_DEBT_ISSUED_UTI">"c1187"</definedName>
    <definedName name="IQ_ST_DEBT_PCT">"c2539"</definedName>
    <definedName name="IQ_ST_DEBT_RE">"c6268"</definedName>
    <definedName name="IQ_ST_DEBT_REIT">"c1188"</definedName>
    <definedName name="IQ_ST_DEBT_REPAID">"c1189"</definedName>
    <definedName name="IQ_ST_DEBT_REPAID_BNK">"c1190"</definedName>
    <definedName name="IQ_ST_DEBT_REPAID_BR">"c1191"</definedName>
    <definedName name="IQ_ST_DEBT_REPAID_FIN">"c1192"</definedName>
    <definedName name="IQ_ST_DEBT_REPAID_INS">"c1193"</definedName>
    <definedName name="IQ_ST_DEBT_REPAID_RE">"c6269"</definedName>
    <definedName name="IQ_ST_DEBT_REPAID_REIT">"c1194"</definedName>
    <definedName name="IQ_ST_DEBT_REPAID_UTI">"c1195"</definedName>
    <definedName name="IQ_ST_DEBT_UTI">"c1196"</definedName>
    <definedName name="IQ_ST_FHLB_DEBT">"c5658"</definedName>
    <definedName name="IQ_ST_INVEST">"c1197"</definedName>
    <definedName name="IQ_ST_INVEST_UTI">"c1198"</definedName>
    <definedName name="IQ_ST_NOTE_RECEIV">"c1199"</definedName>
    <definedName name="IQ_STATE">"c1200"</definedName>
    <definedName name="IQ_STATUTORY_SURPLUS">"c1201"</definedName>
    <definedName name="IQ_STOCK_BASED">"c1202"</definedName>
    <definedName name="IQ_STOCK_BASED_AT">"c2999"</definedName>
    <definedName name="IQ_STOCK_BASED_CF">"c1203"</definedName>
    <definedName name="IQ_STOCK_BASED_COGS">"c2990"</definedName>
    <definedName name="IQ_STOCK_BASED_COMP">"c3512"</definedName>
    <definedName name="IQ_STOCK_BASED_COMP_PRETAX">"c3510"</definedName>
    <definedName name="IQ_STOCK_BASED_COMP_TAX">"c3511"</definedName>
    <definedName name="IQ_STOCK_BASED_EST">"c4520"</definedName>
    <definedName name="IQ_STOCK_BASED_GA">"c2993"</definedName>
    <definedName name="IQ_STOCK_BASED_HIGH_EST">"c4521"</definedName>
    <definedName name="IQ_STOCK_BASED_LOW_EST">"c4522"</definedName>
    <definedName name="IQ_STOCK_BASED_MEDIAN_EST">"c4523"</definedName>
    <definedName name="IQ_STOCK_BASED_NUM_EST">"c4524"</definedName>
    <definedName name="IQ_STOCK_BASED_OTHER">"c2995"</definedName>
    <definedName name="IQ_STOCK_BASED_RD">"c2991"</definedName>
    <definedName name="IQ_STOCK_BASED_SGA">"c2994"</definedName>
    <definedName name="IQ_STOCK_BASED_SM">"c2992"</definedName>
    <definedName name="IQ_STOCK_BASED_STDDEV_EST">"c4525"</definedName>
    <definedName name="IQ_STOCK_BASED_TOTAL">"c3040"</definedName>
    <definedName name="IQ_STOCK_OPTIONS_COMP">"c3509"</definedName>
    <definedName name="IQ_STOCK_OPTIONS_COMP_PRETAX">"c3507"</definedName>
    <definedName name="IQ_STOCK_OPTIONS_COMP_TAX">"c3508"</definedName>
    <definedName name="IQ_STRIKE_PRICE_ISSUED">"c1645"</definedName>
    <definedName name="IQ_STRIKE_PRICE_OS">"c1646"</definedName>
    <definedName name="IQ_STW">"c2166"</definedName>
    <definedName name="IQ_SUB_BONDS_NOTES">"c2503"</definedName>
    <definedName name="IQ_SUB_BONDS_NOTES_PCT">"c2504"</definedName>
    <definedName name="IQ_SUB_DEBT">"c2532"</definedName>
    <definedName name="IQ_SUB_DEBT_EBITDA">"c2558"</definedName>
    <definedName name="IQ_SUB_DEBT_EBITDA_CAPEX">"c2559"</definedName>
    <definedName name="IQ_SUB_DEBT_PCT">"c2533"</definedName>
    <definedName name="IQ_SUB_LEASE_AFTER_FIVE">"c1207"</definedName>
    <definedName name="IQ_SUB_LEASE_INC_CY">"c1208"</definedName>
    <definedName name="IQ_SUB_LEASE_INC_CY1">"c1209"</definedName>
    <definedName name="IQ_SUB_LEASE_INC_CY2">"c1210"</definedName>
    <definedName name="IQ_SUB_LEASE_INC_CY3">"c1211"</definedName>
    <definedName name="IQ_SUB_LEASE_INC_CY4">"c1212"</definedName>
    <definedName name="IQ_SUB_LEASE_NEXT_FIVE">"c1213"</definedName>
    <definedName name="IQ_SVA">"c1214"</definedName>
    <definedName name="IQ_TARGET_PRICE_NUM">"c1653"</definedName>
    <definedName name="IQ_TARGET_PRICE_NUM_REUT">"c5319"</definedName>
    <definedName name="IQ_TARGET_PRICE_STDDEV">"c1654"</definedName>
    <definedName name="IQ_TARGET_PRICE_STDDEV_REUT">"c5320"</definedName>
    <definedName name="IQ_TAX_BENEFIT_CF_1YR">"c3483"</definedName>
    <definedName name="IQ_TAX_BENEFIT_CF_2YR">"c3484"</definedName>
    <definedName name="IQ_TAX_BENEFIT_CF_3YR">"c3485"</definedName>
    <definedName name="IQ_TAX_BENEFIT_CF_4YR">"c3486"</definedName>
    <definedName name="IQ_TAX_BENEFIT_CF_5YR">"c3487"</definedName>
    <definedName name="IQ_TAX_BENEFIT_CF_AFTER_FIVE">"c3488"</definedName>
    <definedName name="IQ_TAX_BENEFIT_CF_MAX_YEAR">"c3491"</definedName>
    <definedName name="IQ_TAX_BENEFIT_CF_NO_EXP">"c3489"</definedName>
    <definedName name="IQ_TAX_BENEFIT_CF_TOTAL">"c3490"</definedName>
    <definedName name="IQ_TAX_BENEFIT_OPTIONS">"c1215"</definedName>
    <definedName name="IQ_TAX_EQUIV_NET_INT_INC">"c1216"</definedName>
    <definedName name="IQ_TBV">"c1906"</definedName>
    <definedName name="IQ_TBV_10YR_ANN_CAGR">"c6169"</definedName>
    <definedName name="IQ_TBV_10YR_ANN_GROWTH">"c1936"</definedName>
    <definedName name="IQ_TBV_1YR_ANN_GROWTH">"c1931"</definedName>
    <definedName name="IQ_TBV_2YR_ANN_CAGR">"c6165"</definedName>
    <definedName name="IQ_TBV_2YR_ANN_GROWTH">"c1932"</definedName>
    <definedName name="IQ_TBV_3YR_ANN_CAGR">"c6166"</definedName>
    <definedName name="IQ_TBV_3YR_ANN_GROWTH">"c1933"</definedName>
    <definedName name="IQ_TBV_5YR_ANN_CAGR">"c6167"</definedName>
    <definedName name="IQ_TBV_5YR_ANN_GROWTH">"c1934"</definedName>
    <definedName name="IQ_TBV_7YR_ANN_CAGR">"c6168"</definedName>
    <definedName name="IQ_TBV_7YR_ANN_GROWTH">"c1935"</definedName>
    <definedName name="IQ_TBV_SHARE">"c1217"</definedName>
    <definedName name="IQ_TEMPLATE">"c1521"</definedName>
    <definedName name="IQ_TENANT">"c1218"</definedName>
    <definedName name="IQ_TERM_LOANS">"c2499"</definedName>
    <definedName name="IQ_TERM_LOANS_PCT">"c2500"</definedName>
    <definedName name="IQ_TEV">"c1219"</definedName>
    <definedName name="IQ_TEV_EBIT">"c1220"</definedName>
    <definedName name="IQ_TEV_EBIT_AVG">"c1221"</definedName>
    <definedName name="IQ_TEV_EBIT_FWD">"c2238"</definedName>
    <definedName name="IQ_TEV_EBIT_FWD_REUT">"c4054"</definedName>
    <definedName name="IQ_TEV_EBITDA">"c1222"</definedName>
    <definedName name="IQ_TEV_EBITDA_AVG">"c1223"</definedName>
    <definedName name="IQ_TEV_EBITDA_FWD">"c1224"</definedName>
    <definedName name="IQ_TEV_EBITDA_FWD_REUT">"c4050"</definedName>
    <definedName name="IQ_TEV_EMPLOYEE_AVG">"c1225"</definedName>
    <definedName name="IQ_TEV_EST">"c4526"</definedName>
    <definedName name="IQ_TEV_HIGH_EST">"c4527"</definedName>
    <definedName name="IQ_TEV_LOW_EST">"c4528"</definedName>
    <definedName name="IQ_TEV_MEDIAN_EST">"c4529"</definedName>
    <definedName name="IQ_TEV_NUM_EST">"c4530"</definedName>
    <definedName name="IQ_TEV_STDDEV_EST">"c4531"</definedName>
    <definedName name="IQ_TEV_TOTAL_REV">"c1226"</definedName>
    <definedName name="IQ_TEV_TOTAL_REV_AVG">"c1227"</definedName>
    <definedName name="IQ_TEV_TOTAL_REV_FWD">"c1228"</definedName>
    <definedName name="IQ_TEV_TOTAL_REV_FWD_REUT">"c4051"</definedName>
    <definedName name="IQ_TEV_UFCF">"c2208"</definedName>
    <definedName name="IQ_TIER_ONE_CAPITAL">"c2667"</definedName>
    <definedName name="IQ_TIER_ONE_RATIO">"c1229"</definedName>
    <definedName name="IQ_TIER_TWO_CAPITAL">"c2669"</definedName>
    <definedName name="IQ_TIME_DEP">"c1230"</definedName>
    <definedName name="IQ_TODAY">0</definedName>
    <definedName name="IQ_TOT_ADJ_INC">"c1616"</definedName>
    <definedName name="IQ_TOTAL_AR_BR">"c1231"</definedName>
    <definedName name="IQ_TOTAL_AR_RE">"c6270"</definedName>
    <definedName name="IQ_TOTAL_AR_REIT">"c1232"</definedName>
    <definedName name="IQ_TOTAL_AR_UTI">"c1233"</definedName>
    <definedName name="IQ_TOTAL_ASSETS">"c1234"</definedName>
    <definedName name="IQ_TOTAL_ASSETS_10YR_ANN_CAGR">"c6140"</definedName>
    <definedName name="IQ_TOTAL_ASSETS_10YR_ANN_GROWTH">"c1235"</definedName>
    <definedName name="IQ_TOTAL_ASSETS_1YR_ANN_GROWTH">"c1236"</definedName>
    <definedName name="IQ_TOTAL_ASSETS_2YR_ANN_CAGR">"c6141"</definedName>
    <definedName name="IQ_TOTAL_ASSETS_2YR_ANN_GROWTH">"c1237"</definedName>
    <definedName name="IQ_TOTAL_ASSETS_3YR_ANN_CAGR">"c6142"</definedName>
    <definedName name="IQ_TOTAL_ASSETS_3YR_ANN_GROWTH">"c1238"</definedName>
    <definedName name="IQ_TOTAL_ASSETS_5YR_ANN_CAGR">"c6143"</definedName>
    <definedName name="IQ_TOTAL_ASSETS_5YR_ANN_GROWTH">"c1239"</definedName>
    <definedName name="IQ_TOTAL_ASSETS_7YR_ANN_CAGR">"c6144"</definedName>
    <definedName name="IQ_TOTAL_ASSETS_7YR_ANN_GROWTH">"c1240"</definedName>
    <definedName name="IQ_TOTAL_AVG_CE_TOTAL_AVG_ASSETS">"c1241"</definedName>
    <definedName name="IQ_TOTAL_AVG_EQUITY_TOTAL_AVG_ASSETS">"c1242"</definedName>
    <definedName name="IQ_TOTAL_BANK_CAPITAL">"c2668"</definedName>
    <definedName name="IQ_TOTAL_CA">"c1243"</definedName>
    <definedName name="IQ_TOTAL_CAP">"c1507"</definedName>
    <definedName name="IQ_TOTAL_CAPITAL_RATIO">"c1244"</definedName>
    <definedName name="IQ_TOTAL_CASH_DIVID">"c1455"</definedName>
    <definedName name="IQ_TOTAL_CASH_FINAN">"c1352"</definedName>
    <definedName name="IQ_TOTAL_CASH_INVEST">"c1353"</definedName>
    <definedName name="IQ_TOTAL_CASH_OPER">"c1354"</definedName>
    <definedName name="IQ_TOTAL_CHURN">"c2122"</definedName>
    <definedName name="IQ_TOTAL_CL">"c1245"</definedName>
    <definedName name="IQ_TOTAL_COMMON">"c1411"</definedName>
    <definedName name="IQ_TOTAL_COMMON_EQUITY">"c1246"</definedName>
    <definedName name="IQ_TOTAL_CURRENT_ASSETS">"c1430"</definedName>
    <definedName name="IQ_TOTAL_CURRENT_LIAB">"c1431"</definedName>
    <definedName name="IQ_TOTAL_DEBT">"c1247"</definedName>
    <definedName name="IQ_TOTAL_DEBT_CAPITAL">"c1248"</definedName>
    <definedName name="IQ_TOTAL_DEBT_EBITDA">"c1249"</definedName>
    <definedName name="IQ_TOTAL_DEBT_EBITDA_CAPEX">"c2948"</definedName>
    <definedName name="IQ_TOTAL_DEBT_EQUITY">"c1250"</definedName>
    <definedName name="IQ_TOTAL_DEBT_EST">"c4532"</definedName>
    <definedName name="IQ_TOTAL_DEBT_EXCL_FIN">"c2937"</definedName>
    <definedName name="IQ_TOTAL_DEBT_GUIDANCE">"c4533"</definedName>
    <definedName name="IQ_TOTAL_DEBT_HIGH_EST">"c4534"</definedName>
    <definedName name="IQ_TOTAL_DEBT_HIGH_GUIDANCE">"c4196"</definedName>
    <definedName name="IQ_TOTAL_DEBT_ISSUED">"c1251"</definedName>
    <definedName name="IQ_TOTAL_DEBT_ISSUED_BNK">"c1252"</definedName>
    <definedName name="IQ_TOTAL_DEBT_ISSUED_BR">"c1253"</definedName>
    <definedName name="IQ_TOTAL_DEBT_ISSUED_FIN">"c1254"</definedName>
    <definedName name="IQ_TOTAL_DEBT_ISSUED_RE">"c6271"</definedName>
    <definedName name="IQ_TOTAL_DEBT_ISSUED_REIT">"c1255"</definedName>
    <definedName name="IQ_TOTAL_DEBT_ISSUED_UTI">"c1256"</definedName>
    <definedName name="IQ_TOTAL_DEBT_ISSUES_INS">"c1257"</definedName>
    <definedName name="IQ_TOTAL_DEBT_LOW_EST">"c4535"</definedName>
    <definedName name="IQ_TOTAL_DEBT_LOW_GUIDANCE">"c4236"</definedName>
    <definedName name="IQ_TOTAL_DEBT_MEDIAN_EST">"c4536"</definedName>
    <definedName name="IQ_TOTAL_DEBT_NUM_EST">"c4537"</definedName>
    <definedName name="IQ_TOTAL_DEBT_OVER_EBITDA">"c1433"</definedName>
    <definedName name="IQ_TOTAL_DEBT_OVER_TOTAL_BV">"c1434"</definedName>
    <definedName name="IQ_TOTAL_DEBT_OVER_TOTAL_CAP">"c1432"</definedName>
    <definedName name="IQ_TOTAL_DEBT_REPAID">"c1258"</definedName>
    <definedName name="IQ_TOTAL_DEBT_REPAID_BNK">"c1259"</definedName>
    <definedName name="IQ_TOTAL_DEBT_REPAID_BR">"c1260"</definedName>
    <definedName name="IQ_TOTAL_DEBT_REPAID_FIN">"c1261"</definedName>
    <definedName name="IQ_TOTAL_DEBT_REPAID_INS">"c1262"</definedName>
    <definedName name="IQ_TOTAL_DEBT_REPAID_RE">"c6272"</definedName>
    <definedName name="IQ_TOTAL_DEBT_REPAID_REIT">"c1263"</definedName>
    <definedName name="IQ_TOTAL_DEBT_REPAID_UTI">"c1264"</definedName>
    <definedName name="IQ_TOTAL_DEBT_STDDEV_EST">"c4538"</definedName>
    <definedName name="IQ_TOTAL_DEPOSITS">"c1265"</definedName>
    <definedName name="IQ_TOTAL_DIV_PAID_CF">"c1266"</definedName>
    <definedName name="IQ_TOTAL_EMPLOYEE">"c2141"</definedName>
    <definedName name="IQ_TOTAL_EMPLOYEES">"c1522"</definedName>
    <definedName name="IQ_TOTAL_EQUITY">"c1267"</definedName>
    <definedName name="IQ_TOTAL_EQUITY_10YR_ANN_CAGR">"c6145"</definedName>
    <definedName name="IQ_TOTAL_EQUITY_10YR_ANN_GROWTH">"c1268"</definedName>
    <definedName name="IQ_TOTAL_EQUITY_1YR_ANN_GROWTH">"c1269"</definedName>
    <definedName name="IQ_TOTAL_EQUITY_2YR_ANN_CAGR">"c6146"</definedName>
    <definedName name="IQ_TOTAL_EQUITY_2YR_ANN_GROWTH">"c1270"</definedName>
    <definedName name="IQ_TOTAL_EQUITY_3YR_ANN_CAGR">"c6147"</definedName>
    <definedName name="IQ_TOTAL_EQUITY_3YR_ANN_GROWTH">"c1271"</definedName>
    <definedName name="IQ_TOTAL_EQUITY_5YR_ANN_CAGR">"c6148"</definedName>
    <definedName name="IQ_TOTAL_EQUITY_5YR_ANN_GROWTH">"c1272"</definedName>
    <definedName name="IQ_TOTAL_EQUITY_7YR_ANN_CAGR">"c6149"</definedName>
    <definedName name="IQ_TOTAL_EQUITY_7YR_ANN_GROWTH">"c1273"</definedName>
    <definedName name="IQ_TOTAL_EQUITY_ALLOWANCE_TOTAL_LOANS">"c1274"</definedName>
    <definedName name="IQ_TOTAL_INTEREST_EXP">"c1382"</definedName>
    <definedName name="IQ_TOTAL_INVENTORY">"c1385"</definedName>
    <definedName name="IQ_TOTAL_INVEST">"c1275"</definedName>
    <definedName name="IQ_TOTAL_LIAB">"c1276"</definedName>
    <definedName name="IQ_TOTAL_LIAB_BNK">"c1277"</definedName>
    <definedName name="IQ_TOTAL_LIAB_BR">"c1278"</definedName>
    <definedName name="IQ_TOTAL_LIAB_EQUITY">"c1279"</definedName>
    <definedName name="IQ_TOTAL_LIAB_FIN">"c1280"</definedName>
    <definedName name="IQ_TOTAL_LIAB_INS">"c1281"</definedName>
    <definedName name="IQ_TOTAL_LIAB_RE">"c6273"</definedName>
    <definedName name="IQ_TOTAL_LIAB_REIT">"c1282"</definedName>
    <definedName name="IQ_TOTAL_LIAB_SHAREHOLD">"c1435"</definedName>
    <definedName name="IQ_TOTAL_LIAB_TOTAL_ASSETS">"c1283"</definedName>
    <definedName name="IQ_TOTAL_LOANS">"c5653"</definedName>
    <definedName name="IQ_TOTAL_LONG_DEBT">"c1617"</definedName>
    <definedName name="IQ_TOTAL_NON_REC">"c1444"</definedName>
    <definedName name="IQ_TOTAL_OPER_EXP_BR">"c1284"</definedName>
    <definedName name="IQ_TOTAL_OPER_EXP_FIN">"c1285"</definedName>
    <definedName name="IQ_TOTAL_OPER_EXP_INS">"c1286"</definedName>
    <definedName name="IQ_TOTAL_OPER_EXP_RE">"c6274"</definedName>
    <definedName name="IQ_TOTAL_OPER_EXP_REIT">"c1287"</definedName>
    <definedName name="IQ_TOTAL_OPER_EXP_UTI">"c1288"</definedName>
    <definedName name="IQ_TOTAL_OPER_EXPEN">"c1445"</definedName>
    <definedName name="IQ_TOTAL_OPTIONS_BEG_OS">"c2693"</definedName>
    <definedName name="IQ_TOTAL_OPTIONS_CANCELLED">"c2696"</definedName>
    <definedName name="IQ_TOTAL_OPTIONS_END_OS">"c2697"</definedName>
    <definedName name="IQ_TOTAL_OPTIONS_EXERCISABLE_END_OS">"c5819"</definedName>
    <definedName name="IQ_TOTAL_OPTIONS_EXERCISED">"c2695"</definedName>
    <definedName name="IQ_TOTAL_OPTIONS_GRANTED">"c2694"</definedName>
    <definedName name="IQ_TOTAL_OTHER_OPER">"c1289"</definedName>
    <definedName name="IQ_TOTAL_OUTSTANDING_BS_DATE">"c1022"</definedName>
    <definedName name="IQ_TOTAL_OUTSTANDING_FILING_DATE">"c2107"</definedName>
    <definedName name="IQ_TOTAL_PENSION_ASSETS">"c1290"</definedName>
    <definedName name="IQ_TOTAL_PENSION_ASSETS_DOMESTIC">"c2658"</definedName>
    <definedName name="IQ_TOTAL_PENSION_ASSETS_FOREIGN">"c2666"</definedName>
    <definedName name="IQ_TOTAL_PENSION_EXP">"c1291"</definedName>
    <definedName name="IQ_TOTAL_PENSION_OBLIGATION">"c1292"</definedName>
    <definedName name="IQ_TOTAL_PRINCIPAL">"c2509"</definedName>
    <definedName name="IQ_TOTAL_PRINCIPAL_PCT">"c2510"</definedName>
    <definedName name="IQ_TOTAL_PROVED_RESERVES_NGL">"c2924"</definedName>
    <definedName name="IQ_TOTAL_PROVED_RESERVES_OIL">"c2040"</definedName>
    <definedName name="IQ_TOTAL_RECEIV">"c1293"</definedName>
    <definedName name="IQ_TOTAL_REV">"c1294"</definedName>
    <definedName name="IQ_TOTAL_REV_10YR_ANN_CAGR">"c6150"</definedName>
    <definedName name="IQ_TOTAL_REV_10YR_ANN_GROWTH">"c1295"</definedName>
    <definedName name="IQ_TOTAL_REV_1YR_ANN_GROWTH">"c1296"</definedName>
    <definedName name="IQ_TOTAL_REV_2YR_ANN_CAGR">"c6151"</definedName>
    <definedName name="IQ_TOTAL_REV_2YR_ANN_GROWTH">"c1297"</definedName>
    <definedName name="IQ_TOTAL_REV_3YR_ANN_CAGR">"c6152"</definedName>
    <definedName name="IQ_TOTAL_REV_3YR_ANN_GROWTH">"c1298"</definedName>
    <definedName name="IQ_TOTAL_REV_5YR_ANN_CAGR">"c6153"</definedName>
    <definedName name="IQ_TOTAL_REV_5YR_ANN_GROWTH">"c1299"</definedName>
    <definedName name="IQ_TOTAL_REV_7YR_ANN_CAGR">"c6154"</definedName>
    <definedName name="IQ_TOTAL_REV_7YR_ANN_GROWTH">"c1300"</definedName>
    <definedName name="IQ_TOTAL_REV_AS_REPORTED">"c1301"</definedName>
    <definedName name="IQ_TOTAL_REV_BNK">"c1302"</definedName>
    <definedName name="IQ_TOTAL_REV_BR">"c1303"</definedName>
    <definedName name="IQ_TOTAL_REV_EMPLOYEE">"c1304"</definedName>
    <definedName name="IQ_TOTAL_REV_FIN">"c1305"</definedName>
    <definedName name="IQ_TOTAL_REV_INS">"c1306"</definedName>
    <definedName name="IQ_TOTAL_REV_RE">"c6275"</definedName>
    <definedName name="IQ_TOTAL_REV_REIT">"c1307"</definedName>
    <definedName name="IQ_TOTAL_REV_SHARE">"c1912"</definedName>
    <definedName name="IQ_TOTAL_REV_UTI">"c1308"</definedName>
    <definedName name="IQ_TOTAL_REVENUE">"c1436"</definedName>
    <definedName name="IQ_TOTAL_SPECIAL">"c1618"</definedName>
    <definedName name="IQ_TOTAL_ST_BORROW">"c1424"</definedName>
    <definedName name="IQ_TOTAL_SUB_DEBT">"c2528"</definedName>
    <definedName name="IQ_TOTAL_SUB_DEBT_EBITDA">"c2554"</definedName>
    <definedName name="IQ_TOTAL_SUB_DEBT_EBITDA_CAPEX">"c2555"</definedName>
    <definedName name="IQ_TOTAL_SUB_DEBT_PCT">"c2529"</definedName>
    <definedName name="IQ_TOTAL_SUBS">"c2119"</definedName>
    <definedName name="IQ_TOTAL_UNUSUAL">"c1508"</definedName>
    <definedName name="IQ_TOTAL_UNUSUAL_BNK">"c5516"</definedName>
    <definedName name="IQ_TOTAL_UNUSUAL_BR">"c5517"</definedName>
    <definedName name="IQ_TOTAL_UNUSUAL_FIN">"c5518"</definedName>
    <definedName name="IQ_TOTAL_UNUSUAL_INS">"c5519"</definedName>
    <definedName name="IQ_TOTAL_UNUSUAL_RE">"c6286"</definedName>
    <definedName name="IQ_TOTAL_UNUSUAL_REIT">"c5520"</definedName>
    <definedName name="IQ_TOTAL_UNUSUAL_UTI">"c5521"</definedName>
    <definedName name="IQ_TOTAL_WARRANTS_BEG_OS">"c2719"</definedName>
    <definedName name="IQ_TOTAL_WARRANTS_CANCELLED">"c2722"</definedName>
    <definedName name="IQ_TOTAL_WARRANTS_END_OS">"c2723"</definedName>
    <definedName name="IQ_TOTAL_WARRANTS_EXERCISED">"c2721"</definedName>
    <definedName name="IQ_TOTAL_WARRANTS_ISSUED">"c2720"</definedName>
    <definedName name="IQ_TR_ACCT_METHOD">"c2363"</definedName>
    <definedName name="IQ_TR_ACQ_52_WK_HI_PCT">"c2348"</definedName>
    <definedName name="IQ_TR_ACQ_52_WK_LOW_PCT">"c2347"</definedName>
    <definedName name="IQ_TR_ACQ_CASH_ST_INVEST">"c2372"</definedName>
    <definedName name="IQ_TR_ACQ_CLOSEPRICE_1D">"c3027"</definedName>
    <definedName name="IQ_TR_ACQ_DILUT_EPS_EXCL">"c3028"</definedName>
    <definedName name="IQ_TR_ACQ_EARNING_CO">"c2379"</definedName>
    <definedName name="IQ_TR_ACQ_EBIT">"c2380"</definedName>
    <definedName name="IQ_TR_ACQ_EBIT_EQ_INC">"c3611"</definedName>
    <definedName name="IQ_TR_ACQ_EBITDA">"c2381"</definedName>
    <definedName name="IQ_TR_ACQ_EBITDA_EQ_INC">"c3610"</definedName>
    <definedName name="IQ_TR_ACQ_FILING_CURRENCY">"c3033"</definedName>
    <definedName name="IQ_TR_ACQ_FILINGDATE">"c3607"</definedName>
    <definedName name="IQ_TR_ACQ_MCAP_1DAY">"c2345"</definedName>
    <definedName name="IQ_TR_ACQ_MIN_INT">"c2374"</definedName>
    <definedName name="IQ_TR_ACQ_NET_DEBT">"c2373"</definedName>
    <definedName name="IQ_TR_ACQ_NI">"c2378"</definedName>
    <definedName name="IQ_TR_ACQ_PERIODDATE">"c3606"</definedName>
    <definedName name="IQ_TR_ACQ_PRICEDATE_1D">"c2346"</definedName>
    <definedName name="IQ_TR_ACQ_RETURN">"c2349"</definedName>
    <definedName name="IQ_TR_ACQ_STOCKYEARHIGH_1D">"c2343"</definedName>
    <definedName name="IQ_TR_ACQ_STOCKYEARLOW_1D">"c2344"</definedName>
    <definedName name="IQ_TR_ACQ_TOTAL_ASSETS">"c2371"</definedName>
    <definedName name="IQ_TR_ACQ_TOTAL_COMMON_EQ">"c2377"</definedName>
    <definedName name="IQ_TR_ACQ_TOTAL_DEBT">"c2376"</definedName>
    <definedName name="IQ_TR_ACQ_TOTAL_PREF">"c2375"</definedName>
    <definedName name="IQ_TR_ACQ_TOTAL_REV">"c2382"</definedName>
    <definedName name="IQ_TR_ADJ_SIZE">"c3024"</definedName>
    <definedName name="IQ_TR_ANN_DATE">"c2395"</definedName>
    <definedName name="IQ_TR_ANN_DATE_BL">"c2394"</definedName>
    <definedName name="IQ_TR_BID_DATE">"c2357"</definedName>
    <definedName name="IQ_TR_BLUESKY_FEES">"c2277"</definedName>
    <definedName name="IQ_TR_BUY_ACC_ADVISORS">"c3048"</definedName>
    <definedName name="IQ_TR_BUY_FIN_ADVISORS">"c3045"</definedName>
    <definedName name="IQ_TR_BUY_LEG_ADVISORS">"c2387"</definedName>
    <definedName name="IQ_TR_BUYER_ID">"c2404"</definedName>
    <definedName name="IQ_TR_BUYERNAME">"c2401"</definedName>
    <definedName name="IQ_TR_CANCELLED_DATE">"c2284"</definedName>
    <definedName name="IQ_TR_CASH_CONSID_PCT">"c2296"</definedName>
    <definedName name="IQ_TR_CASH_ST_INVEST">"c3025"</definedName>
    <definedName name="IQ_TR_CHANGE_CONTROL">"c2365"</definedName>
    <definedName name="IQ_TR_CLOSED_DATE">"c2283"</definedName>
    <definedName name="IQ_TR_CO_NET_PROCEEDS">"c2268"</definedName>
    <definedName name="IQ_TR_CO_NET_PROCEEDS_PCT">"c2270"</definedName>
    <definedName name="IQ_TR_COMMENTS">"c2383"</definedName>
    <definedName name="IQ_TR_CURRENCY">"c3016"</definedName>
    <definedName name="IQ_TR_DEAL_ATTITUDE">"c2364"</definedName>
    <definedName name="IQ_TR_DEAL_CONDITIONS">"c2367"</definedName>
    <definedName name="IQ_TR_DEAL_RESOLUTION">"c2391"</definedName>
    <definedName name="IQ_TR_DEAL_RESPONSES">"c2366"</definedName>
    <definedName name="IQ_TR_DEBT_CONSID_PCT">"c2299"</definedName>
    <definedName name="IQ_TR_DEF_AGRMT_DATE">"c2285"</definedName>
    <definedName name="IQ_TR_DISCLOSED_FEES_EXP">"c2288"</definedName>
    <definedName name="IQ_TR_EARNOUTS">"c3023"</definedName>
    <definedName name="IQ_TR_EXPIRED_DATE">"c2412"</definedName>
    <definedName name="IQ_TR_GROSS_OFFERING_AMT">"c2262"</definedName>
    <definedName name="IQ_TR_HYBRID_CONSID_PCT">"c2300"</definedName>
    <definedName name="IQ_TR_IMPLIED_EQ">"c3018"</definedName>
    <definedName name="IQ_TR_IMPLIED_EQ_BV">"c3019"</definedName>
    <definedName name="IQ_TR_IMPLIED_EQ_NI_LTM">"c3020"</definedName>
    <definedName name="IQ_TR_IMPLIED_EV">"c2301"</definedName>
    <definedName name="IQ_TR_IMPLIED_EV_BV">"c2306"</definedName>
    <definedName name="IQ_TR_IMPLIED_EV_EBIT">"c2302"</definedName>
    <definedName name="IQ_TR_IMPLIED_EV_EBITDA">"c2303"</definedName>
    <definedName name="IQ_TR_IMPLIED_EV_NI_LTM">"c2307"</definedName>
    <definedName name="IQ_TR_IMPLIED_EV_REV">"c2304"</definedName>
    <definedName name="IQ_TR_INIT_FILED_DATE">"c3495"</definedName>
    <definedName name="IQ_TR_LOI_DATE">"c2282"</definedName>
    <definedName name="IQ_TR_MAJ_MIN_STAKE">"c2389"</definedName>
    <definedName name="IQ_TR_NEGOTIATED_BUYBACK_PRICE">"c2414"</definedName>
    <definedName name="IQ_TR_NET_ASSUM_LIABILITIES">"c2308"</definedName>
    <definedName name="IQ_TR_NET_PROCEEDS">"c2267"</definedName>
    <definedName name="IQ_TR_OFFER_DATE">"c2265"</definedName>
    <definedName name="IQ_TR_OFFER_DATE_MA">"c3035"</definedName>
    <definedName name="IQ_TR_OFFER_PER_SHARE">"c3017"</definedName>
    <definedName name="IQ_TR_OPTIONS_CONSID_PCT">"c2311"</definedName>
    <definedName name="IQ_TR_OTHER_CONSID">"c3022"</definedName>
    <definedName name="IQ_TR_PCT_SOUGHT">"c2309"</definedName>
    <definedName name="IQ_TR_PFEATURES">"c2384"</definedName>
    <definedName name="IQ_TR_PIPE_CONV_PRICE_SHARE">"c2292"</definedName>
    <definedName name="IQ_TR_PIPE_CPN_PCT">"c2291"</definedName>
    <definedName name="IQ_TR_PIPE_NUMBER_SHARES">"c2293"</definedName>
    <definedName name="IQ_TR_PIPE_PPS">"c2290"</definedName>
    <definedName name="IQ_TR_POSTMONEY_VAL">"c2286"</definedName>
    <definedName name="IQ_TR_PREDEAL_SITUATION">"c2390"</definedName>
    <definedName name="IQ_TR_PREF_CONSID_PCT">"c2310"</definedName>
    <definedName name="IQ_TR_PREMONEY_VAL">"c2287"</definedName>
    <definedName name="IQ_TR_PRINTING_FEES">"c2276"</definedName>
    <definedName name="IQ_TR_PT_MONETARY_VALUES">"c2415"</definedName>
    <definedName name="IQ_TR_PT_NUMBER_SHARES">"c2417"</definedName>
    <definedName name="IQ_TR_PT_PCT_SHARES">"c2416"</definedName>
    <definedName name="IQ_TR_RATING_FEES">"c2275"</definedName>
    <definedName name="IQ_TR_REG_EFFECT_DATE">"c2264"</definedName>
    <definedName name="IQ_TR_REG_FILED_DATE">"c2263"</definedName>
    <definedName name="IQ_TR_RENEWAL_BUYBACK">"c2413"</definedName>
    <definedName name="IQ_TR_ROUND_NUMBER">"c2295"</definedName>
    <definedName name="IQ_TR_SEC_FEES">"c2274"</definedName>
    <definedName name="IQ_TR_SECURITY_TYPE_REG">"c2279"</definedName>
    <definedName name="IQ_TR_SELL_ACC_ADVISORS">"c3049"</definedName>
    <definedName name="IQ_TR_SELL_FIN_ADVISORS">"c3046"</definedName>
    <definedName name="IQ_TR_SELL_LEG_ADVISORS">"c2388"</definedName>
    <definedName name="IQ_TR_SELLER_ID">"c2406"</definedName>
    <definedName name="IQ_TR_SELLERNAME">"c2402"</definedName>
    <definedName name="IQ_TR_SFEATURES">"c2385"</definedName>
    <definedName name="IQ_TR_SH_NET_PROCEEDS">"c2269"</definedName>
    <definedName name="IQ_TR_SH_NET_PROCEEDS_PCT">"c2271"</definedName>
    <definedName name="IQ_TR_SPECIAL_COMMITTEE">"c2362"</definedName>
    <definedName name="IQ_TR_STATUS">"c2399"</definedName>
    <definedName name="IQ_TR_STOCK_CONSID_PCT">"c2312"</definedName>
    <definedName name="IQ_TR_SUSPENDED_DATE">"c2407"</definedName>
    <definedName name="IQ_TR_TARGET_52WKHI_PCT">"c2351"</definedName>
    <definedName name="IQ_TR_TARGET_52WKLOW_PCT">"c2350"</definedName>
    <definedName name="IQ_TR_TARGET_ACC_ADVISORS">"c3047"</definedName>
    <definedName name="IQ_TR_TARGET_CASH_ST_INVEST">"c2327"</definedName>
    <definedName name="IQ_TR_TARGET_CLOSEPRICE_1D">"c2352"</definedName>
    <definedName name="IQ_TR_TARGET_CLOSEPRICE_1M">"c2354"</definedName>
    <definedName name="IQ_TR_TARGET_CLOSEPRICE_1W">"c2353"</definedName>
    <definedName name="IQ_TR_TARGET_DILUT_EPS_EXCL">"c2324"</definedName>
    <definedName name="IQ_TR_TARGET_EARNING_CO">"c2332"</definedName>
    <definedName name="IQ_TR_TARGET_EBIT">"c2333"</definedName>
    <definedName name="IQ_TR_TARGET_EBIT_EQ_INC">"c3609"</definedName>
    <definedName name="IQ_TR_TARGET_EBITDA">"c2334"</definedName>
    <definedName name="IQ_TR_TARGET_EBITDA_EQ_INC">"c3608"</definedName>
    <definedName name="IQ_TR_TARGET_FILING_CURRENCY">"c3034"</definedName>
    <definedName name="IQ_TR_TARGET_FILINGDATE">"c3605"</definedName>
    <definedName name="IQ_TR_TARGET_FIN_ADVISORS">"c3044"</definedName>
    <definedName name="IQ_TR_TARGET_ID">"c2405"</definedName>
    <definedName name="IQ_TR_TARGET_LEG_ADVISORS">"c2386"</definedName>
    <definedName name="IQ_TR_TARGET_MARKETCAP">"c2342"</definedName>
    <definedName name="IQ_TR_TARGET_MIN_INT">"c2328"</definedName>
    <definedName name="IQ_TR_TARGET_NET_DEBT">"c2326"</definedName>
    <definedName name="IQ_TR_TARGET_NI">"c2331"</definedName>
    <definedName name="IQ_TR_TARGET_PERIODDATE">"c3604"</definedName>
    <definedName name="IQ_TR_TARGET_PRICEDATE_1D">"c2341"</definedName>
    <definedName name="IQ_TR_TARGET_RETURN">"c2355"</definedName>
    <definedName name="IQ_TR_TARGET_SEC_DETAIL">"c3021"</definedName>
    <definedName name="IQ_TR_TARGET_SEC_TI_ID">"c2368"</definedName>
    <definedName name="IQ_TR_TARGET_SEC_TYPE">"c2369"</definedName>
    <definedName name="IQ_TR_TARGET_SPD">"c2313"</definedName>
    <definedName name="IQ_TR_TARGET_SPD_PCT">"c2314"</definedName>
    <definedName name="IQ_TR_TARGET_STOCKPREMIUM_1D">"c2336"</definedName>
    <definedName name="IQ_TR_TARGET_STOCKPREMIUM_1M">"c2337"</definedName>
    <definedName name="IQ_TR_TARGET_STOCKPREMIUM_1W">"c2338"</definedName>
    <definedName name="IQ_TR_TARGET_STOCKYEARHIGH_1D">"c2339"</definedName>
    <definedName name="IQ_TR_TARGET_STOCKYEARLOW_1D">"c2340"</definedName>
    <definedName name="IQ_TR_TARGET_TOTAL_ASSETS">"c2325"</definedName>
    <definedName name="IQ_TR_TARGET_TOTAL_COMMON_EQ">"c2421"</definedName>
    <definedName name="IQ_TR_TARGET_TOTAL_DEBT">"c2330"</definedName>
    <definedName name="IQ_TR_TARGET_TOTAL_PREF">"c2329"</definedName>
    <definedName name="IQ_TR_TARGET_TOTAL_REV">"c2335"</definedName>
    <definedName name="IQ_TR_TARGETNAME">"c2403"</definedName>
    <definedName name="IQ_TR_TERM_FEE">"c2298"</definedName>
    <definedName name="IQ_TR_TERM_FEE_PCT">"c2297"</definedName>
    <definedName name="IQ_TR_TODATE">"c3036"</definedName>
    <definedName name="IQ_TR_TODATE_MONETARY_VALUE">"c2418"</definedName>
    <definedName name="IQ_TR_TODATE_NUMBER_SHARES">"c2420"</definedName>
    <definedName name="IQ_TR_TODATE_PCT_SHARES">"c2419"</definedName>
    <definedName name="IQ_TR_TOTAL_ACCT_FEES">"c2273"</definedName>
    <definedName name="IQ_TR_TOTAL_CASH">"c2315"</definedName>
    <definedName name="IQ_TR_TOTAL_CONSID_SH">"c2316"</definedName>
    <definedName name="IQ_TR_TOTAL_DEBT">"c2317"</definedName>
    <definedName name="IQ_TR_TOTAL_GROSS_TV">"c2318"</definedName>
    <definedName name="IQ_TR_TOTAL_HYBRID">"c2319"</definedName>
    <definedName name="IQ_TR_TOTAL_LEGAL_FEES">"c2272"</definedName>
    <definedName name="IQ_TR_TOTAL_NET_TV">"c2320"</definedName>
    <definedName name="IQ_TR_TOTAL_NEWMONEY">"c2289"</definedName>
    <definedName name="IQ_TR_TOTAL_OPTIONS">"c2322"</definedName>
    <definedName name="IQ_TR_TOTAL_OPTIONS_BUYER">"c3026"</definedName>
    <definedName name="IQ_TR_TOTAL_PREFERRED">"c2321"</definedName>
    <definedName name="IQ_TR_TOTAL_REG_AMT">"c2261"</definedName>
    <definedName name="IQ_TR_TOTAL_STOCK">"c2323"</definedName>
    <definedName name="IQ_TR_TOTAL_TAKEDOWNS">"c2278"</definedName>
    <definedName name="IQ_TR_TOTAL_UW_COMP">"c2280"</definedName>
    <definedName name="IQ_TR_TOTALVALUE">"c2400"</definedName>
    <definedName name="IQ_TR_TRANSACTION_TYPE">"c2398"</definedName>
    <definedName name="IQ_TR_WITHDRAWN_DTE">"c2266"</definedName>
    <definedName name="IQ_TRADE_AR">"c1345"</definedName>
    <definedName name="IQ_TRADE_PRINCIPAL">"c1309"</definedName>
    <definedName name="IQ_TRADING_ASSETS">"c1310"</definedName>
    <definedName name="IQ_TRADING_CURRENCY">"c2212"</definedName>
    <definedName name="IQ_TREASURY">"c1311"</definedName>
    <definedName name="IQ_TREASURY_OTHER_EQUITY">"c1312"</definedName>
    <definedName name="IQ_TREASURY_OTHER_EQUITY_BNK">"c1313"</definedName>
    <definedName name="IQ_TREASURY_OTHER_EQUITY_BR">"c1314"</definedName>
    <definedName name="IQ_TREASURY_OTHER_EQUITY_FIN">"c1315"</definedName>
    <definedName name="IQ_TREASURY_OTHER_EQUITY_INS">"c1316"</definedName>
    <definedName name="IQ_TREASURY_OTHER_EQUITY_RE">"c6276"</definedName>
    <definedName name="IQ_TREASURY_OTHER_EQUITY_REIT">"c1317"</definedName>
    <definedName name="IQ_TREASURY_OTHER_EQUITY_UTI">"c1318"</definedName>
    <definedName name="IQ_TREASURY_STOCK">"c1438"</definedName>
    <definedName name="IQ_TRUST_INC">"c1319"</definedName>
    <definedName name="IQ_TRUST_PREF">"c1320"</definedName>
    <definedName name="IQ_TRUST_PREFERRED">"c3029"</definedName>
    <definedName name="IQ_TRUST_PREFERRED_PCT">"c3030"</definedName>
    <definedName name="IQ_UFCF_10YR_ANN_CAGR">"c6179"</definedName>
    <definedName name="IQ_UFCF_10YR_ANN_GROWTH">"c1948"</definedName>
    <definedName name="IQ_UFCF_1YR_ANN_GROWTH">"c1943"</definedName>
    <definedName name="IQ_UFCF_2YR_ANN_CAGR">"c6175"</definedName>
    <definedName name="IQ_UFCF_2YR_ANN_GROWTH">"c1944"</definedName>
    <definedName name="IQ_UFCF_3YR_ANN_CAGR">"c6176"</definedName>
    <definedName name="IQ_UFCF_3YR_ANN_GROWTH">"c1945"</definedName>
    <definedName name="IQ_UFCF_5YR_ANN_CAGR">"c6177"</definedName>
    <definedName name="IQ_UFCF_5YR_ANN_GROWTH">"c1946"</definedName>
    <definedName name="IQ_UFCF_7YR_ANN_CAGR">"c6178"</definedName>
    <definedName name="IQ_UFCF_7YR_ANN_GROWTH">"c1947"</definedName>
    <definedName name="IQ_UFCF_MARGIN">"c1962"</definedName>
    <definedName name="IQ_ULT_PARENT">"c3037"</definedName>
    <definedName name="IQ_ULT_PARENT_CIQID">"c3039"</definedName>
    <definedName name="IQ_ULT_PARENT_TICKER">"c3038"</definedName>
    <definedName name="IQ_UNAMORT_DISC">"c2513"</definedName>
    <definedName name="IQ_UNAMORT_DISC_PCT">"c2514"</definedName>
    <definedName name="IQ_UNAMORT_PREMIUM">"c2511"</definedName>
    <definedName name="IQ_UNAMORT_PREMIUM_PCT">"c2512"</definedName>
    <definedName name="IQ_UNDRAWN_CP">"c2518"</definedName>
    <definedName name="IQ_UNDRAWN_CREDIT">"c3032"</definedName>
    <definedName name="IQ_UNDRAWN_RC">"c2517"</definedName>
    <definedName name="IQ_UNDRAWN_TL">"c2519"</definedName>
    <definedName name="IQ_UNEARN_PREMIUM">"c1321"</definedName>
    <definedName name="IQ_UNEARN_REV_CURRENT">"c1322"</definedName>
    <definedName name="IQ_UNEARN_REV_CURRENT_BNK">"c1323"</definedName>
    <definedName name="IQ_UNEARN_REV_CURRENT_BR">"c1324"</definedName>
    <definedName name="IQ_UNEARN_REV_CURRENT_FIN">"c1325"</definedName>
    <definedName name="IQ_UNEARN_REV_CURRENT_INS">"c1326"</definedName>
    <definedName name="IQ_UNEARN_REV_CURRENT_RE">"c6277"</definedName>
    <definedName name="IQ_UNEARN_REV_CURRENT_REIT">"c1327"</definedName>
    <definedName name="IQ_UNEARN_REV_CURRENT_UTI">"c1328"</definedName>
    <definedName name="IQ_UNEARN_REV_LT">"c1329"</definedName>
    <definedName name="IQ_UNLEVERED_FCF">"c1908"</definedName>
    <definedName name="IQ_UNPAID_CLAIMS">"c1330"</definedName>
    <definedName name="IQ_UNREALIZED_GAIN">"c1619"</definedName>
    <definedName name="IQ_UNSECURED_DEBT">"c2548"</definedName>
    <definedName name="IQ_UNSECURED_DEBT_PCT">"c2549"</definedName>
    <definedName name="IQ_UNUSUAL_EXP">"c1456"</definedName>
    <definedName name="IQ_US_GAAP">"c1331"</definedName>
    <definedName name="IQ_US_GAAP_BASIC_EPS_EXCL">"c2984"</definedName>
    <definedName name="IQ_US_GAAP_BASIC_EPS_INCL">"c2982"</definedName>
    <definedName name="IQ_US_GAAP_BASIC_WEIGHT">"c2980"</definedName>
    <definedName name="IQ_US_GAAP_CA_ADJ">"c2925"</definedName>
    <definedName name="IQ_US_GAAP_CASH_FINAN">"c2945"</definedName>
    <definedName name="IQ_US_GAAP_CASH_FINAN_ADJ">"c2941"</definedName>
    <definedName name="IQ_US_GAAP_CASH_INVEST">"c2944"</definedName>
    <definedName name="IQ_US_GAAP_CASH_INVEST_ADJ">"c2940"</definedName>
    <definedName name="IQ_US_GAAP_CASH_OPER">"c2943"</definedName>
    <definedName name="IQ_US_GAAP_CASH_OPER_ADJ">"c2939"</definedName>
    <definedName name="IQ_US_GAAP_CL_ADJ">"c2927"</definedName>
    <definedName name="IQ_US_GAAP_COST_REV_ADJ">"c2951"</definedName>
    <definedName name="IQ_US_GAAP_DILUT_EPS_EXCL">"c2985"</definedName>
    <definedName name="IQ_US_GAAP_DILUT_EPS_INCL">"c2983"</definedName>
    <definedName name="IQ_US_GAAP_DILUT_NI">"c2979"</definedName>
    <definedName name="IQ_US_GAAP_DILUT_WEIGHT">"c2981"</definedName>
    <definedName name="IQ_US_GAAP_DO_ADJ">"c2959"</definedName>
    <definedName name="IQ_US_GAAP_EXTRA_ACC_ITEMS_ADJ">"c2958"</definedName>
    <definedName name="IQ_US_GAAP_INC_TAX_ADJ">"c2961"</definedName>
    <definedName name="IQ_US_GAAP_INTEREST_EXP_ADJ">"c2957"</definedName>
    <definedName name="IQ_US_GAAP_LIAB_LT_ADJ">"c2928"</definedName>
    <definedName name="IQ_US_GAAP_LIAB_TOTAL_LIAB">"c2933"</definedName>
    <definedName name="IQ_US_GAAP_MINORITY_INTEREST_IS_ADJ">"c2960"</definedName>
    <definedName name="IQ_US_GAAP_NCA_ADJ">"c2926"</definedName>
    <definedName name="IQ_US_GAAP_NET_CHANGE">"c2946"</definedName>
    <definedName name="IQ_US_GAAP_NET_CHANGE_ADJ">"c2942"</definedName>
    <definedName name="IQ_US_GAAP_NI">"c2976"</definedName>
    <definedName name="IQ_US_GAAP_NI_ADJ">"c2963"</definedName>
    <definedName name="IQ_US_GAAP_NI_AVAIL_INCL">"c2978"</definedName>
    <definedName name="IQ_US_GAAP_OTHER_ADJ_ADJ">"c2962"</definedName>
    <definedName name="IQ_US_GAAP_OTHER_NON_OPER_ADJ">"c2955"</definedName>
    <definedName name="IQ_US_GAAP_OTHER_OPER_ADJ">"c2954"</definedName>
    <definedName name="IQ_US_GAAP_RD_ADJ">"c2953"</definedName>
    <definedName name="IQ_US_GAAP_SGA_ADJ">"c2952"</definedName>
    <definedName name="IQ_US_GAAP_TOTAL_ASSETS">"c2931"</definedName>
    <definedName name="IQ_US_GAAP_TOTAL_EQUITY">"c2934"</definedName>
    <definedName name="IQ_US_GAAP_TOTAL_EQUITY_ADJ">"c2929"</definedName>
    <definedName name="IQ_US_GAAP_TOTAL_REV_ADJ">"c2950"</definedName>
    <definedName name="IQ_US_GAAP_TOTAL_UNUSUAL_ADJ">"c2956"</definedName>
    <definedName name="IQ_UTIL_PPE_NET">"c1620"</definedName>
    <definedName name="IQ_UTIL_REV">"c2091"</definedName>
    <definedName name="IQ_UV_PENSION_LIAB">"c1332"</definedName>
    <definedName name="IQ_VALUE_TRADED_LAST_3MTH">"c1530"</definedName>
    <definedName name="IQ_VALUE_TRADED_LAST_6MTH">"c1531"</definedName>
    <definedName name="IQ_VALUE_TRADED_LAST_MTH">"c1529"</definedName>
    <definedName name="IQ_VALUE_TRADED_LAST_WK">"c1528"</definedName>
    <definedName name="IQ_VALUE_TRADED_LAST_YR">"c1532"</definedName>
    <definedName name="IQ_VOL_LAST_3MTH">"c1525"</definedName>
    <definedName name="IQ_VOL_LAST_6MTH">"c1526"</definedName>
    <definedName name="IQ_VOL_LAST_MTH">"c1524"</definedName>
    <definedName name="IQ_VOL_LAST_WK">"c1523"</definedName>
    <definedName name="IQ_VOL_LAST_YR">"c1527"</definedName>
    <definedName name="IQ_VOLUME">"c1333"</definedName>
    <definedName name="IQ_WARRANTS_BEG_OS">"c2698"</definedName>
    <definedName name="IQ_WARRANTS_CANCELLED">"c2701"</definedName>
    <definedName name="IQ_WARRANTS_END_OS">"c2702"</definedName>
    <definedName name="IQ_WARRANTS_EXERCISED">"c2700"</definedName>
    <definedName name="IQ_WARRANTS_ISSUED">"c2699"</definedName>
    <definedName name="IQ_WARRANTS_STRIKE_PRICE_ISSUED">"c2704"</definedName>
    <definedName name="IQ_WARRANTS_STRIKE_PRICE_OS">"c2703"</definedName>
    <definedName name="IQ_WEIGHTED_AVG_PRICE">"c1334"</definedName>
    <definedName name="IQ_WIP_INV">"c1335"</definedName>
    <definedName name="IQ_WORKING_CAP">"c3494"</definedName>
    <definedName name="IQ_WORKMEN_WRITTEN">"c1336"</definedName>
    <definedName name="IQ_XDIV_DATE">"c2203"</definedName>
    <definedName name="IQ_YEARHIGH">"c1337"</definedName>
    <definedName name="IQ_YEARHIGH_DATE">"c2250"</definedName>
    <definedName name="IQ_YEARLOW">"c1338"</definedName>
    <definedName name="IQ_YEARLOW_DATE">"c2251"</definedName>
    <definedName name="IQ_YTD">3000</definedName>
    <definedName name="IQ_YTDMONTH">130000</definedName>
    <definedName name="IQ_YTW">"c2163"</definedName>
    <definedName name="IQ_YTW_DATE">"c2164"</definedName>
    <definedName name="IQ_YTW_DATE_TYPE">"c2165"</definedName>
    <definedName name="IQ_Z_SCORE">"c1339"</definedName>
    <definedName name="IsColHidden">FALSE</definedName>
    <definedName name="IsLTMColHidden">FALSE</definedName>
    <definedName name="July2007">{"2002Frcst","06Month",FALSE,"Frcst Format 2002"}</definedName>
    <definedName name="limcount">1</definedName>
    <definedName name="ListOffset">1</definedName>
    <definedName name="_xlnm.Print_Area" localSheetId="29">'AG-1'!$A$1:$E$32</definedName>
    <definedName name="_xlnm.Print_Area" localSheetId="33">'AH-2'!$A$1:$H$50</definedName>
    <definedName name="_xlnm.Print_Area" localSheetId="50">'AL-1'!$A$1:$E$33</definedName>
    <definedName name="_xlnm.Print_Area" localSheetId="0">'BK-1 Retail TRR'!$A$1:$H$341</definedName>
    <definedName name="_xlnm.Print_Area" localSheetId="1">'BK-2 ISO TRR'!$A$1:$J$50</definedName>
    <definedName name="_xlnm.Print_Area" localSheetId="72">'TO5 True-Up BK-1'!$A$1:$H$191</definedName>
    <definedName name="_xlnm.Print_Area" localSheetId="75">'True-Up AH-2'!$A$1:$H$53</definedName>
    <definedName name="_xlnm.Print_Titles" localSheetId="33">'AH-2'!$1:$6</definedName>
    <definedName name="rert">{"'Attachment'!$A$1:$L$49"}</definedName>
    <definedName name="RiskAfterRecalcMacro">"'10 Year Model.xls'!RiskSim"</definedName>
    <definedName name="RiskAfterSimMacro">""</definedName>
    <definedName name="RiskBeforeRecalcMacro">""</definedName>
    <definedName name="RiskBeforeSimMacro">""</definedName>
    <definedName name="RiskMultipleCPUSupportEnabled">FALSE</definedName>
    <definedName name="SAPBEXdnldView">"4QVAOUV97B9V54FSUZZTCBT7F"</definedName>
    <definedName name="SAPBEXhrIndnt">"Wide"</definedName>
    <definedName name="SAPBEXrevision">1</definedName>
    <definedName name="SAPBEXsysID">"BWP"</definedName>
    <definedName name="SAPBEXwbID" localSheetId="34">"3HLUHWD7UCRUUESL6DDMKVCIX"</definedName>
    <definedName name="SAPBEXwbID" localSheetId="48">"3HLUHWD7UCRUUESL6DDMKVCIX"</definedName>
    <definedName name="SAPBEXwbID" localSheetId="55">"3OI398WBFRH41IFEVHKOMVZ17"</definedName>
    <definedName name="SAPBEXwbID" localSheetId="57">"3OI398WBFRH41IFEVHKOMVZ17"</definedName>
    <definedName name="SAPBEXwbID" localSheetId="59">"3GYSU24DE0L8OAD9MMA71DS87"</definedName>
    <definedName name="SAPBEXwbID" localSheetId="61">"3OI398WBFRH41IFEVHKOMVZ17"</definedName>
    <definedName name="SAPBEXwbID">"3Y9K8GEQN19DC4O0QNCMECQOR"</definedName>
    <definedName name="SAPBEXwbID_1">"3XUXMIA5RU11H3RNT5ERG5LI3"</definedName>
    <definedName name="SAPsysID">"708C5W7SBKP804JT78WJ0JNKI"</definedName>
    <definedName name="SAPwbID">"ARS"</definedName>
    <definedName name="sencount">1</definedName>
    <definedName name="solver_cvg">0.0001</definedName>
    <definedName name="solver_drv">1</definedName>
    <definedName name="solver_est">1</definedName>
    <definedName name="solver_itr">100</definedName>
    <definedName name="solver_lin">2</definedName>
    <definedName name="solver_neg">2</definedName>
    <definedName name="solver_num">0</definedName>
    <definedName name="solver_nwt">1</definedName>
    <definedName name="solver_pre">0.000001</definedName>
    <definedName name="solver_scl">2</definedName>
    <definedName name="solver_sho">2</definedName>
    <definedName name="solver_tim">100</definedName>
    <definedName name="solver_tol">0.05</definedName>
    <definedName name="solver_typ">3</definedName>
    <definedName name="solver_val">1000000000</definedName>
    <definedName name="TextRefCopyRangeCount">39</definedName>
    <definedName name="TP_Footer_User">"Melvin Williams"</definedName>
    <definedName name="TP_Footer_Version">"v3.00"</definedName>
    <definedName name="wrn.June2002.">{"2002Frcst","06Month",FALSE,"Frcst Format 2002"}</definedName>
    <definedName name="wrn.May2002.">{"2002Frcst","05Month",FALSE,"Frcst Format 2002"}</definedName>
    <definedName name="XRefColumnsCount">1</definedName>
    <definedName name="XRefCopyRangeCount">1</definedName>
    <definedName name="XRefPasteRangeCount">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188" l="1"/>
  <c r="G21" i="156"/>
  <c r="E21" i="156"/>
  <c r="C21" i="156"/>
  <c r="G11" i="156"/>
  <c r="E11" i="156"/>
  <c r="C11" i="156"/>
  <c r="I13" i="156"/>
  <c r="I14" i="156"/>
  <c r="I15" i="156" s="1"/>
  <c r="I16" i="156" s="1"/>
  <c r="I17" i="156" s="1"/>
  <c r="I18" i="156" s="1"/>
  <c r="I19" i="156" s="1"/>
  <c r="I20" i="156" s="1"/>
  <c r="I21" i="156" s="1"/>
  <c r="A13" i="156"/>
  <c r="A14" i="156"/>
  <c r="A15" i="156" s="1"/>
  <c r="A16" i="156" s="1"/>
  <c r="A17" i="156" s="1"/>
  <c r="A18" i="156" s="1"/>
  <c r="A19" i="156" s="1"/>
  <c r="A20" i="156" s="1"/>
  <c r="A21" i="156" s="1"/>
  <c r="I12" i="156"/>
  <c r="A12" i="156"/>
  <c r="I11" i="156"/>
  <c r="C18" i="158"/>
  <c r="E13" i="158"/>
  <c r="I14" i="158"/>
  <c r="I15" i="158" s="1"/>
  <c r="I16" i="158" s="1"/>
  <c r="I17" i="158" s="1"/>
  <c r="I18" i="158" s="1"/>
  <c r="I19" i="158" s="1"/>
  <c r="I20" i="158" s="1"/>
  <c r="A16" i="158"/>
  <c r="A17" i="158" s="1"/>
  <c r="A18" i="158" s="1"/>
  <c r="C14" i="158"/>
  <c r="E14" i="158"/>
  <c r="G12" i="158"/>
  <c r="A12" i="158"/>
  <c r="A13" i="158" s="1"/>
  <c r="A14" i="158" s="1"/>
  <c r="A15" i="158" s="1"/>
  <c r="I11" i="158"/>
  <c r="I12" i="158" s="1"/>
  <c r="I13" i="158" s="1"/>
  <c r="E29" i="40"/>
  <c r="E51" i="40"/>
  <c r="H51" i="40"/>
  <c r="H50" i="40"/>
  <c r="A50" i="40"/>
  <c r="A51" i="40" s="1"/>
  <c r="E57" i="184"/>
  <c r="E56" i="184"/>
  <c r="E54" i="184"/>
  <c r="E53" i="184"/>
  <c r="E51" i="184"/>
  <c r="E47" i="184"/>
  <c r="E48" i="184" s="1"/>
  <c r="E46" i="184"/>
  <c r="E44" i="184"/>
  <c r="E50" i="184" s="1"/>
  <c r="E9" i="189"/>
  <c r="C9" i="189"/>
  <c r="E9" i="188"/>
  <c r="C9" i="188"/>
  <c r="E15" i="144"/>
  <c r="E11" i="144"/>
  <c r="E133" i="144"/>
  <c r="E134" i="144"/>
  <c r="E16" i="187"/>
  <c r="G17" i="188"/>
  <c r="G15" i="188"/>
  <c r="G13" i="188"/>
  <c r="G11" i="188"/>
  <c r="E17" i="188"/>
  <c r="E13" i="188"/>
  <c r="E11" i="188"/>
  <c r="C17" i="188"/>
  <c r="C15" i="188"/>
  <c r="C13" i="188"/>
  <c r="C11" i="188"/>
  <c r="E28" i="189"/>
  <c r="E23" i="189"/>
  <c r="E18" i="189"/>
  <c r="G18" i="189" s="1"/>
  <c r="E13" i="189"/>
  <c r="C35" i="189"/>
  <c r="C29" i="189"/>
  <c r="G28" i="189"/>
  <c r="E29" i="189"/>
  <c r="C28" i="189"/>
  <c r="G27" i="189"/>
  <c r="G29" i="189" s="1"/>
  <c r="E24" i="189"/>
  <c r="C24" i="189"/>
  <c r="G23" i="189"/>
  <c r="C23" i="189"/>
  <c r="G22" i="189"/>
  <c r="G24" i="189" s="1"/>
  <c r="C19" i="189"/>
  <c r="C18" i="189"/>
  <c r="G17" i="189"/>
  <c r="E14" i="189"/>
  <c r="C14" i="189"/>
  <c r="G13" i="189"/>
  <c r="I12" i="189"/>
  <c r="I13" i="189" s="1"/>
  <c r="I14" i="189" s="1"/>
  <c r="I15" i="189" s="1"/>
  <c r="I16" i="189" s="1"/>
  <c r="I17" i="189" s="1"/>
  <c r="I18" i="189" s="1"/>
  <c r="I19" i="189" s="1"/>
  <c r="I20" i="189" s="1"/>
  <c r="I21" i="189" s="1"/>
  <c r="I22" i="189" s="1"/>
  <c r="I23" i="189" s="1"/>
  <c r="I24" i="189" s="1"/>
  <c r="I25" i="189" s="1"/>
  <c r="I26" i="189" s="1"/>
  <c r="I27" i="189" s="1"/>
  <c r="I28" i="189" s="1"/>
  <c r="I29" i="189" s="1"/>
  <c r="G12" i="189"/>
  <c r="A12" i="189"/>
  <c r="A13" i="189" s="1"/>
  <c r="A14" i="189" s="1"/>
  <c r="A15" i="189" s="1"/>
  <c r="A16" i="189" s="1"/>
  <c r="A17" i="189" s="1"/>
  <c r="A18" i="189" s="1"/>
  <c r="A19" i="189" s="1"/>
  <c r="A20" i="189" s="1"/>
  <c r="A21" i="189" s="1"/>
  <c r="A22" i="189" s="1"/>
  <c r="A23" i="189" s="1"/>
  <c r="A24" i="189" s="1"/>
  <c r="A25" i="189" s="1"/>
  <c r="A26" i="189" s="1"/>
  <c r="A27" i="189" s="1"/>
  <c r="A28" i="189" s="1"/>
  <c r="A29" i="189" s="1"/>
  <c r="I11" i="189"/>
  <c r="I13" i="188"/>
  <c r="A13" i="188"/>
  <c r="A14" i="188" s="1"/>
  <c r="I12" i="188"/>
  <c r="A12" i="188"/>
  <c r="I11" i="188"/>
  <c r="A11" i="187"/>
  <c r="A12" i="187" s="1"/>
  <c r="A13" i="187" s="1"/>
  <c r="A14" i="187" s="1"/>
  <c r="A15" i="187" s="1"/>
  <c r="A16" i="187" s="1"/>
  <c r="A17" i="187" s="1"/>
  <c r="A18" i="187" s="1"/>
  <c r="H10" i="187"/>
  <c r="H11" i="187" s="1"/>
  <c r="H12" i="187" s="1"/>
  <c r="H13" i="187" s="1"/>
  <c r="H14" i="187" s="1"/>
  <c r="H15" i="187" s="1"/>
  <c r="H16" i="187" s="1"/>
  <c r="H17" i="187" s="1"/>
  <c r="H18" i="187" s="1"/>
  <c r="E129" i="144"/>
  <c r="E128" i="144"/>
  <c r="E24" i="186"/>
  <c r="E22" i="186"/>
  <c r="G17" i="186"/>
  <c r="G13" i="186"/>
  <c r="G11" i="186"/>
  <c r="E34" i="186"/>
  <c r="E32" i="186"/>
  <c r="E36" i="186" s="1"/>
  <c r="E27" i="186"/>
  <c r="A13" i="186"/>
  <c r="A14" i="186" s="1"/>
  <c r="A15" i="186" s="1"/>
  <c r="A16" i="186" s="1"/>
  <c r="A17" i="186" s="1"/>
  <c r="A18" i="186" s="1"/>
  <c r="A19" i="186" s="1"/>
  <c r="A20" i="186" s="1"/>
  <c r="A21" i="186" s="1"/>
  <c r="A22" i="186" s="1"/>
  <c r="A23" i="186" s="1"/>
  <c r="A24" i="186" s="1"/>
  <c r="A25" i="186" s="1"/>
  <c r="A26" i="186" s="1"/>
  <c r="A27" i="186" s="1"/>
  <c r="A28" i="186" s="1"/>
  <c r="A29" i="186" s="1"/>
  <c r="A30" i="186" s="1"/>
  <c r="A31" i="186" s="1"/>
  <c r="A32" i="186" s="1"/>
  <c r="A33" i="186" s="1"/>
  <c r="A34" i="186" s="1"/>
  <c r="A35" i="186" s="1"/>
  <c r="A36" i="186" s="1"/>
  <c r="A37" i="186" s="1"/>
  <c r="A38" i="186" s="1"/>
  <c r="A39" i="186" s="1"/>
  <c r="A40" i="186" s="1"/>
  <c r="A41" i="186" s="1"/>
  <c r="A42" i="186" s="1"/>
  <c r="A43" i="186" s="1"/>
  <c r="A44" i="186" s="1"/>
  <c r="A12" i="186"/>
  <c r="J11" i="186"/>
  <c r="J12" i="186" s="1"/>
  <c r="J13" i="186" s="1"/>
  <c r="J14" i="186" s="1"/>
  <c r="J15" i="186" s="1"/>
  <c r="J16" i="186" s="1"/>
  <c r="J17" i="186" s="1"/>
  <c r="J18" i="186" s="1"/>
  <c r="J19" i="186" s="1"/>
  <c r="J20" i="186" s="1"/>
  <c r="J21" i="186" s="1"/>
  <c r="J22" i="186" s="1"/>
  <c r="J23" i="186" s="1"/>
  <c r="J24" i="186" s="1"/>
  <c r="J25" i="186" s="1"/>
  <c r="J26" i="186" s="1"/>
  <c r="J27" i="186" s="1"/>
  <c r="J28" i="186" s="1"/>
  <c r="J29" i="186" s="1"/>
  <c r="J30" i="186" s="1"/>
  <c r="J31" i="186" s="1"/>
  <c r="J32" i="186" s="1"/>
  <c r="J33" i="186" s="1"/>
  <c r="J34" i="186" s="1"/>
  <c r="J35" i="186" s="1"/>
  <c r="J36" i="186" s="1"/>
  <c r="J37" i="186" s="1"/>
  <c r="J38" i="186" s="1"/>
  <c r="J39" i="186" s="1"/>
  <c r="J40" i="186" s="1"/>
  <c r="J41" i="186" s="1"/>
  <c r="J42" i="186" s="1"/>
  <c r="J43" i="186" s="1"/>
  <c r="J44" i="186" s="1"/>
  <c r="E38" i="184"/>
  <c r="E36" i="184"/>
  <c r="E34" i="184"/>
  <c r="E33" i="184"/>
  <c r="E32" i="184"/>
  <c r="E31" i="184"/>
  <c r="E30" i="184"/>
  <c r="E28" i="184"/>
  <c r="E27" i="184"/>
  <c r="E26" i="184"/>
  <c r="E25" i="184"/>
  <c r="E24" i="184"/>
  <c r="E22" i="184"/>
  <c r="E44" i="185"/>
  <c r="E22" i="185" s="1"/>
  <c r="F22" i="185" s="1"/>
  <c r="E40" i="185"/>
  <c r="E33" i="185"/>
  <c r="E16" i="185" s="1"/>
  <c r="D26" i="185"/>
  <c r="E24" i="185"/>
  <c r="F24" i="185" s="1"/>
  <c r="F23" i="185"/>
  <c r="E21" i="185"/>
  <c r="F21" i="185" s="1"/>
  <c r="E20" i="185"/>
  <c r="F20" i="185" s="1"/>
  <c r="E19" i="185"/>
  <c r="F19" i="185" s="1"/>
  <c r="E18" i="185"/>
  <c r="F18" i="185" s="1"/>
  <c r="E17" i="185"/>
  <c r="F17" i="185" s="1"/>
  <c r="F15" i="185"/>
  <c r="E14" i="185"/>
  <c r="F14" i="185" s="1"/>
  <c r="F13" i="185"/>
  <c r="A13" i="185"/>
  <c r="A14" i="185" s="1"/>
  <c r="A15" i="185" s="1"/>
  <c r="A16" i="185" s="1"/>
  <c r="H12" i="185"/>
  <c r="H13" i="185" s="1"/>
  <c r="H14" i="185" s="1"/>
  <c r="H15" i="185" s="1"/>
  <c r="H16" i="185" s="1"/>
  <c r="E12" i="185"/>
  <c r="F12" i="185" s="1"/>
  <c r="A12" i="185"/>
  <c r="H11" i="185"/>
  <c r="F11" i="185"/>
  <c r="E18" i="184"/>
  <c r="E17" i="184"/>
  <c r="E16" i="184"/>
  <c r="E15" i="184"/>
  <c r="E14" i="184"/>
  <c r="E12" i="184"/>
  <c r="H13" i="184"/>
  <c r="H14" i="184" s="1"/>
  <c r="H15" i="184" s="1"/>
  <c r="H16" i="184" s="1"/>
  <c r="H17" i="184" s="1"/>
  <c r="H18" i="184" s="1"/>
  <c r="H19" i="184" s="1"/>
  <c r="H20" i="184" s="1"/>
  <c r="H21" i="184" s="1"/>
  <c r="H22" i="184" s="1"/>
  <c r="H23" i="184" s="1"/>
  <c r="H24" i="184" s="1"/>
  <c r="H25" i="184" s="1"/>
  <c r="H26" i="184" s="1"/>
  <c r="H27" i="184" s="1"/>
  <c r="H28" i="184" s="1"/>
  <c r="H29" i="184" s="1"/>
  <c r="H30" i="184" s="1"/>
  <c r="H31" i="184" s="1"/>
  <c r="H32" i="184" s="1"/>
  <c r="H33" i="184" s="1"/>
  <c r="H34" i="184" s="1"/>
  <c r="H35" i="184" s="1"/>
  <c r="H36" i="184" s="1"/>
  <c r="H37" i="184" s="1"/>
  <c r="H38" i="184" s="1"/>
  <c r="H39" i="184" s="1"/>
  <c r="H40" i="184" s="1"/>
  <c r="H41" i="184" s="1"/>
  <c r="H42" i="184" s="1"/>
  <c r="H43" i="184" s="1"/>
  <c r="H44" i="184" s="1"/>
  <c r="H45" i="184" s="1"/>
  <c r="H46" i="184" s="1"/>
  <c r="H47" i="184" s="1"/>
  <c r="H48" i="184" s="1"/>
  <c r="H49" i="184" s="1"/>
  <c r="H50" i="184" s="1"/>
  <c r="H51" i="184" s="1"/>
  <c r="H52" i="184" s="1"/>
  <c r="H53" i="184" s="1"/>
  <c r="H54" i="184" s="1"/>
  <c r="H55" i="184" s="1"/>
  <c r="H56" i="184" s="1"/>
  <c r="H57" i="184" s="1"/>
  <c r="H58" i="184" s="1"/>
  <c r="H59" i="184" s="1"/>
  <c r="H60" i="184" s="1"/>
  <c r="H12" i="184"/>
  <c r="A12" i="184"/>
  <c r="A13" i="184" s="1"/>
  <c r="A14" i="184" s="1"/>
  <c r="A15" i="184" s="1"/>
  <c r="A16" i="184" s="1"/>
  <c r="A17" i="184" s="1"/>
  <c r="A18" i="184" s="1"/>
  <c r="A19" i="184" s="1"/>
  <c r="A20" i="184" s="1"/>
  <c r="A21" i="184" s="1"/>
  <c r="A22" i="184" s="1"/>
  <c r="A23" i="184" s="1"/>
  <c r="A24" i="184" s="1"/>
  <c r="A25" i="184" s="1"/>
  <c r="A26" i="184" s="1"/>
  <c r="A27" i="184" s="1"/>
  <c r="A28" i="184" s="1"/>
  <c r="A29" i="184" s="1"/>
  <c r="A30" i="184" s="1"/>
  <c r="A31" i="184" s="1"/>
  <c r="A32" i="184" s="1"/>
  <c r="A33" i="184" s="1"/>
  <c r="A34" i="184" s="1"/>
  <c r="A35" i="184" s="1"/>
  <c r="A36" i="184" s="1"/>
  <c r="A37" i="184" s="1"/>
  <c r="A38" i="184" s="1"/>
  <c r="A39" i="184" s="1"/>
  <c r="A40" i="184" s="1"/>
  <c r="A41" i="184" s="1"/>
  <c r="A42" i="184" s="1"/>
  <c r="A43" i="184" s="1"/>
  <c r="A44" i="184" s="1"/>
  <c r="A45" i="184" s="1"/>
  <c r="A46" i="184" s="1"/>
  <c r="A47" i="184" s="1"/>
  <c r="A48" i="184" s="1"/>
  <c r="A49" i="184" s="1"/>
  <c r="A50" i="184" s="1"/>
  <c r="A51" i="184" s="1"/>
  <c r="A52" i="184" s="1"/>
  <c r="A53" i="184" s="1"/>
  <c r="A54" i="184" s="1"/>
  <c r="A55" i="184" s="1"/>
  <c r="A56" i="184" s="1"/>
  <c r="A57" i="184" s="1"/>
  <c r="A58" i="184" s="1"/>
  <c r="A59" i="184" s="1"/>
  <c r="A60" i="184" s="1"/>
  <c r="H11" i="184"/>
  <c r="G13" i="158" l="1"/>
  <c r="G14" i="158" s="1"/>
  <c r="E58" i="184"/>
  <c r="E60" i="184" s="1"/>
  <c r="E40" i="184" s="1"/>
  <c r="G19" i="188"/>
  <c r="E19" i="188"/>
  <c r="C19" i="188"/>
  <c r="G19" i="189"/>
  <c r="E19" i="189"/>
  <c r="G14" i="189"/>
  <c r="A15" i="188"/>
  <c r="I14" i="188"/>
  <c r="G19" i="186"/>
  <c r="G15" i="186"/>
  <c r="E35" i="184"/>
  <c r="E37" i="184" s="1"/>
  <c r="E39" i="184" s="1"/>
  <c r="F26" i="185"/>
  <c r="F16" i="185"/>
  <c r="E26" i="185"/>
  <c r="A17" i="185"/>
  <c r="H17" i="185"/>
  <c r="E47" i="185"/>
  <c r="E19" i="184"/>
  <c r="A16" i="188" l="1"/>
  <c r="I15" i="188"/>
  <c r="E41" i="184"/>
  <c r="H18" i="185"/>
  <c r="H19" i="185" s="1"/>
  <c r="H20" i="185" s="1"/>
  <c r="H21" i="185" s="1"/>
  <c r="H22" i="185" s="1"/>
  <c r="H23" i="185" s="1"/>
  <c r="H24" i="185" s="1"/>
  <c r="H25" i="185" s="1"/>
  <c r="H26" i="185" s="1"/>
  <c r="H27" i="185" s="1"/>
  <c r="H28" i="185" s="1"/>
  <c r="H29" i="185" s="1"/>
  <c r="H30" i="185" s="1"/>
  <c r="H31" i="185" s="1"/>
  <c r="H32" i="185" s="1"/>
  <c r="H33" i="185" s="1"/>
  <c r="H34" i="185" s="1"/>
  <c r="H35" i="185" s="1"/>
  <c r="H36" i="185" s="1"/>
  <c r="H37" i="185" s="1"/>
  <c r="H38" i="185" s="1"/>
  <c r="H39" i="185" s="1"/>
  <c r="H40" i="185" s="1"/>
  <c r="H41" i="185" s="1"/>
  <c r="H42" i="185" s="1"/>
  <c r="H43" i="185" s="1"/>
  <c r="H44" i="185" s="1"/>
  <c r="H45" i="185" s="1"/>
  <c r="H46" i="185" s="1"/>
  <c r="H47" i="185" s="1"/>
  <c r="H48" i="185" s="1"/>
  <c r="H49" i="185" s="1"/>
  <c r="H50" i="185" s="1"/>
  <c r="H51" i="185" s="1"/>
  <c r="H52" i="185" s="1"/>
  <c r="H53" i="185" s="1"/>
  <c r="A18" i="185"/>
  <c r="A19" i="185" s="1"/>
  <c r="A20" i="185" s="1"/>
  <c r="A21" i="185" s="1"/>
  <c r="A22" i="185" s="1"/>
  <c r="A23" i="185" s="1"/>
  <c r="A24" i="185" s="1"/>
  <c r="E23" i="186" l="1"/>
  <c r="E25" i="186" s="1"/>
  <c r="E29" i="186" s="1"/>
  <c r="E130" i="144" s="1"/>
  <c r="E13" i="144"/>
  <c r="A17" i="188"/>
  <c r="I16" i="188"/>
  <c r="A25" i="185"/>
  <c r="A26" i="185" s="1"/>
  <c r="A27" i="185" s="1"/>
  <c r="A28" i="185" s="1"/>
  <c r="A29" i="185" s="1"/>
  <c r="A30" i="185" s="1"/>
  <c r="A31" i="185" s="1"/>
  <c r="A32" i="185" s="1"/>
  <c r="A33" i="185" s="1"/>
  <c r="A34" i="185" s="1"/>
  <c r="A35" i="185" s="1"/>
  <c r="A36" i="185" s="1"/>
  <c r="A37" i="185" s="1"/>
  <c r="A38" i="185" s="1"/>
  <c r="A39" i="185" s="1"/>
  <c r="A40" i="185" s="1"/>
  <c r="A41" i="185" s="1"/>
  <c r="A42" i="185" s="1"/>
  <c r="A43" i="185" s="1"/>
  <c r="A44" i="185" s="1"/>
  <c r="A45" i="185" s="1"/>
  <c r="A46" i="185" s="1"/>
  <c r="A47" i="185" s="1"/>
  <c r="A48" i="185" s="1"/>
  <c r="A49" i="185" s="1"/>
  <c r="A50" i="185" s="1"/>
  <c r="A51" i="185" s="1"/>
  <c r="A52" i="185" s="1"/>
  <c r="A53" i="185" s="1"/>
  <c r="G26" i="185"/>
  <c r="A18" i="188" l="1"/>
  <c r="I17" i="188"/>
  <c r="I18" i="188" l="1"/>
  <c r="A19" i="188"/>
  <c r="I19" i="188" s="1"/>
  <c r="E26" i="40" l="1"/>
  <c r="G37" i="82" l="1"/>
  <c r="J41" i="69"/>
  <c r="J42" i="69" s="1"/>
  <c r="J43" i="69" s="1"/>
  <c r="J44" i="69" s="1"/>
  <c r="A41" i="69"/>
  <c r="A42" i="69" s="1"/>
  <c r="A43" i="69" s="1"/>
  <c r="A44" i="69" s="1"/>
  <c r="E291" i="132" l="1"/>
  <c r="E85" i="132"/>
  <c r="H50" i="42" l="1"/>
  <c r="A50" i="42"/>
  <c r="E16" i="42"/>
  <c r="J36" i="178"/>
  <c r="A36" i="178"/>
  <c r="B5" i="156"/>
  <c r="B5" i="158" s="1"/>
  <c r="H28" i="177" l="1"/>
  <c r="H21" i="177"/>
  <c r="H14" i="177"/>
  <c r="B5" i="182" l="1"/>
  <c r="B5" i="135"/>
  <c r="J37" i="178" l="1"/>
  <c r="H42" i="121" l="1"/>
  <c r="H42" i="120"/>
  <c r="H41" i="119"/>
  <c r="N47" i="117"/>
  <c r="M47" i="117"/>
  <c r="J47" i="117"/>
  <c r="I47" i="117"/>
  <c r="H41" i="117"/>
  <c r="N47" i="116"/>
  <c r="M47" i="116"/>
  <c r="J47" i="116"/>
  <c r="I47" i="116"/>
  <c r="H41" i="116"/>
  <c r="F44" i="86"/>
  <c r="E44" i="86"/>
  <c r="F27" i="142"/>
  <c r="F26" i="142"/>
  <c r="F25" i="142"/>
  <c r="F24" i="142"/>
  <c r="F23" i="142"/>
  <c r="F22" i="142"/>
  <c r="F21" i="142"/>
  <c r="F20" i="142"/>
  <c r="F19" i="142"/>
  <c r="F18" i="142"/>
  <c r="F17" i="142"/>
  <c r="F16" i="142"/>
  <c r="B5" i="177" l="1"/>
  <c r="B5" i="73"/>
  <c r="B5" i="71"/>
  <c r="B5" i="70"/>
  <c r="B5" i="64"/>
  <c r="B5" i="65"/>
  <c r="B5" i="63"/>
  <c r="B5" i="59"/>
  <c r="B5" i="56"/>
  <c r="B5" i="52"/>
  <c r="B4" i="42"/>
  <c r="B6" i="109"/>
  <c r="B5" i="36"/>
  <c r="B5" i="30"/>
  <c r="B5" i="27"/>
  <c r="B5" i="26"/>
  <c r="B5" i="25"/>
  <c r="B6" i="24"/>
  <c r="B6" i="136"/>
  <c r="B5" i="23"/>
  <c r="B5" i="14"/>
  <c r="B5" i="13"/>
  <c r="B5" i="3"/>
  <c r="B5" i="12"/>
  <c r="B5" i="9"/>
  <c r="B5" i="8"/>
  <c r="B5" i="7"/>
  <c r="B5" i="6"/>
  <c r="B5" i="5"/>
  <c r="C16" i="142"/>
  <c r="I45" i="2" l="1"/>
  <c r="E25" i="45"/>
  <c r="G272" i="82" l="1"/>
  <c r="G259" i="82"/>
  <c r="G269" i="82"/>
  <c r="G180" i="82"/>
  <c r="C101" i="82"/>
  <c r="E102" i="82"/>
  <c r="C63" i="82"/>
  <c r="E64" i="82"/>
  <c r="K26" i="11" l="1"/>
  <c r="K25" i="11"/>
  <c r="K24" i="11"/>
  <c r="L24" i="34" l="1"/>
  <c r="L25" i="34" s="1"/>
  <c r="G25" i="34"/>
  <c r="E25" i="34"/>
  <c r="A24" i="34"/>
  <c r="A25" i="34" s="1"/>
  <c r="I25" i="34" l="1"/>
  <c r="E253" i="132" s="1"/>
  <c r="E208" i="132" l="1"/>
  <c r="G124" i="178" l="1"/>
  <c r="G128" i="82"/>
  <c r="D17" i="183"/>
  <c r="A17" i="183"/>
  <c r="C27" i="183"/>
  <c r="C26" i="183"/>
  <c r="C24" i="183"/>
  <c r="A14" i="183"/>
  <c r="A15" i="183" s="1"/>
  <c r="A16" i="183" s="1"/>
  <c r="D13" i="183"/>
  <c r="D14" i="183" s="1"/>
  <c r="D15" i="183" s="1"/>
  <c r="D16" i="183" s="1"/>
  <c r="D18" i="183" l="1"/>
  <c r="D19" i="183" s="1"/>
  <c r="D20" i="183" s="1"/>
  <c r="D21" i="183" s="1"/>
  <c r="D22" i="183" s="1"/>
  <c r="D23" i="183" s="1"/>
  <c r="D24" i="183" s="1"/>
  <c r="D25" i="183" s="1"/>
  <c r="D26" i="183" s="1"/>
  <c r="D27" i="183" s="1"/>
  <c r="D28" i="183" s="1"/>
  <c r="D29" i="183" s="1"/>
  <c r="D30" i="183" s="1"/>
  <c r="C29" i="183"/>
  <c r="A18" i="183"/>
  <c r="A19" i="183" s="1"/>
  <c r="A20" i="183" s="1"/>
  <c r="A21" i="183" s="1"/>
  <c r="A22" i="183" s="1"/>
  <c r="A23" i="183" s="1"/>
  <c r="A24" i="183" s="1"/>
  <c r="A25" i="183" s="1"/>
  <c r="A26" i="183" s="1"/>
  <c r="A27" i="183" s="1"/>
  <c r="A28" i="183" s="1"/>
  <c r="A29" i="183" s="1"/>
  <c r="A30" i="183" s="1"/>
  <c r="G11" i="182" l="1"/>
  <c r="I11" i="182"/>
  <c r="E9" i="182"/>
  <c r="C9" i="182"/>
  <c r="H207" i="132" l="1"/>
  <c r="H208" i="132" s="1"/>
  <c r="H209" i="132" s="1"/>
  <c r="A207" i="132"/>
  <c r="A208" i="132" s="1"/>
  <c r="G135" i="178" l="1"/>
  <c r="G136" i="178"/>
  <c r="G123" i="178"/>
  <c r="B5" i="178"/>
  <c r="B73" i="178" s="1"/>
  <c r="G250" i="178"/>
  <c r="G247" i="178"/>
  <c r="G237" i="178"/>
  <c r="G216" i="178"/>
  <c r="G213" i="178"/>
  <c r="G203" i="178"/>
  <c r="A195" i="178"/>
  <c r="A196" i="178" s="1"/>
  <c r="A197" i="178" s="1"/>
  <c r="A198" i="178" s="1"/>
  <c r="A199" i="178" s="1"/>
  <c r="A200" i="178" s="1"/>
  <c r="A201" i="178" s="1"/>
  <c r="A202" i="178" s="1"/>
  <c r="A203" i="178" s="1"/>
  <c r="A204" i="178" s="1"/>
  <c r="A205" i="178" s="1"/>
  <c r="A206" i="178" s="1"/>
  <c r="A207" i="178" s="1"/>
  <c r="A208" i="178" s="1"/>
  <c r="A209" i="178" s="1"/>
  <c r="A210" i="178" s="1"/>
  <c r="A211" i="178" s="1"/>
  <c r="A212" i="178" s="1"/>
  <c r="A213" i="178" s="1"/>
  <c r="A214" i="178" s="1"/>
  <c r="A215" i="178" s="1"/>
  <c r="A216" i="178" s="1"/>
  <c r="A217" i="178" s="1"/>
  <c r="A218" i="178" s="1"/>
  <c r="A219" i="178" s="1"/>
  <c r="A220" i="178" s="1"/>
  <c r="A221" i="178" s="1"/>
  <c r="A222" i="178" s="1"/>
  <c r="A223" i="178" s="1"/>
  <c r="A224" i="178" s="1"/>
  <c r="A225" i="178" s="1"/>
  <c r="A226" i="178" s="1"/>
  <c r="A227" i="178" s="1"/>
  <c r="A228" i="178" s="1"/>
  <c r="A229" i="178" s="1"/>
  <c r="A230" i="178" s="1"/>
  <c r="A231" i="178" s="1"/>
  <c r="A232" i="178" s="1"/>
  <c r="A233" i="178" s="1"/>
  <c r="A234" i="178" s="1"/>
  <c r="A235" i="178" s="1"/>
  <c r="A236" i="178" s="1"/>
  <c r="A237" i="178" s="1"/>
  <c r="A238" i="178" s="1"/>
  <c r="A239" i="178" s="1"/>
  <c r="A240" i="178" s="1"/>
  <c r="A241" i="178" s="1"/>
  <c r="A242" i="178" s="1"/>
  <c r="A243" i="178" s="1"/>
  <c r="A244" i="178" s="1"/>
  <c r="A245" i="178" s="1"/>
  <c r="A246" i="178" s="1"/>
  <c r="A247" i="178" s="1"/>
  <c r="A248" i="178" s="1"/>
  <c r="A249" i="178" s="1"/>
  <c r="A250" i="178" s="1"/>
  <c r="A251" i="178" s="1"/>
  <c r="A252" i="178" s="1"/>
  <c r="A253" i="178" s="1"/>
  <c r="A254" i="178" s="1"/>
  <c r="A255" i="178" s="1"/>
  <c r="A256" i="178" s="1"/>
  <c r="A257" i="178" s="1"/>
  <c r="A258" i="178" s="1"/>
  <c r="A259" i="178" s="1"/>
  <c r="J194" i="178"/>
  <c r="J195" i="178" s="1"/>
  <c r="J196" i="178" s="1"/>
  <c r="J197" i="178" s="1"/>
  <c r="J198" i="178" s="1"/>
  <c r="J199" i="178" s="1"/>
  <c r="J200" i="178" s="1"/>
  <c r="J201" i="178" s="1"/>
  <c r="J202" i="178" s="1"/>
  <c r="J203" i="178" s="1"/>
  <c r="J204" i="178" s="1"/>
  <c r="J205" i="178" s="1"/>
  <c r="J206" i="178" s="1"/>
  <c r="J207" i="178" s="1"/>
  <c r="J208" i="178" s="1"/>
  <c r="J209" i="178" s="1"/>
  <c r="J210" i="178" s="1"/>
  <c r="J211" i="178" s="1"/>
  <c r="J212" i="178" s="1"/>
  <c r="J213" i="178" s="1"/>
  <c r="J214" i="178" s="1"/>
  <c r="J215" i="178" s="1"/>
  <c r="J216" i="178" s="1"/>
  <c r="J217" i="178" s="1"/>
  <c r="J218" i="178" s="1"/>
  <c r="J219" i="178" s="1"/>
  <c r="J220" i="178" s="1"/>
  <c r="J221" i="178" s="1"/>
  <c r="J222" i="178" s="1"/>
  <c r="J223" i="178" s="1"/>
  <c r="J224" i="178" s="1"/>
  <c r="J225" i="178" s="1"/>
  <c r="J226" i="178" s="1"/>
  <c r="J227" i="178" s="1"/>
  <c r="J228" i="178" s="1"/>
  <c r="J229" i="178" s="1"/>
  <c r="J230" i="178" s="1"/>
  <c r="J231" i="178" s="1"/>
  <c r="J232" i="178" s="1"/>
  <c r="J233" i="178" s="1"/>
  <c r="J234" i="178" s="1"/>
  <c r="J235" i="178" s="1"/>
  <c r="J236" i="178" s="1"/>
  <c r="J237" i="178" s="1"/>
  <c r="J238" i="178" s="1"/>
  <c r="J239" i="178" s="1"/>
  <c r="J240" i="178" s="1"/>
  <c r="J241" i="178" s="1"/>
  <c r="J242" i="178" s="1"/>
  <c r="J243" i="178" s="1"/>
  <c r="J244" i="178" s="1"/>
  <c r="J245" i="178" s="1"/>
  <c r="J246" i="178" s="1"/>
  <c r="J247" i="178" s="1"/>
  <c r="J248" i="178" s="1"/>
  <c r="J249" i="178" s="1"/>
  <c r="J250" i="178" s="1"/>
  <c r="J251" i="178" s="1"/>
  <c r="J252" i="178" s="1"/>
  <c r="J253" i="178" s="1"/>
  <c r="J254" i="178" s="1"/>
  <c r="J255" i="178" s="1"/>
  <c r="J256" i="178" s="1"/>
  <c r="J257" i="178" s="1"/>
  <c r="J258" i="178" s="1"/>
  <c r="J259" i="178" s="1"/>
  <c r="G170" i="178"/>
  <c r="A120" i="178"/>
  <c r="A121" i="178" s="1"/>
  <c r="A122" i="178" s="1"/>
  <c r="A123" i="178" s="1"/>
  <c r="A124" i="178" s="1"/>
  <c r="A125" i="178" s="1"/>
  <c r="A126" i="178" s="1"/>
  <c r="A127" i="178" s="1"/>
  <c r="A128" i="178" s="1"/>
  <c r="A129" i="178" s="1"/>
  <c r="A130" i="178" s="1"/>
  <c r="A131" i="178" s="1"/>
  <c r="A132" i="178" s="1"/>
  <c r="A133" i="178" s="1"/>
  <c r="A134" i="178" s="1"/>
  <c r="A135" i="178" s="1"/>
  <c r="A136" i="178" s="1"/>
  <c r="A137" i="178" s="1"/>
  <c r="A138" i="178" s="1"/>
  <c r="A139" i="178" s="1"/>
  <c r="A140" i="178" s="1"/>
  <c r="A141" i="178" s="1"/>
  <c r="A142" i="178" s="1"/>
  <c r="A143" i="178" s="1"/>
  <c r="A144" i="178" s="1"/>
  <c r="A145" i="178" s="1"/>
  <c r="A146" i="178" s="1"/>
  <c r="A147" i="178" s="1"/>
  <c r="A148" i="178" s="1"/>
  <c r="A149" i="178" s="1"/>
  <c r="A150" i="178" s="1"/>
  <c r="A151" i="178" s="1"/>
  <c r="A152" i="178" s="1"/>
  <c r="A153" i="178" s="1"/>
  <c r="A154" i="178" s="1"/>
  <c r="A155" i="178" s="1"/>
  <c r="A156" i="178" s="1"/>
  <c r="A157" i="178" s="1"/>
  <c r="A158" i="178" s="1"/>
  <c r="A159" i="178" s="1"/>
  <c r="A160" i="178" s="1"/>
  <c r="A161" i="178" s="1"/>
  <c r="A162" i="178" s="1"/>
  <c r="A163" i="178" s="1"/>
  <c r="A164" i="178" s="1"/>
  <c r="A165" i="178" s="1"/>
  <c r="A166" i="178" s="1"/>
  <c r="A167" i="178" s="1"/>
  <c r="A168" i="178" s="1"/>
  <c r="A169" i="178" s="1"/>
  <c r="A170" i="178" s="1"/>
  <c r="A171" i="178" s="1"/>
  <c r="A172" i="178" s="1"/>
  <c r="A173" i="178" s="1"/>
  <c r="A174" i="178" s="1"/>
  <c r="A175" i="178" s="1"/>
  <c r="A176" i="178" s="1"/>
  <c r="A177" i="178" s="1"/>
  <c r="A178" i="178" s="1"/>
  <c r="A179" i="178" s="1"/>
  <c r="A180" i="178" s="1"/>
  <c r="A181" i="178" s="1"/>
  <c r="A182" i="178" s="1"/>
  <c r="A119" i="178"/>
  <c r="A118" i="178"/>
  <c r="J117" i="178"/>
  <c r="J118" i="178" s="1"/>
  <c r="J119" i="178" s="1"/>
  <c r="J120" i="178" s="1"/>
  <c r="J121" i="178" s="1"/>
  <c r="J122" i="178" s="1"/>
  <c r="J123" i="178" s="1"/>
  <c r="J124" i="178" s="1"/>
  <c r="J125" i="178" s="1"/>
  <c r="J126" i="178" s="1"/>
  <c r="J127" i="178" s="1"/>
  <c r="J128" i="178" s="1"/>
  <c r="J129" i="178" s="1"/>
  <c r="J130" i="178" s="1"/>
  <c r="J131" i="178" s="1"/>
  <c r="J132" i="178" s="1"/>
  <c r="J133" i="178" s="1"/>
  <c r="J134" i="178" s="1"/>
  <c r="J135" i="178" s="1"/>
  <c r="J136" i="178" s="1"/>
  <c r="J137" i="178" s="1"/>
  <c r="J138" i="178" s="1"/>
  <c r="J139" i="178" s="1"/>
  <c r="J140" i="178" s="1"/>
  <c r="J141" i="178" s="1"/>
  <c r="J142" i="178" s="1"/>
  <c r="J143" i="178" s="1"/>
  <c r="J144" i="178" s="1"/>
  <c r="J145" i="178" s="1"/>
  <c r="J146" i="178" s="1"/>
  <c r="J147" i="178" s="1"/>
  <c r="J148" i="178" s="1"/>
  <c r="J149" i="178" s="1"/>
  <c r="J150" i="178" s="1"/>
  <c r="J151" i="178" s="1"/>
  <c r="J152" i="178" s="1"/>
  <c r="J153" i="178" s="1"/>
  <c r="J154" i="178" s="1"/>
  <c r="J155" i="178" s="1"/>
  <c r="J156" i="178" s="1"/>
  <c r="J157" i="178" s="1"/>
  <c r="J158" i="178" s="1"/>
  <c r="J159" i="178" s="1"/>
  <c r="J160" i="178" s="1"/>
  <c r="J161" i="178" s="1"/>
  <c r="J162" i="178" s="1"/>
  <c r="J163" i="178" s="1"/>
  <c r="J164" i="178" s="1"/>
  <c r="J165" i="178" s="1"/>
  <c r="J166" i="178" s="1"/>
  <c r="J167" i="178" s="1"/>
  <c r="J168" i="178" s="1"/>
  <c r="J169" i="178" s="1"/>
  <c r="J170" i="178" s="1"/>
  <c r="J171" i="178" s="1"/>
  <c r="J172" i="178" s="1"/>
  <c r="J173" i="178" s="1"/>
  <c r="J174" i="178" s="1"/>
  <c r="J175" i="178" s="1"/>
  <c r="J176" i="178" s="1"/>
  <c r="J177" i="178" s="1"/>
  <c r="J178" i="178" s="1"/>
  <c r="J179" i="178" s="1"/>
  <c r="J180" i="178" s="1"/>
  <c r="J181" i="178" s="1"/>
  <c r="J182" i="178" s="1"/>
  <c r="E99" i="178"/>
  <c r="E86" i="178"/>
  <c r="A80" i="178"/>
  <c r="A81" i="178" s="1"/>
  <c r="A82" i="178" s="1"/>
  <c r="A83" i="178" s="1"/>
  <c r="A84" i="178" s="1"/>
  <c r="A85" i="178" s="1"/>
  <c r="A86" i="178" s="1"/>
  <c r="A87" i="178" s="1"/>
  <c r="A88" i="178" s="1"/>
  <c r="A89" i="178" s="1"/>
  <c r="A90" i="178" s="1"/>
  <c r="A91" i="178" s="1"/>
  <c r="A92" i="178" s="1"/>
  <c r="A93" i="178" s="1"/>
  <c r="A94" i="178" s="1"/>
  <c r="A95" i="178" s="1"/>
  <c r="A96" i="178" s="1"/>
  <c r="A97" i="178" s="1"/>
  <c r="A98" i="178" s="1"/>
  <c r="A99" i="178" s="1"/>
  <c r="A100" i="178" s="1"/>
  <c r="A101" i="178" s="1"/>
  <c r="A102" i="178" s="1"/>
  <c r="J79" i="178"/>
  <c r="J80" i="178" s="1"/>
  <c r="J81" i="178" s="1"/>
  <c r="J82" i="178" s="1"/>
  <c r="J83" i="178" s="1"/>
  <c r="J84" i="178" s="1"/>
  <c r="J85" i="178" s="1"/>
  <c r="J86" i="178" s="1"/>
  <c r="J87" i="178" s="1"/>
  <c r="J88" i="178" s="1"/>
  <c r="J89" i="178" s="1"/>
  <c r="J90" i="178" s="1"/>
  <c r="J91" i="178" s="1"/>
  <c r="J92" i="178" s="1"/>
  <c r="J93" i="178" s="1"/>
  <c r="J94" i="178" s="1"/>
  <c r="J95" i="178" s="1"/>
  <c r="J96" i="178" s="1"/>
  <c r="J97" i="178" s="1"/>
  <c r="J98" i="178" s="1"/>
  <c r="J99" i="178" s="1"/>
  <c r="J100" i="178" s="1"/>
  <c r="J101" i="178" s="1"/>
  <c r="J102" i="178" s="1"/>
  <c r="E62" i="178"/>
  <c r="E49" i="178"/>
  <c r="G32" i="178"/>
  <c r="E48" i="178" s="1"/>
  <c r="C61" i="178"/>
  <c r="G25" i="178"/>
  <c r="G17" i="178"/>
  <c r="C60" i="178" s="1"/>
  <c r="A12" i="178"/>
  <c r="A13" i="178" s="1"/>
  <c r="A14" i="178" s="1"/>
  <c r="A15" i="178" s="1"/>
  <c r="A16" i="178" s="1"/>
  <c r="A17" i="178" s="1"/>
  <c r="A18" i="178" s="1"/>
  <c r="A19" i="178" s="1"/>
  <c r="A20" i="178" s="1"/>
  <c r="A21" i="178" s="1"/>
  <c r="A22" i="178" s="1"/>
  <c r="A23" i="178" s="1"/>
  <c r="A24" i="178" s="1"/>
  <c r="A25" i="178" s="1"/>
  <c r="A26" i="178" s="1"/>
  <c r="A27" i="178" s="1"/>
  <c r="A28" i="178" s="1"/>
  <c r="A29" i="178" s="1"/>
  <c r="A30" i="178" s="1"/>
  <c r="A31" i="178" s="1"/>
  <c r="A32" i="178" s="1"/>
  <c r="A33" i="178" s="1"/>
  <c r="A34" i="178" s="1"/>
  <c r="A35" i="178" s="1"/>
  <c r="A37" i="178" s="1"/>
  <c r="A38" i="178" s="1"/>
  <c r="A39" i="178" s="1"/>
  <c r="A40" i="178" s="1"/>
  <c r="A41" i="178" s="1"/>
  <c r="A42" i="178" s="1"/>
  <c r="A43" i="178" s="1"/>
  <c r="A44" i="178" s="1"/>
  <c r="A45" i="178" s="1"/>
  <c r="A46" i="178" s="1"/>
  <c r="A47" i="178" s="1"/>
  <c r="A48" i="178" s="1"/>
  <c r="A49" i="178" s="1"/>
  <c r="A50" i="178" s="1"/>
  <c r="A51" i="178" s="1"/>
  <c r="A52" i="178" s="1"/>
  <c r="A53" i="178" s="1"/>
  <c r="A54" i="178" s="1"/>
  <c r="A55" i="178" s="1"/>
  <c r="A56" i="178" s="1"/>
  <c r="A57" i="178" s="1"/>
  <c r="A58" i="178" s="1"/>
  <c r="A59" i="178" s="1"/>
  <c r="A60" i="178" s="1"/>
  <c r="A61" i="178" s="1"/>
  <c r="A62" i="178" s="1"/>
  <c r="A63" i="178" s="1"/>
  <c r="A64" i="178" s="1"/>
  <c r="A65" i="178" s="1"/>
  <c r="J11" i="178"/>
  <c r="J12" i="178" s="1"/>
  <c r="J13" i="178" s="1"/>
  <c r="J14" i="178" s="1"/>
  <c r="J15" i="178" s="1"/>
  <c r="J16" i="178" s="1"/>
  <c r="J17" i="178" s="1"/>
  <c r="J18" i="178" s="1"/>
  <c r="J19" i="178" s="1"/>
  <c r="J20" i="178" s="1"/>
  <c r="J21" i="178" s="1"/>
  <c r="J22" i="178" s="1"/>
  <c r="J23" i="178" s="1"/>
  <c r="J24" i="178" s="1"/>
  <c r="J25" i="178" s="1"/>
  <c r="J26" i="178" s="1"/>
  <c r="J27" i="178" s="1"/>
  <c r="J28" i="178" s="1"/>
  <c r="J29" i="178" s="1"/>
  <c r="J30" i="178" s="1"/>
  <c r="J31" i="178" s="1"/>
  <c r="J32" i="178" s="1"/>
  <c r="J33" i="178" s="1"/>
  <c r="J34" i="178" s="1"/>
  <c r="J35" i="178" s="1"/>
  <c r="J38" i="178" s="1"/>
  <c r="J39" i="178" s="1"/>
  <c r="J40" i="178" s="1"/>
  <c r="J41" i="178" s="1"/>
  <c r="J42" i="178" s="1"/>
  <c r="J43" i="178" s="1"/>
  <c r="J44" i="178" s="1"/>
  <c r="J45" i="178" s="1"/>
  <c r="J46" i="178" s="1"/>
  <c r="J47" i="178" s="1"/>
  <c r="J48" i="178" s="1"/>
  <c r="J49" i="178" s="1"/>
  <c r="J50" i="178" s="1"/>
  <c r="J51" i="178" s="1"/>
  <c r="J52" i="178" s="1"/>
  <c r="J53" i="178" s="1"/>
  <c r="J54" i="178" s="1"/>
  <c r="J55" i="178" s="1"/>
  <c r="J56" i="178" s="1"/>
  <c r="J57" i="178" s="1"/>
  <c r="J58" i="178" s="1"/>
  <c r="J59" i="178" s="1"/>
  <c r="J60" i="178" s="1"/>
  <c r="J61" i="178" s="1"/>
  <c r="J62" i="178" s="1"/>
  <c r="J63" i="178" s="1"/>
  <c r="J64" i="178" s="1"/>
  <c r="J65" i="178" s="1"/>
  <c r="G27" i="178" l="1"/>
  <c r="E84" i="178" s="1"/>
  <c r="C85" i="178"/>
  <c r="C98" i="178"/>
  <c r="G36" i="178"/>
  <c r="G39" i="178" s="1"/>
  <c r="C48" i="178"/>
  <c r="C84" i="178"/>
  <c r="E85" i="178"/>
  <c r="B188" i="178"/>
  <c r="C47" i="178"/>
  <c r="C97" i="178"/>
  <c r="B111" i="178"/>
  <c r="E47" i="178" l="1"/>
  <c r="C99" i="178"/>
  <c r="C86" i="178"/>
  <c r="C62" i="178"/>
  <c r="C49" i="178"/>
  <c r="C87" i="178"/>
  <c r="D84" i="178" s="1"/>
  <c r="C100" i="178" l="1"/>
  <c r="D99" i="178" s="1"/>
  <c r="G99" i="178" s="1"/>
  <c r="G102" i="178" s="1"/>
  <c r="G233" i="178" s="1"/>
  <c r="D85" i="178"/>
  <c r="G85" i="178" s="1"/>
  <c r="C50" i="178"/>
  <c r="D62" i="178" s="1"/>
  <c r="G62" i="178" s="1"/>
  <c r="D86" i="178"/>
  <c r="G86" i="178" s="1"/>
  <c r="G84" i="178"/>
  <c r="C63" i="178"/>
  <c r="H252" i="132"/>
  <c r="A252" i="132"/>
  <c r="H210" i="132"/>
  <c r="A209" i="132"/>
  <c r="A210" i="132" s="1"/>
  <c r="D49" i="178" l="1"/>
  <c r="G49" i="178" s="1"/>
  <c r="D61" i="178"/>
  <c r="G61" i="178" s="1"/>
  <c r="G65" i="178" s="1"/>
  <c r="G156" i="178" s="1"/>
  <c r="D60" i="178"/>
  <c r="D63" i="178" s="1"/>
  <c r="D48" i="178"/>
  <c r="G48" i="178" s="1"/>
  <c r="G52" i="178" s="1"/>
  <c r="G122" i="178" s="1"/>
  <c r="D47" i="178"/>
  <c r="G47" i="178" s="1"/>
  <c r="G50" i="178" s="1"/>
  <c r="G146" i="178" s="1"/>
  <c r="D98" i="178"/>
  <c r="G98" i="178" s="1"/>
  <c r="D97" i="178"/>
  <c r="G97" i="178" s="1"/>
  <c r="H253" i="132"/>
  <c r="H254" i="132" s="1"/>
  <c r="H255" i="132" s="1"/>
  <c r="H256" i="132" s="1"/>
  <c r="H257" i="132" s="1"/>
  <c r="H258" i="132" s="1"/>
  <c r="H259" i="132" s="1"/>
  <c r="H260" i="132" s="1"/>
  <c r="H261" i="132" s="1"/>
  <c r="H262" i="132" s="1"/>
  <c r="H263" i="132" s="1"/>
  <c r="H264" i="132" s="1"/>
  <c r="H265" i="132" s="1"/>
  <c r="H266" i="132" s="1"/>
  <c r="H267" i="132" s="1"/>
  <c r="H268" i="132" s="1"/>
  <c r="H269" i="132" s="1"/>
  <c r="H270" i="132" s="1"/>
  <c r="H271" i="132" s="1"/>
  <c r="H272" i="132" s="1"/>
  <c r="H273" i="132" s="1"/>
  <c r="H274" i="132" s="1"/>
  <c r="H275" i="132" s="1"/>
  <c r="H276" i="132" s="1"/>
  <c r="H277" i="132" s="1"/>
  <c r="H278" i="132" s="1"/>
  <c r="H279" i="132" s="1"/>
  <c r="H280" i="132" s="1"/>
  <c r="H281" i="132" s="1"/>
  <c r="H282" i="132" s="1"/>
  <c r="H283" i="132" s="1"/>
  <c r="H284" i="132" s="1"/>
  <c r="H285" i="132" s="1"/>
  <c r="A253" i="132"/>
  <c r="A254" i="132" s="1"/>
  <c r="A255" i="132" s="1"/>
  <c r="A256" i="132" s="1"/>
  <c r="A257" i="132" s="1"/>
  <c r="A258" i="132" s="1"/>
  <c r="A259" i="132" s="1"/>
  <c r="A260" i="132" s="1"/>
  <c r="A261" i="132" s="1"/>
  <c r="A262" i="132" s="1"/>
  <c r="A263" i="132" s="1"/>
  <c r="A264" i="132" s="1"/>
  <c r="A265" i="132" s="1"/>
  <c r="A266" i="132" s="1"/>
  <c r="A267" i="132" s="1"/>
  <c r="A268" i="132" s="1"/>
  <c r="A269" i="132" s="1"/>
  <c r="A270" i="132" s="1"/>
  <c r="A271" i="132" s="1"/>
  <c r="A272" i="132" s="1"/>
  <c r="A273" i="132" s="1"/>
  <c r="A274" i="132" s="1"/>
  <c r="A275" i="132" s="1"/>
  <c r="A276" i="132" s="1"/>
  <c r="A277" i="132" s="1"/>
  <c r="A278" i="132" s="1"/>
  <c r="A279" i="132" s="1"/>
  <c r="A280" i="132" s="1"/>
  <c r="A281" i="132" s="1"/>
  <c r="A282" i="132" s="1"/>
  <c r="A283" i="132" s="1"/>
  <c r="A284" i="132" s="1"/>
  <c r="A285" i="132" s="1"/>
  <c r="A211" i="132"/>
  <c r="A212" i="132" s="1"/>
  <c r="A213" i="132" s="1"/>
  <c r="A214" i="132" s="1"/>
  <c r="A215" i="132" s="1"/>
  <c r="A216" i="132" s="1"/>
  <c r="A217" i="132" s="1"/>
  <c r="A218" i="132" s="1"/>
  <c r="A219" i="132" s="1"/>
  <c r="A220" i="132" s="1"/>
  <c r="A221" i="132" s="1"/>
  <c r="A222" i="132" s="1"/>
  <c r="A223" i="132" s="1"/>
  <c r="A224" i="132" s="1"/>
  <c r="A225" i="132" s="1"/>
  <c r="A226" i="132" s="1"/>
  <c r="A227" i="132" s="1"/>
  <c r="A228" i="132" s="1"/>
  <c r="A229" i="132" s="1"/>
  <c r="A230" i="132" s="1"/>
  <c r="A231" i="132" s="1"/>
  <c r="A232" i="132" s="1"/>
  <c r="A233" i="132" s="1"/>
  <c r="A234" i="132" s="1"/>
  <c r="A235" i="132" s="1"/>
  <c r="A236" i="132" s="1"/>
  <c r="A237" i="132" s="1"/>
  <c r="H211" i="132"/>
  <c r="H212" i="132" s="1"/>
  <c r="H213" i="132" s="1"/>
  <c r="H214" i="132" s="1"/>
  <c r="H215" i="132" s="1"/>
  <c r="H216" i="132" s="1"/>
  <c r="H217" i="132" s="1"/>
  <c r="H218" i="132" s="1"/>
  <c r="H219" i="132" s="1"/>
  <c r="H220" i="132" s="1"/>
  <c r="H221" i="132" s="1"/>
  <c r="H222" i="132" s="1"/>
  <c r="H223" i="132" s="1"/>
  <c r="H224" i="132" s="1"/>
  <c r="H225" i="132" s="1"/>
  <c r="H226" i="132" s="1"/>
  <c r="H227" i="132" s="1"/>
  <c r="H228" i="132" s="1"/>
  <c r="H229" i="132" s="1"/>
  <c r="H230" i="132" s="1"/>
  <c r="H231" i="132" s="1"/>
  <c r="H232" i="132" s="1"/>
  <c r="H233" i="132" s="1"/>
  <c r="H234" i="132" s="1"/>
  <c r="H235" i="132" s="1"/>
  <c r="H236" i="132" s="1"/>
  <c r="H237" i="132" s="1"/>
  <c r="D87" i="178"/>
  <c r="D50" i="178"/>
  <c r="G89" i="178"/>
  <c r="G199" i="178" s="1"/>
  <c r="G245" i="178"/>
  <c r="G87" i="178"/>
  <c r="G223" i="178" s="1"/>
  <c r="G60" i="178"/>
  <c r="G63" i="178" s="1"/>
  <c r="G180" i="178" s="1"/>
  <c r="G32" i="158"/>
  <c r="C33" i="158"/>
  <c r="C28" i="158"/>
  <c r="C23" i="158"/>
  <c r="H16" i="63"/>
  <c r="H17" i="63"/>
  <c r="H18" i="63" s="1"/>
  <c r="H19" i="63" s="1"/>
  <c r="H20" i="63" s="1"/>
  <c r="H21" i="63" s="1"/>
  <c r="H22" i="63" s="1"/>
  <c r="H23" i="63" s="1"/>
  <c r="H24" i="63" s="1"/>
  <c r="H25" i="63" s="1"/>
  <c r="H26" i="63" s="1"/>
  <c r="H27" i="63" s="1"/>
  <c r="H28" i="63" s="1"/>
  <c r="H29" i="63" s="1"/>
  <c r="A16" i="63"/>
  <c r="A17" i="63" s="1"/>
  <c r="A18" i="63" s="1"/>
  <c r="A19" i="63" s="1"/>
  <c r="A20" i="63" s="1"/>
  <c r="A21" i="63" s="1"/>
  <c r="A22" i="63" s="1"/>
  <c r="A23" i="63" s="1"/>
  <c r="A24" i="63" s="1"/>
  <c r="A25" i="63" s="1"/>
  <c r="A26" i="63" s="1"/>
  <c r="A27" i="63" s="1"/>
  <c r="A28" i="63" s="1"/>
  <c r="A29" i="63" s="1"/>
  <c r="J28" i="48"/>
  <c r="J27" i="48"/>
  <c r="J26" i="48"/>
  <c r="L26" i="48"/>
  <c r="L27" i="48" s="1"/>
  <c r="L28" i="48" s="1"/>
  <c r="L29" i="48" s="1"/>
  <c r="L30" i="48" s="1"/>
  <c r="L31" i="48" s="1"/>
  <c r="L32" i="48" s="1"/>
  <c r="L33" i="48" s="1"/>
  <c r="L34" i="48" s="1"/>
  <c r="L35" i="48" s="1"/>
  <c r="L36" i="48" s="1"/>
  <c r="L37" i="48" s="1"/>
  <c r="L38" i="48" s="1"/>
  <c r="L39" i="48" s="1"/>
  <c r="L40" i="48" s="1"/>
  <c r="A26" i="48"/>
  <c r="A27" i="48" s="1"/>
  <c r="A28" i="48" s="1"/>
  <c r="A29" i="48" s="1"/>
  <c r="A30" i="48" s="1"/>
  <c r="A31" i="48" s="1"/>
  <c r="A32" i="48" s="1"/>
  <c r="A33" i="48" s="1"/>
  <c r="A34" i="48" s="1"/>
  <c r="A35" i="48" s="1"/>
  <c r="A36" i="48" s="1"/>
  <c r="A37" i="48" s="1"/>
  <c r="A38" i="48" s="1"/>
  <c r="A39" i="48" s="1"/>
  <c r="A40" i="48" s="1"/>
  <c r="K26" i="10"/>
  <c r="K25" i="10"/>
  <c r="K24" i="10"/>
  <c r="K27" i="136"/>
  <c r="K26" i="136"/>
  <c r="K25" i="136"/>
  <c r="K27" i="24"/>
  <c r="K26" i="24"/>
  <c r="K25" i="24"/>
  <c r="H14" i="47"/>
  <c r="H15" i="47" s="1"/>
  <c r="H16" i="47" s="1"/>
  <c r="H17" i="47" s="1"/>
  <c r="H18" i="47" s="1"/>
  <c r="H19" i="47" s="1"/>
  <c r="H20" i="47" s="1"/>
  <c r="H21" i="47" s="1"/>
  <c r="H22" i="47" s="1"/>
  <c r="H23" i="47" s="1"/>
  <c r="H24" i="47" s="1"/>
  <c r="H25" i="47" s="1"/>
  <c r="H26" i="47" s="1"/>
  <c r="H27" i="47" s="1"/>
  <c r="A14" i="47"/>
  <c r="A15" i="47" s="1"/>
  <c r="A16" i="47" s="1"/>
  <c r="A17" i="47" s="1"/>
  <c r="A18" i="47" s="1"/>
  <c r="A19" i="47" s="1"/>
  <c r="A20" i="47" s="1"/>
  <c r="A21" i="47" s="1"/>
  <c r="A22" i="47" s="1"/>
  <c r="A23" i="47" s="1"/>
  <c r="A24" i="47" s="1"/>
  <c r="A25" i="47" s="1"/>
  <c r="A26" i="47" s="1"/>
  <c r="A27" i="47" s="1"/>
  <c r="M25" i="24"/>
  <c r="M26" i="24"/>
  <c r="M27" i="24" s="1"/>
  <c r="M28" i="24" s="1"/>
  <c r="M29" i="24" s="1"/>
  <c r="M30" i="24" s="1"/>
  <c r="M31" i="24" s="1"/>
  <c r="M32" i="24" s="1"/>
  <c r="M33" i="24" s="1"/>
  <c r="M34" i="24" s="1"/>
  <c r="M35" i="24" s="1"/>
  <c r="M36" i="24" s="1"/>
  <c r="M37" i="24" s="1"/>
  <c r="M38" i="24" s="1"/>
  <c r="M39" i="24" s="1"/>
  <c r="A25" i="24"/>
  <c r="A26" i="24" s="1"/>
  <c r="A27" i="24" s="1"/>
  <c r="A28" i="24" s="1"/>
  <c r="A29" i="24" s="1"/>
  <c r="A30" i="24" s="1"/>
  <c r="A31" i="24" s="1"/>
  <c r="A32" i="24" s="1"/>
  <c r="A33" i="24" s="1"/>
  <c r="A34" i="24" s="1"/>
  <c r="A35" i="24" s="1"/>
  <c r="A36" i="24" s="1"/>
  <c r="A37" i="24" s="1"/>
  <c r="A38" i="24" s="1"/>
  <c r="A39" i="24" s="1"/>
  <c r="M25" i="136"/>
  <c r="M26" i="136" s="1"/>
  <c r="M27" i="136" s="1"/>
  <c r="M28" i="136" s="1"/>
  <c r="M29" i="136" s="1"/>
  <c r="M30" i="136" s="1"/>
  <c r="M31" i="136" s="1"/>
  <c r="M32" i="136" s="1"/>
  <c r="M33" i="136" s="1"/>
  <c r="M34" i="136" s="1"/>
  <c r="M35" i="136" s="1"/>
  <c r="M36" i="136" s="1"/>
  <c r="M37" i="136" s="1"/>
  <c r="M38" i="136" s="1"/>
  <c r="M39" i="136" s="1"/>
  <c r="A25" i="136"/>
  <c r="A26" i="136" s="1"/>
  <c r="A27" i="136" s="1"/>
  <c r="A28" i="136" s="1"/>
  <c r="A29" i="136" s="1"/>
  <c r="A30" i="136" s="1"/>
  <c r="A31" i="136" s="1"/>
  <c r="A32" i="136" s="1"/>
  <c r="A33" i="136" s="1"/>
  <c r="A34" i="136" s="1"/>
  <c r="A35" i="136" s="1"/>
  <c r="A36" i="136" s="1"/>
  <c r="A37" i="136" s="1"/>
  <c r="A38" i="136" s="1"/>
  <c r="A39" i="136" s="1"/>
  <c r="M24" i="11"/>
  <c r="M25" i="11" s="1"/>
  <c r="M26" i="11" s="1"/>
  <c r="M27" i="11" s="1"/>
  <c r="M28" i="11" s="1"/>
  <c r="M29" i="11" s="1"/>
  <c r="M30" i="11" s="1"/>
  <c r="M31" i="11" s="1"/>
  <c r="M32" i="11" s="1"/>
  <c r="M33" i="11" s="1"/>
  <c r="M34" i="11" s="1"/>
  <c r="M35" i="11" s="1"/>
  <c r="M36" i="11" s="1"/>
  <c r="M37" i="11" s="1"/>
  <c r="M38" i="11" s="1"/>
  <c r="A24" i="11"/>
  <c r="A25" i="11" s="1"/>
  <c r="A26" i="11" s="1"/>
  <c r="A27" i="11" s="1"/>
  <c r="A28" i="11" s="1"/>
  <c r="A29" i="11" s="1"/>
  <c r="A30" i="11" s="1"/>
  <c r="A31" i="11" s="1"/>
  <c r="A32" i="11" s="1"/>
  <c r="A33" i="11" s="1"/>
  <c r="A34" i="11" s="1"/>
  <c r="A35" i="11" s="1"/>
  <c r="A36" i="11" s="1"/>
  <c r="A37" i="11" s="1"/>
  <c r="A38" i="11" s="1"/>
  <c r="M24" i="10"/>
  <c r="M25" i="10"/>
  <c r="M26" i="10" s="1"/>
  <c r="M27" i="10" s="1"/>
  <c r="M28" i="10" s="1"/>
  <c r="M29" i="10" s="1"/>
  <c r="M30" i="10" s="1"/>
  <c r="M31" i="10" s="1"/>
  <c r="M32" i="10" s="1"/>
  <c r="M33" i="10" s="1"/>
  <c r="M34" i="10" s="1"/>
  <c r="M35" i="10" s="1"/>
  <c r="M36" i="10" s="1"/>
  <c r="M37" i="10" s="1"/>
  <c r="M38" i="10" s="1"/>
  <c r="A35" i="10"/>
  <c r="A36" i="10" s="1"/>
  <c r="A37" i="10" s="1"/>
  <c r="A38" i="10" s="1"/>
  <c r="A24" i="10"/>
  <c r="A25" i="10"/>
  <c r="A26" i="10" s="1"/>
  <c r="A27" i="10" s="1"/>
  <c r="A28" i="10" s="1"/>
  <c r="A29" i="10" s="1"/>
  <c r="A30" i="10" s="1"/>
  <c r="A31" i="10" s="1"/>
  <c r="A32" i="10" s="1"/>
  <c r="A33" i="10" s="1"/>
  <c r="A34" i="10" s="1"/>
  <c r="E22" i="42"/>
  <c r="G100" i="178" l="1"/>
  <c r="G257" i="178" s="1"/>
  <c r="D100" i="178"/>
  <c r="G168" i="178"/>
  <c r="G134" i="178"/>
  <c r="G211" i="178"/>
  <c r="H286" i="132"/>
  <c r="A286" i="132"/>
  <c r="C34" i="158"/>
  <c r="C19" i="156" s="1"/>
  <c r="A287" i="132" l="1"/>
  <c r="A288" i="132" s="1"/>
  <c r="A289" i="132" s="1"/>
  <c r="A290" i="132" s="1"/>
  <c r="A291" i="132" s="1"/>
  <c r="A292" i="132" s="1"/>
  <c r="A293" i="132" s="1"/>
  <c r="A294" i="132" s="1"/>
  <c r="A295" i="132" s="1"/>
  <c r="A296" i="132" s="1"/>
  <c r="A297" i="132" s="1"/>
  <c r="H287" i="132"/>
  <c r="H288" i="132" s="1"/>
  <c r="H289" i="132" s="1"/>
  <c r="H290" i="132" s="1"/>
  <c r="H291" i="132" s="1"/>
  <c r="H292" i="132" s="1"/>
  <c r="H293" i="132" s="1"/>
  <c r="H294" i="132" s="1"/>
  <c r="H295" i="132" s="1"/>
  <c r="H296" i="132" s="1"/>
  <c r="H297" i="132" s="1"/>
  <c r="E13" i="40"/>
  <c r="F24" i="171"/>
  <c r="E14" i="42" l="1"/>
  <c r="H63" i="41"/>
  <c r="A63" i="41"/>
  <c r="E56" i="41"/>
  <c r="F35" i="140" l="1"/>
  <c r="E20" i="42" l="1"/>
  <c r="W18" i="79" l="1"/>
  <c r="W19" i="79" s="1"/>
  <c r="W20" i="79" s="1"/>
  <c r="W21" i="79" s="1"/>
  <c r="W22" i="79" s="1"/>
  <c r="W23" i="79" s="1"/>
  <c r="W24" i="79" s="1"/>
  <c r="W25" i="79" s="1"/>
  <c r="W26" i="79" s="1"/>
  <c r="W27" i="79" s="1"/>
  <c r="W28" i="79" s="1"/>
  <c r="W29" i="79" s="1"/>
  <c r="W30" i="79" s="1"/>
  <c r="W31" i="79" s="1"/>
  <c r="W32" i="79" s="1"/>
  <c r="W33" i="79" s="1"/>
  <c r="W34" i="79" s="1"/>
  <c r="W35" i="79" s="1"/>
  <c r="W36" i="79" s="1"/>
  <c r="W37" i="79" s="1"/>
  <c r="W38" i="79" s="1"/>
  <c r="A18" i="79"/>
  <c r="A19" i="79" s="1"/>
  <c r="A20" i="79" s="1"/>
  <c r="A21" i="79" s="1"/>
  <c r="A22" i="79" s="1"/>
  <c r="A23" i="79" s="1"/>
  <c r="A24" i="79" s="1"/>
  <c r="A25" i="79" s="1"/>
  <c r="A26" i="79" s="1"/>
  <c r="A27" i="79" s="1"/>
  <c r="A28" i="79" s="1"/>
  <c r="A29" i="79" s="1"/>
  <c r="A30" i="79" s="1"/>
  <c r="A31" i="79" s="1"/>
  <c r="A32" i="79" s="1"/>
  <c r="A33" i="79" s="1"/>
  <c r="A34" i="79" s="1"/>
  <c r="A35" i="79" s="1"/>
  <c r="A36" i="79" s="1"/>
  <c r="A37" i="79" s="1"/>
  <c r="A38" i="79" s="1"/>
  <c r="V17" i="79" l="1"/>
  <c r="V18" i="79"/>
  <c r="K24" i="24" l="1"/>
  <c r="K28" i="24"/>
  <c r="K29" i="24"/>
  <c r="K30" i="24"/>
  <c r="K31" i="24"/>
  <c r="K32" i="24"/>
  <c r="K33" i="24"/>
  <c r="K34" i="24"/>
  <c r="K35" i="24"/>
  <c r="W11" i="79" l="1"/>
  <c r="W12" i="79" s="1"/>
  <c r="W13" i="79" s="1"/>
  <c r="W14" i="79" s="1"/>
  <c r="W15" i="79" s="1"/>
  <c r="W16" i="79" s="1"/>
  <c r="W17" i="79" s="1"/>
  <c r="S15" i="79" l="1"/>
  <c r="T15" i="79"/>
  <c r="U15" i="79"/>
  <c r="Q15" i="79"/>
  <c r="K15" i="79"/>
  <c r="F15" i="79"/>
  <c r="G15" i="79"/>
  <c r="H15" i="79"/>
  <c r="I15" i="79"/>
  <c r="J15" i="79"/>
  <c r="E15" i="79"/>
  <c r="A11" i="79"/>
  <c r="R15" i="79" l="1"/>
  <c r="V13" i="79"/>
  <c r="V10" i="79" l="1"/>
  <c r="K33" i="174" l="1"/>
  <c r="K34" i="174" s="1"/>
  <c r="K35" i="174" s="1"/>
  <c r="K36" i="174" s="1"/>
  <c r="K37" i="174" s="1"/>
  <c r="K38" i="174" s="1"/>
  <c r="K39" i="174" s="1"/>
  <c r="K40" i="174" s="1"/>
  <c r="K41" i="174" s="1"/>
  <c r="K42" i="174" s="1"/>
  <c r="K43" i="174" s="1"/>
  <c r="K44" i="174" s="1"/>
  <c r="K45" i="174" s="1"/>
  <c r="K46" i="174" s="1"/>
  <c r="K47" i="174" s="1"/>
  <c r="A33" i="174"/>
  <c r="A34" i="174"/>
  <c r="A35" i="174"/>
  <c r="A36" i="174"/>
  <c r="A37" i="174"/>
  <c r="A38" i="174" s="1"/>
  <c r="A39" i="174" s="1"/>
  <c r="A40" i="174" s="1"/>
  <c r="A41" i="174" s="1"/>
  <c r="A42" i="174" s="1"/>
  <c r="A43" i="174" s="1"/>
  <c r="A44" i="174" s="1"/>
  <c r="A45" i="174" s="1"/>
  <c r="A46" i="174" s="1"/>
  <c r="A47" i="174" s="1"/>
  <c r="E17" i="42" l="1"/>
  <c r="E38" i="42" l="1"/>
  <c r="E19" i="42" s="1"/>
  <c r="E44" i="42" l="1"/>
  <c r="P30" i="173"/>
  <c r="P31" i="173" s="1"/>
  <c r="P32" i="173" s="1"/>
  <c r="P33" i="173" s="1"/>
  <c r="P34" i="173" s="1"/>
  <c r="P35" i="173" s="1"/>
  <c r="P36" i="173" s="1"/>
  <c r="P37" i="173" s="1"/>
  <c r="P38" i="173" s="1"/>
  <c r="P39" i="173" s="1"/>
  <c r="P40" i="173" s="1"/>
  <c r="P41" i="173" s="1"/>
  <c r="P42" i="173" s="1"/>
  <c r="P43" i="173" s="1"/>
  <c r="P44" i="173" s="1"/>
  <c r="A30" i="173"/>
  <c r="A31" i="173" s="1"/>
  <c r="A32" i="173" s="1"/>
  <c r="A33" i="173" s="1"/>
  <c r="A34" i="173" s="1"/>
  <c r="A35" i="173" s="1"/>
  <c r="A36" i="173" s="1"/>
  <c r="A37" i="173" s="1"/>
  <c r="A38" i="173" s="1"/>
  <c r="A39" i="173" s="1"/>
  <c r="A40" i="173" s="1"/>
  <c r="A41" i="173" s="1"/>
  <c r="A42" i="173" s="1"/>
  <c r="A43" i="173" s="1"/>
  <c r="A44" i="173" s="1"/>
  <c r="K33" i="172"/>
  <c r="K34" i="172" s="1"/>
  <c r="K35" i="172" s="1"/>
  <c r="K36" i="172" s="1"/>
  <c r="K37" i="172" s="1"/>
  <c r="K38" i="172" s="1"/>
  <c r="K39" i="172" s="1"/>
  <c r="K40" i="172" s="1"/>
  <c r="K41" i="172" s="1"/>
  <c r="K42" i="172" s="1"/>
  <c r="K43" i="172" s="1"/>
  <c r="K44" i="172" s="1"/>
  <c r="K45" i="172" s="1"/>
  <c r="K46" i="172" s="1"/>
  <c r="K47" i="172" s="1"/>
  <c r="A33" i="172"/>
  <c r="A34" i="172" s="1"/>
  <c r="A35" i="172" s="1"/>
  <c r="A36" i="172" s="1"/>
  <c r="A37" i="172" s="1"/>
  <c r="A38" i="172" s="1"/>
  <c r="A39" i="172" s="1"/>
  <c r="A40" i="172" s="1"/>
  <c r="A41" i="172" s="1"/>
  <c r="A42" i="172" s="1"/>
  <c r="A43" i="172" s="1"/>
  <c r="A44" i="172" s="1"/>
  <c r="A45" i="172" s="1"/>
  <c r="A46" i="172" s="1"/>
  <c r="A47" i="172" s="1"/>
  <c r="P30" i="171"/>
  <c r="P31" i="171" s="1"/>
  <c r="P32" i="171" s="1"/>
  <c r="P33" i="171" s="1"/>
  <c r="P34" i="171" s="1"/>
  <c r="P35" i="171" s="1"/>
  <c r="P36" i="171" s="1"/>
  <c r="P37" i="171" s="1"/>
  <c r="P38" i="171" s="1"/>
  <c r="P39" i="171" s="1"/>
  <c r="P40" i="171" s="1"/>
  <c r="P41" i="171" s="1"/>
  <c r="P42" i="171" s="1"/>
  <c r="P43" i="171" s="1"/>
  <c r="P44" i="171" s="1"/>
  <c r="A29" i="171"/>
  <c r="A30" i="171" s="1"/>
  <c r="A31" i="171" s="1"/>
  <c r="A32" i="171" s="1"/>
  <c r="A33" i="171" s="1"/>
  <c r="A34" i="171" s="1"/>
  <c r="A35" i="171" s="1"/>
  <c r="A36" i="171" s="1"/>
  <c r="A37" i="171" s="1"/>
  <c r="A38" i="171" s="1"/>
  <c r="A39" i="171" s="1"/>
  <c r="A40" i="171" s="1"/>
  <c r="A41" i="171" s="1"/>
  <c r="A42" i="171" s="1"/>
  <c r="A43" i="171" s="1"/>
  <c r="A44" i="171" s="1"/>
  <c r="E13" i="153" l="1"/>
  <c r="B13" i="121" l="1"/>
  <c r="B14" i="121"/>
  <c r="B15" i="121"/>
  <c r="B16" i="121"/>
  <c r="B17" i="121"/>
  <c r="B18" i="121"/>
  <c r="B19" i="121"/>
  <c r="B20" i="121"/>
  <c r="B21" i="121"/>
  <c r="B22" i="121"/>
  <c r="B23" i="121"/>
  <c r="B24" i="121"/>
  <c r="B25" i="121"/>
  <c r="B26" i="121"/>
  <c r="B27" i="121"/>
  <c r="B28" i="121"/>
  <c r="B29" i="121"/>
  <c r="B30" i="121"/>
  <c r="B31" i="121"/>
  <c r="B32" i="121"/>
  <c r="B33" i="121"/>
  <c r="B34" i="121"/>
  <c r="B35" i="121"/>
  <c r="B12" i="121"/>
  <c r="B13" i="120"/>
  <c r="B14" i="120"/>
  <c r="B15" i="120"/>
  <c r="B16" i="120"/>
  <c r="B17" i="120"/>
  <c r="B18" i="120"/>
  <c r="B19" i="120"/>
  <c r="B20" i="120"/>
  <c r="B21" i="120"/>
  <c r="B22" i="120"/>
  <c r="B23" i="120"/>
  <c r="B24" i="120"/>
  <c r="B25" i="120"/>
  <c r="B26" i="120"/>
  <c r="B27" i="120"/>
  <c r="B28" i="120"/>
  <c r="B29" i="120"/>
  <c r="B30" i="120"/>
  <c r="B31" i="120"/>
  <c r="B32" i="120"/>
  <c r="B33" i="120"/>
  <c r="B34" i="120"/>
  <c r="B35" i="120"/>
  <c r="B12" i="120"/>
  <c r="B12" i="119"/>
  <c r="B13" i="119"/>
  <c r="B14" i="119"/>
  <c r="B15" i="119"/>
  <c r="B16" i="119"/>
  <c r="B17" i="119"/>
  <c r="B18" i="119"/>
  <c r="B19" i="119"/>
  <c r="B20" i="119"/>
  <c r="B21" i="119"/>
  <c r="B22" i="119"/>
  <c r="B23" i="119"/>
  <c r="B24" i="119"/>
  <c r="B25" i="119"/>
  <c r="B26" i="119"/>
  <c r="B27" i="119"/>
  <c r="B28" i="119"/>
  <c r="B29" i="119"/>
  <c r="B30" i="119"/>
  <c r="B31" i="119"/>
  <c r="B32" i="119"/>
  <c r="B33" i="119"/>
  <c r="B34" i="119"/>
  <c r="B11" i="119"/>
  <c r="B12" i="117"/>
  <c r="B13" i="117"/>
  <c r="B14" i="117"/>
  <c r="B15" i="117"/>
  <c r="B16" i="117"/>
  <c r="B17" i="117"/>
  <c r="B18" i="117"/>
  <c r="B19" i="117"/>
  <c r="B20" i="117"/>
  <c r="B21" i="117"/>
  <c r="B22" i="117"/>
  <c r="B23" i="117"/>
  <c r="B24" i="117"/>
  <c r="B25" i="117"/>
  <c r="B26" i="117"/>
  <c r="B27" i="117"/>
  <c r="B28" i="117"/>
  <c r="B29" i="117"/>
  <c r="B30" i="117"/>
  <c r="B31" i="117"/>
  <c r="B32" i="117"/>
  <c r="B33" i="117"/>
  <c r="B34" i="117"/>
  <c r="B11" i="117"/>
  <c r="H25" i="48" l="1"/>
  <c r="H29" i="48"/>
  <c r="H30" i="48"/>
  <c r="H31" i="48"/>
  <c r="H32" i="48"/>
  <c r="H33" i="48"/>
  <c r="H34" i="48"/>
  <c r="H35" i="48"/>
  <c r="H36" i="48"/>
  <c r="J27" i="173" l="1"/>
  <c r="V25" i="79"/>
  <c r="H18" i="48" l="1"/>
  <c r="H19" i="48"/>
  <c r="H20" i="48"/>
  <c r="H21" i="48"/>
  <c r="H17" i="48"/>
  <c r="H16" i="48"/>
  <c r="E20" i="40"/>
  <c r="E24" i="42" l="1"/>
  <c r="E21" i="42" l="1"/>
  <c r="E18" i="42"/>
  <c r="E14" i="153" l="1"/>
  <c r="D34" i="86" l="1"/>
  <c r="D17" i="86"/>
  <c r="F23" i="140" l="1"/>
  <c r="G23" i="140"/>
  <c r="N23" i="140"/>
  <c r="H23" i="140" l="1"/>
  <c r="E119" i="144"/>
  <c r="E68" i="144"/>
  <c r="E187" i="144"/>
  <c r="E186" i="144"/>
  <c r="E148" i="144"/>
  <c r="E144" i="144"/>
  <c r="B49" i="144"/>
  <c r="E38" i="144"/>
  <c r="E37" i="144"/>
  <c r="E20" i="144"/>
  <c r="E85" i="144" l="1"/>
  <c r="E19" i="41"/>
  <c r="E15" i="41"/>
  <c r="E11" i="41"/>
  <c r="E21" i="113" l="1"/>
  <c r="E22" i="113" s="1"/>
  <c r="E23" i="113" s="1"/>
  <c r="E24" i="113" s="1"/>
  <c r="E25" i="113" s="1"/>
  <c r="E26" i="113" s="1"/>
  <c r="E27" i="113" s="1"/>
  <c r="E28" i="113" s="1"/>
  <c r="E29" i="113" s="1"/>
  <c r="E30" i="113" s="1"/>
  <c r="E31" i="113" s="1"/>
  <c r="E32" i="113" s="1"/>
  <c r="E33" i="113" s="1"/>
  <c r="E34" i="113" s="1"/>
  <c r="A21" i="113"/>
  <c r="A22" i="113" s="1"/>
  <c r="A23" i="113" s="1"/>
  <c r="A24" i="113" s="1"/>
  <c r="A25" i="113" s="1"/>
  <c r="A26" i="113" s="1"/>
  <c r="A27" i="113" s="1"/>
  <c r="A28" i="113" s="1"/>
  <c r="A29" i="113" s="1"/>
  <c r="A30" i="113" s="1"/>
  <c r="A31" i="113" s="1"/>
  <c r="A32" i="113" s="1"/>
  <c r="A33" i="113" s="1"/>
  <c r="A34" i="113" s="1"/>
  <c r="C31" i="113"/>
  <c r="C33" i="113" s="1"/>
  <c r="C29" i="113"/>
  <c r="V32" i="79"/>
  <c r="B26" i="23"/>
  <c r="B26" i="30" s="1"/>
  <c r="B14" i="23"/>
  <c r="B14" i="25" s="1"/>
  <c r="B14" i="26" s="1"/>
  <c r="B13" i="27" s="1"/>
  <c r="B15" i="23"/>
  <c r="B15" i="109" s="1"/>
  <c r="B16" i="70" s="1"/>
  <c r="B14" i="71" s="1"/>
  <c r="B15" i="73" s="1"/>
  <c r="B27" i="12"/>
  <c r="B16" i="12"/>
  <c r="B15" i="12"/>
  <c r="B26" i="9"/>
  <c r="B15" i="9"/>
  <c r="B14" i="9"/>
  <c r="B17" i="8"/>
  <c r="B16" i="3" s="1"/>
  <c r="B16" i="13" s="1"/>
  <c r="B17" i="14" s="1"/>
  <c r="B15" i="8"/>
  <c r="B14" i="3" s="1"/>
  <c r="B14" i="13" s="1"/>
  <c r="B13" i="14" s="1"/>
  <c r="B26" i="7"/>
  <c r="B15" i="7"/>
  <c r="B14" i="7"/>
  <c r="B26" i="6"/>
  <c r="B15" i="6"/>
  <c r="B14" i="6"/>
  <c r="B26" i="5"/>
  <c r="B15" i="5"/>
  <c r="B14" i="5"/>
  <c r="G15" i="177"/>
  <c r="I16" i="151"/>
  <c r="I15" i="151"/>
  <c r="I15" i="152"/>
  <c r="B26" i="109" l="1"/>
  <c r="B16" i="25"/>
  <c r="B16" i="26" s="1"/>
  <c r="B17" i="27" s="1"/>
  <c r="B15" i="30"/>
  <c r="B14" i="109"/>
  <c r="B15" i="70" s="1"/>
  <c r="B13" i="71" s="1"/>
  <c r="B14" i="73" s="1"/>
  <c r="B14" i="30"/>
  <c r="G15" i="153"/>
  <c r="B27" i="70" l="1"/>
  <c r="B25" i="71" s="1"/>
  <c r="B26" i="73" s="1"/>
  <c r="B15" i="52"/>
  <c r="B15" i="56" s="1"/>
  <c r="B13" i="59" s="1"/>
  <c r="B17" i="65" s="1"/>
  <c r="B17" i="64" s="1"/>
  <c r="D63" i="173"/>
  <c r="D64" i="173" s="1"/>
  <c r="D65" i="173" s="1"/>
  <c r="D66" i="173" s="1"/>
  <c r="J62" i="173" l="1"/>
  <c r="J61" i="173"/>
  <c r="D63" i="171" l="1"/>
  <c r="D64" i="171" s="1"/>
  <c r="D65" i="171" s="1"/>
  <c r="D66" i="171" s="1"/>
  <c r="J62" i="171" l="1"/>
  <c r="J61" i="171"/>
  <c r="C25" i="152" l="1"/>
  <c r="L17" i="173" l="1"/>
  <c r="J40" i="173"/>
  <c r="J36" i="173"/>
  <c r="J35" i="173"/>
  <c r="J34" i="173"/>
  <c r="J30" i="173"/>
  <c r="J29" i="173"/>
  <c r="J20" i="173"/>
  <c r="J19" i="173"/>
  <c r="J18" i="173"/>
  <c r="J17" i="173"/>
  <c r="H33" i="174"/>
  <c r="F33" i="174"/>
  <c r="G33" i="174" s="1"/>
  <c r="H32" i="174"/>
  <c r="F32" i="174"/>
  <c r="G32" i="174" s="1"/>
  <c r="E34" i="174"/>
  <c r="D34" i="174"/>
  <c r="E27" i="174"/>
  <c r="D27" i="174"/>
  <c r="H25" i="174"/>
  <c r="F25" i="174"/>
  <c r="G25" i="174" s="1"/>
  <c r="H24" i="174"/>
  <c r="F24" i="174"/>
  <c r="G24" i="174" s="1"/>
  <c r="H22" i="174"/>
  <c r="F22" i="174"/>
  <c r="G22" i="174" s="1"/>
  <c r="H20" i="174"/>
  <c r="F20" i="174"/>
  <c r="G20" i="174" s="1"/>
  <c r="H19" i="174"/>
  <c r="F19" i="174"/>
  <c r="G19" i="174" s="1"/>
  <c r="H18" i="174"/>
  <c r="F18" i="174"/>
  <c r="G18" i="174" s="1"/>
  <c r="K30" i="171"/>
  <c r="K29" i="171"/>
  <c r="K22" i="171"/>
  <c r="K21" i="171"/>
  <c r="K19" i="171"/>
  <c r="K17" i="171"/>
  <c r="H20" i="172" s="1"/>
  <c r="K16" i="171"/>
  <c r="K15" i="171"/>
  <c r="L30" i="173"/>
  <c r="L21" i="173"/>
  <c r="F31" i="173"/>
  <c r="G31" i="173"/>
  <c r="H31" i="173"/>
  <c r="I31" i="173"/>
  <c r="F24" i="173"/>
  <c r="G24" i="173"/>
  <c r="F33" i="172"/>
  <c r="G33" i="172" s="1"/>
  <c r="F32" i="172"/>
  <c r="G32" i="172" s="1"/>
  <c r="H25" i="172"/>
  <c r="F25" i="172"/>
  <c r="G25" i="172" s="1"/>
  <c r="F24" i="172"/>
  <c r="G24" i="172" s="1"/>
  <c r="F22" i="172"/>
  <c r="G22" i="172" s="1"/>
  <c r="F20" i="172"/>
  <c r="G20" i="172" s="1"/>
  <c r="F19" i="172"/>
  <c r="G19" i="172" s="1"/>
  <c r="F18" i="172"/>
  <c r="G18" i="172" s="1"/>
  <c r="E34" i="172"/>
  <c r="D34" i="172"/>
  <c r="E27" i="172"/>
  <c r="D27" i="172"/>
  <c r="E31" i="171"/>
  <c r="F31" i="171"/>
  <c r="G31" i="171"/>
  <c r="H31" i="171"/>
  <c r="I31" i="171"/>
  <c r="D31" i="171"/>
  <c r="E24" i="171"/>
  <c r="G24" i="171"/>
  <c r="H24" i="171"/>
  <c r="I24" i="171"/>
  <c r="D24" i="171"/>
  <c r="G232" i="82"/>
  <c r="H18" i="172" l="1"/>
  <c r="H24" i="172"/>
  <c r="I24" i="172" s="1"/>
  <c r="L21" i="171" s="1"/>
  <c r="H27" i="174"/>
  <c r="J31" i="171"/>
  <c r="J37" i="173"/>
  <c r="I18" i="174"/>
  <c r="I20" i="174"/>
  <c r="I24" i="174"/>
  <c r="I33" i="174"/>
  <c r="J24" i="171"/>
  <c r="J37" i="171"/>
  <c r="J28" i="173"/>
  <c r="J31" i="173" s="1"/>
  <c r="I19" i="174"/>
  <c r="I22" i="174"/>
  <c r="I25" i="174"/>
  <c r="I32" i="174"/>
  <c r="G27" i="174"/>
  <c r="F27" i="174"/>
  <c r="H33" i="172"/>
  <c r="I33" i="172" s="1"/>
  <c r="L30" i="171" s="1"/>
  <c r="H32" i="172"/>
  <c r="I25" i="172"/>
  <c r="L22" i="171" s="1"/>
  <c r="H22" i="172"/>
  <c r="I22" i="172" s="1"/>
  <c r="L19" i="171" s="1"/>
  <c r="N19" i="171" s="1"/>
  <c r="E19" i="173" s="1"/>
  <c r="H19" i="172"/>
  <c r="I19" i="172" s="1"/>
  <c r="L16" i="171" s="1"/>
  <c r="I18" i="172"/>
  <c r="L15" i="171" s="1"/>
  <c r="I20" i="172"/>
  <c r="L17" i="171" s="1"/>
  <c r="G229" i="82"/>
  <c r="M16" i="171" l="1"/>
  <c r="D16" i="173" s="1"/>
  <c r="M15" i="171"/>
  <c r="E13" i="152" s="1"/>
  <c r="M19" i="171"/>
  <c r="D19" i="173" s="1"/>
  <c r="K19" i="173" s="1"/>
  <c r="M17" i="171"/>
  <c r="D17" i="173" s="1"/>
  <c r="N16" i="171"/>
  <c r="E16" i="173" s="1"/>
  <c r="N15" i="171"/>
  <c r="N17" i="171"/>
  <c r="E17" i="173" s="1"/>
  <c r="M22" i="171"/>
  <c r="D22" i="173" s="1"/>
  <c r="N22" i="171"/>
  <c r="E22" i="173" s="1"/>
  <c r="N21" i="171"/>
  <c r="E21" i="173" s="1"/>
  <c r="M21" i="171"/>
  <c r="D21" i="173" s="1"/>
  <c r="J42" i="173"/>
  <c r="J42" i="171"/>
  <c r="J44" i="171" s="1"/>
  <c r="I27" i="174"/>
  <c r="I32" i="172"/>
  <c r="L29" i="171" s="1"/>
  <c r="J16" i="173"/>
  <c r="E15" i="173" l="1"/>
  <c r="G13" i="152"/>
  <c r="K17" i="173"/>
  <c r="M30" i="171"/>
  <c r="D30" i="173" s="1"/>
  <c r="M29" i="171"/>
  <c r="N30" i="171"/>
  <c r="E30" i="173" s="1"/>
  <c r="N29" i="171"/>
  <c r="G28" i="152"/>
  <c r="C28" i="153"/>
  <c r="E28" i="152"/>
  <c r="K16" i="173"/>
  <c r="D15" i="173"/>
  <c r="J22" i="173"/>
  <c r="K30" i="173" l="1"/>
  <c r="K22" i="173"/>
  <c r="J21" i="173"/>
  <c r="C13" i="153"/>
  <c r="G13" i="153" s="1"/>
  <c r="J15" i="173"/>
  <c r="E28" i="153"/>
  <c r="H24" i="173"/>
  <c r="I24" i="173"/>
  <c r="D29" i="173"/>
  <c r="E29" i="173"/>
  <c r="K21" i="173"/>
  <c r="K15" i="173"/>
  <c r="C33" i="177"/>
  <c r="K29" i="173" l="1"/>
  <c r="J24" i="173"/>
  <c r="J44" i="173" s="1"/>
  <c r="I32" i="152"/>
  <c r="I31" i="152"/>
  <c r="I30" i="152"/>
  <c r="I29" i="152"/>
  <c r="I17" i="152"/>
  <c r="I16" i="152"/>
  <c r="I32" i="151"/>
  <c r="I31" i="151"/>
  <c r="I30" i="151"/>
  <c r="I29" i="151"/>
  <c r="I24" i="151"/>
  <c r="I23" i="151"/>
  <c r="I17" i="151"/>
  <c r="C14" i="153" l="1"/>
  <c r="E33" i="177" l="1"/>
  <c r="G32" i="177"/>
  <c r="G31" i="177"/>
  <c r="G30" i="177"/>
  <c r="G29" i="177"/>
  <c r="G28" i="177"/>
  <c r="E25" i="177"/>
  <c r="C25" i="177"/>
  <c r="G24" i="177"/>
  <c r="G23" i="177"/>
  <c r="G22" i="177"/>
  <c r="G21" i="177"/>
  <c r="E18" i="177"/>
  <c r="C18" i="177"/>
  <c r="G17" i="177"/>
  <c r="G16" i="177"/>
  <c r="G14" i="177"/>
  <c r="G13" i="177"/>
  <c r="A13" i="177"/>
  <c r="A14" i="177" s="1"/>
  <c r="A15" i="177" s="1"/>
  <c r="A16" i="177" s="1"/>
  <c r="A17" i="177" s="1"/>
  <c r="A18" i="177" s="1"/>
  <c r="A19" i="177" s="1"/>
  <c r="A20" i="177" s="1"/>
  <c r="A21" i="177" s="1"/>
  <c r="A22" i="177" s="1"/>
  <c r="A23" i="177" s="1"/>
  <c r="A24" i="177" s="1"/>
  <c r="A25" i="177" s="1"/>
  <c r="A26" i="177" s="1"/>
  <c r="A27" i="177" s="1"/>
  <c r="A28" i="177" s="1"/>
  <c r="A29" i="177" s="1"/>
  <c r="A30" i="177" s="1"/>
  <c r="A31" i="177" s="1"/>
  <c r="A32" i="177" s="1"/>
  <c r="A33" i="177" s="1"/>
  <c r="A34" i="177" s="1"/>
  <c r="A35" i="177" s="1"/>
  <c r="I12" i="177"/>
  <c r="I13" i="177" s="1"/>
  <c r="A11" i="176"/>
  <c r="A12" i="176" s="1"/>
  <c r="A13" i="176" s="1"/>
  <c r="A14" i="176" s="1"/>
  <c r="A15" i="176" s="1"/>
  <c r="A16" i="176" s="1"/>
  <c r="A17" i="176" s="1"/>
  <c r="A18" i="176" s="1"/>
  <c r="A19" i="176" s="1"/>
  <c r="B5" i="176"/>
  <c r="I14" i="177" l="1"/>
  <c r="I15" i="177" s="1"/>
  <c r="I16" i="177" s="1"/>
  <c r="I17" i="177" s="1"/>
  <c r="I18" i="177" s="1"/>
  <c r="I19" i="177" s="1"/>
  <c r="I20" i="177" s="1"/>
  <c r="I21" i="177" s="1"/>
  <c r="I22" i="177" s="1"/>
  <c r="I23" i="177" s="1"/>
  <c r="I24" i="177" s="1"/>
  <c r="I25" i="177" s="1"/>
  <c r="I26" i="177" s="1"/>
  <c r="I27" i="177" s="1"/>
  <c r="I28" i="177" s="1"/>
  <c r="I29" i="177" s="1"/>
  <c r="I30" i="177" s="1"/>
  <c r="I31" i="177" s="1"/>
  <c r="I32" i="177" s="1"/>
  <c r="I33" i="177" s="1"/>
  <c r="I34" i="177" s="1"/>
  <c r="I35" i="177" s="1"/>
  <c r="H11" i="176"/>
  <c r="H12" i="176" s="1"/>
  <c r="H13" i="176" s="1"/>
  <c r="H14" i="176" s="1"/>
  <c r="H15" i="176" s="1"/>
  <c r="H16" i="176" s="1"/>
  <c r="H17" i="176" s="1"/>
  <c r="H18" i="176" s="1"/>
  <c r="H19" i="176" s="1"/>
  <c r="C35" i="177"/>
  <c r="E35" i="177"/>
  <c r="G18" i="177"/>
  <c r="G33" i="177"/>
  <c r="E16" i="176" s="1"/>
  <c r="G25" i="177"/>
  <c r="E15" i="176" s="1"/>
  <c r="E14" i="176" l="1"/>
  <c r="E17" i="176" s="1"/>
  <c r="G35" i="177"/>
  <c r="H43" i="174"/>
  <c r="F43" i="174"/>
  <c r="G43" i="174" s="1"/>
  <c r="E40" i="174"/>
  <c r="D40" i="174"/>
  <c r="H39" i="174"/>
  <c r="F39" i="174"/>
  <c r="G39" i="174" s="1"/>
  <c r="H38" i="174"/>
  <c r="F38" i="174"/>
  <c r="G38" i="174" s="1"/>
  <c r="H37" i="174"/>
  <c r="F37" i="174"/>
  <c r="E45" i="174"/>
  <c r="H30" i="174"/>
  <c r="H34" i="174" s="1"/>
  <c r="F30" i="174"/>
  <c r="K17" i="174"/>
  <c r="K18" i="174" s="1"/>
  <c r="K19" i="174" s="1"/>
  <c r="K20" i="174" s="1"/>
  <c r="K21" i="174" s="1"/>
  <c r="K22" i="174" s="1"/>
  <c r="K23" i="174" s="1"/>
  <c r="K24" i="174" s="1"/>
  <c r="K25" i="174" s="1"/>
  <c r="K26" i="174" s="1"/>
  <c r="K27" i="174" s="1"/>
  <c r="K28" i="174" s="1"/>
  <c r="K29" i="174" s="1"/>
  <c r="K30" i="174" s="1"/>
  <c r="K31" i="174" s="1"/>
  <c r="K32" i="174" s="1"/>
  <c r="A17" i="174"/>
  <c r="A18" i="174" s="1"/>
  <c r="A19" i="174" s="1"/>
  <c r="A20" i="174" s="1"/>
  <c r="A21" i="174" s="1"/>
  <c r="A22" i="174" s="1"/>
  <c r="A23" i="174" s="1"/>
  <c r="A24" i="174" s="1"/>
  <c r="A25" i="174" s="1"/>
  <c r="A26" i="174" s="1"/>
  <c r="A27" i="174" s="1"/>
  <c r="A28" i="174" s="1"/>
  <c r="A29" i="174" s="1"/>
  <c r="A30" i="174" s="1"/>
  <c r="A31" i="174" s="1"/>
  <c r="A32" i="174" s="1"/>
  <c r="I37" i="173"/>
  <c r="H37" i="173"/>
  <c r="G37" i="173"/>
  <c r="C21" i="153" s="1"/>
  <c r="F37" i="173"/>
  <c r="E21" i="153" s="1"/>
  <c r="G42" i="173"/>
  <c r="P14" i="173"/>
  <c r="P15" i="173" s="1"/>
  <c r="P16" i="173" s="1"/>
  <c r="P17" i="173" s="1"/>
  <c r="P18" i="173" s="1"/>
  <c r="P19" i="173" s="1"/>
  <c r="P20" i="173" s="1"/>
  <c r="P21" i="173" s="1"/>
  <c r="P22" i="173" s="1"/>
  <c r="P23" i="173" s="1"/>
  <c r="P24" i="173" s="1"/>
  <c r="P25" i="173" s="1"/>
  <c r="P26" i="173" s="1"/>
  <c r="P27" i="173" s="1"/>
  <c r="P28" i="173" s="1"/>
  <c r="P29" i="173" s="1"/>
  <c r="A14" i="173"/>
  <c r="A15" i="173" s="1"/>
  <c r="A16" i="173" s="1"/>
  <c r="A17" i="173" s="1"/>
  <c r="A18" i="173" s="1"/>
  <c r="A19" i="173" s="1"/>
  <c r="A20" i="173" s="1"/>
  <c r="A21" i="173" s="1"/>
  <c r="A22" i="173" s="1"/>
  <c r="A23" i="173" s="1"/>
  <c r="A24" i="173" s="1"/>
  <c r="A25" i="173" s="1"/>
  <c r="A26" i="173" s="1"/>
  <c r="A27" i="173" s="1"/>
  <c r="A28" i="173" s="1"/>
  <c r="A29" i="173" s="1"/>
  <c r="F43" i="172"/>
  <c r="G43" i="172" s="1"/>
  <c r="E40" i="172"/>
  <c r="D40" i="172"/>
  <c r="F39" i="172"/>
  <c r="G39" i="172" s="1"/>
  <c r="F38" i="172"/>
  <c r="G38" i="172" s="1"/>
  <c r="F37" i="172"/>
  <c r="G37" i="172" s="1"/>
  <c r="F34" i="172"/>
  <c r="F30" i="172"/>
  <c r="G30" i="172" s="1"/>
  <c r="K17" i="172"/>
  <c r="K18" i="172" s="1"/>
  <c r="K19" i="172" s="1"/>
  <c r="K20" i="172" s="1"/>
  <c r="K21" i="172" s="1"/>
  <c r="K22" i="172" s="1"/>
  <c r="K23" i="172" s="1"/>
  <c r="K24" i="172" s="1"/>
  <c r="K25" i="172" s="1"/>
  <c r="K26" i="172" s="1"/>
  <c r="K27" i="172" s="1"/>
  <c r="K28" i="172" s="1"/>
  <c r="K29" i="172" s="1"/>
  <c r="K30" i="172" s="1"/>
  <c r="K31" i="172" s="1"/>
  <c r="K32" i="172" s="1"/>
  <c r="A17" i="172"/>
  <c r="A18" i="172" s="1"/>
  <c r="A19" i="172" s="1"/>
  <c r="A20" i="172" s="1"/>
  <c r="A21" i="172" s="1"/>
  <c r="A22" i="172" s="1"/>
  <c r="A23" i="172" s="1"/>
  <c r="A24" i="172" s="1"/>
  <c r="A25" i="172" s="1"/>
  <c r="A26" i="172" s="1"/>
  <c r="A27" i="172" s="1"/>
  <c r="A28" i="172" s="1"/>
  <c r="A29" i="172" s="1"/>
  <c r="A30" i="172" s="1"/>
  <c r="A31" i="172" s="1"/>
  <c r="A32" i="172" s="1"/>
  <c r="K40" i="171"/>
  <c r="I37" i="171"/>
  <c r="H37" i="171"/>
  <c r="G37" i="171"/>
  <c r="F37" i="171"/>
  <c r="E37" i="171"/>
  <c r="D37" i="171"/>
  <c r="K36" i="171"/>
  <c r="K35" i="171"/>
  <c r="K34" i="171"/>
  <c r="K27" i="171"/>
  <c r="P14" i="171"/>
  <c r="P15" i="171" s="1"/>
  <c r="P16" i="171" s="1"/>
  <c r="P17" i="171" s="1"/>
  <c r="P18" i="171" s="1"/>
  <c r="P19" i="171" s="1"/>
  <c r="P20" i="171" s="1"/>
  <c r="P21" i="171" s="1"/>
  <c r="P22" i="171" s="1"/>
  <c r="P23" i="171" s="1"/>
  <c r="P24" i="171" s="1"/>
  <c r="P25" i="171" s="1"/>
  <c r="P26" i="171" s="1"/>
  <c r="P27" i="171" s="1"/>
  <c r="P28" i="171" s="1"/>
  <c r="P29" i="171" s="1"/>
  <c r="A14" i="171"/>
  <c r="A15" i="171" s="1"/>
  <c r="A16" i="171" s="1"/>
  <c r="A17" i="171" s="1"/>
  <c r="A18" i="171" s="1"/>
  <c r="A19" i="171" s="1"/>
  <c r="A20" i="171" s="1"/>
  <c r="A21" i="171" s="1"/>
  <c r="A22" i="171" s="1"/>
  <c r="A23" i="171" s="1"/>
  <c r="A24" i="171" s="1"/>
  <c r="A25" i="171" s="1"/>
  <c r="A26" i="171" s="1"/>
  <c r="A27" i="171" s="1"/>
  <c r="A28" i="171" s="1"/>
  <c r="G30" i="174" l="1"/>
  <c r="G34" i="174" s="1"/>
  <c r="F34" i="174"/>
  <c r="K31" i="171"/>
  <c r="I42" i="173"/>
  <c r="I44" i="173" s="1"/>
  <c r="H42" i="173"/>
  <c r="H44" i="173" s="1"/>
  <c r="G27" i="172"/>
  <c r="F27" i="172"/>
  <c r="K24" i="171"/>
  <c r="D45" i="172"/>
  <c r="D47" i="172" s="1"/>
  <c r="H42" i="171"/>
  <c r="H44" i="171" s="1"/>
  <c r="E45" i="172"/>
  <c r="E47" i="172" s="1"/>
  <c r="F42" i="173"/>
  <c r="F44" i="173" s="1"/>
  <c r="E19" i="176"/>
  <c r="G34" i="172"/>
  <c r="L15" i="173"/>
  <c r="F40" i="174"/>
  <c r="G37" i="174"/>
  <c r="G40" i="174" s="1"/>
  <c r="I38" i="174"/>
  <c r="L35" i="173" s="1"/>
  <c r="H40" i="174"/>
  <c r="H38" i="172"/>
  <c r="I38" i="172" s="1"/>
  <c r="L35" i="171" s="1"/>
  <c r="N35" i="171" s="1"/>
  <c r="F42" i="171"/>
  <c r="F44" i="171" s="1"/>
  <c r="G42" i="171"/>
  <c r="G44" i="171" s="1"/>
  <c r="E42" i="171"/>
  <c r="E44" i="171" s="1"/>
  <c r="I42" i="171"/>
  <c r="I44" i="171" s="1"/>
  <c r="D42" i="171"/>
  <c r="D44" i="171" s="1"/>
  <c r="K37" i="171"/>
  <c r="G40" i="172"/>
  <c r="E47" i="174"/>
  <c r="I43" i="174"/>
  <c r="L40" i="173" s="1"/>
  <c r="H37" i="172"/>
  <c r="H39" i="172"/>
  <c r="I39" i="172" s="1"/>
  <c r="L36" i="171" s="1"/>
  <c r="N36" i="171" s="1"/>
  <c r="H30" i="172"/>
  <c r="H34" i="172" s="1"/>
  <c r="G44" i="173"/>
  <c r="D45" i="174"/>
  <c r="D47" i="174" s="1"/>
  <c r="I39" i="174"/>
  <c r="L36" i="173" s="1"/>
  <c r="H43" i="172"/>
  <c r="I30" i="174"/>
  <c r="F40" i="172"/>
  <c r="G139" i="82" l="1"/>
  <c r="E36" i="173"/>
  <c r="M36" i="171"/>
  <c r="I24" i="152" s="1"/>
  <c r="M35" i="171"/>
  <c r="L27" i="173"/>
  <c r="I34" i="174"/>
  <c r="L29" i="173" s="1"/>
  <c r="F45" i="174"/>
  <c r="F47" i="174" s="1"/>
  <c r="L19" i="173"/>
  <c r="L16" i="173"/>
  <c r="M16" i="173" s="1"/>
  <c r="H27" i="172"/>
  <c r="F45" i="172"/>
  <c r="F47" i="172" s="1"/>
  <c r="I37" i="174"/>
  <c r="L34" i="173" s="1"/>
  <c r="G45" i="172"/>
  <c r="G47" i="172" s="1"/>
  <c r="K42" i="171"/>
  <c r="K44" i="171" s="1"/>
  <c r="H45" i="174"/>
  <c r="H47" i="174" s="1"/>
  <c r="E35" i="173"/>
  <c r="H40" i="172"/>
  <c r="I30" i="172"/>
  <c r="L27" i="171" s="1"/>
  <c r="I37" i="172"/>
  <c r="L34" i="171" s="1"/>
  <c r="G45" i="174"/>
  <c r="G47" i="174" s="1"/>
  <c r="I43" i="172"/>
  <c r="L40" i="171" s="1"/>
  <c r="M15" i="173" l="1"/>
  <c r="N16" i="173"/>
  <c r="D35" i="173"/>
  <c r="K35" i="173" s="1"/>
  <c r="M35" i="173" s="1"/>
  <c r="I23" i="152"/>
  <c r="N34" i="171"/>
  <c r="M34" i="171"/>
  <c r="N27" i="171"/>
  <c r="E27" i="173" s="1"/>
  <c r="E31" i="173" s="1"/>
  <c r="M27" i="171"/>
  <c r="N40" i="171"/>
  <c r="M40" i="171"/>
  <c r="N19" i="173"/>
  <c r="M19" i="173"/>
  <c r="N15" i="173"/>
  <c r="N17" i="173"/>
  <c r="M17" i="173"/>
  <c r="M29" i="173"/>
  <c r="N30" i="173"/>
  <c r="M30" i="173"/>
  <c r="N29" i="173"/>
  <c r="I40" i="174"/>
  <c r="I45" i="174" s="1"/>
  <c r="I47" i="174" s="1"/>
  <c r="L31" i="173"/>
  <c r="L22" i="173"/>
  <c r="I34" i="172"/>
  <c r="L31" i="171"/>
  <c r="L24" i="171"/>
  <c r="I27" i="172"/>
  <c r="L37" i="173"/>
  <c r="G33" i="152"/>
  <c r="E24" i="173"/>
  <c r="L37" i="171"/>
  <c r="H45" i="172"/>
  <c r="H47" i="172" s="1"/>
  <c r="I28" i="152"/>
  <c r="I33" i="152" s="1"/>
  <c r="D36" i="173"/>
  <c r="I40" i="172"/>
  <c r="G13" i="151" l="1"/>
  <c r="E13" i="151"/>
  <c r="N35" i="173"/>
  <c r="E40" i="173"/>
  <c r="N37" i="171"/>
  <c r="G21" i="152" s="1"/>
  <c r="D34" i="173"/>
  <c r="D37" i="173" s="1"/>
  <c r="M37" i="171"/>
  <c r="E21" i="152" s="1"/>
  <c r="E25" i="152" s="1"/>
  <c r="M22" i="173"/>
  <c r="N22" i="173"/>
  <c r="N21" i="173"/>
  <c r="M21" i="173"/>
  <c r="L42" i="173"/>
  <c r="L24" i="173"/>
  <c r="M31" i="171"/>
  <c r="E14" i="152"/>
  <c r="L42" i="171"/>
  <c r="I45" i="172"/>
  <c r="I47" i="172" s="1"/>
  <c r="G14" i="152"/>
  <c r="I22" i="151"/>
  <c r="K36" i="173"/>
  <c r="M24" i="171"/>
  <c r="H61" i="171" s="1"/>
  <c r="K61" i="171" s="1"/>
  <c r="N24" i="171"/>
  <c r="D27" i="173"/>
  <c r="D31" i="173" s="1"/>
  <c r="I61" i="171" l="1"/>
  <c r="L61" i="171" s="1"/>
  <c r="G25" i="152"/>
  <c r="I22" i="152"/>
  <c r="N36" i="173"/>
  <c r="M36" i="173"/>
  <c r="N24" i="173"/>
  <c r="I61" i="173" s="1"/>
  <c r="L61" i="173" s="1"/>
  <c r="M24" i="173"/>
  <c r="H61" i="173" s="1"/>
  <c r="K61" i="173" s="1"/>
  <c r="E28" i="151"/>
  <c r="G28" i="151"/>
  <c r="G33" i="151" s="1"/>
  <c r="I14" i="152"/>
  <c r="L44" i="173"/>
  <c r="N31" i="171"/>
  <c r="G18" i="152"/>
  <c r="I13" i="152"/>
  <c r="D24" i="173"/>
  <c r="D40" i="173"/>
  <c r="K40" i="173" s="1"/>
  <c r="K27" i="173"/>
  <c r="E34" i="173"/>
  <c r="L44" i="171"/>
  <c r="H39" i="117"/>
  <c r="F19" i="42"/>
  <c r="F16" i="42"/>
  <c r="E24" i="40" s="1"/>
  <c r="D26" i="42"/>
  <c r="F24" i="42"/>
  <c r="F23" i="42"/>
  <c r="F21" i="42"/>
  <c r="F20" i="42"/>
  <c r="F18" i="42"/>
  <c r="F17" i="42"/>
  <c r="F15" i="42"/>
  <c r="F13" i="42"/>
  <c r="F12" i="42"/>
  <c r="A12" i="42"/>
  <c r="A13" i="42" s="1"/>
  <c r="A14" i="42" s="1"/>
  <c r="A15" i="42" s="1"/>
  <c r="A16" i="42" s="1"/>
  <c r="H11" i="42"/>
  <c r="H12" i="42" s="1"/>
  <c r="H13" i="42" s="1"/>
  <c r="H14" i="42" s="1"/>
  <c r="H15" i="42" s="1"/>
  <c r="H16" i="42" s="1"/>
  <c r="H17" i="42" s="1"/>
  <c r="H18" i="42" s="1"/>
  <c r="H19" i="42" s="1"/>
  <c r="F11" i="42"/>
  <c r="A17" i="42" l="1"/>
  <c r="A18" i="42" s="1"/>
  <c r="K31" i="173"/>
  <c r="M27" i="173"/>
  <c r="M31" i="173" s="1"/>
  <c r="N27" i="173"/>
  <c r="N31" i="173" s="1"/>
  <c r="M40" i="173"/>
  <c r="N40" i="173"/>
  <c r="I21" i="152"/>
  <c r="I25" i="152" s="1"/>
  <c r="G35" i="152"/>
  <c r="I28" i="151"/>
  <c r="I33" i="151" s="1"/>
  <c r="M42" i="171"/>
  <c r="N42" i="171"/>
  <c r="D42" i="173"/>
  <c r="E37" i="173"/>
  <c r="E42" i="173" s="1"/>
  <c r="E44" i="173" s="1"/>
  <c r="K34" i="173"/>
  <c r="K24" i="173"/>
  <c r="F22" i="42"/>
  <c r="E26" i="42"/>
  <c r="E19" i="40" s="1"/>
  <c r="F14" i="42"/>
  <c r="F26" i="42" l="1"/>
  <c r="N44" i="171"/>
  <c r="I62" i="171"/>
  <c r="L62" i="171" s="1"/>
  <c r="M44" i="171"/>
  <c r="H62" i="171"/>
  <c r="K62" i="171" s="1"/>
  <c r="M34" i="173"/>
  <c r="M37" i="173" s="1"/>
  <c r="M42" i="173" s="1"/>
  <c r="N34" i="173"/>
  <c r="N37" i="173" s="1"/>
  <c r="N42" i="173" s="1"/>
  <c r="N45" i="171"/>
  <c r="G14" i="151"/>
  <c r="D44" i="173"/>
  <c r="E14" i="151"/>
  <c r="K37" i="173"/>
  <c r="K42" i="173" s="1"/>
  <c r="A19" i="42"/>
  <c r="A20" i="42" s="1"/>
  <c r="A21" i="42" s="1"/>
  <c r="A22" i="42" s="1"/>
  <c r="A23" i="42" s="1"/>
  <c r="A24" i="42" s="1"/>
  <c r="H20" i="42"/>
  <c r="H21" i="42" s="1"/>
  <c r="H22" i="42" s="1"/>
  <c r="H23" i="42" s="1"/>
  <c r="H24" i="42" s="1"/>
  <c r="H25" i="42" s="1"/>
  <c r="H26" i="42" s="1"/>
  <c r="H27" i="42" s="1"/>
  <c r="H28" i="42" s="1"/>
  <c r="H29" i="42" s="1"/>
  <c r="H30" i="42" l="1"/>
  <c r="H31" i="42" s="1"/>
  <c r="H32" i="42" s="1"/>
  <c r="N44" i="173"/>
  <c r="I62" i="173"/>
  <c r="L62" i="173" s="1"/>
  <c r="M44" i="173"/>
  <c r="H62" i="173"/>
  <c r="K62" i="173" s="1"/>
  <c r="I14" i="151"/>
  <c r="G18" i="151"/>
  <c r="K44" i="173"/>
  <c r="G26" i="42"/>
  <c r="A25" i="42"/>
  <c r="A26" i="42" s="1"/>
  <c r="A27" i="42" s="1"/>
  <c r="A28" i="42" s="1"/>
  <c r="A29" i="42" s="1"/>
  <c r="H33" i="42" l="1"/>
  <c r="H34" i="42" s="1"/>
  <c r="H35" i="42" s="1"/>
  <c r="H36" i="42" s="1"/>
  <c r="H37" i="42" s="1"/>
  <c r="H38" i="42" s="1"/>
  <c r="H39" i="42" s="1"/>
  <c r="H40" i="42" s="1"/>
  <c r="H41" i="42" s="1"/>
  <c r="H42" i="42" s="1"/>
  <c r="H43" i="42" s="1"/>
  <c r="H44" i="42" s="1"/>
  <c r="H45" i="42" s="1"/>
  <c r="H46" i="42" s="1"/>
  <c r="H47" i="42" s="1"/>
  <c r="H48" i="42" s="1"/>
  <c r="H49" i="42" s="1"/>
  <c r="A30" i="42"/>
  <c r="A31" i="42" s="1"/>
  <c r="A32" i="42" s="1"/>
  <c r="E21" i="151"/>
  <c r="E25" i="151" s="1"/>
  <c r="G21" i="151"/>
  <c r="G25" i="151" s="1"/>
  <c r="G35" i="151" s="1"/>
  <c r="N45" i="173" s="1"/>
  <c r="I13" i="151"/>
  <c r="A33" i="42" l="1"/>
  <c r="A34" i="42" s="1"/>
  <c r="A35" i="42" s="1"/>
  <c r="A36" i="42" s="1"/>
  <c r="A37" i="42" s="1"/>
  <c r="A38" i="42" s="1"/>
  <c r="A39" i="42" s="1"/>
  <c r="A40" i="42" s="1"/>
  <c r="A41" i="42" s="1"/>
  <c r="A42" i="42" s="1"/>
  <c r="A43" i="42" s="1"/>
  <c r="A44" i="42" s="1"/>
  <c r="A45" i="42" s="1"/>
  <c r="A46" i="42" s="1"/>
  <c r="A47" i="42" s="1"/>
  <c r="A48" i="42" s="1"/>
  <c r="A49" i="42" s="1"/>
  <c r="I21" i="151"/>
  <c r="E16" i="141" l="1"/>
  <c r="F16" i="141"/>
  <c r="E17" i="141"/>
  <c r="E18" i="141"/>
  <c r="E19" i="141"/>
  <c r="E20" i="141"/>
  <c r="E21" i="141"/>
  <c r="E22" i="141"/>
  <c r="E23" i="141"/>
  <c r="E24" i="141"/>
  <c r="E25" i="141"/>
  <c r="E26" i="141"/>
  <c r="E27" i="141"/>
  <c r="B4" i="141"/>
  <c r="I10" i="141"/>
  <c r="I11" i="141" s="1"/>
  <c r="I12" i="141" s="1"/>
  <c r="I13" i="141" s="1"/>
  <c r="I14" i="141" s="1"/>
  <c r="I15" i="141" s="1"/>
  <c r="I16" i="141" s="1"/>
  <c r="I17" i="141" s="1"/>
  <c r="I18" i="141" s="1"/>
  <c r="I19" i="141" s="1"/>
  <c r="I20" i="141" s="1"/>
  <c r="I21" i="141" s="1"/>
  <c r="I22" i="141" s="1"/>
  <c r="I23" i="141" s="1"/>
  <c r="I24" i="141" s="1"/>
  <c r="I25" i="141" s="1"/>
  <c r="I26" i="141" s="1"/>
  <c r="I27" i="141" s="1"/>
  <c r="I28" i="141" s="1"/>
  <c r="A11" i="141"/>
  <c r="A12" i="141" s="1"/>
  <c r="A13" i="141" s="1"/>
  <c r="A14" i="141" s="1"/>
  <c r="A15" i="141" s="1"/>
  <c r="A16" i="141" s="1"/>
  <c r="A17" i="141" s="1"/>
  <c r="A18" i="141" s="1"/>
  <c r="A19" i="141" s="1"/>
  <c r="A20" i="141" s="1"/>
  <c r="A21" i="141" s="1"/>
  <c r="A22" i="141" s="1"/>
  <c r="A23" i="141" s="1"/>
  <c r="A24" i="141" s="1"/>
  <c r="A25" i="141" s="1"/>
  <c r="A26" i="141" s="1"/>
  <c r="A27" i="141" s="1"/>
  <c r="A28" i="141" s="1"/>
  <c r="E35" i="140"/>
  <c r="G34" i="140"/>
  <c r="F34" i="140"/>
  <c r="G33" i="140"/>
  <c r="F33" i="140"/>
  <c r="G32" i="140"/>
  <c r="F32" i="140"/>
  <c r="G31" i="140"/>
  <c r="F31" i="140"/>
  <c r="G30" i="140"/>
  <c r="F30" i="140"/>
  <c r="G29" i="140"/>
  <c r="F29" i="140"/>
  <c r="G28" i="140"/>
  <c r="F28" i="140"/>
  <c r="G27" i="140"/>
  <c r="F27" i="140"/>
  <c r="G26" i="140"/>
  <c r="F26" i="140"/>
  <c r="G25" i="140"/>
  <c r="F25" i="140"/>
  <c r="G24" i="140"/>
  <c r="F24" i="140"/>
  <c r="C23" i="140"/>
  <c r="C34" i="140" s="1"/>
  <c r="A11" i="140"/>
  <c r="A12" i="140" s="1"/>
  <c r="A13" i="140" s="1"/>
  <c r="A14" i="140" s="1"/>
  <c r="A15" i="140" s="1"/>
  <c r="A16" i="140" s="1"/>
  <c r="A17" i="140" s="1"/>
  <c r="A18" i="140" s="1"/>
  <c r="A19" i="140" s="1"/>
  <c r="A20" i="140" s="1"/>
  <c r="A21" i="140" s="1"/>
  <c r="A22" i="140" s="1"/>
  <c r="A23" i="140" s="1"/>
  <c r="A24" i="140" s="1"/>
  <c r="A25" i="140" s="1"/>
  <c r="A26" i="140" s="1"/>
  <c r="A27" i="140" s="1"/>
  <c r="A28" i="140" s="1"/>
  <c r="A29" i="140" s="1"/>
  <c r="A30" i="140" s="1"/>
  <c r="A31" i="140" s="1"/>
  <c r="A32" i="140" s="1"/>
  <c r="A33" i="140" s="1"/>
  <c r="A34" i="140" s="1"/>
  <c r="A35" i="140" s="1"/>
  <c r="N10" i="140"/>
  <c r="N11" i="140" s="1"/>
  <c r="N12" i="140" s="1"/>
  <c r="N13" i="140" s="1"/>
  <c r="N14" i="140" s="1"/>
  <c r="N15" i="140" s="1"/>
  <c r="N16" i="140" s="1"/>
  <c r="N17" i="140" s="1"/>
  <c r="N18" i="140" s="1"/>
  <c r="N19" i="140" s="1"/>
  <c r="N20" i="140" s="1"/>
  <c r="N21" i="140" s="1"/>
  <c r="N22" i="140" s="1"/>
  <c r="N24" i="140" s="1"/>
  <c r="N25" i="140" s="1"/>
  <c r="N26" i="140" s="1"/>
  <c r="N27" i="140" s="1"/>
  <c r="N28" i="140" s="1"/>
  <c r="N29" i="140" s="1"/>
  <c r="N30" i="140" s="1"/>
  <c r="N31" i="140" s="1"/>
  <c r="N32" i="140" s="1"/>
  <c r="N33" i="140" s="1"/>
  <c r="N34" i="140" s="1"/>
  <c r="N35" i="140" s="1"/>
  <c r="C17" i="113"/>
  <c r="C15" i="113"/>
  <c r="C19" i="113" s="1"/>
  <c r="A12" i="113"/>
  <c r="A13" i="113" s="1"/>
  <c r="A14" i="113" s="1"/>
  <c r="A15" i="113" s="1"/>
  <c r="A16" i="113" s="1"/>
  <c r="A17" i="113" s="1"/>
  <c r="A18" i="113" s="1"/>
  <c r="A19" i="113" s="1"/>
  <c r="A20" i="113" s="1"/>
  <c r="E11" i="113"/>
  <c r="E12" i="113" s="1"/>
  <c r="E13" i="113" s="1"/>
  <c r="E14" i="113" s="1"/>
  <c r="E15" i="113" s="1"/>
  <c r="E16" i="113" s="1"/>
  <c r="E17" i="113" s="1"/>
  <c r="E18" i="113" s="1"/>
  <c r="E19" i="113" s="1"/>
  <c r="E20" i="113" s="1"/>
  <c r="N46" i="79"/>
  <c r="N45" i="79"/>
  <c r="M45" i="79"/>
  <c r="N44" i="79"/>
  <c r="N43" i="79"/>
  <c r="M43" i="79"/>
  <c r="N42" i="79"/>
  <c r="N41" i="79"/>
  <c r="M41" i="79"/>
  <c r="N37" i="79"/>
  <c r="U34" i="79"/>
  <c r="T34" i="79"/>
  <c r="S34" i="79"/>
  <c r="R34" i="79"/>
  <c r="Q34" i="79"/>
  <c r="P34" i="79"/>
  <c r="K34" i="79"/>
  <c r="J34" i="79"/>
  <c r="I34" i="79"/>
  <c r="H34" i="79"/>
  <c r="G34" i="79"/>
  <c r="F34" i="79"/>
  <c r="E34" i="79"/>
  <c r="V31" i="79"/>
  <c r="V34" i="79" s="1"/>
  <c r="E21" i="77" s="1"/>
  <c r="O31" i="79"/>
  <c r="U29" i="79"/>
  <c r="T29" i="79"/>
  <c r="S29" i="79"/>
  <c r="R29" i="79"/>
  <c r="Q29" i="79"/>
  <c r="K29" i="79"/>
  <c r="J29" i="79"/>
  <c r="I29" i="79"/>
  <c r="H29" i="79"/>
  <c r="G29" i="79"/>
  <c r="F29" i="79"/>
  <c r="E29" i="79"/>
  <c r="V27" i="79"/>
  <c r="P27" i="79"/>
  <c r="O27" i="79"/>
  <c r="N27" i="79"/>
  <c r="V26" i="79"/>
  <c r="P26" i="79"/>
  <c r="O26" i="79"/>
  <c r="N26" i="79"/>
  <c r="V24" i="79"/>
  <c r="P24" i="79"/>
  <c r="O24" i="79"/>
  <c r="N24" i="79"/>
  <c r="V23" i="79"/>
  <c r="P23" i="79"/>
  <c r="O23" i="79"/>
  <c r="N23" i="79"/>
  <c r="V22" i="79"/>
  <c r="P22" i="79"/>
  <c r="O22" i="79"/>
  <c r="N22" i="79"/>
  <c r="V21" i="79"/>
  <c r="P21" i="79"/>
  <c r="O21" i="79"/>
  <c r="N21" i="79"/>
  <c r="V20" i="79"/>
  <c r="P20" i="79"/>
  <c r="O20" i="79"/>
  <c r="N20" i="79"/>
  <c r="V19" i="79"/>
  <c r="P19" i="79"/>
  <c r="O19" i="79"/>
  <c r="N19" i="79"/>
  <c r="P18" i="79"/>
  <c r="O18" i="79"/>
  <c r="N18" i="79"/>
  <c r="P17" i="79"/>
  <c r="O17" i="79"/>
  <c r="N17" i="79"/>
  <c r="V12" i="79"/>
  <c r="A12" i="79"/>
  <c r="V11" i="79"/>
  <c r="M11" i="79"/>
  <c r="L11" i="79"/>
  <c r="W8" i="79"/>
  <c r="P8" i="79"/>
  <c r="O8" i="79"/>
  <c r="N8" i="79"/>
  <c r="M8" i="79"/>
  <c r="W7" i="79"/>
  <c r="O7" i="79"/>
  <c r="N7" i="79"/>
  <c r="M7" i="79"/>
  <c r="F26" i="61"/>
  <c r="F25" i="61"/>
  <c r="F24" i="61"/>
  <c r="F23" i="61"/>
  <c r="F22" i="61"/>
  <c r="F21" i="61"/>
  <c r="F20" i="61"/>
  <c r="F19" i="61"/>
  <c r="F18" i="61"/>
  <c r="F17" i="61"/>
  <c r="F16" i="61"/>
  <c r="F15" i="61"/>
  <c r="A15" i="61"/>
  <c r="A16" i="61" s="1"/>
  <c r="A17" i="61" s="1"/>
  <c r="A18" i="61" s="1"/>
  <c r="A19" i="61" s="1"/>
  <c r="A20" i="61" s="1"/>
  <c r="A21" i="61" s="1"/>
  <c r="A22" i="61" s="1"/>
  <c r="A23" i="61" s="1"/>
  <c r="A24" i="61" s="1"/>
  <c r="A25" i="61" s="1"/>
  <c r="A26" i="61" s="1"/>
  <c r="A27" i="61" s="1"/>
  <c r="G14" i="61"/>
  <c r="G15" i="61" s="1"/>
  <c r="G16" i="61" s="1"/>
  <c r="G17" i="61" s="1"/>
  <c r="G18" i="61" s="1"/>
  <c r="G19" i="61" s="1"/>
  <c r="G20" i="61" s="1"/>
  <c r="G21" i="61" s="1"/>
  <c r="G22" i="61" s="1"/>
  <c r="G23" i="61" s="1"/>
  <c r="G24" i="61" s="1"/>
  <c r="G25" i="61" s="1"/>
  <c r="G26" i="61" s="1"/>
  <c r="G27" i="61" s="1"/>
  <c r="F14" i="61"/>
  <c r="F26" i="57"/>
  <c r="F25" i="57"/>
  <c r="F24" i="57"/>
  <c r="F23" i="57"/>
  <c r="F22" i="57"/>
  <c r="F21" i="57"/>
  <c r="F20" i="57"/>
  <c r="F19" i="57"/>
  <c r="F18" i="57"/>
  <c r="F17" i="57"/>
  <c r="F16" i="57"/>
  <c r="F15" i="57"/>
  <c r="A15" i="57"/>
  <c r="A16" i="57" s="1"/>
  <c r="A17" i="57" s="1"/>
  <c r="A18" i="57" s="1"/>
  <c r="A19" i="57" s="1"/>
  <c r="A20" i="57" s="1"/>
  <c r="A21" i="57" s="1"/>
  <c r="A22" i="57" s="1"/>
  <c r="A23" i="57" s="1"/>
  <c r="A24" i="57" s="1"/>
  <c r="A25" i="57" s="1"/>
  <c r="A26" i="57" s="1"/>
  <c r="A27" i="57" s="1"/>
  <c r="G14" i="57"/>
  <c r="G15" i="57" s="1"/>
  <c r="G16" i="57" s="1"/>
  <c r="G17" i="57" s="1"/>
  <c r="G18" i="57" s="1"/>
  <c r="G19" i="57" s="1"/>
  <c r="G20" i="57" s="1"/>
  <c r="G21" i="57" s="1"/>
  <c r="G22" i="57" s="1"/>
  <c r="G23" i="57" s="1"/>
  <c r="G24" i="57" s="1"/>
  <c r="G25" i="57" s="1"/>
  <c r="G26" i="57" s="1"/>
  <c r="G27" i="57" s="1"/>
  <c r="F14" i="57"/>
  <c r="V15" i="79" l="1"/>
  <c r="A13" i="79"/>
  <c r="M13" i="79" s="1"/>
  <c r="L12" i="79"/>
  <c r="S37" i="79"/>
  <c r="V29" i="79"/>
  <c r="E19" i="77" s="1"/>
  <c r="K37" i="79"/>
  <c r="G37" i="79"/>
  <c r="Q37" i="79"/>
  <c r="E37" i="79"/>
  <c r="I37" i="79"/>
  <c r="U37" i="79"/>
  <c r="F37" i="79"/>
  <c r="J37" i="79"/>
  <c r="H34" i="140"/>
  <c r="H25" i="140"/>
  <c r="H29" i="140"/>
  <c r="H24" i="140"/>
  <c r="H33" i="140"/>
  <c r="H26" i="140"/>
  <c r="H32" i="140"/>
  <c r="H27" i="140"/>
  <c r="M12" i="79"/>
  <c r="T37" i="79"/>
  <c r="C29" i="140"/>
  <c r="H30" i="140"/>
  <c r="H37" i="79"/>
  <c r="R37" i="79"/>
  <c r="C25" i="140"/>
  <c r="H28" i="140"/>
  <c r="H31" i="140"/>
  <c r="C16" i="141"/>
  <c r="G16" i="141"/>
  <c r="H16" i="141" s="1"/>
  <c r="C33" i="140"/>
  <c r="C24" i="140"/>
  <c r="C28" i="140"/>
  <c r="C32" i="140"/>
  <c r="C27" i="140"/>
  <c r="C31" i="140"/>
  <c r="C26" i="140"/>
  <c r="C30" i="140"/>
  <c r="L13" i="79" l="1"/>
  <c r="A14" i="79"/>
  <c r="V37" i="79"/>
  <c r="H35" i="140"/>
  <c r="C17" i="141"/>
  <c r="C21" i="141"/>
  <c r="C25" i="141"/>
  <c r="C18" i="141"/>
  <c r="C22" i="141"/>
  <c r="C26" i="141"/>
  <c r="C19" i="141"/>
  <c r="C23" i="141"/>
  <c r="C27" i="141"/>
  <c r="C20" i="141"/>
  <c r="C24" i="141"/>
  <c r="F17" i="141"/>
  <c r="A15" i="79" l="1"/>
  <c r="L15" i="79" s="1"/>
  <c r="L14" i="79"/>
  <c r="M14" i="79"/>
  <c r="G17" i="141"/>
  <c r="A16" i="79" l="1"/>
  <c r="L16" i="79" s="1"/>
  <c r="M15" i="79"/>
  <c r="H17" i="141"/>
  <c r="A17" i="79" l="1"/>
  <c r="M16" i="79"/>
  <c r="F18" i="141"/>
  <c r="L17" i="79" l="1"/>
  <c r="M17" i="79"/>
  <c r="G18" i="141"/>
  <c r="M18" i="79" l="1"/>
  <c r="H18" i="141"/>
  <c r="L18" i="79" l="1"/>
  <c r="M19" i="79"/>
  <c r="F19" i="141"/>
  <c r="G19" i="141" s="1"/>
  <c r="M20" i="79" l="1"/>
  <c r="L19" i="79"/>
  <c r="H19" i="141"/>
  <c r="M21" i="79" l="1"/>
  <c r="L20" i="79"/>
  <c r="F20" i="141"/>
  <c r="G20" i="141"/>
  <c r="M22" i="79" l="1"/>
  <c r="L21" i="79"/>
  <c r="H20" i="141"/>
  <c r="L22" i="79" l="1"/>
  <c r="M23" i="79"/>
  <c r="F21" i="141"/>
  <c r="L23" i="79" l="1"/>
  <c r="M24" i="79"/>
  <c r="G21" i="141"/>
  <c r="H21" i="141" s="1"/>
  <c r="L24" i="79" l="1"/>
  <c r="M25" i="79"/>
  <c r="F22" i="141"/>
  <c r="M26" i="79" l="1"/>
  <c r="L25" i="79"/>
  <c r="G22" i="141"/>
  <c r="H22" i="141" s="1"/>
  <c r="M27" i="79" l="1"/>
  <c r="L26" i="79"/>
  <c r="F23" i="141"/>
  <c r="G23" i="141" s="1"/>
  <c r="L27" i="79" l="1"/>
  <c r="M28" i="79"/>
  <c r="H23" i="141"/>
  <c r="L28" i="79" l="1"/>
  <c r="M29" i="79"/>
  <c r="F24" i="141"/>
  <c r="G24" i="141"/>
  <c r="L29" i="79" l="1"/>
  <c r="M30" i="79"/>
  <c r="H24" i="141"/>
  <c r="L30" i="79" l="1"/>
  <c r="M31" i="79"/>
  <c r="F25" i="141"/>
  <c r="M32" i="79" l="1"/>
  <c r="L31" i="79"/>
  <c r="G25" i="141"/>
  <c r="H25" i="141" s="1"/>
  <c r="L32" i="79" l="1"/>
  <c r="M33" i="79"/>
  <c r="F26" i="141"/>
  <c r="L33" i="79" l="1"/>
  <c r="M34" i="79"/>
  <c r="G26" i="141"/>
  <c r="H26" i="141" s="1"/>
  <c r="L34" i="79" l="1"/>
  <c r="F27" i="141"/>
  <c r="G27" i="141" s="1"/>
  <c r="G28" i="141" s="1"/>
  <c r="L35" i="79" l="1"/>
  <c r="M35" i="79"/>
  <c r="M36" i="79"/>
  <c r="H27" i="141"/>
  <c r="L36" i="79" l="1"/>
  <c r="M37" i="79"/>
  <c r="B5" i="133"/>
  <c r="B5" i="22"/>
  <c r="I14" i="9"/>
  <c r="I15" i="9" s="1"/>
  <c r="I16" i="9" s="1"/>
  <c r="I17" i="9" s="1"/>
  <c r="I18" i="9" s="1"/>
  <c r="I19" i="9" s="1"/>
  <c r="I20" i="9" s="1"/>
  <c r="I21" i="9" s="1"/>
  <c r="I22" i="9" s="1"/>
  <c r="I23" i="9" s="1"/>
  <c r="I24" i="9" s="1"/>
  <c r="I25" i="9" s="1"/>
  <c r="I26" i="9" s="1"/>
  <c r="G15" i="8"/>
  <c r="G16" i="8" s="1"/>
  <c r="G17" i="8" s="1"/>
  <c r="G14" i="7"/>
  <c r="G15" i="7" s="1"/>
  <c r="G16" i="7" s="1"/>
  <c r="G17" i="7" s="1"/>
  <c r="G18" i="7" s="1"/>
  <c r="G19" i="7" s="1"/>
  <c r="G20" i="7" s="1"/>
  <c r="G21" i="7" s="1"/>
  <c r="G22" i="7" s="1"/>
  <c r="G23" i="7" s="1"/>
  <c r="G24" i="7" s="1"/>
  <c r="G25" i="7" s="1"/>
  <c r="G26" i="7" s="1"/>
  <c r="E28" i="6"/>
  <c r="E31" i="6" s="1"/>
  <c r="C28" i="6"/>
  <c r="C31" i="6" s="1"/>
  <c r="E28" i="5"/>
  <c r="E31" i="5" s="1"/>
  <c r="C28" i="5"/>
  <c r="C31" i="5" s="1"/>
  <c r="L37" i="79" l="1"/>
  <c r="L38" i="79"/>
  <c r="E34" i="117"/>
  <c r="E33" i="117"/>
  <c r="E32" i="117"/>
  <c r="E31" i="117"/>
  <c r="E30" i="117"/>
  <c r="E29" i="117"/>
  <c r="E28" i="117"/>
  <c r="E27" i="117"/>
  <c r="E26" i="117"/>
  <c r="E25" i="117"/>
  <c r="E24" i="117"/>
  <c r="E23" i="117"/>
  <c r="E22" i="117"/>
  <c r="E21" i="117"/>
  <c r="E20" i="117"/>
  <c r="E19" i="117"/>
  <c r="E18" i="117"/>
  <c r="E17" i="117"/>
  <c r="E16" i="117"/>
  <c r="E15" i="117"/>
  <c r="E14" i="117"/>
  <c r="E13" i="117"/>
  <c r="E12" i="117"/>
  <c r="E11" i="117"/>
  <c r="D35" i="117"/>
  <c r="C35" i="117"/>
  <c r="G13" i="116"/>
  <c r="J13" i="116" s="1"/>
  <c r="N13" i="116" s="1"/>
  <c r="C35" i="116"/>
  <c r="D35" i="116"/>
  <c r="E34" i="116"/>
  <c r="E12" i="116"/>
  <c r="E11" i="116"/>
  <c r="D38" i="86"/>
  <c r="E36" i="86"/>
  <c r="F36" i="86"/>
  <c r="G13" i="157"/>
  <c r="F13" i="157"/>
  <c r="F14" i="157" s="1"/>
  <c r="D16" i="142"/>
  <c r="G27" i="158"/>
  <c r="G22" i="158"/>
  <c r="G17" i="158"/>
  <c r="E51" i="82"/>
  <c r="G38" i="82"/>
  <c r="G41" i="82" s="1"/>
  <c r="G32" i="82"/>
  <c r="G25" i="82"/>
  <c r="G17" i="82"/>
  <c r="C33" i="153"/>
  <c r="E33" i="153"/>
  <c r="G28" i="153"/>
  <c r="C25" i="153"/>
  <c r="E25" i="153"/>
  <c r="G21" i="153"/>
  <c r="G17" i="153"/>
  <c r="G16" i="153"/>
  <c r="G14" i="153"/>
  <c r="E18" i="153"/>
  <c r="C18" i="153"/>
  <c r="E13" i="74"/>
  <c r="E35" i="144" s="1"/>
  <c r="E28" i="73"/>
  <c r="E31" i="73" s="1"/>
  <c r="C28" i="73"/>
  <c r="C31" i="73" s="1"/>
  <c r="C27" i="71"/>
  <c r="C30" i="71" s="1"/>
  <c r="C29" i="70"/>
  <c r="C32" i="70" s="1"/>
  <c r="E27" i="69"/>
  <c r="E34" i="69" s="1"/>
  <c r="F28" i="63"/>
  <c r="D28" i="63"/>
  <c r="D15" i="59"/>
  <c r="J36" i="48"/>
  <c r="J35" i="48"/>
  <c r="J34" i="48"/>
  <c r="J33" i="48"/>
  <c r="J32" i="48"/>
  <c r="J31" i="48"/>
  <c r="J30" i="48"/>
  <c r="J29" i="48"/>
  <c r="J25" i="48"/>
  <c r="J21" i="48"/>
  <c r="J20" i="48"/>
  <c r="J19" i="48"/>
  <c r="J18" i="48"/>
  <c r="J17" i="48"/>
  <c r="J16" i="48"/>
  <c r="I38" i="48"/>
  <c r="H38" i="48"/>
  <c r="G38" i="48"/>
  <c r="F38" i="48"/>
  <c r="E38" i="48"/>
  <c r="D38" i="48"/>
  <c r="E23" i="45"/>
  <c r="E18" i="40"/>
  <c r="F39" i="41"/>
  <c r="F38" i="41"/>
  <c r="F37" i="41"/>
  <c r="F36" i="41"/>
  <c r="F35" i="41"/>
  <c r="F34" i="41"/>
  <c r="F33" i="41"/>
  <c r="F32" i="41"/>
  <c r="F31" i="41"/>
  <c r="F30" i="41"/>
  <c r="E41" i="41"/>
  <c r="D41" i="41"/>
  <c r="F25" i="41"/>
  <c r="F23" i="41"/>
  <c r="F22" i="41"/>
  <c r="F21" i="41"/>
  <c r="F20" i="41"/>
  <c r="F19" i="41"/>
  <c r="F18" i="41"/>
  <c r="F17" i="41"/>
  <c r="F16" i="41"/>
  <c r="F15" i="41"/>
  <c r="F14" i="41"/>
  <c r="F13" i="41"/>
  <c r="F12" i="41"/>
  <c r="F11" i="41"/>
  <c r="D27" i="41"/>
  <c r="E23" i="40"/>
  <c r="D16" i="135"/>
  <c r="C16" i="135"/>
  <c r="E12" i="135"/>
  <c r="E16" i="135" s="1"/>
  <c r="C28" i="109"/>
  <c r="C31" i="109" s="1"/>
  <c r="G15" i="36"/>
  <c r="G13" i="36"/>
  <c r="G11" i="36"/>
  <c r="C33" i="151"/>
  <c r="E33" i="151"/>
  <c r="C25" i="151"/>
  <c r="I25" i="151"/>
  <c r="E18" i="151"/>
  <c r="C18" i="151"/>
  <c r="E33" i="152"/>
  <c r="C33" i="152"/>
  <c r="E18" i="152"/>
  <c r="C18" i="152"/>
  <c r="E28" i="30"/>
  <c r="E31" i="30" s="1"/>
  <c r="C28" i="30"/>
  <c r="C31" i="30" s="1"/>
  <c r="C19" i="26"/>
  <c r="C19" i="25"/>
  <c r="K20" i="24"/>
  <c r="K19" i="24"/>
  <c r="K18" i="24"/>
  <c r="K17" i="24"/>
  <c r="K16" i="24"/>
  <c r="J37" i="24"/>
  <c r="H37" i="24"/>
  <c r="G37" i="24"/>
  <c r="F37" i="24"/>
  <c r="E37" i="24"/>
  <c r="D37" i="24"/>
  <c r="K35" i="136"/>
  <c r="K34" i="136"/>
  <c r="K33" i="136"/>
  <c r="K32" i="136"/>
  <c r="K31" i="136"/>
  <c r="K30" i="136"/>
  <c r="K29" i="136"/>
  <c r="K28" i="136"/>
  <c r="K24" i="136"/>
  <c r="K20" i="136"/>
  <c r="K19" i="136"/>
  <c r="K18" i="136"/>
  <c r="K17" i="136"/>
  <c r="K16" i="136"/>
  <c r="J37" i="136"/>
  <c r="I37" i="136"/>
  <c r="H37" i="136"/>
  <c r="G37" i="136"/>
  <c r="F37" i="136"/>
  <c r="E37" i="136"/>
  <c r="D37" i="136"/>
  <c r="D22" i="136"/>
  <c r="F28" i="23"/>
  <c r="F31" i="23" s="1"/>
  <c r="I11" i="22" s="1"/>
  <c r="E172" i="144" s="1"/>
  <c r="C28" i="23"/>
  <c r="C31" i="23" s="1"/>
  <c r="C19" i="13"/>
  <c r="C19" i="3"/>
  <c r="E29" i="12"/>
  <c r="E32" i="12" s="1"/>
  <c r="C29" i="12"/>
  <c r="C32" i="12" s="1"/>
  <c r="K34" i="11"/>
  <c r="K33" i="11"/>
  <c r="K32" i="11"/>
  <c r="K31" i="11"/>
  <c r="K30" i="11"/>
  <c r="K29" i="11"/>
  <c r="K28" i="11"/>
  <c r="K27" i="11"/>
  <c r="K23" i="11"/>
  <c r="K19" i="11"/>
  <c r="K18" i="11"/>
  <c r="K17" i="11"/>
  <c r="K16" i="11"/>
  <c r="K15" i="11"/>
  <c r="J36" i="11"/>
  <c r="I36" i="11"/>
  <c r="H36" i="11"/>
  <c r="G36" i="11"/>
  <c r="D36" i="11"/>
  <c r="K34" i="10"/>
  <c r="K33" i="10"/>
  <c r="K32" i="10"/>
  <c r="K31" i="10"/>
  <c r="K30" i="10"/>
  <c r="K29" i="10"/>
  <c r="K28" i="10"/>
  <c r="K27" i="10"/>
  <c r="K23" i="10"/>
  <c r="K19" i="10"/>
  <c r="K18" i="10"/>
  <c r="K17" i="10"/>
  <c r="J36" i="10"/>
  <c r="I36" i="10"/>
  <c r="F36" i="10"/>
  <c r="F21" i="10"/>
  <c r="E36" i="10"/>
  <c r="D21" i="10"/>
  <c r="D36" i="10"/>
  <c r="C28" i="9"/>
  <c r="C31" i="9" s="1"/>
  <c r="F28" i="9"/>
  <c r="F31" i="9" s="1"/>
  <c r="E20" i="8"/>
  <c r="C20" i="8"/>
  <c r="E28" i="4"/>
  <c r="E31" i="4" s="1"/>
  <c r="C28" i="4"/>
  <c r="C31" i="4" s="1"/>
  <c r="G27" i="82" l="1"/>
  <c r="C62" i="82"/>
  <c r="C100" i="82"/>
  <c r="C64" i="82"/>
  <c r="C102" i="82"/>
  <c r="M38" i="79"/>
  <c r="D43" i="41"/>
  <c r="E12" i="40" s="1"/>
  <c r="D39" i="136"/>
  <c r="F38" i="10"/>
  <c r="J38" i="48"/>
  <c r="E35" i="117"/>
  <c r="C35" i="153"/>
  <c r="E35" i="153"/>
  <c r="E35" i="151"/>
  <c r="M45" i="173" s="1"/>
  <c r="C35" i="152"/>
  <c r="C35" i="151"/>
  <c r="E35" i="152"/>
  <c r="M45" i="171" s="1"/>
  <c r="G14" i="157"/>
  <c r="F15" i="157"/>
  <c r="K21" i="11"/>
  <c r="K22" i="24"/>
  <c r="K37" i="24"/>
  <c r="J23" i="48"/>
  <c r="K36" i="10"/>
  <c r="K36" i="11"/>
  <c r="F41" i="41"/>
  <c r="K22" i="136"/>
  <c r="K37" i="136"/>
  <c r="G18" i="153"/>
  <c r="C65" i="82" l="1"/>
  <c r="D64" i="82"/>
  <c r="G64" i="82" s="1"/>
  <c r="G67" i="82" s="1"/>
  <c r="G166" i="82" s="1"/>
  <c r="D62" i="82"/>
  <c r="G62" i="82" s="1"/>
  <c r="C103" i="82"/>
  <c r="J40" i="48"/>
  <c r="E14" i="75"/>
  <c r="K38" i="11"/>
  <c r="K39" i="24"/>
  <c r="G15" i="157"/>
  <c r="F16" i="157"/>
  <c r="K39" i="136"/>
  <c r="C40" i="158"/>
  <c r="I21" i="158"/>
  <c r="I22" i="158" s="1"/>
  <c r="I23" i="158" s="1"/>
  <c r="I24" i="158" s="1"/>
  <c r="I25" i="158" s="1"/>
  <c r="I26" i="158" s="1"/>
  <c r="I27" i="158" s="1"/>
  <c r="I28" i="158" s="1"/>
  <c r="I29" i="158" s="1"/>
  <c r="I30" i="158" s="1"/>
  <c r="I31" i="158" s="1"/>
  <c r="I32" i="158" s="1"/>
  <c r="I33" i="158" s="1"/>
  <c r="I34" i="158" s="1"/>
  <c r="A19" i="158"/>
  <c r="A20" i="158" s="1"/>
  <c r="A21" i="158" s="1"/>
  <c r="A22" i="158" s="1"/>
  <c r="A23" i="158" s="1"/>
  <c r="A24" i="158" s="1"/>
  <c r="A25" i="158" s="1"/>
  <c r="A26" i="158" s="1"/>
  <c r="A27" i="158" s="1"/>
  <c r="A28" i="158" s="1"/>
  <c r="A29" i="158" s="1"/>
  <c r="A30" i="158" s="1"/>
  <c r="A31" i="158" s="1"/>
  <c r="A32" i="158" s="1"/>
  <c r="A33" i="158" s="1"/>
  <c r="A34" i="158" s="1"/>
  <c r="E9" i="158"/>
  <c r="C9" i="158"/>
  <c r="J14" i="157"/>
  <c r="J15" i="157" s="1"/>
  <c r="J16" i="157" s="1"/>
  <c r="J17" i="157" s="1"/>
  <c r="J18" i="157" s="1"/>
  <c r="J19" i="157" s="1"/>
  <c r="J20" i="157" s="1"/>
  <c r="J21" i="157" s="1"/>
  <c r="J22" i="157" s="1"/>
  <c r="J23" i="157" s="1"/>
  <c r="J24" i="157" s="1"/>
  <c r="J25" i="157" s="1"/>
  <c r="A14" i="157"/>
  <c r="A15" i="157" s="1"/>
  <c r="A16" i="157" s="1"/>
  <c r="A17" i="157" s="1"/>
  <c r="A18" i="157" s="1"/>
  <c r="A19" i="157" s="1"/>
  <c r="A20" i="157" s="1"/>
  <c r="A21" i="157" s="1"/>
  <c r="A22" i="157" s="1"/>
  <c r="A23" i="157" s="1"/>
  <c r="A24" i="157" s="1"/>
  <c r="A25" i="157" s="1"/>
  <c r="H314" i="132"/>
  <c r="H315" i="132" s="1"/>
  <c r="H316" i="132" s="1"/>
  <c r="H317" i="132" s="1"/>
  <c r="H318" i="132" s="1"/>
  <c r="H319" i="132" s="1"/>
  <c r="H320" i="132" s="1"/>
  <c r="H321" i="132" s="1"/>
  <c r="H322" i="132" s="1"/>
  <c r="H323" i="132" s="1"/>
  <c r="H324" i="132" s="1"/>
  <c r="H325" i="132" s="1"/>
  <c r="H326" i="132" s="1"/>
  <c r="H327" i="132" s="1"/>
  <c r="H328" i="132" s="1"/>
  <c r="H329" i="132" s="1"/>
  <c r="H330" i="132" s="1"/>
  <c r="H331" i="132" s="1"/>
  <c r="H332" i="132" s="1"/>
  <c r="H333" i="132" s="1"/>
  <c r="H334" i="132" s="1"/>
  <c r="H335" i="132" s="1"/>
  <c r="H336" i="132" s="1"/>
  <c r="H337" i="132" s="1"/>
  <c r="H338" i="132" s="1"/>
  <c r="A315" i="132"/>
  <c r="A316" i="132" s="1"/>
  <c r="A317" i="132" s="1"/>
  <c r="A318" i="132" s="1"/>
  <c r="A319" i="132" s="1"/>
  <c r="A320" i="132" s="1"/>
  <c r="A321" i="132" s="1"/>
  <c r="A322" i="132" s="1"/>
  <c r="H165" i="132"/>
  <c r="H166" i="132" s="1"/>
  <c r="H167" i="132" s="1"/>
  <c r="H168" i="132" s="1"/>
  <c r="H169" i="132" s="1"/>
  <c r="H170" i="132" s="1"/>
  <c r="H171" i="132" s="1"/>
  <c r="H172" i="132" s="1"/>
  <c r="H173" i="132" s="1"/>
  <c r="H174" i="132" s="1"/>
  <c r="H175" i="132" s="1"/>
  <c r="H176" i="132" s="1"/>
  <c r="H177" i="132" s="1"/>
  <c r="H178" i="132" s="1"/>
  <c r="H179" i="132" s="1"/>
  <c r="H180" i="132" s="1"/>
  <c r="H181" i="132" s="1"/>
  <c r="H182" i="132" s="1"/>
  <c r="H183" i="132" s="1"/>
  <c r="H184" i="132" s="1"/>
  <c r="H185" i="132" s="1"/>
  <c r="H186" i="132" s="1"/>
  <c r="H187" i="132" s="1"/>
  <c r="H188" i="132" s="1"/>
  <c r="H189" i="132" s="1"/>
  <c r="H111" i="132"/>
  <c r="H112" i="132" s="1"/>
  <c r="H113" i="132" s="1"/>
  <c r="H114" i="132" s="1"/>
  <c r="H115" i="132" s="1"/>
  <c r="H116" i="132" s="1"/>
  <c r="H117" i="132" s="1"/>
  <c r="H118" i="132" s="1"/>
  <c r="H119" i="132" s="1"/>
  <c r="H120" i="132" s="1"/>
  <c r="H121" i="132" s="1"/>
  <c r="H122" i="132" s="1"/>
  <c r="H123" i="132" s="1"/>
  <c r="H124" i="132" s="1"/>
  <c r="H125" i="132" s="1"/>
  <c r="H126" i="132" s="1"/>
  <c r="H127" i="132" s="1"/>
  <c r="H128" i="132" s="1"/>
  <c r="H129" i="132" s="1"/>
  <c r="H130" i="132" s="1"/>
  <c r="H131" i="132" s="1"/>
  <c r="H132" i="132" s="1"/>
  <c r="H133" i="132" s="1"/>
  <c r="H134" i="132" s="1"/>
  <c r="H135" i="132" s="1"/>
  <c r="H136" i="132" s="1"/>
  <c r="H137" i="132" s="1"/>
  <c r="H138" i="132" s="1"/>
  <c r="H139" i="132" s="1"/>
  <c r="H140" i="132" s="1"/>
  <c r="H141" i="132" s="1"/>
  <c r="H142" i="132" s="1"/>
  <c r="H143" i="132" s="1"/>
  <c r="H144" i="132" s="1"/>
  <c r="H145" i="132" s="1"/>
  <c r="H146" i="132" s="1"/>
  <c r="H147" i="132" s="1"/>
  <c r="H148" i="132" s="1"/>
  <c r="H149" i="132" s="1"/>
  <c r="H55" i="132"/>
  <c r="H56" i="132" s="1"/>
  <c r="H57" i="132" s="1"/>
  <c r="H58" i="132" s="1"/>
  <c r="H59" i="132" s="1"/>
  <c r="H60" i="132" s="1"/>
  <c r="H61" i="132" s="1"/>
  <c r="H62" i="132" s="1"/>
  <c r="H63" i="132" s="1"/>
  <c r="H64" i="132" s="1"/>
  <c r="H65" i="132" s="1"/>
  <c r="H66" i="132" s="1"/>
  <c r="H67" i="132" s="1"/>
  <c r="H68" i="132" s="1"/>
  <c r="H69" i="132" s="1"/>
  <c r="H70" i="132" s="1"/>
  <c r="H11" i="132"/>
  <c r="H12" i="132" s="1"/>
  <c r="H13" i="132" s="1"/>
  <c r="H14" i="132" s="1"/>
  <c r="H15" i="132" s="1"/>
  <c r="H16" i="132" s="1"/>
  <c r="H17" i="132" s="1"/>
  <c r="H18" i="132" s="1"/>
  <c r="H19" i="132" s="1"/>
  <c r="H20" i="132" s="1"/>
  <c r="H21" i="132" s="1"/>
  <c r="H22" i="132" s="1"/>
  <c r="H23" i="132" s="1"/>
  <c r="H24" i="132" s="1"/>
  <c r="H25" i="132" s="1"/>
  <c r="H26" i="132" s="1"/>
  <c r="H27" i="132" s="1"/>
  <c r="H28" i="132" s="1"/>
  <c r="H29" i="132" s="1"/>
  <c r="H30" i="132" s="1"/>
  <c r="H31" i="132" s="1"/>
  <c r="H32" i="132" s="1"/>
  <c r="H33" i="132" s="1"/>
  <c r="A166" i="132"/>
  <c r="A167" i="132" s="1"/>
  <c r="A168" i="132" s="1"/>
  <c r="A169" i="132" s="1"/>
  <c r="A170" i="132" s="1"/>
  <c r="A171" i="132" s="1"/>
  <c r="A172" i="132" s="1"/>
  <c r="A173" i="132" s="1"/>
  <c r="A174" i="132" s="1"/>
  <c r="A175" i="132" s="1"/>
  <c r="A176" i="132" s="1"/>
  <c r="A177" i="132" s="1"/>
  <c r="A178" i="132" s="1"/>
  <c r="A179" i="132" s="1"/>
  <c r="A180" i="132" s="1"/>
  <c r="A181" i="132" s="1"/>
  <c r="A182" i="132" s="1"/>
  <c r="A183" i="132" s="1"/>
  <c r="A184" i="132" s="1"/>
  <c r="A185" i="132" s="1"/>
  <c r="A186" i="132" s="1"/>
  <c r="A187" i="132" s="1"/>
  <c r="A188" i="132" s="1"/>
  <c r="A189" i="132" s="1"/>
  <c r="A112" i="132"/>
  <c r="A113" i="132" s="1"/>
  <c r="A114" i="132" s="1"/>
  <c r="A115" i="132" s="1"/>
  <c r="A116" i="132" s="1"/>
  <c r="A117" i="132" s="1"/>
  <c r="A118" i="132" s="1"/>
  <c r="A119" i="132" s="1"/>
  <c r="A120" i="132" s="1"/>
  <c r="A121" i="132" s="1"/>
  <c r="A122" i="132" s="1"/>
  <c r="A123" i="132" s="1"/>
  <c r="A124" i="132" s="1"/>
  <c r="A125" i="132" s="1"/>
  <c r="A126" i="132" s="1"/>
  <c r="A127" i="132" s="1"/>
  <c r="A128" i="132" s="1"/>
  <c r="A129" i="132" s="1"/>
  <c r="A130" i="132" s="1"/>
  <c r="A131" i="132" s="1"/>
  <c r="A132" i="132" s="1"/>
  <c r="A133" i="132" s="1"/>
  <c r="A134" i="132" s="1"/>
  <c r="A135" i="132" s="1"/>
  <c r="A136" i="132" s="1"/>
  <c r="A137" i="132" s="1"/>
  <c r="A138" i="132" s="1"/>
  <c r="A139" i="132" s="1"/>
  <c r="A140" i="132" s="1"/>
  <c r="A141" i="132" s="1"/>
  <c r="A142" i="132" s="1"/>
  <c r="A143" i="132" s="1"/>
  <c r="A144" i="132" s="1"/>
  <c r="A145" i="132" s="1"/>
  <c r="A146" i="132" s="1"/>
  <c r="A147" i="132" s="1"/>
  <c r="A148" i="132" s="1"/>
  <c r="A149" i="132" s="1"/>
  <c r="A12" i="132"/>
  <c r="A13" i="132" s="1"/>
  <c r="A14" i="132" s="1"/>
  <c r="A15" i="132" s="1"/>
  <c r="A16" i="132" s="1"/>
  <c r="A17" i="132" s="1"/>
  <c r="A18" i="132" s="1"/>
  <c r="A19" i="132" s="1"/>
  <c r="A20" i="132" s="1"/>
  <c r="A21" i="132" s="1"/>
  <c r="A22" i="132" s="1"/>
  <c r="A23" i="132" s="1"/>
  <c r="A24" i="132" s="1"/>
  <c r="A25" i="132" s="1"/>
  <c r="A26" i="132" s="1"/>
  <c r="A27" i="132" s="1"/>
  <c r="A28" i="132" s="1"/>
  <c r="A29" i="132" s="1"/>
  <c r="A30" i="132" s="1"/>
  <c r="A31" i="132" s="1"/>
  <c r="A32" i="132" s="1"/>
  <c r="A33" i="132" s="1"/>
  <c r="B49" i="132"/>
  <c r="E9" i="156"/>
  <c r="C9" i="156"/>
  <c r="J40" i="121"/>
  <c r="H40" i="121"/>
  <c r="J38" i="121"/>
  <c r="H38" i="121"/>
  <c r="D36" i="121"/>
  <c r="D22" i="118" s="1"/>
  <c r="C36" i="121"/>
  <c r="C22" i="118" s="1"/>
  <c r="L35" i="121"/>
  <c r="E35" i="121"/>
  <c r="L34" i="121"/>
  <c r="E34" i="121"/>
  <c r="L33" i="121"/>
  <c r="E33" i="121"/>
  <c r="L32" i="121"/>
  <c r="E32" i="121"/>
  <c r="L31" i="121"/>
  <c r="E31" i="121"/>
  <c r="L30" i="121"/>
  <c r="E30" i="121"/>
  <c r="L29" i="121"/>
  <c r="E29" i="121"/>
  <c r="L28" i="121"/>
  <c r="E28" i="121"/>
  <c r="L27" i="121"/>
  <c r="E27" i="121"/>
  <c r="L26" i="121"/>
  <c r="E26" i="121"/>
  <c r="L25" i="121"/>
  <c r="E25" i="121"/>
  <c r="L24" i="121"/>
  <c r="E24" i="121"/>
  <c r="L23" i="121"/>
  <c r="E23" i="121"/>
  <c r="L22" i="121"/>
  <c r="E22" i="121"/>
  <c r="L21" i="121"/>
  <c r="E21" i="121"/>
  <c r="L20" i="121"/>
  <c r="E20" i="121"/>
  <c r="L19" i="121"/>
  <c r="E19" i="121"/>
  <c r="L18" i="121"/>
  <c r="E18" i="121"/>
  <c r="L17" i="121"/>
  <c r="E17" i="121"/>
  <c r="L16" i="121"/>
  <c r="E16" i="121"/>
  <c r="L15" i="121"/>
  <c r="E15" i="121"/>
  <c r="L14" i="121"/>
  <c r="E14" i="121"/>
  <c r="L13" i="121"/>
  <c r="E13" i="121"/>
  <c r="A13" i="121"/>
  <c r="A14" i="121" s="1"/>
  <c r="A15" i="121" s="1"/>
  <c r="A16" i="121" s="1"/>
  <c r="A17" i="121" s="1"/>
  <c r="A18" i="121" s="1"/>
  <c r="A19" i="121" s="1"/>
  <c r="A20" i="121" s="1"/>
  <c r="A21" i="121" s="1"/>
  <c r="A22" i="121" s="1"/>
  <c r="A23" i="121" s="1"/>
  <c r="A24" i="121" s="1"/>
  <c r="A25" i="121" s="1"/>
  <c r="A26" i="121" s="1"/>
  <c r="A27" i="121" s="1"/>
  <c r="A28" i="121" s="1"/>
  <c r="A29" i="121" s="1"/>
  <c r="A30" i="121" s="1"/>
  <c r="A31" i="121" s="1"/>
  <c r="A32" i="121" s="1"/>
  <c r="A33" i="121" s="1"/>
  <c r="A34" i="121" s="1"/>
  <c r="A35" i="121" s="1"/>
  <c r="A36" i="121" s="1"/>
  <c r="A37" i="121" s="1"/>
  <c r="A38" i="121" s="1"/>
  <c r="A39" i="121" s="1"/>
  <c r="A40" i="121" s="1"/>
  <c r="A41" i="121" s="1"/>
  <c r="A42" i="121" s="1"/>
  <c r="A43" i="121" s="1"/>
  <c r="A44" i="121" s="1"/>
  <c r="A45" i="121" s="1"/>
  <c r="A46" i="121" s="1"/>
  <c r="A47" i="121" s="1"/>
  <c r="A48" i="121" s="1"/>
  <c r="A49" i="121" s="1"/>
  <c r="A50" i="121" s="1"/>
  <c r="P12" i="121"/>
  <c r="P13" i="121" s="1"/>
  <c r="P14" i="121" s="1"/>
  <c r="P15" i="121" s="1"/>
  <c r="P16" i="121" s="1"/>
  <c r="P17" i="121" s="1"/>
  <c r="P18" i="121" s="1"/>
  <c r="P19" i="121" s="1"/>
  <c r="P20" i="121" s="1"/>
  <c r="P21" i="121" s="1"/>
  <c r="P22" i="121" s="1"/>
  <c r="P23" i="121" s="1"/>
  <c r="P24" i="121" s="1"/>
  <c r="P25" i="121" s="1"/>
  <c r="P26" i="121" s="1"/>
  <c r="P27" i="121" s="1"/>
  <c r="P28" i="121" s="1"/>
  <c r="P29" i="121" s="1"/>
  <c r="P30" i="121" s="1"/>
  <c r="P31" i="121" s="1"/>
  <c r="P32" i="121" s="1"/>
  <c r="P33" i="121" s="1"/>
  <c r="P34" i="121" s="1"/>
  <c r="P35" i="121" s="1"/>
  <c r="P36" i="121" s="1"/>
  <c r="P37" i="121" s="1"/>
  <c r="P38" i="121" s="1"/>
  <c r="P39" i="121" s="1"/>
  <c r="P40" i="121" s="1"/>
  <c r="P41" i="121" s="1"/>
  <c r="P42" i="121" s="1"/>
  <c r="P43" i="121" s="1"/>
  <c r="P44" i="121" s="1"/>
  <c r="P45" i="121" s="1"/>
  <c r="P46" i="121" s="1"/>
  <c r="P47" i="121" s="1"/>
  <c r="P48" i="121" s="1"/>
  <c r="P49" i="121" s="1"/>
  <c r="P50" i="121" s="1"/>
  <c r="L12" i="121"/>
  <c r="E12" i="121"/>
  <c r="B4" i="121"/>
  <c r="J40" i="120"/>
  <c r="H40" i="120"/>
  <c r="J38" i="120"/>
  <c r="H38" i="120"/>
  <c r="D36" i="120"/>
  <c r="D20" i="118" s="1"/>
  <c r="C36" i="120"/>
  <c r="L35" i="120"/>
  <c r="E35" i="120"/>
  <c r="L34" i="120"/>
  <c r="E34" i="120"/>
  <c r="L33" i="120"/>
  <c r="E33" i="120"/>
  <c r="L32" i="120"/>
  <c r="E32" i="120"/>
  <c r="L31" i="120"/>
  <c r="E31" i="120"/>
  <c r="L30" i="120"/>
  <c r="E30" i="120"/>
  <c r="L29" i="120"/>
  <c r="E29" i="120"/>
  <c r="L28" i="120"/>
  <c r="E28" i="120"/>
  <c r="L27" i="120"/>
  <c r="E27" i="120"/>
  <c r="L26" i="120"/>
  <c r="E26" i="120"/>
  <c r="L25" i="120"/>
  <c r="E25" i="120"/>
  <c r="L24" i="120"/>
  <c r="E24" i="120"/>
  <c r="L23" i="120"/>
  <c r="E23" i="120"/>
  <c r="L22" i="120"/>
  <c r="E22" i="120"/>
  <c r="L21" i="120"/>
  <c r="E21" i="120"/>
  <c r="L20" i="120"/>
  <c r="E20" i="120"/>
  <c r="L19" i="120"/>
  <c r="E19" i="120"/>
  <c r="L18" i="120"/>
  <c r="E18" i="120"/>
  <c r="L17" i="120"/>
  <c r="E17" i="120"/>
  <c r="L16" i="120"/>
  <c r="E16" i="120"/>
  <c r="L15" i="120"/>
  <c r="E15" i="120"/>
  <c r="L14" i="120"/>
  <c r="E14" i="120"/>
  <c r="L13" i="120"/>
  <c r="E13" i="120"/>
  <c r="A13" i="120"/>
  <c r="A14" i="120" s="1"/>
  <c r="A15" i="120" s="1"/>
  <c r="A16" i="120" s="1"/>
  <c r="A17" i="120" s="1"/>
  <c r="A18" i="120" s="1"/>
  <c r="A19" i="120" s="1"/>
  <c r="A20" i="120" s="1"/>
  <c r="A21" i="120" s="1"/>
  <c r="A22" i="120" s="1"/>
  <c r="A23" i="120" s="1"/>
  <c r="A24" i="120" s="1"/>
  <c r="A25" i="120" s="1"/>
  <c r="A26" i="120" s="1"/>
  <c r="A27" i="120" s="1"/>
  <c r="A28" i="120" s="1"/>
  <c r="A29" i="120" s="1"/>
  <c r="A30" i="120" s="1"/>
  <c r="A31" i="120" s="1"/>
  <c r="A32" i="120" s="1"/>
  <c r="A33" i="120" s="1"/>
  <c r="A34" i="120" s="1"/>
  <c r="A35" i="120" s="1"/>
  <c r="A36" i="120" s="1"/>
  <c r="A37" i="120" s="1"/>
  <c r="A38" i="120" s="1"/>
  <c r="A39" i="120" s="1"/>
  <c r="A40" i="120" s="1"/>
  <c r="A41" i="120" s="1"/>
  <c r="A42" i="120" s="1"/>
  <c r="A43" i="120" s="1"/>
  <c r="A44" i="120" s="1"/>
  <c r="A45" i="120" s="1"/>
  <c r="A46" i="120" s="1"/>
  <c r="A47" i="120" s="1"/>
  <c r="A48" i="120" s="1"/>
  <c r="A49" i="120" s="1"/>
  <c r="A50" i="120" s="1"/>
  <c r="P12" i="120"/>
  <c r="P13" i="120" s="1"/>
  <c r="P14" i="120" s="1"/>
  <c r="P15" i="120" s="1"/>
  <c r="P16" i="120" s="1"/>
  <c r="P17" i="120" s="1"/>
  <c r="P18" i="120" s="1"/>
  <c r="P19" i="120" s="1"/>
  <c r="P20" i="120" s="1"/>
  <c r="P21" i="120" s="1"/>
  <c r="P22" i="120" s="1"/>
  <c r="P23" i="120" s="1"/>
  <c r="P24" i="120" s="1"/>
  <c r="P25" i="120" s="1"/>
  <c r="P26" i="120" s="1"/>
  <c r="P27" i="120" s="1"/>
  <c r="P28" i="120" s="1"/>
  <c r="P29" i="120" s="1"/>
  <c r="P30" i="120" s="1"/>
  <c r="P31" i="120" s="1"/>
  <c r="P32" i="120" s="1"/>
  <c r="P33" i="120" s="1"/>
  <c r="P34" i="120" s="1"/>
  <c r="P35" i="120" s="1"/>
  <c r="P36" i="120" s="1"/>
  <c r="P37" i="120" s="1"/>
  <c r="P38" i="120" s="1"/>
  <c r="P39" i="120" s="1"/>
  <c r="P40" i="120" s="1"/>
  <c r="P41" i="120" s="1"/>
  <c r="P42" i="120" s="1"/>
  <c r="P43" i="120" s="1"/>
  <c r="P44" i="120" s="1"/>
  <c r="P45" i="120" s="1"/>
  <c r="P46" i="120" s="1"/>
  <c r="P47" i="120" s="1"/>
  <c r="P48" i="120" s="1"/>
  <c r="P49" i="120" s="1"/>
  <c r="P50" i="120" s="1"/>
  <c r="L12" i="120"/>
  <c r="E12" i="120"/>
  <c r="B4" i="120"/>
  <c r="J39" i="119"/>
  <c r="H39" i="119"/>
  <c r="J37" i="119"/>
  <c r="H37" i="119"/>
  <c r="D35" i="119"/>
  <c r="D18" i="118" s="1"/>
  <c r="C35" i="119"/>
  <c r="C18" i="118" s="1"/>
  <c r="L34" i="119"/>
  <c r="E34" i="119"/>
  <c r="L33" i="119"/>
  <c r="E33" i="119"/>
  <c r="L32" i="119"/>
  <c r="E32" i="119"/>
  <c r="L31" i="119"/>
  <c r="E31" i="119"/>
  <c r="L30" i="119"/>
  <c r="E30" i="119"/>
  <c r="L29" i="119"/>
  <c r="E29" i="119"/>
  <c r="L28" i="119"/>
  <c r="E28" i="119"/>
  <c r="L27" i="119"/>
  <c r="E27" i="119"/>
  <c r="L26" i="119"/>
  <c r="E26" i="119"/>
  <c r="L25" i="119"/>
  <c r="E25" i="119"/>
  <c r="L24" i="119"/>
  <c r="E24" i="119"/>
  <c r="L23" i="119"/>
  <c r="E23" i="119"/>
  <c r="L22" i="119"/>
  <c r="E22" i="119"/>
  <c r="L21" i="119"/>
  <c r="E21" i="119"/>
  <c r="L20" i="119"/>
  <c r="E20" i="119"/>
  <c r="L19" i="119"/>
  <c r="E19" i="119"/>
  <c r="L18" i="119"/>
  <c r="E18" i="119"/>
  <c r="L17" i="119"/>
  <c r="E17" i="119"/>
  <c r="L16" i="119"/>
  <c r="E16" i="119"/>
  <c r="L15" i="119"/>
  <c r="E15" i="119"/>
  <c r="L14" i="119"/>
  <c r="E14" i="119"/>
  <c r="L13" i="119"/>
  <c r="E13" i="119"/>
  <c r="L12" i="119"/>
  <c r="E12" i="119"/>
  <c r="A12" i="119"/>
  <c r="A13" i="119" s="1"/>
  <c r="A14" i="119" s="1"/>
  <c r="A15" i="119" s="1"/>
  <c r="A16" i="119" s="1"/>
  <c r="A17" i="119" s="1"/>
  <c r="A18" i="119" s="1"/>
  <c r="A19" i="119" s="1"/>
  <c r="A20" i="119" s="1"/>
  <c r="A21" i="119" s="1"/>
  <c r="A22" i="119" s="1"/>
  <c r="A23" i="119" s="1"/>
  <c r="A24" i="119" s="1"/>
  <c r="A25" i="119" s="1"/>
  <c r="A26" i="119" s="1"/>
  <c r="A27" i="119" s="1"/>
  <c r="A28" i="119" s="1"/>
  <c r="A29" i="119" s="1"/>
  <c r="A30" i="119" s="1"/>
  <c r="A31" i="119" s="1"/>
  <c r="A32" i="119" s="1"/>
  <c r="A33" i="119" s="1"/>
  <c r="A34" i="119" s="1"/>
  <c r="A35" i="119" s="1"/>
  <c r="A36" i="119" s="1"/>
  <c r="A37" i="119" s="1"/>
  <c r="A38" i="119" s="1"/>
  <c r="A39" i="119" s="1"/>
  <c r="A40" i="119" s="1"/>
  <c r="A41" i="119" s="1"/>
  <c r="A42" i="119" s="1"/>
  <c r="A43" i="119" s="1"/>
  <c r="A44" i="119" s="1"/>
  <c r="A45" i="119" s="1"/>
  <c r="A46" i="119" s="1"/>
  <c r="A47" i="119" s="1"/>
  <c r="A48" i="119" s="1"/>
  <c r="A49" i="119" s="1"/>
  <c r="P11" i="119"/>
  <c r="P12" i="119" s="1"/>
  <c r="P13" i="119" s="1"/>
  <c r="P14" i="119" s="1"/>
  <c r="P15" i="119" s="1"/>
  <c r="P16" i="119" s="1"/>
  <c r="P17" i="119" s="1"/>
  <c r="P18" i="119" s="1"/>
  <c r="P19" i="119" s="1"/>
  <c r="P20" i="119" s="1"/>
  <c r="P21" i="119" s="1"/>
  <c r="P22" i="119" s="1"/>
  <c r="P23" i="119" s="1"/>
  <c r="P24" i="119" s="1"/>
  <c r="P25" i="119" s="1"/>
  <c r="P26" i="119" s="1"/>
  <c r="P27" i="119" s="1"/>
  <c r="P28" i="119" s="1"/>
  <c r="P29" i="119" s="1"/>
  <c r="P30" i="119" s="1"/>
  <c r="P31" i="119" s="1"/>
  <c r="P32" i="119" s="1"/>
  <c r="P33" i="119" s="1"/>
  <c r="P34" i="119" s="1"/>
  <c r="P35" i="119" s="1"/>
  <c r="P36" i="119" s="1"/>
  <c r="P37" i="119" s="1"/>
  <c r="P38" i="119" s="1"/>
  <c r="P39" i="119" s="1"/>
  <c r="P40" i="119" s="1"/>
  <c r="P41" i="119" s="1"/>
  <c r="P42" i="119" s="1"/>
  <c r="P43" i="119" s="1"/>
  <c r="P44" i="119" s="1"/>
  <c r="P45" i="119" s="1"/>
  <c r="P46" i="119" s="1"/>
  <c r="P47" i="119" s="1"/>
  <c r="P48" i="119" s="1"/>
  <c r="P49" i="119" s="1"/>
  <c r="L11" i="119"/>
  <c r="E11" i="119"/>
  <c r="B4" i="119"/>
  <c r="J39" i="117"/>
  <c r="J37" i="117"/>
  <c r="H37" i="117"/>
  <c r="L34" i="117"/>
  <c r="L33" i="117"/>
  <c r="L32" i="117"/>
  <c r="L31" i="117"/>
  <c r="L30" i="117"/>
  <c r="L29" i="117"/>
  <c r="L28" i="117"/>
  <c r="L27" i="117"/>
  <c r="L26" i="117"/>
  <c r="L25" i="117"/>
  <c r="L24" i="117"/>
  <c r="L23" i="117"/>
  <c r="L22" i="117"/>
  <c r="L21" i="117"/>
  <c r="L20" i="117"/>
  <c r="L19" i="117"/>
  <c r="L18" i="117"/>
  <c r="L17" i="117"/>
  <c r="L16" i="117"/>
  <c r="L15" i="117"/>
  <c r="L14" i="117"/>
  <c r="L13" i="117"/>
  <c r="L12" i="117"/>
  <c r="A12" i="117"/>
  <c r="A13" i="117" s="1"/>
  <c r="A14" i="117" s="1"/>
  <c r="A15" i="117" s="1"/>
  <c r="A16" i="117" s="1"/>
  <c r="A17" i="117" s="1"/>
  <c r="A18" i="117" s="1"/>
  <c r="A19" i="117" s="1"/>
  <c r="A20" i="117" s="1"/>
  <c r="A21" i="117" s="1"/>
  <c r="A22" i="117" s="1"/>
  <c r="A23" i="117" s="1"/>
  <c r="A24" i="117" s="1"/>
  <c r="A25" i="117" s="1"/>
  <c r="A26" i="117" s="1"/>
  <c r="A27" i="117" s="1"/>
  <c r="A28" i="117" s="1"/>
  <c r="A29" i="117" s="1"/>
  <c r="A30" i="117" s="1"/>
  <c r="A31" i="117" s="1"/>
  <c r="A32" i="117" s="1"/>
  <c r="A33" i="117" s="1"/>
  <c r="A34" i="117" s="1"/>
  <c r="A35" i="117" s="1"/>
  <c r="A36" i="117" s="1"/>
  <c r="A37" i="117" s="1"/>
  <c r="A38" i="117" s="1"/>
  <c r="A39" i="117" s="1"/>
  <c r="A40" i="117" s="1"/>
  <c r="A41" i="117" s="1"/>
  <c r="A42" i="117" s="1"/>
  <c r="A43" i="117" s="1"/>
  <c r="A44" i="117" s="1"/>
  <c r="A45" i="117" s="1"/>
  <c r="A46" i="117" s="1"/>
  <c r="A47" i="117" s="1"/>
  <c r="A48" i="117" s="1"/>
  <c r="A49" i="117" s="1"/>
  <c r="P11" i="117"/>
  <c r="P12" i="117" s="1"/>
  <c r="P13" i="117" s="1"/>
  <c r="P14" i="117" s="1"/>
  <c r="P15" i="117" s="1"/>
  <c r="P16" i="117" s="1"/>
  <c r="P17" i="117" s="1"/>
  <c r="P18" i="117" s="1"/>
  <c r="P19" i="117" s="1"/>
  <c r="P20" i="117" s="1"/>
  <c r="P21" i="117" s="1"/>
  <c r="P22" i="117" s="1"/>
  <c r="P23" i="117" s="1"/>
  <c r="P24" i="117" s="1"/>
  <c r="P25" i="117" s="1"/>
  <c r="P26" i="117" s="1"/>
  <c r="P27" i="117" s="1"/>
  <c r="P28" i="117" s="1"/>
  <c r="P29" i="117" s="1"/>
  <c r="P30" i="117" s="1"/>
  <c r="P31" i="117" s="1"/>
  <c r="P32" i="117" s="1"/>
  <c r="P33" i="117" s="1"/>
  <c r="P34" i="117" s="1"/>
  <c r="P35" i="117" s="1"/>
  <c r="P36" i="117" s="1"/>
  <c r="P37" i="117" s="1"/>
  <c r="P38" i="117" s="1"/>
  <c r="P39" i="117" s="1"/>
  <c r="P40" i="117" s="1"/>
  <c r="P41" i="117" s="1"/>
  <c r="P42" i="117" s="1"/>
  <c r="P43" i="117" s="1"/>
  <c r="P44" i="117" s="1"/>
  <c r="P45" i="117" s="1"/>
  <c r="P46" i="117" s="1"/>
  <c r="P47" i="117" s="1"/>
  <c r="P48" i="117" s="1"/>
  <c r="P49" i="117" s="1"/>
  <c r="L11" i="117"/>
  <c r="B4" i="117"/>
  <c r="D11" i="118"/>
  <c r="C11" i="118"/>
  <c r="E33" i="116"/>
  <c r="E32" i="116"/>
  <c r="E31" i="116"/>
  <c r="E30" i="116"/>
  <c r="E29" i="116"/>
  <c r="E28" i="116"/>
  <c r="E27" i="116"/>
  <c r="E26" i="116"/>
  <c r="E25" i="116"/>
  <c r="E24" i="116"/>
  <c r="E23" i="116"/>
  <c r="E22" i="116"/>
  <c r="E21" i="116"/>
  <c r="E20" i="116"/>
  <c r="E19" i="116"/>
  <c r="E18" i="116"/>
  <c r="E17" i="116"/>
  <c r="E16" i="116"/>
  <c r="E15" i="116"/>
  <c r="E14" i="116"/>
  <c r="E13" i="116"/>
  <c r="A12" i="116"/>
  <c r="A13" i="116" s="1"/>
  <c r="A14" i="116" s="1"/>
  <c r="A15" i="116" s="1"/>
  <c r="A16" i="116" s="1"/>
  <c r="A17" i="116" s="1"/>
  <c r="A18" i="116" s="1"/>
  <c r="A19" i="116" s="1"/>
  <c r="A20" i="116" s="1"/>
  <c r="A21" i="116" s="1"/>
  <c r="A22" i="116" s="1"/>
  <c r="A23" i="116" s="1"/>
  <c r="A24" i="116" s="1"/>
  <c r="A25" i="116" s="1"/>
  <c r="A26" i="116" s="1"/>
  <c r="A27" i="116" s="1"/>
  <c r="A28" i="116" s="1"/>
  <c r="A29" i="116" s="1"/>
  <c r="A30" i="116" s="1"/>
  <c r="A31" i="116" s="1"/>
  <c r="A32" i="116" s="1"/>
  <c r="A33" i="116" s="1"/>
  <c r="A34" i="116" s="1"/>
  <c r="A35" i="116" s="1"/>
  <c r="A36" i="116" s="1"/>
  <c r="A37" i="116" s="1"/>
  <c r="A38" i="116" s="1"/>
  <c r="A39" i="116" s="1"/>
  <c r="A40" i="116" s="1"/>
  <c r="A41" i="116" s="1"/>
  <c r="A42" i="116" s="1"/>
  <c r="A43" i="116" s="1"/>
  <c r="A44" i="116" s="1"/>
  <c r="A45" i="116" s="1"/>
  <c r="A46" i="116" s="1"/>
  <c r="A47" i="116" s="1"/>
  <c r="A48" i="116" s="1"/>
  <c r="A49" i="116" s="1"/>
  <c r="P11" i="116"/>
  <c r="P12" i="116" s="1"/>
  <c r="P13" i="116" s="1"/>
  <c r="P14" i="116" s="1"/>
  <c r="P15" i="116" s="1"/>
  <c r="P16" i="116" s="1"/>
  <c r="P17" i="116" s="1"/>
  <c r="P18" i="116" s="1"/>
  <c r="P19" i="116" s="1"/>
  <c r="P20" i="116" s="1"/>
  <c r="P21" i="116" s="1"/>
  <c r="P22" i="116" s="1"/>
  <c r="P23" i="116" s="1"/>
  <c r="P24" i="116" s="1"/>
  <c r="P25" i="116" s="1"/>
  <c r="P26" i="116" s="1"/>
  <c r="P27" i="116" s="1"/>
  <c r="P28" i="116" s="1"/>
  <c r="P29" i="116" s="1"/>
  <c r="P30" i="116" s="1"/>
  <c r="P31" i="116" s="1"/>
  <c r="P32" i="116" s="1"/>
  <c r="P33" i="116" s="1"/>
  <c r="P34" i="116" s="1"/>
  <c r="P35" i="116" s="1"/>
  <c r="P36" i="116" s="1"/>
  <c r="P37" i="116" s="1"/>
  <c r="P38" i="116" s="1"/>
  <c r="P39" i="116" s="1"/>
  <c r="P40" i="116" s="1"/>
  <c r="P41" i="116" s="1"/>
  <c r="P42" i="116" s="1"/>
  <c r="P43" i="116" s="1"/>
  <c r="P44" i="116" s="1"/>
  <c r="P45" i="116" s="1"/>
  <c r="P46" i="116" s="1"/>
  <c r="P47" i="116" s="1"/>
  <c r="P48" i="116" s="1"/>
  <c r="P49" i="116" s="1"/>
  <c r="B4" i="116"/>
  <c r="C20" i="118"/>
  <c r="D13" i="118"/>
  <c r="C13" i="118"/>
  <c r="A12" i="118"/>
  <c r="A13" i="118" s="1"/>
  <c r="A14" i="118" s="1"/>
  <c r="A15" i="118" s="1"/>
  <c r="A16" i="118" s="1"/>
  <c r="A17" i="118" s="1"/>
  <c r="A18" i="118" s="1"/>
  <c r="A19" i="118" s="1"/>
  <c r="A20" i="118" s="1"/>
  <c r="A21" i="118" s="1"/>
  <c r="A22" i="118" s="1"/>
  <c r="A23" i="118" s="1"/>
  <c r="A24" i="118" s="1"/>
  <c r="A25" i="118" s="1"/>
  <c r="A26" i="118" s="1"/>
  <c r="A27" i="118" s="1"/>
  <c r="A28" i="118" s="1"/>
  <c r="A29" i="118" s="1"/>
  <c r="K11" i="118"/>
  <c r="K12" i="118" s="1"/>
  <c r="K13" i="118" s="1"/>
  <c r="K14" i="118" s="1"/>
  <c r="K15" i="118" s="1"/>
  <c r="K16" i="118" s="1"/>
  <c r="K17" i="118" s="1"/>
  <c r="K18" i="118" s="1"/>
  <c r="K19" i="118" s="1"/>
  <c r="K20" i="118" s="1"/>
  <c r="K21" i="118" s="1"/>
  <c r="K22" i="118" s="1"/>
  <c r="K23" i="118" s="1"/>
  <c r="K24" i="118" s="1"/>
  <c r="K25" i="118" s="1"/>
  <c r="K26" i="118" s="1"/>
  <c r="K27" i="118" s="1"/>
  <c r="K28" i="118" s="1"/>
  <c r="K29" i="118" s="1"/>
  <c r="D33" i="86"/>
  <c r="D32" i="86"/>
  <c r="D31" i="86"/>
  <c r="D30" i="86"/>
  <c r="D29" i="86"/>
  <c r="D28" i="86"/>
  <c r="D27" i="86"/>
  <c r="D26" i="86"/>
  <c r="D25" i="86"/>
  <c r="D24" i="86"/>
  <c r="D23" i="86"/>
  <c r="D22" i="86"/>
  <c r="D21" i="86"/>
  <c r="D20" i="86"/>
  <c r="D19" i="86"/>
  <c r="D18" i="86"/>
  <c r="D16" i="86"/>
  <c r="D15" i="86"/>
  <c r="D14" i="86"/>
  <c r="D13" i="86"/>
  <c r="D12" i="86"/>
  <c r="A12" i="86"/>
  <c r="A13" i="86" s="1"/>
  <c r="A14" i="86" s="1"/>
  <c r="A15" i="86" s="1"/>
  <c r="A16" i="86" s="1"/>
  <c r="G11" i="86"/>
  <c r="G12" i="86" s="1"/>
  <c r="G13" i="86" s="1"/>
  <c r="G14" i="86" s="1"/>
  <c r="G15" i="86" s="1"/>
  <c r="G16" i="86" s="1"/>
  <c r="D11" i="86"/>
  <c r="A165" i="144"/>
  <c r="A166" i="144" s="1"/>
  <c r="A167" i="144" s="1"/>
  <c r="A168" i="144" s="1"/>
  <c r="A169" i="144" s="1"/>
  <c r="A170" i="144" s="1"/>
  <c r="A171" i="144" s="1"/>
  <c r="A172" i="144" s="1"/>
  <c r="A173" i="144" s="1"/>
  <c r="A174" i="144" s="1"/>
  <c r="A175" i="144" s="1"/>
  <c r="A176" i="144" s="1"/>
  <c r="A177" i="144" s="1"/>
  <c r="A178" i="144" s="1"/>
  <c r="A179" i="144" s="1"/>
  <c r="A180" i="144" s="1"/>
  <c r="A181" i="144" s="1"/>
  <c r="A182" i="144" s="1"/>
  <c r="A183" i="144" s="1"/>
  <c r="A184" i="144" s="1"/>
  <c r="A185" i="144" s="1"/>
  <c r="A186" i="144" s="1"/>
  <c r="A187" i="144" s="1"/>
  <c r="A188" i="144" s="1"/>
  <c r="H164" i="144"/>
  <c r="H165" i="144" s="1"/>
  <c r="H166" i="144" s="1"/>
  <c r="H167" i="144" s="1"/>
  <c r="H168" i="144" s="1"/>
  <c r="H169" i="144" s="1"/>
  <c r="H170" i="144" s="1"/>
  <c r="H171" i="144" s="1"/>
  <c r="H172" i="144" s="1"/>
  <c r="H173" i="144" s="1"/>
  <c r="H174" i="144" s="1"/>
  <c r="H175" i="144" s="1"/>
  <c r="H176" i="144" s="1"/>
  <c r="H177" i="144" s="1"/>
  <c r="H178" i="144" s="1"/>
  <c r="H179" i="144" s="1"/>
  <c r="H180" i="144" s="1"/>
  <c r="H181" i="144" s="1"/>
  <c r="H182" i="144" s="1"/>
  <c r="H183" i="144" s="1"/>
  <c r="H184" i="144" s="1"/>
  <c r="H185" i="144" s="1"/>
  <c r="H186" i="144" s="1"/>
  <c r="H187" i="144" s="1"/>
  <c r="H188" i="144" s="1"/>
  <c r="A111" i="144"/>
  <c r="A112" i="144" s="1"/>
  <c r="A113" i="144" s="1"/>
  <c r="A114" i="144" s="1"/>
  <c r="A115" i="144" s="1"/>
  <c r="A116" i="144" s="1"/>
  <c r="A117" i="144" s="1"/>
  <c r="A118" i="144" s="1"/>
  <c r="A119" i="144" s="1"/>
  <c r="A120" i="144" s="1"/>
  <c r="A121" i="144" s="1"/>
  <c r="A122" i="144" s="1"/>
  <c r="A123" i="144" s="1"/>
  <c r="A124" i="144" s="1"/>
  <c r="A125" i="144" s="1"/>
  <c r="A126" i="144" s="1"/>
  <c r="A127" i="144" s="1"/>
  <c r="A128" i="144" s="1"/>
  <c r="A129" i="144" s="1"/>
  <c r="A130" i="144" s="1"/>
  <c r="A131" i="144" s="1"/>
  <c r="A132" i="144" s="1"/>
  <c r="H110" i="144"/>
  <c r="H111" i="144" s="1"/>
  <c r="H112" i="144" s="1"/>
  <c r="H113" i="144" s="1"/>
  <c r="H114" i="144" s="1"/>
  <c r="H115" i="144" s="1"/>
  <c r="H116" i="144" s="1"/>
  <c r="H117" i="144" s="1"/>
  <c r="H118" i="144" s="1"/>
  <c r="H119" i="144" s="1"/>
  <c r="H120" i="144" s="1"/>
  <c r="H121" i="144" s="1"/>
  <c r="H122" i="144" s="1"/>
  <c r="H123" i="144" s="1"/>
  <c r="H124" i="144" s="1"/>
  <c r="H125" i="144" s="1"/>
  <c r="H126" i="144" s="1"/>
  <c r="H127" i="144" s="1"/>
  <c r="H128" i="144" s="1"/>
  <c r="H129" i="144" s="1"/>
  <c r="H130" i="144" s="1"/>
  <c r="H131" i="144" s="1"/>
  <c r="H132" i="144" s="1"/>
  <c r="A11" i="144"/>
  <c r="A12" i="144" s="1"/>
  <c r="A13" i="144" s="1"/>
  <c r="A14" i="144" s="1"/>
  <c r="A15" i="144" s="1"/>
  <c r="H11" i="144"/>
  <c r="H12" i="144" s="1"/>
  <c r="H13" i="144" s="1"/>
  <c r="H14" i="144" s="1"/>
  <c r="H15" i="144" s="1"/>
  <c r="B158" i="144"/>
  <c r="D26" i="142"/>
  <c r="A11" i="142"/>
  <c r="A12" i="142" s="1"/>
  <c r="A13" i="142" s="1"/>
  <c r="A14" i="142" s="1"/>
  <c r="A15" i="142" s="1"/>
  <c r="A16" i="142" s="1"/>
  <c r="A17" i="142" s="1"/>
  <c r="A18" i="142" s="1"/>
  <c r="A19" i="142" s="1"/>
  <c r="A20" i="142" s="1"/>
  <c r="A21" i="142" s="1"/>
  <c r="A22" i="142" s="1"/>
  <c r="A23" i="142" s="1"/>
  <c r="A24" i="142" s="1"/>
  <c r="A25" i="142" s="1"/>
  <c r="A26" i="142" s="1"/>
  <c r="A27" i="142" s="1"/>
  <c r="A28" i="142" s="1"/>
  <c r="A29" i="142" s="1"/>
  <c r="A30" i="142" s="1"/>
  <c r="A31" i="142" s="1"/>
  <c r="A32" i="142" s="1"/>
  <c r="J10" i="142"/>
  <c r="J11" i="142" s="1"/>
  <c r="J12" i="142" s="1"/>
  <c r="J13" i="142" s="1"/>
  <c r="J14" i="142" s="1"/>
  <c r="J15" i="142" s="1"/>
  <c r="J16" i="142" s="1"/>
  <c r="J17" i="142" s="1"/>
  <c r="J18" i="142" s="1"/>
  <c r="J19" i="142" s="1"/>
  <c r="J20" i="142" s="1"/>
  <c r="J21" i="142" s="1"/>
  <c r="J22" i="142" s="1"/>
  <c r="J23" i="142" s="1"/>
  <c r="J24" i="142" s="1"/>
  <c r="J25" i="142" s="1"/>
  <c r="J26" i="142" s="1"/>
  <c r="J27" i="142" s="1"/>
  <c r="J28" i="142" s="1"/>
  <c r="J29" i="142" s="1"/>
  <c r="J30" i="142" s="1"/>
  <c r="J31" i="142" s="1"/>
  <c r="J32" i="142" s="1"/>
  <c r="B4" i="142"/>
  <c r="B3" i="142"/>
  <c r="A11" i="137"/>
  <c r="A12" i="137" s="1"/>
  <c r="A13" i="137" s="1"/>
  <c r="A14" i="137" s="1"/>
  <c r="A15" i="137" s="1"/>
  <c r="A16" i="137" s="1"/>
  <c r="A17" i="137" s="1"/>
  <c r="A18" i="137" s="1"/>
  <c r="H10" i="137"/>
  <c r="H11" i="137" s="1"/>
  <c r="H12" i="137" s="1"/>
  <c r="H13" i="137" s="1"/>
  <c r="H14" i="137" s="1"/>
  <c r="H15" i="137" s="1"/>
  <c r="H16" i="137" s="1"/>
  <c r="H17" i="137" s="1"/>
  <c r="H18" i="137" s="1"/>
  <c r="B4" i="137"/>
  <c r="G219" i="82"/>
  <c r="J211" i="82"/>
  <c r="J212" i="82" s="1"/>
  <c r="J213" i="82" s="1"/>
  <c r="J214" i="82" s="1"/>
  <c r="J215" i="82" s="1"/>
  <c r="J216" i="82" s="1"/>
  <c r="J217" i="82" s="1"/>
  <c r="J218" i="82" s="1"/>
  <c r="J219" i="82" s="1"/>
  <c r="J220" i="82" s="1"/>
  <c r="J221" i="82" s="1"/>
  <c r="J222" i="82" s="1"/>
  <c r="J223" i="82" s="1"/>
  <c r="J224" i="82" s="1"/>
  <c r="J225" i="82" s="1"/>
  <c r="J226" i="82" s="1"/>
  <c r="J227" i="82" s="1"/>
  <c r="A211" i="82"/>
  <c r="A212" i="82" s="1"/>
  <c r="A213" i="82" s="1"/>
  <c r="A214" i="82" s="1"/>
  <c r="A215" i="82" s="1"/>
  <c r="A216" i="82" s="1"/>
  <c r="A217" i="82" s="1"/>
  <c r="A218" i="82" s="1"/>
  <c r="A219" i="82" s="1"/>
  <c r="A220" i="82" s="1"/>
  <c r="A221" i="82" s="1"/>
  <c r="A222" i="82" s="1"/>
  <c r="A223" i="82" s="1"/>
  <c r="A224" i="82" s="1"/>
  <c r="A225" i="82" s="1"/>
  <c r="A226" i="82" s="1"/>
  <c r="A227" i="82" s="1"/>
  <c r="J122" i="82"/>
  <c r="J123" i="82" s="1"/>
  <c r="J124" i="82" s="1"/>
  <c r="J125" i="82" s="1"/>
  <c r="J126" i="82" s="1"/>
  <c r="J127" i="82" s="1"/>
  <c r="J128" i="82" s="1"/>
  <c r="J129" i="82" s="1"/>
  <c r="J130" i="82" s="1"/>
  <c r="J131" i="82" s="1"/>
  <c r="J132" i="82" s="1"/>
  <c r="J133" i="82" s="1"/>
  <c r="J134" i="82" s="1"/>
  <c r="J135" i="82" s="1"/>
  <c r="J136" i="82" s="1"/>
  <c r="J137" i="82" s="1"/>
  <c r="J138" i="82" s="1"/>
  <c r="A122" i="82"/>
  <c r="A123" i="82" s="1"/>
  <c r="A124" i="82" s="1"/>
  <c r="A125" i="82" s="1"/>
  <c r="A126" i="82" s="1"/>
  <c r="A127" i="82" s="1"/>
  <c r="A128" i="82" s="1"/>
  <c r="A129" i="82" s="1"/>
  <c r="A130" i="82" s="1"/>
  <c r="A131" i="82" s="1"/>
  <c r="A132" i="82" s="1"/>
  <c r="A133" i="82" s="1"/>
  <c r="A134" i="82" s="1"/>
  <c r="A135" i="82" s="1"/>
  <c r="A136" i="82" s="1"/>
  <c r="A137" i="82" s="1"/>
  <c r="A138" i="82" s="1"/>
  <c r="E89" i="82"/>
  <c r="C88" i="82"/>
  <c r="C50" i="82"/>
  <c r="A12" i="82"/>
  <c r="A13" i="82" s="1"/>
  <c r="A14" i="82" s="1"/>
  <c r="A15" i="82" s="1"/>
  <c r="A16" i="82" s="1"/>
  <c r="A17" i="82" s="1"/>
  <c r="A18" i="82" s="1"/>
  <c r="A19" i="82" s="1"/>
  <c r="A20" i="82" s="1"/>
  <c r="A21" i="82" s="1"/>
  <c r="A22" i="82" s="1"/>
  <c r="A23" i="82" s="1"/>
  <c r="A24" i="82" s="1"/>
  <c r="A25" i="82" s="1"/>
  <c r="A26" i="82" s="1"/>
  <c r="A27" i="82" s="1"/>
  <c r="A28" i="82" s="1"/>
  <c r="A29" i="82" s="1"/>
  <c r="A30" i="82" s="1"/>
  <c r="A31" i="82" s="1"/>
  <c r="A32" i="82" s="1"/>
  <c r="A33" i="82" s="1"/>
  <c r="A34" i="82" s="1"/>
  <c r="A35" i="82" s="1"/>
  <c r="J11" i="82"/>
  <c r="J12" i="82" s="1"/>
  <c r="J13" i="82" s="1"/>
  <c r="J14" i="82" s="1"/>
  <c r="J15" i="82" s="1"/>
  <c r="J16" i="82" s="1"/>
  <c r="J17" i="82" s="1"/>
  <c r="J18" i="82" s="1"/>
  <c r="J19" i="82" s="1"/>
  <c r="J20" i="82" s="1"/>
  <c r="J21" i="82" s="1"/>
  <c r="J22" i="82" s="1"/>
  <c r="J23" i="82" s="1"/>
  <c r="J24" i="82" s="1"/>
  <c r="J25" i="82" s="1"/>
  <c r="J26" i="82" s="1"/>
  <c r="J27" i="82" s="1"/>
  <c r="J28" i="82" s="1"/>
  <c r="J29" i="82" s="1"/>
  <c r="J30" i="82" s="1"/>
  <c r="J31" i="82" s="1"/>
  <c r="J32" i="82" s="1"/>
  <c r="J33" i="82" s="1"/>
  <c r="J34" i="82" s="1"/>
  <c r="J35" i="82" s="1"/>
  <c r="B5" i="82"/>
  <c r="B76" i="82" s="1"/>
  <c r="N5" i="79"/>
  <c r="N4" i="79"/>
  <c r="N3" i="79"/>
  <c r="N2" i="79"/>
  <c r="A12" i="77"/>
  <c r="A13" i="77" s="1"/>
  <c r="A14" i="77" s="1"/>
  <c r="A15" i="77" s="1"/>
  <c r="A16" i="77" s="1"/>
  <c r="A17" i="77" s="1"/>
  <c r="A18" i="77" s="1"/>
  <c r="A19" i="77" s="1"/>
  <c r="A20" i="77" s="1"/>
  <c r="A21" i="77" s="1"/>
  <c r="A22" i="77" s="1"/>
  <c r="A23" i="77" s="1"/>
  <c r="A24" i="77" s="1"/>
  <c r="A25" i="77" s="1"/>
  <c r="H11" i="77"/>
  <c r="H12" i="77" s="1"/>
  <c r="H13" i="77" s="1"/>
  <c r="H14" i="77" s="1"/>
  <c r="H15" i="77" s="1"/>
  <c r="H16" i="77" s="1"/>
  <c r="H17" i="77" s="1"/>
  <c r="H18" i="77" s="1"/>
  <c r="H19" i="77" s="1"/>
  <c r="H20" i="77" s="1"/>
  <c r="H21" i="77" s="1"/>
  <c r="H22" i="77" s="1"/>
  <c r="H23" i="77" s="1"/>
  <c r="H24" i="77" s="1"/>
  <c r="H25" i="77" s="1"/>
  <c r="B5" i="77"/>
  <c r="G32" i="153"/>
  <c r="G31" i="153"/>
  <c r="G30" i="153"/>
  <c r="G29" i="153"/>
  <c r="G24" i="153"/>
  <c r="G23" i="153"/>
  <c r="G22" i="153"/>
  <c r="A13" i="153"/>
  <c r="I12" i="153"/>
  <c r="I13" i="153" s="1"/>
  <c r="A11" i="75"/>
  <c r="A12" i="75" s="1"/>
  <c r="A13" i="75" s="1"/>
  <c r="A14" i="75" s="1"/>
  <c r="A15" i="75" s="1"/>
  <c r="A16" i="75" s="1"/>
  <c r="A17" i="75" s="1"/>
  <c r="A18" i="75" s="1"/>
  <c r="A19" i="75" s="1"/>
  <c r="B5" i="75"/>
  <c r="A11" i="74"/>
  <c r="B5" i="74"/>
  <c r="E11" i="72"/>
  <c r="E149" i="132" s="1"/>
  <c r="A15" i="73"/>
  <c r="A16" i="73" s="1"/>
  <c r="A17" i="73" s="1"/>
  <c r="A18" i="73" s="1"/>
  <c r="A19" i="73" s="1"/>
  <c r="A20" i="73" s="1"/>
  <c r="A21" i="73" s="1"/>
  <c r="A22" i="73" s="1"/>
  <c r="A23" i="73" s="1"/>
  <c r="A24" i="73" s="1"/>
  <c r="A25" i="73" s="1"/>
  <c r="A26" i="73" s="1"/>
  <c r="A27" i="73" s="1"/>
  <c r="A28" i="73" s="1"/>
  <c r="A29" i="73" s="1"/>
  <c r="A30" i="73" s="1"/>
  <c r="A31" i="73" s="1"/>
  <c r="A32" i="73" s="1"/>
  <c r="G14" i="73"/>
  <c r="G15" i="73" s="1"/>
  <c r="G16" i="73" s="1"/>
  <c r="G17" i="73" s="1"/>
  <c r="G18" i="73" s="1"/>
  <c r="G19" i="73" s="1"/>
  <c r="G20" i="73" s="1"/>
  <c r="G21" i="73" s="1"/>
  <c r="G22" i="73" s="1"/>
  <c r="G23" i="73" s="1"/>
  <c r="G24" i="73" s="1"/>
  <c r="G25" i="73" s="1"/>
  <c r="G26" i="73" s="1"/>
  <c r="G27" i="73" s="1"/>
  <c r="G28" i="73" s="1"/>
  <c r="G29" i="73" s="1"/>
  <c r="G30" i="73" s="1"/>
  <c r="G31" i="73" s="1"/>
  <c r="G32" i="73" s="1"/>
  <c r="H11" i="72"/>
  <c r="B5" i="72"/>
  <c r="G17" i="69"/>
  <c r="A14" i="71"/>
  <c r="A15" i="71" s="1"/>
  <c r="A16" i="71" s="1"/>
  <c r="A17" i="71" s="1"/>
  <c r="A18" i="71" s="1"/>
  <c r="A19" i="71" s="1"/>
  <c r="A20" i="71" s="1"/>
  <c r="A21" i="71" s="1"/>
  <c r="A22" i="71" s="1"/>
  <c r="A23" i="71" s="1"/>
  <c r="A24" i="71" s="1"/>
  <c r="A25" i="71" s="1"/>
  <c r="A26" i="71" s="1"/>
  <c r="A27" i="71" s="1"/>
  <c r="A28" i="71" s="1"/>
  <c r="A29" i="71" s="1"/>
  <c r="A30" i="71" s="1"/>
  <c r="A31" i="71" s="1"/>
  <c r="E13" i="71"/>
  <c r="E14" i="71" s="1"/>
  <c r="E15" i="71" s="1"/>
  <c r="E16" i="71" s="1"/>
  <c r="E17" i="71" s="1"/>
  <c r="E18" i="71" s="1"/>
  <c r="E19" i="71" s="1"/>
  <c r="E20" i="71" s="1"/>
  <c r="E21" i="71" s="1"/>
  <c r="E22" i="71" s="1"/>
  <c r="E23" i="71" s="1"/>
  <c r="E24" i="71" s="1"/>
  <c r="E25" i="71" s="1"/>
  <c r="E26" i="71" s="1"/>
  <c r="E27" i="71" s="1"/>
  <c r="E28" i="71" s="1"/>
  <c r="E29" i="71" s="1"/>
  <c r="E30" i="71" s="1"/>
  <c r="E31" i="71" s="1"/>
  <c r="G11" i="69"/>
  <c r="A16" i="70"/>
  <c r="A17" i="70" s="1"/>
  <c r="A18" i="70" s="1"/>
  <c r="A19" i="70" s="1"/>
  <c r="A20" i="70" s="1"/>
  <c r="A21" i="70" s="1"/>
  <c r="A22" i="70" s="1"/>
  <c r="A23" i="70" s="1"/>
  <c r="A24" i="70" s="1"/>
  <c r="A25" i="70" s="1"/>
  <c r="A26" i="70" s="1"/>
  <c r="A27" i="70" s="1"/>
  <c r="A28" i="70" s="1"/>
  <c r="A29" i="70" s="1"/>
  <c r="A30" i="70" s="1"/>
  <c r="A31" i="70" s="1"/>
  <c r="A32" i="70" s="1"/>
  <c r="A33" i="70" s="1"/>
  <c r="E15" i="70"/>
  <c r="E16" i="70" s="1"/>
  <c r="E17" i="70" s="1"/>
  <c r="E18" i="70" s="1"/>
  <c r="E19" i="70" s="1"/>
  <c r="E20" i="70" s="1"/>
  <c r="E21" i="70" s="1"/>
  <c r="E22" i="70" s="1"/>
  <c r="E23" i="70" s="1"/>
  <c r="E24" i="70" s="1"/>
  <c r="E25" i="70" s="1"/>
  <c r="E26" i="70" s="1"/>
  <c r="E27" i="70" s="1"/>
  <c r="E28" i="70" s="1"/>
  <c r="E29" i="70" s="1"/>
  <c r="E30" i="70" s="1"/>
  <c r="E31" i="70" s="1"/>
  <c r="E32" i="70" s="1"/>
  <c r="E33" i="70" s="1"/>
  <c r="A12" i="69"/>
  <c r="A13" i="69" s="1"/>
  <c r="A14" i="69" s="1"/>
  <c r="A15" i="69" s="1"/>
  <c r="A16" i="69" s="1"/>
  <c r="A17" i="69" s="1"/>
  <c r="A18" i="69" s="1"/>
  <c r="A19" i="69" s="1"/>
  <c r="A20" i="69" s="1"/>
  <c r="A21" i="69" s="1"/>
  <c r="A22" i="69" s="1"/>
  <c r="A23" i="69" s="1"/>
  <c r="A24" i="69" s="1"/>
  <c r="A25" i="69" s="1"/>
  <c r="A26" i="69" s="1"/>
  <c r="A27" i="69" s="1"/>
  <c r="A28" i="69" s="1"/>
  <c r="A29" i="69" s="1"/>
  <c r="A30" i="69" s="1"/>
  <c r="A31" i="69" s="1"/>
  <c r="A32" i="69" s="1"/>
  <c r="A33" i="69" s="1"/>
  <c r="A34" i="69" s="1"/>
  <c r="A35" i="69" s="1"/>
  <c r="A36" i="69" s="1"/>
  <c r="A37" i="69" s="1"/>
  <c r="J11" i="69"/>
  <c r="J12" i="69" s="1"/>
  <c r="J13" i="69" s="1"/>
  <c r="J14" i="69" s="1"/>
  <c r="J15" i="69" s="1"/>
  <c r="J16" i="69" s="1"/>
  <c r="J17" i="69" s="1"/>
  <c r="J18" i="69" s="1"/>
  <c r="J19" i="69" s="1"/>
  <c r="J20" i="69" s="1"/>
  <c r="J21" i="69" s="1"/>
  <c r="J22" i="69" s="1"/>
  <c r="J23" i="69" s="1"/>
  <c r="J24" i="69" s="1"/>
  <c r="J25" i="69" s="1"/>
  <c r="J26" i="69" s="1"/>
  <c r="J27" i="69" s="1"/>
  <c r="J28" i="69" s="1"/>
  <c r="J29" i="69" s="1"/>
  <c r="J30" i="69" s="1"/>
  <c r="J31" i="69" s="1"/>
  <c r="J32" i="69" s="1"/>
  <c r="J33" i="69" s="1"/>
  <c r="J34" i="69" s="1"/>
  <c r="J35" i="69" s="1"/>
  <c r="J36" i="69" s="1"/>
  <c r="J37" i="69" s="1"/>
  <c r="B5" i="69"/>
  <c r="A12" i="66"/>
  <c r="H11" i="66"/>
  <c r="H12" i="66" s="1"/>
  <c r="B5" i="66"/>
  <c r="A18" i="64"/>
  <c r="E17" i="64"/>
  <c r="E18" i="64" s="1"/>
  <c r="A18" i="65"/>
  <c r="E17" i="65"/>
  <c r="E18" i="65" s="1"/>
  <c r="E29" i="46"/>
  <c r="E55" i="144" s="1"/>
  <c r="A15" i="63"/>
  <c r="H14" i="63"/>
  <c r="H15" i="63" s="1"/>
  <c r="E17" i="46"/>
  <c r="A14" i="59"/>
  <c r="A15" i="59" s="1"/>
  <c r="A16" i="59" s="1"/>
  <c r="F13" i="59"/>
  <c r="F14" i="59" s="1"/>
  <c r="F15" i="59" s="1"/>
  <c r="F16" i="59" s="1"/>
  <c r="A16" i="56"/>
  <c r="E15" i="56"/>
  <c r="E16" i="56" s="1"/>
  <c r="A11" i="53"/>
  <c r="A12" i="53" s="1"/>
  <c r="A13" i="53" s="1"/>
  <c r="A14" i="53" s="1"/>
  <c r="A15" i="53" s="1"/>
  <c r="A16" i="53" s="1"/>
  <c r="E10" i="53"/>
  <c r="E11" i="53" s="1"/>
  <c r="E12" i="53" s="1"/>
  <c r="E13" i="53" s="1"/>
  <c r="E14" i="53" s="1"/>
  <c r="E15" i="53" s="1"/>
  <c r="E16" i="53" s="1"/>
  <c r="A16" i="52"/>
  <c r="E15" i="52"/>
  <c r="E16" i="52" s="1"/>
  <c r="F43" i="49"/>
  <c r="F41" i="49"/>
  <c r="F40" i="49"/>
  <c r="F39" i="49"/>
  <c r="F38" i="49"/>
  <c r="F37" i="49"/>
  <c r="F36" i="49"/>
  <c r="F35" i="49"/>
  <c r="F34" i="49"/>
  <c r="F33" i="49"/>
  <c r="F32" i="49"/>
  <c r="F31" i="49"/>
  <c r="F30" i="49"/>
  <c r="F29" i="49"/>
  <c r="F28" i="49"/>
  <c r="F27" i="49"/>
  <c r="F26" i="49"/>
  <c r="F25" i="49"/>
  <c r="F24" i="49"/>
  <c r="F23" i="49"/>
  <c r="F22" i="49"/>
  <c r="F21" i="49"/>
  <c r="F20" i="49"/>
  <c r="F19" i="49"/>
  <c r="F18" i="49"/>
  <c r="F17" i="49"/>
  <c r="F16" i="49"/>
  <c r="F15" i="49"/>
  <c r="F14" i="49"/>
  <c r="F13" i="49"/>
  <c r="F12" i="49"/>
  <c r="A12" i="49"/>
  <c r="A13" i="49" s="1"/>
  <c r="A14" i="49" s="1"/>
  <c r="A15" i="49" s="1"/>
  <c r="A16" i="49" s="1"/>
  <c r="A17" i="49" s="1"/>
  <c r="A18" i="49" s="1"/>
  <c r="A19" i="49" s="1"/>
  <c r="A20" i="49" s="1"/>
  <c r="A21" i="49" s="1"/>
  <c r="A22" i="49" s="1"/>
  <c r="A23" i="49" s="1"/>
  <c r="A24" i="49" s="1"/>
  <c r="A25" i="49" s="1"/>
  <c r="A26" i="49" s="1"/>
  <c r="A27" i="49" s="1"/>
  <c r="A28" i="49" s="1"/>
  <c r="A29" i="49" s="1"/>
  <c r="A30" i="49" s="1"/>
  <c r="A31" i="49" s="1"/>
  <c r="A32" i="49" s="1"/>
  <c r="A33" i="49" s="1"/>
  <c r="A34" i="49" s="1"/>
  <c r="A35" i="49" s="1"/>
  <c r="A36" i="49" s="1"/>
  <c r="A37" i="49" s="1"/>
  <c r="A38" i="49" s="1"/>
  <c r="A39" i="49" s="1"/>
  <c r="A40" i="49" s="1"/>
  <c r="A41" i="49" s="1"/>
  <c r="A42" i="49" s="1"/>
  <c r="A43" i="49" s="1"/>
  <c r="A44" i="49" s="1"/>
  <c r="G11" i="49"/>
  <c r="G12" i="49" s="1"/>
  <c r="G13" i="49" s="1"/>
  <c r="G14" i="49" s="1"/>
  <c r="G15" i="49" s="1"/>
  <c r="G16" i="49" s="1"/>
  <c r="G17" i="49" s="1"/>
  <c r="G18" i="49" s="1"/>
  <c r="G19" i="49" s="1"/>
  <c r="G20" i="49" s="1"/>
  <c r="G21" i="49" s="1"/>
  <c r="G22" i="49" s="1"/>
  <c r="G23" i="49" s="1"/>
  <c r="G24" i="49" s="1"/>
  <c r="G25" i="49" s="1"/>
  <c r="G26" i="49" s="1"/>
  <c r="G27" i="49" s="1"/>
  <c r="G28" i="49" s="1"/>
  <c r="G29" i="49" s="1"/>
  <c r="G30" i="49" s="1"/>
  <c r="G31" i="49" s="1"/>
  <c r="G32" i="49" s="1"/>
  <c r="G33" i="49" s="1"/>
  <c r="G34" i="49" s="1"/>
  <c r="G35" i="49" s="1"/>
  <c r="G36" i="49" s="1"/>
  <c r="G37" i="49" s="1"/>
  <c r="G38" i="49" s="1"/>
  <c r="G39" i="49" s="1"/>
  <c r="G40" i="49" s="1"/>
  <c r="G41" i="49" s="1"/>
  <c r="G42" i="49" s="1"/>
  <c r="G43" i="49" s="1"/>
  <c r="G44" i="49" s="1"/>
  <c r="F11" i="49"/>
  <c r="I23" i="48"/>
  <c r="I40" i="48" s="1"/>
  <c r="H23" i="48"/>
  <c r="H40" i="48" s="1"/>
  <c r="G23" i="48"/>
  <c r="G40" i="48" s="1"/>
  <c r="F23" i="48"/>
  <c r="F40" i="48" s="1"/>
  <c r="E23" i="48"/>
  <c r="E40" i="48" s="1"/>
  <c r="D23" i="48"/>
  <c r="D40" i="48" s="1"/>
  <c r="D26" i="47" s="1"/>
  <c r="A17" i="48"/>
  <c r="A18" i="48" s="1"/>
  <c r="A19" i="48" s="1"/>
  <c r="A20" i="48" s="1"/>
  <c r="A21" i="48" s="1"/>
  <c r="A22" i="48" s="1"/>
  <c r="A23" i="48" s="1"/>
  <c r="A24" i="48" s="1"/>
  <c r="A25" i="48" s="1"/>
  <c r="L16" i="48"/>
  <c r="L17" i="48" s="1"/>
  <c r="L18" i="48" s="1"/>
  <c r="L19" i="48" s="1"/>
  <c r="L20" i="48" s="1"/>
  <c r="L21" i="48" s="1"/>
  <c r="L22" i="48" s="1"/>
  <c r="L23" i="48" s="1"/>
  <c r="L24" i="48" s="1"/>
  <c r="L25" i="48" s="1"/>
  <c r="A13" i="47"/>
  <c r="H12" i="47"/>
  <c r="H13" i="47" s="1"/>
  <c r="E33" i="46"/>
  <c r="E20" i="132" s="1"/>
  <c r="E31" i="46"/>
  <c r="E15" i="46"/>
  <c r="E13" i="46"/>
  <c r="A12" i="46"/>
  <c r="A13" i="46" s="1"/>
  <c r="A14" i="46" s="1"/>
  <c r="A15" i="46" s="1"/>
  <c r="A16" i="46" s="1"/>
  <c r="A17" i="46" s="1"/>
  <c r="A18" i="46" s="1"/>
  <c r="A19" i="46" s="1"/>
  <c r="A20" i="46" s="1"/>
  <c r="A21" i="46" s="1"/>
  <c r="A22" i="46" s="1"/>
  <c r="A23" i="46" s="1"/>
  <c r="A24" i="46" s="1"/>
  <c r="A25" i="46" s="1"/>
  <c r="A26" i="46" s="1"/>
  <c r="A27" i="46" s="1"/>
  <c r="A28" i="46" s="1"/>
  <c r="A29" i="46" s="1"/>
  <c r="A30" i="46" s="1"/>
  <c r="A31" i="46" s="1"/>
  <c r="A32" i="46" s="1"/>
  <c r="A33" i="46" s="1"/>
  <c r="H11" i="46"/>
  <c r="H12" i="46" s="1"/>
  <c r="H13" i="46" s="1"/>
  <c r="H14" i="46" s="1"/>
  <c r="H15" i="46" s="1"/>
  <c r="H16" i="46" s="1"/>
  <c r="H17" i="46" s="1"/>
  <c r="H18" i="46" s="1"/>
  <c r="H19" i="46" s="1"/>
  <c r="H20" i="46" s="1"/>
  <c r="H21" i="46" s="1"/>
  <c r="H22" i="46" s="1"/>
  <c r="H23" i="46" s="1"/>
  <c r="H24" i="46" s="1"/>
  <c r="H25" i="46" s="1"/>
  <c r="H26" i="46" s="1"/>
  <c r="H27" i="46" s="1"/>
  <c r="H28" i="46" s="1"/>
  <c r="H29" i="46" s="1"/>
  <c r="H30" i="46" s="1"/>
  <c r="H31" i="46" s="1"/>
  <c r="H32" i="46" s="1"/>
  <c r="H33" i="46" s="1"/>
  <c r="B5" i="46"/>
  <c r="A12" i="45"/>
  <c r="A13" i="45" s="1"/>
  <c r="A14" i="45" s="1"/>
  <c r="A15" i="45" s="1"/>
  <c r="A16" i="45" s="1"/>
  <c r="A17" i="45" s="1"/>
  <c r="A18" i="45" s="1"/>
  <c r="A19" i="45" s="1"/>
  <c r="A20" i="45" s="1"/>
  <c r="A21" i="45" s="1"/>
  <c r="A22" i="45" s="1"/>
  <c r="A23" i="45" s="1"/>
  <c r="A24" i="45" s="1"/>
  <c r="A25" i="45" s="1"/>
  <c r="H11" i="45"/>
  <c r="H12" i="45" s="1"/>
  <c r="H13" i="45" s="1"/>
  <c r="H14" i="45" s="1"/>
  <c r="H15" i="45" s="1"/>
  <c r="H16" i="45" s="1"/>
  <c r="H17" i="45" s="1"/>
  <c r="H18" i="45" s="1"/>
  <c r="H19" i="45" s="1"/>
  <c r="H20" i="45" s="1"/>
  <c r="H21" i="45" s="1"/>
  <c r="H22" i="45" s="1"/>
  <c r="H23" i="45" s="1"/>
  <c r="H24" i="45" s="1"/>
  <c r="H25" i="45" s="1"/>
  <c r="B5" i="45"/>
  <c r="E24" i="41"/>
  <c r="A12" i="41"/>
  <c r="A13" i="41" s="1"/>
  <c r="A14" i="41" s="1"/>
  <c r="A15" i="41" s="1"/>
  <c r="A16" i="41" s="1"/>
  <c r="A17" i="41" s="1"/>
  <c r="A18" i="41" s="1"/>
  <c r="A19" i="41" s="1"/>
  <c r="A20" i="41" s="1"/>
  <c r="A21" i="41" s="1"/>
  <c r="A22" i="41" s="1"/>
  <c r="A23" i="41" s="1"/>
  <c r="A24" i="41" s="1"/>
  <c r="A25" i="41" s="1"/>
  <c r="G27" i="41" s="1"/>
  <c r="H11" i="41"/>
  <c r="H12" i="41" s="1"/>
  <c r="H13" i="41" s="1"/>
  <c r="H14" i="41" s="1"/>
  <c r="H15" i="41" s="1"/>
  <c r="H16" i="41" s="1"/>
  <c r="H17" i="41" s="1"/>
  <c r="H18" i="41" s="1"/>
  <c r="H19" i="41" s="1"/>
  <c r="H20" i="41" s="1"/>
  <c r="H21" i="41" s="1"/>
  <c r="H22" i="41" s="1"/>
  <c r="H23" i="41" s="1"/>
  <c r="H24" i="41" s="1"/>
  <c r="H25" i="41" s="1"/>
  <c r="H26" i="41" s="1"/>
  <c r="H27" i="41" s="1"/>
  <c r="H28" i="41" s="1"/>
  <c r="H29" i="41" s="1"/>
  <c r="H30" i="41" s="1"/>
  <c r="H31" i="41" s="1"/>
  <c r="H32" i="41" s="1"/>
  <c r="H33" i="41" s="1"/>
  <c r="H34" i="41" s="1"/>
  <c r="H35" i="41" s="1"/>
  <c r="H36" i="41" s="1"/>
  <c r="H37" i="41" s="1"/>
  <c r="H38" i="41" s="1"/>
  <c r="H39" i="41" s="1"/>
  <c r="H40" i="41" s="1"/>
  <c r="H41" i="41" s="1"/>
  <c r="H42" i="41" s="1"/>
  <c r="H43" i="41" s="1"/>
  <c r="H44" i="41" s="1"/>
  <c r="H45" i="41" s="1"/>
  <c r="H46" i="41" s="1"/>
  <c r="H47" i="41" s="1"/>
  <c r="H48" i="41" s="1"/>
  <c r="H49" i="41" s="1"/>
  <c r="H50" i="41" s="1"/>
  <c r="H51" i="41" s="1"/>
  <c r="H52" i="41" s="1"/>
  <c r="H53" i="41" s="1"/>
  <c r="H54" i="41" s="1"/>
  <c r="H55" i="41" s="1"/>
  <c r="H56" i="41" s="1"/>
  <c r="H57" i="41" s="1"/>
  <c r="H58" i="41" s="1"/>
  <c r="H59" i="41" s="1"/>
  <c r="H60" i="41" s="1"/>
  <c r="H61" i="41" s="1"/>
  <c r="H62" i="41" s="1"/>
  <c r="E24" i="69"/>
  <c r="E32" i="69" s="1"/>
  <c r="E36" i="69" s="1"/>
  <c r="A12" i="40"/>
  <c r="A13" i="40" s="1"/>
  <c r="A14" i="40" s="1"/>
  <c r="A15" i="40" s="1"/>
  <c r="A16" i="40" s="1"/>
  <c r="H11" i="40"/>
  <c r="H12" i="40" s="1"/>
  <c r="H13" i="40" s="1"/>
  <c r="B5" i="40"/>
  <c r="A13" i="135"/>
  <c r="A14" i="135" s="1"/>
  <c r="A15" i="135" s="1"/>
  <c r="A16" i="135" s="1"/>
  <c r="A17" i="135" s="1"/>
  <c r="G12" i="135"/>
  <c r="G13" i="135" s="1"/>
  <c r="G14" i="135" s="1"/>
  <c r="G15" i="135" s="1"/>
  <c r="G16" i="135" s="1"/>
  <c r="G17" i="135" s="1"/>
  <c r="E11" i="38"/>
  <c r="A15" i="109"/>
  <c r="A16" i="109" s="1"/>
  <c r="A17" i="109" s="1"/>
  <c r="A18" i="109" s="1"/>
  <c r="A19" i="109" s="1"/>
  <c r="A20" i="109" s="1"/>
  <c r="A21" i="109" s="1"/>
  <c r="A22" i="109" s="1"/>
  <c r="A23" i="109" s="1"/>
  <c r="A24" i="109" s="1"/>
  <c r="A25" i="109" s="1"/>
  <c r="A26" i="109" s="1"/>
  <c r="A27" i="109" s="1"/>
  <c r="A28" i="109" s="1"/>
  <c r="A29" i="109" s="1"/>
  <c r="A30" i="109" s="1"/>
  <c r="A31" i="109" s="1"/>
  <c r="A32" i="109" s="1"/>
  <c r="E14" i="109"/>
  <c r="E15" i="109" s="1"/>
  <c r="E16" i="109" s="1"/>
  <c r="E17" i="109" s="1"/>
  <c r="E18" i="109" s="1"/>
  <c r="E19" i="109" s="1"/>
  <c r="E20" i="109" s="1"/>
  <c r="E21" i="109" s="1"/>
  <c r="E22" i="109" s="1"/>
  <c r="E23" i="109" s="1"/>
  <c r="E24" i="109" s="1"/>
  <c r="E25" i="109" s="1"/>
  <c r="E26" i="109" s="1"/>
  <c r="E27" i="109" s="1"/>
  <c r="E28" i="109" s="1"/>
  <c r="E29" i="109" s="1"/>
  <c r="E30" i="109" s="1"/>
  <c r="E31" i="109" s="1"/>
  <c r="E32" i="109" s="1"/>
  <c r="A11" i="38"/>
  <c r="H11" i="38" s="1"/>
  <c r="B5" i="38"/>
  <c r="A12" i="36"/>
  <c r="A13" i="36" s="1"/>
  <c r="A14" i="36" s="1"/>
  <c r="A15" i="36" s="1"/>
  <c r="I11" i="36"/>
  <c r="I12" i="36" s="1"/>
  <c r="I13" i="36" s="1"/>
  <c r="I14" i="36" s="1"/>
  <c r="I15" i="36" s="1"/>
  <c r="E9" i="36"/>
  <c r="C9" i="36"/>
  <c r="G15" i="34"/>
  <c r="A13" i="151"/>
  <c r="K12" i="151"/>
  <c r="K13" i="151" s="1"/>
  <c r="A13" i="152"/>
  <c r="L12" i="152"/>
  <c r="L13" i="152" s="1"/>
  <c r="L14" i="152" s="1"/>
  <c r="L15" i="152" s="1"/>
  <c r="L16" i="152" s="1"/>
  <c r="L17" i="152" s="1"/>
  <c r="G23" i="34"/>
  <c r="E23" i="34"/>
  <c r="G21" i="34"/>
  <c r="E21" i="34"/>
  <c r="G19" i="34"/>
  <c r="E19" i="34"/>
  <c r="A12" i="34"/>
  <c r="A13" i="34" s="1"/>
  <c r="A14" i="34" s="1"/>
  <c r="A15" i="34" s="1"/>
  <c r="A16" i="34" s="1"/>
  <c r="A17" i="34" s="1"/>
  <c r="A18" i="34" s="1"/>
  <c r="A19" i="34" s="1"/>
  <c r="A20" i="34" s="1"/>
  <c r="A21" i="34" s="1"/>
  <c r="A22" i="34" s="1"/>
  <c r="A23" i="34" s="1"/>
  <c r="L11" i="34"/>
  <c r="L12" i="34" s="1"/>
  <c r="L13" i="34" s="1"/>
  <c r="L14" i="34" s="1"/>
  <c r="L15" i="34" s="1"/>
  <c r="L16" i="34" s="1"/>
  <c r="L17" i="34" s="1"/>
  <c r="L18" i="34" s="1"/>
  <c r="L19" i="34" s="1"/>
  <c r="L20" i="34" s="1"/>
  <c r="L21" i="34" s="1"/>
  <c r="L22" i="34" s="1"/>
  <c r="L23" i="34" s="1"/>
  <c r="G9" i="34"/>
  <c r="E9" i="34"/>
  <c r="B5" i="34"/>
  <c r="I29" i="22"/>
  <c r="E188" i="132" s="1"/>
  <c r="A15" i="30"/>
  <c r="A16" i="30" s="1"/>
  <c r="A17" i="30" s="1"/>
  <c r="A18" i="30" s="1"/>
  <c r="A19" i="30" s="1"/>
  <c r="A20" i="30" s="1"/>
  <c r="A21" i="30" s="1"/>
  <c r="A22" i="30" s="1"/>
  <c r="A23" i="30" s="1"/>
  <c r="A24" i="30" s="1"/>
  <c r="A25" i="30" s="1"/>
  <c r="A26" i="30" s="1"/>
  <c r="A27" i="30" s="1"/>
  <c r="A28" i="30" s="1"/>
  <c r="A29" i="30" s="1"/>
  <c r="A30" i="30" s="1"/>
  <c r="A31" i="30" s="1"/>
  <c r="A32" i="30" s="1"/>
  <c r="G14" i="30"/>
  <c r="G15" i="30" s="1"/>
  <c r="G16" i="30" s="1"/>
  <c r="G17" i="30" s="1"/>
  <c r="G18" i="30" s="1"/>
  <c r="G19" i="30" s="1"/>
  <c r="G20" i="30" s="1"/>
  <c r="G21" i="30" s="1"/>
  <c r="G22" i="30" s="1"/>
  <c r="G23" i="30" s="1"/>
  <c r="G24" i="30" s="1"/>
  <c r="G25" i="30" s="1"/>
  <c r="G26" i="30" s="1"/>
  <c r="G27" i="30" s="1"/>
  <c r="G28" i="30" s="1"/>
  <c r="G29" i="30" s="1"/>
  <c r="G30" i="30" s="1"/>
  <c r="G31" i="30" s="1"/>
  <c r="G32" i="30" s="1"/>
  <c r="D19" i="27"/>
  <c r="G17" i="22" s="1"/>
  <c r="D15" i="27"/>
  <c r="A14" i="27"/>
  <c r="A15" i="27" s="1"/>
  <c r="A16" i="27" s="1"/>
  <c r="A17" i="27" s="1"/>
  <c r="A18" i="27" s="1"/>
  <c r="A19" i="27" s="1"/>
  <c r="A20" i="27" s="1"/>
  <c r="A21" i="27" s="1"/>
  <c r="A22" i="27" s="1"/>
  <c r="A23" i="27" s="1"/>
  <c r="F13" i="27"/>
  <c r="F14" i="27" s="1"/>
  <c r="F15" i="27" s="1"/>
  <c r="F16" i="27" s="1"/>
  <c r="F17" i="27" s="1"/>
  <c r="F18" i="27" s="1"/>
  <c r="F19" i="27" s="1"/>
  <c r="F20" i="27" s="1"/>
  <c r="F21" i="27" s="1"/>
  <c r="F22" i="27" s="1"/>
  <c r="F23" i="27" s="1"/>
  <c r="A15" i="26"/>
  <c r="A16" i="26" s="1"/>
  <c r="A17" i="26" s="1"/>
  <c r="A18" i="26" s="1"/>
  <c r="A19" i="26" s="1"/>
  <c r="A20" i="26" s="1"/>
  <c r="E14" i="26"/>
  <c r="E15" i="26" s="1"/>
  <c r="E16" i="26" s="1"/>
  <c r="E17" i="26" s="1"/>
  <c r="E18" i="26" s="1"/>
  <c r="E19" i="26" s="1"/>
  <c r="E20" i="26" s="1"/>
  <c r="A15" i="25"/>
  <c r="A16" i="25" s="1"/>
  <c r="A17" i="25" s="1"/>
  <c r="A18" i="25" s="1"/>
  <c r="A19" i="25" s="1"/>
  <c r="A20" i="25" s="1"/>
  <c r="E14" i="25"/>
  <c r="E15" i="25" s="1"/>
  <c r="E16" i="25" s="1"/>
  <c r="E17" i="25" s="1"/>
  <c r="E18" i="25" s="1"/>
  <c r="E19" i="25" s="1"/>
  <c r="E20" i="25" s="1"/>
  <c r="I37" i="24"/>
  <c r="J22" i="24"/>
  <c r="J39" i="24" s="1"/>
  <c r="I22" i="24"/>
  <c r="H22" i="24"/>
  <c r="H39" i="24" s="1"/>
  <c r="G22" i="24"/>
  <c r="G39" i="24" s="1"/>
  <c r="F22" i="24"/>
  <c r="F39" i="24" s="1"/>
  <c r="E22" i="24"/>
  <c r="E39" i="24" s="1"/>
  <c r="D22" i="24"/>
  <c r="D39" i="24" s="1"/>
  <c r="A17" i="24"/>
  <c r="A18" i="24" s="1"/>
  <c r="A19" i="24" s="1"/>
  <c r="A20" i="24" s="1"/>
  <c r="A21" i="24" s="1"/>
  <c r="A22" i="24" s="1"/>
  <c r="A23" i="24" s="1"/>
  <c r="A24" i="24" s="1"/>
  <c r="M16" i="24"/>
  <c r="M17" i="24" s="1"/>
  <c r="M18" i="24" s="1"/>
  <c r="M19" i="24" s="1"/>
  <c r="M20" i="24" s="1"/>
  <c r="M21" i="24" s="1"/>
  <c r="M22" i="24" s="1"/>
  <c r="M23" i="24" s="1"/>
  <c r="M24" i="24" s="1"/>
  <c r="J22" i="136"/>
  <c r="J39" i="136" s="1"/>
  <c r="I22" i="136"/>
  <c r="I39" i="136" s="1"/>
  <c r="H22" i="136"/>
  <c r="H39" i="136" s="1"/>
  <c r="G22" i="136"/>
  <c r="G39" i="136" s="1"/>
  <c r="F22" i="136"/>
  <c r="F39" i="136" s="1"/>
  <c r="E22" i="136"/>
  <c r="E39" i="136" s="1"/>
  <c r="A17" i="136"/>
  <c r="A18" i="136" s="1"/>
  <c r="A19" i="136" s="1"/>
  <c r="A20" i="136" s="1"/>
  <c r="A21" i="136" s="1"/>
  <c r="A22" i="136" s="1"/>
  <c r="A23" i="136" s="1"/>
  <c r="A24" i="136" s="1"/>
  <c r="M16" i="136"/>
  <c r="M17" i="136" s="1"/>
  <c r="M18" i="136" s="1"/>
  <c r="M19" i="136" s="1"/>
  <c r="M20" i="136" s="1"/>
  <c r="M21" i="136" s="1"/>
  <c r="M22" i="136" s="1"/>
  <c r="M23" i="136" s="1"/>
  <c r="M24" i="136" s="1"/>
  <c r="A15" i="23"/>
  <c r="A16" i="23" s="1"/>
  <c r="A17" i="23" s="1"/>
  <c r="A18" i="23" s="1"/>
  <c r="A19" i="23" s="1"/>
  <c r="A20" i="23" s="1"/>
  <c r="A21" i="23" s="1"/>
  <c r="A22" i="23" s="1"/>
  <c r="A23" i="23" s="1"/>
  <c r="A24" i="23" s="1"/>
  <c r="A25" i="23" s="1"/>
  <c r="A26" i="23" s="1"/>
  <c r="A27" i="23" s="1"/>
  <c r="A28" i="23" s="1"/>
  <c r="A29" i="23" s="1"/>
  <c r="A30" i="23" s="1"/>
  <c r="A31" i="23" s="1"/>
  <c r="A32" i="23" s="1"/>
  <c r="I14" i="23"/>
  <c r="I15" i="23" s="1"/>
  <c r="I16" i="23" s="1"/>
  <c r="I17" i="23" s="1"/>
  <c r="I18" i="23" s="1"/>
  <c r="I19" i="23" s="1"/>
  <c r="I20" i="23" s="1"/>
  <c r="I21" i="23" s="1"/>
  <c r="I22" i="23" s="1"/>
  <c r="I23" i="23" s="1"/>
  <c r="I24" i="23" s="1"/>
  <c r="I25" i="23" s="1"/>
  <c r="I26" i="23" s="1"/>
  <c r="I27" i="23" s="1"/>
  <c r="I28" i="23" s="1"/>
  <c r="I29" i="23" s="1"/>
  <c r="I30" i="23" s="1"/>
  <c r="I31" i="23" s="1"/>
  <c r="I32" i="23" s="1"/>
  <c r="G15" i="22"/>
  <c r="E15" i="22"/>
  <c r="G13" i="22"/>
  <c r="E13" i="22"/>
  <c r="A12" i="22"/>
  <c r="A13" i="22" s="1"/>
  <c r="A14" i="22" s="1"/>
  <c r="A15" i="22" s="1"/>
  <c r="A16" i="22" s="1"/>
  <c r="A17" i="22" s="1"/>
  <c r="A18" i="22" s="1"/>
  <c r="A19" i="22" s="1"/>
  <c r="A20" i="22" s="1"/>
  <c r="A21" i="22" s="1"/>
  <c r="A22" i="22" s="1"/>
  <c r="A23" i="22" s="1"/>
  <c r="A24" i="22" s="1"/>
  <c r="A25" i="22" s="1"/>
  <c r="A26" i="22" s="1"/>
  <c r="A27" i="22" s="1"/>
  <c r="A28" i="22" s="1"/>
  <c r="A29" i="22" s="1"/>
  <c r="L11" i="22"/>
  <c r="L12" i="22" s="1"/>
  <c r="L13" i="22" s="1"/>
  <c r="L14" i="22" s="1"/>
  <c r="L15" i="22" s="1"/>
  <c r="L16" i="22" s="1"/>
  <c r="L17" i="22" s="1"/>
  <c r="L18" i="22" s="1"/>
  <c r="L19" i="22" s="1"/>
  <c r="L20" i="22" s="1"/>
  <c r="L21" i="22" s="1"/>
  <c r="L22" i="22" s="1"/>
  <c r="L23" i="22" s="1"/>
  <c r="L24" i="22" s="1"/>
  <c r="L25" i="22" s="1"/>
  <c r="L26" i="22" s="1"/>
  <c r="L27" i="22" s="1"/>
  <c r="L28" i="22" s="1"/>
  <c r="L29" i="22" s="1"/>
  <c r="G9" i="22"/>
  <c r="E9" i="22"/>
  <c r="D19" i="14"/>
  <c r="G29" i="2" s="1"/>
  <c r="D15" i="14"/>
  <c r="A14" i="14"/>
  <c r="A15" i="14" s="1"/>
  <c r="A16" i="14" s="1"/>
  <c r="A17" i="14" s="1"/>
  <c r="A18" i="14" s="1"/>
  <c r="A19" i="14" s="1"/>
  <c r="A20" i="14" s="1"/>
  <c r="A21" i="14" s="1"/>
  <c r="A22" i="14" s="1"/>
  <c r="A23" i="14" s="1"/>
  <c r="F13" i="14"/>
  <c r="F14" i="14" s="1"/>
  <c r="F15" i="14" s="1"/>
  <c r="F16" i="14" s="1"/>
  <c r="F17" i="14" s="1"/>
  <c r="F18" i="14" s="1"/>
  <c r="F19" i="14" s="1"/>
  <c r="F20" i="14" s="1"/>
  <c r="F21" i="14" s="1"/>
  <c r="F22" i="14" s="1"/>
  <c r="F23" i="14" s="1"/>
  <c r="A15" i="13"/>
  <c r="A16" i="13" s="1"/>
  <c r="A17" i="13" s="1"/>
  <c r="A18" i="13" s="1"/>
  <c r="A19" i="13" s="1"/>
  <c r="A20" i="13" s="1"/>
  <c r="E14" i="13"/>
  <c r="E15" i="13" s="1"/>
  <c r="E16" i="13" s="1"/>
  <c r="E17" i="13" s="1"/>
  <c r="E18" i="13" s="1"/>
  <c r="E19" i="13" s="1"/>
  <c r="E20" i="13" s="1"/>
  <c r="A15" i="3"/>
  <c r="A16" i="3" s="1"/>
  <c r="A17" i="3" s="1"/>
  <c r="A18" i="3" s="1"/>
  <c r="A19" i="3" s="1"/>
  <c r="A20" i="3" s="1"/>
  <c r="E14" i="3"/>
  <c r="E15" i="3" s="1"/>
  <c r="E16" i="3" s="1"/>
  <c r="E17" i="3" s="1"/>
  <c r="E18" i="3" s="1"/>
  <c r="E19" i="3" s="1"/>
  <c r="E20" i="3" s="1"/>
  <c r="I23" i="2"/>
  <c r="E187" i="132" s="1"/>
  <c r="A16" i="12"/>
  <c r="A17" i="12" s="1"/>
  <c r="A18" i="12" s="1"/>
  <c r="A19" i="12" s="1"/>
  <c r="A20" i="12" s="1"/>
  <c r="A21" i="12" s="1"/>
  <c r="A22" i="12" s="1"/>
  <c r="A23" i="12" s="1"/>
  <c r="A24" i="12" s="1"/>
  <c r="A25" i="12" s="1"/>
  <c r="A26" i="12" s="1"/>
  <c r="A27" i="12" s="1"/>
  <c r="A28" i="12" s="1"/>
  <c r="A29" i="12" s="1"/>
  <c r="A30" i="12" s="1"/>
  <c r="A31" i="12" s="1"/>
  <c r="A32" i="12" s="1"/>
  <c r="A33" i="12" s="1"/>
  <c r="G15" i="12"/>
  <c r="G16" i="12" s="1"/>
  <c r="G17" i="12" s="1"/>
  <c r="G18" i="12" s="1"/>
  <c r="G19" i="12" s="1"/>
  <c r="G20" i="12" s="1"/>
  <c r="G21" i="12" s="1"/>
  <c r="G22" i="12" s="1"/>
  <c r="G23" i="12" s="1"/>
  <c r="G24" i="12" s="1"/>
  <c r="G25" i="12" s="1"/>
  <c r="G26" i="12" s="1"/>
  <c r="G27" i="12" s="1"/>
  <c r="G28" i="12" s="1"/>
  <c r="G29" i="12" s="1"/>
  <c r="G30" i="12" s="1"/>
  <c r="G31" i="12" s="1"/>
  <c r="G32" i="12" s="1"/>
  <c r="G33" i="12" s="1"/>
  <c r="F36" i="11"/>
  <c r="E36" i="11"/>
  <c r="J21" i="11"/>
  <c r="J38" i="11" s="1"/>
  <c r="I21" i="11"/>
  <c r="I38" i="11" s="1"/>
  <c r="H21" i="11"/>
  <c r="H38" i="11" s="1"/>
  <c r="G21" i="11"/>
  <c r="G38" i="11" s="1"/>
  <c r="F21" i="11"/>
  <c r="E21" i="11"/>
  <c r="D21" i="11"/>
  <c r="D38" i="11" s="1"/>
  <c r="A16" i="11"/>
  <c r="A17" i="11" s="1"/>
  <c r="A18" i="11" s="1"/>
  <c r="A19" i="11" s="1"/>
  <c r="A20" i="11" s="1"/>
  <c r="A21" i="11" s="1"/>
  <c r="A22" i="11" s="1"/>
  <c r="A23" i="11" s="1"/>
  <c r="M15" i="11"/>
  <c r="M16" i="11" s="1"/>
  <c r="M17" i="11" s="1"/>
  <c r="M18" i="11" s="1"/>
  <c r="M19" i="11" s="1"/>
  <c r="M20" i="11" s="1"/>
  <c r="M21" i="11" s="1"/>
  <c r="M22" i="11" s="1"/>
  <c r="M23" i="11" s="1"/>
  <c r="H36" i="10"/>
  <c r="G36" i="10"/>
  <c r="J21" i="10"/>
  <c r="J38" i="10" s="1"/>
  <c r="I21" i="10"/>
  <c r="I38" i="10" s="1"/>
  <c r="H21" i="10"/>
  <c r="G21" i="10"/>
  <c r="E21" i="10"/>
  <c r="E38" i="10" s="1"/>
  <c r="K16" i="10"/>
  <c r="A16" i="10"/>
  <c r="A17" i="10" s="1"/>
  <c r="A18" i="10" s="1"/>
  <c r="A19" i="10" s="1"/>
  <c r="A20" i="10" s="1"/>
  <c r="A21" i="10" s="1"/>
  <c r="A22" i="10" s="1"/>
  <c r="A23" i="10" s="1"/>
  <c r="M15" i="10"/>
  <c r="M16" i="10" s="1"/>
  <c r="M17" i="10" s="1"/>
  <c r="M18" i="10" s="1"/>
  <c r="M19" i="10" s="1"/>
  <c r="M20" i="10" s="1"/>
  <c r="M21" i="10" s="1"/>
  <c r="M22" i="10" s="1"/>
  <c r="M23" i="10" s="1"/>
  <c r="K15" i="10"/>
  <c r="I21" i="2"/>
  <c r="A15" i="9"/>
  <c r="A16" i="9" s="1"/>
  <c r="A17" i="9" s="1"/>
  <c r="A18" i="9" s="1"/>
  <c r="A19" i="9" s="1"/>
  <c r="A20" i="9" s="1"/>
  <c r="A21" i="9" s="1"/>
  <c r="A22" i="9" s="1"/>
  <c r="A23" i="9" s="1"/>
  <c r="A24" i="9" s="1"/>
  <c r="A25" i="9" s="1"/>
  <c r="A26" i="9" s="1"/>
  <c r="A27" i="9" s="1"/>
  <c r="A28" i="9" s="1"/>
  <c r="A29" i="9" s="1"/>
  <c r="A30" i="9" s="1"/>
  <c r="A31" i="9" s="1"/>
  <c r="A32" i="9" s="1"/>
  <c r="I27" i="9"/>
  <c r="I28" i="9" s="1"/>
  <c r="I29" i="9" s="1"/>
  <c r="I30" i="9" s="1"/>
  <c r="I31" i="9" s="1"/>
  <c r="I32" i="9" s="1"/>
  <c r="A16" i="8"/>
  <c r="A17" i="8" s="1"/>
  <c r="A18" i="8" s="1"/>
  <c r="A19" i="8" s="1"/>
  <c r="A20" i="8" s="1"/>
  <c r="A21" i="8" s="1"/>
  <c r="G18" i="8"/>
  <c r="G19" i="8" s="1"/>
  <c r="G20" i="8" s="1"/>
  <c r="G21" i="8" s="1"/>
  <c r="E28" i="7"/>
  <c r="E31" i="7" s="1"/>
  <c r="I17" i="2" s="1"/>
  <c r="E42" i="40" s="1"/>
  <c r="C28" i="7"/>
  <c r="C31" i="7" s="1"/>
  <c r="A15" i="7"/>
  <c r="A16" i="7" s="1"/>
  <c r="A17" i="7" s="1"/>
  <c r="A18" i="7" s="1"/>
  <c r="A19" i="7" s="1"/>
  <c r="A20" i="7" s="1"/>
  <c r="A21" i="7" s="1"/>
  <c r="A22" i="7" s="1"/>
  <c r="A23" i="7" s="1"/>
  <c r="A24" i="7" s="1"/>
  <c r="A25" i="7" s="1"/>
  <c r="A26" i="7" s="1"/>
  <c r="A27" i="7" s="1"/>
  <c r="A28" i="7" s="1"/>
  <c r="A29" i="7" s="1"/>
  <c r="A30" i="7" s="1"/>
  <c r="A31" i="7" s="1"/>
  <c r="A32" i="7" s="1"/>
  <c r="G27" i="7"/>
  <c r="G28" i="7" s="1"/>
  <c r="G29" i="7" s="1"/>
  <c r="G30" i="7" s="1"/>
  <c r="G31" i="7" s="1"/>
  <c r="G32" i="7" s="1"/>
  <c r="I15" i="2"/>
  <c r="A15" i="6"/>
  <c r="A16" i="6" s="1"/>
  <c r="A17" i="6" s="1"/>
  <c r="A18" i="6" s="1"/>
  <c r="A19" i="6" s="1"/>
  <c r="A20" i="6" s="1"/>
  <c r="A21" i="6" s="1"/>
  <c r="A22" i="6" s="1"/>
  <c r="A23" i="6" s="1"/>
  <c r="A24" i="6" s="1"/>
  <c r="A25" i="6" s="1"/>
  <c r="A26" i="6" s="1"/>
  <c r="A27" i="6" s="1"/>
  <c r="A28" i="6" s="1"/>
  <c r="A29" i="6" s="1"/>
  <c r="A30" i="6" s="1"/>
  <c r="A31" i="6" s="1"/>
  <c r="A32" i="6" s="1"/>
  <c r="G14" i="6"/>
  <c r="G15" i="6" s="1"/>
  <c r="G16" i="6" s="1"/>
  <c r="G17" i="6" s="1"/>
  <c r="G18" i="6" s="1"/>
  <c r="G19" i="6" s="1"/>
  <c r="G20" i="6" s="1"/>
  <c r="G21" i="6" s="1"/>
  <c r="G22" i="6" s="1"/>
  <c r="G23" i="6" s="1"/>
  <c r="G24" i="6" s="1"/>
  <c r="G25" i="6" s="1"/>
  <c r="G26" i="6" s="1"/>
  <c r="G27" i="6" s="1"/>
  <c r="G28" i="6" s="1"/>
  <c r="G29" i="6" s="1"/>
  <c r="G30" i="6" s="1"/>
  <c r="G31" i="6" s="1"/>
  <c r="G32" i="6" s="1"/>
  <c r="I13" i="2"/>
  <c r="A15" i="5"/>
  <c r="A16" i="5" s="1"/>
  <c r="A17" i="5" s="1"/>
  <c r="A18" i="5" s="1"/>
  <c r="A19" i="5" s="1"/>
  <c r="A20" i="5" s="1"/>
  <c r="A21" i="5" s="1"/>
  <c r="A22" i="5" s="1"/>
  <c r="A23" i="5" s="1"/>
  <c r="A24" i="5" s="1"/>
  <c r="A25" i="5" s="1"/>
  <c r="A26" i="5" s="1"/>
  <c r="A27" i="5" s="1"/>
  <c r="A28" i="5" s="1"/>
  <c r="A29" i="5" s="1"/>
  <c r="A30" i="5" s="1"/>
  <c r="A31" i="5" s="1"/>
  <c r="A32" i="5" s="1"/>
  <c r="G14" i="5"/>
  <c r="G15" i="5" s="1"/>
  <c r="G16" i="5" s="1"/>
  <c r="G17" i="5" s="1"/>
  <c r="G18" i="5" s="1"/>
  <c r="G19" i="5" s="1"/>
  <c r="G20" i="5" s="1"/>
  <c r="G21" i="5" s="1"/>
  <c r="G22" i="5" s="1"/>
  <c r="G23" i="5" s="1"/>
  <c r="G24" i="5" s="1"/>
  <c r="G25" i="5" s="1"/>
  <c r="G26" i="5" s="1"/>
  <c r="G27" i="5" s="1"/>
  <c r="G28" i="5" s="1"/>
  <c r="G29" i="5" s="1"/>
  <c r="G30" i="5" s="1"/>
  <c r="G31" i="5" s="1"/>
  <c r="G32" i="5" s="1"/>
  <c r="I11" i="2"/>
  <c r="E40" i="40" s="1"/>
  <c r="A15" i="4"/>
  <c r="A16" i="4" s="1"/>
  <c r="A17" i="4" s="1"/>
  <c r="A18" i="4" s="1"/>
  <c r="A19" i="4" s="1"/>
  <c r="A20" i="4" s="1"/>
  <c r="A21" i="4" s="1"/>
  <c r="A22" i="4" s="1"/>
  <c r="A23" i="4" s="1"/>
  <c r="A24" i="4" s="1"/>
  <c r="A25" i="4" s="1"/>
  <c r="A26" i="4" s="1"/>
  <c r="A27" i="4" s="1"/>
  <c r="A28" i="4" s="1"/>
  <c r="A29" i="4" s="1"/>
  <c r="A30" i="4" s="1"/>
  <c r="A31" i="4" s="1"/>
  <c r="A32" i="4" s="1"/>
  <c r="G14" i="4"/>
  <c r="G15" i="4" s="1"/>
  <c r="G16" i="4" s="1"/>
  <c r="G17" i="4" s="1"/>
  <c r="G18" i="4" s="1"/>
  <c r="G19" i="4" s="1"/>
  <c r="G20" i="4" s="1"/>
  <c r="G21" i="4" s="1"/>
  <c r="G22" i="4" s="1"/>
  <c r="G23" i="4" s="1"/>
  <c r="G24" i="4" s="1"/>
  <c r="G25" i="4" s="1"/>
  <c r="G26" i="4" s="1"/>
  <c r="G27" i="4" s="1"/>
  <c r="G28" i="4" s="1"/>
  <c r="G29" i="4" s="1"/>
  <c r="G30" i="4" s="1"/>
  <c r="G31" i="4" s="1"/>
  <c r="G32" i="4" s="1"/>
  <c r="G27" i="2"/>
  <c r="E27" i="2"/>
  <c r="G25" i="2"/>
  <c r="E25" i="2"/>
  <c r="G19" i="2"/>
  <c r="E19" i="2"/>
  <c r="A12" i="2"/>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L11" i="2"/>
  <c r="L12" i="2" s="1"/>
  <c r="L13" i="2" s="1"/>
  <c r="L14" i="2" s="1"/>
  <c r="L15" i="2" s="1"/>
  <c r="L16" i="2" s="1"/>
  <c r="L17" i="2" s="1"/>
  <c r="L18" i="2" s="1"/>
  <c r="L19" i="2" s="1"/>
  <c r="L20" i="2" s="1"/>
  <c r="L21" i="2" s="1"/>
  <c r="L22" i="2" s="1"/>
  <c r="L23" i="2" s="1"/>
  <c r="L24" i="2" s="1"/>
  <c r="L25" i="2" s="1"/>
  <c r="L26" i="2" s="1"/>
  <c r="L27" i="2" s="1"/>
  <c r="L28" i="2" s="1"/>
  <c r="L29" i="2" s="1"/>
  <c r="L30" i="2" s="1"/>
  <c r="L31" i="2" s="1"/>
  <c r="L32" i="2" s="1"/>
  <c r="L33" i="2" s="1"/>
  <c r="L34" i="2" s="1"/>
  <c r="L35" i="2" s="1"/>
  <c r="L36" i="2" s="1"/>
  <c r="L37" i="2" s="1"/>
  <c r="L38" i="2" s="1"/>
  <c r="L39" i="2" s="1"/>
  <c r="L40" i="2" s="1"/>
  <c r="L41" i="2" s="1"/>
  <c r="L42" i="2" s="1"/>
  <c r="L43" i="2" s="1"/>
  <c r="L44" i="2" s="1"/>
  <c r="L45" i="2" s="1"/>
  <c r="E19" i="133"/>
  <c r="A12" i="133"/>
  <c r="A13" i="133" s="1"/>
  <c r="A14" i="133" s="1"/>
  <c r="A15" i="133" s="1"/>
  <c r="A16" i="133" s="1"/>
  <c r="A17" i="133" s="1"/>
  <c r="A18" i="133" s="1"/>
  <c r="A19" i="133" s="1"/>
  <c r="A20" i="133" s="1"/>
  <c r="A21" i="133" s="1"/>
  <c r="J11" i="133"/>
  <c r="J12" i="133" s="1"/>
  <c r="J13" i="133" s="1"/>
  <c r="J14" i="133" s="1"/>
  <c r="J15" i="133" s="1"/>
  <c r="J16" i="133" s="1"/>
  <c r="J17" i="133" s="1"/>
  <c r="J18" i="133" s="1"/>
  <c r="J19" i="133" s="1"/>
  <c r="J20" i="133" s="1"/>
  <c r="B243" i="132"/>
  <c r="E232" i="132"/>
  <c r="B159" i="132"/>
  <c r="E145" i="132"/>
  <c r="E134" i="132"/>
  <c r="E120" i="132"/>
  <c r="B105" i="132"/>
  <c r="E68" i="132"/>
  <c r="E55" i="132"/>
  <c r="E38" i="132"/>
  <c r="E37" i="132"/>
  <c r="E35" i="132"/>
  <c r="E15" i="132"/>
  <c r="A56" i="132"/>
  <c r="A57" i="132" s="1"/>
  <c r="A58" i="132" s="1"/>
  <c r="A59" i="132" s="1"/>
  <c r="A60" i="132" s="1"/>
  <c r="A61" i="132" s="1"/>
  <c r="A62" i="132" s="1"/>
  <c r="A63" i="132" s="1"/>
  <c r="A64" i="132" s="1"/>
  <c r="A65" i="132" s="1"/>
  <c r="A66" i="132" s="1"/>
  <c r="A67" i="132" s="1"/>
  <c r="E15" i="77"/>
  <c r="D19" i="142"/>
  <c r="D27" i="142"/>
  <c r="A12" i="74"/>
  <c r="A13" i="74" s="1"/>
  <c r="H11" i="74"/>
  <c r="H12" i="74" s="1"/>
  <c r="H13" i="74" s="1"/>
  <c r="F26" i="47"/>
  <c r="E11" i="46" s="1"/>
  <c r="D23" i="142"/>
  <c r="C18" i="142"/>
  <c r="C49" i="82"/>
  <c r="E87" i="82"/>
  <c r="E50" i="82"/>
  <c r="D38" i="10"/>
  <c r="H38" i="10"/>
  <c r="G13" i="34"/>
  <c r="E20" i="66"/>
  <c r="E22" i="66" s="1"/>
  <c r="E24" i="144" s="1"/>
  <c r="I33" i="2"/>
  <c r="I19" i="22"/>
  <c r="C87" i="82"/>
  <c r="E88" i="82"/>
  <c r="D20" i="142"/>
  <c r="D24" i="142"/>
  <c r="D17" i="142"/>
  <c r="D21" i="142"/>
  <c r="D25" i="142"/>
  <c r="D18" i="142"/>
  <c r="D22" i="142"/>
  <c r="G34" i="116"/>
  <c r="J34" i="116" s="1"/>
  <c r="N34" i="116" s="1"/>
  <c r="G33" i="116"/>
  <c r="J33" i="116" s="1"/>
  <c r="N33" i="116" s="1"/>
  <c r="G32" i="116"/>
  <c r="J32" i="116" s="1"/>
  <c r="N32" i="116" s="1"/>
  <c r="G31" i="116"/>
  <c r="J31" i="116" s="1"/>
  <c r="N31" i="116" s="1"/>
  <c r="G30" i="116"/>
  <c r="J30" i="116" s="1"/>
  <c r="N30" i="116" s="1"/>
  <c r="G29" i="116"/>
  <c r="J29" i="116" s="1"/>
  <c r="N29" i="116" s="1"/>
  <c r="G28" i="116"/>
  <c r="J28" i="116" s="1"/>
  <c r="N28" i="116" s="1"/>
  <c r="G27" i="116"/>
  <c r="J27" i="116" s="1"/>
  <c r="N27" i="116" s="1"/>
  <c r="G26" i="116"/>
  <c r="J26" i="116" s="1"/>
  <c r="N26" i="116" s="1"/>
  <c r="G25" i="116"/>
  <c r="J25" i="116" s="1"/>
  <c r="N25" i="116" s="1"/>
  <c r="G24" i="116"/>
  <c r="J24" i="116" s="1"/>
  <c r="N24" i="116" s="1"/>
  <c r="G23" i="116"/>
  <c r="J23" i="116" s="1"/>
  <c r="N23" i="116" s="1"/>
  <c r="G22" i="116"/>
  <c r="J22" i="116" s="1"/>
  <c r="N22" i="116" s="1"/>
  <c r="G21" i="116"/>
  <c r="J21" i="116" s="1"/>
  <c r="N21" i="116" s="1"/>
  <c r="G20" i="116"/>
  <c r="J20" i="116" s="1"/>
  <c r="N20" i="116" s="1"/>
  <c r="G19" i="116"/>
  <c r="J19" i="116" s="1"/>
  <c r="N19" i="116" s="1"/>
  <c r="G18" i="116"/>
  <c r="J18" i="116" s="1"/>
  <c r="N18" i="116" s="1"/>
  <c r="G17" i="116"/>
  <c r="J17" i="116" s="1"/>
  <c r="N17" i="116" s="1"/>
  <c r="G16" i="116"/>
  <c r="J16" i="116" s="1"/>
  <c r="N16" i="116" s="1"/>
  <c r="G15" i="116"/>
  <c r="J15" i="116" s="1"/>
  <c r="N15" i="116" s="1"/>
  <c r="G14" i="116"/>
  <c r="J14" i="116" s="1"/>
  <c r="N14" i="116" s="1"/>
  <c r="G12" i="116"/>
  <c r="J12" i="116" s="1"/>
  <c r="N12" i="116" s="1"/>
  <c r="G11" i="116"/>
  <c r="F34" i="116"/>
  <c r="I34" i="116" s="1"/>
  <c r="F33" i="116"/>
  <c r="I33" i="116" s="1"/>
  <c r="F32" i="116"/>
  <c r="I32" i="116" s="1"/>
  <c r="F31" i="116"/>
  <c r="F30" i="116"/>
  <c r="I30" i="116" s="1"/>
  <c r="F29" i="116"/>
  <c r="I29" i="116" s="1"/>
  <c r="F28" i="116"/>
  <c r="I28" i="116" s="1"/>
  <c r="F27" i="116"/>
  <c r="F26" i="116"/>
  <c r="I26" i="116" s="1"/>
  <c r="F25" i="116"/>
  <c r="I25" i="116" s="1"/>
  <c r="F24" i="116"/>
  <c r="I24" i="116" s="1"/>
  <c r="F23" i="116"/>
  <c r="F22" i="116"/>
  <c r="I22" i="116" s="1"/>
  <c r="F21" i="116"/>
  <c r="I21" i="116" s="1"/>
  <c r="F20" i="116"/>
  <c r="I20" i="116" s="1"/>
  <c r="F19" i="116"/>
  <c r="F18" i="116"/>
  <c r="I18" i="116" s="1"/>
  <c r="F17" i="116"/>
  <c r="I17" i="116" s="1"/>
  <c r="F16" i="116"/>
  <c r="I16" i="116" s="1"/>
  <c r="F15" i="116"/>
  <c r="F14" i="116"/>
  <c r="I14" i="116" s="1"/>
  <c r="F13" i="116"/>
  <c r="I13" i="116" s="1"/>
  <c r="F12" i="116"/>
  <c r="F11" i="116"/>
  <c r="C51" i="82"/>
  <c r="C89" i="82"/>
  <c r="J21" i="133" l="1"/>
  <c r="J22" i="133" s="1"/>
  <c r="J23" i="133" s="1"/>
  <c r="J24" i="133" s="1"/>
  <c r="J25" i="133" s="1"/>
  <c r="J26" i="133" s="1"/>
  <c r="J27" i="133" s="1"/>
  <c r="J28" i="133" s="1"/>
  <c r="J29" i="133" s="1"/>
  <c r="J30" i="133" s="1"/>
  <c r="J31" i="133" s="1"/>
  <c r="J32" i="133" s="1"/>
  <c r="J33" i="133" s="1"/>
  <c r="J34" i="133" s="1"/>
  <c r="J35" i="133" s="1"/>
  <c r="J36" i="133" s="1"/>
  <c r="J37" i="133" s="1"/>
  <c r="J38" i="133" s="1"/>
  <c r="J39" i="133" s="1"/>
  <c r="J40" i="133" s="1"/>
  <c r="J41" i="133" s="1"/>
  <c r="J42" i="133" s="1"/>
  <c r="J43" i="133" s="1"/>
  <c r="J44" i="133" s="1"/>
  <c r="A22" i="133"/>
  <c r="A23" i="133" s="1"/>
  <c r="H34" i="132"/>
  <c r="H35" i="132" s="1"/>
  <c r="H36" i="132" s="1"/>
  <c r="H37" i="132" s="1"/>
  <c r="H38" i="132" s="1"/>
  <c r="H39" i="132" s="1"/>
  <c r="H40" i="132" s="1"/>
  <c r="A34" i="132"/>
  <c r="A35" i="132" s="1"/>
  <c r="A36" i="132" s="1"/>
  <c r="A37" i="132" s="1"/>
  <c r="A38" i="132" s="1"/>
  <c r="A39" i="132" s="1"/>
  <c r="A40" i="132" s="1"/>
  <c r="A68" i="132"/>
  <c r="A69" i="132" s="1"/>
  <c r="A70" i="132" s="1"/>
  <c r="A71" i="132" s="1"/>
  <c r="A72" i="132" s="1"/>
  <c r="A73" i="132" s="1"/>
  <c r="A74" i="132" s="1"/>
  <c r="A75" i="132" s="1"/>
  <c r="A76" i="132" s="1"/>
  <c r="A77" i="132" s="1"/>
  <c r="A78" i="132" s="1"/>
  <c r="A79" i="132" s="1"/>
  <c r="D101" i="82"/>
  <c r="G101" i="82" s="1"/>
  <c r="D100" i="82"/>
  <c r="D63" i="82"/>
  <c r="D65" i="82" s="1"/>
  <c r="D102" i="82"/>
  <c r="G102" i="82" s="1"/>
  <c r="G105" i="82" s="1"/>
  <c r="G255" i="82" s="1"/>
  <c r="A38" i="69"/>
  <c r="A39" i="69" s="1"/>
  <c r="A40" i="69" s="1"/>
  <c r="J38" i="69"/>
  <c r="J39" i="69" s="1"/>
  <c r="J40" i="69" s="1"/>
  <c r="G100" i="82"/>
  <c r="G178" i="82"/>
  <c r="H14" i="40"/>
  <c r="H15" i="40" s="1"/>
  <c r="H16" i="40" s="1"/>
  <c r="H17" i="40" s="1"/>
  <c r="H18" i="40" s="1"/>
  <c r="H19" i="40" s="1"/>
  <c r="H20" i="40" s="1"/>
  <c r="H21" i="40" s="1"/>
  <c r="H22" i="40" s="1"/>
  <c r="H23" i="40" s="1"/>
  <c r="H24" i="40" s="1"/>
  <c r="H25" i="40" s="1"/>
  <c r="H26" i="40" s="1"/>
  <c r="H13" i="66"/>
  <c r="H14" i="66" s="1"/>
  <c r="H15" i="66" s="1"/>
  <c r="H16" i="66" s="1"/>
  <c r="H17" i="66" s="1"/>
  <c r="H18" i="66" s="1"/>
  <c r="H19" i="66" s="1"/>
  <c r="H20" i="66" s="1"/>
  <c r="H21" i="66" s="1"/>
  <c r="H22" i="66" s="1"/>
  <c r="A14" i="66"/>
  <c r="A15" i="66" s="1"/>
  <c r="A16" i="66" s="1"/>
  <c r="A17" i="66" s="1"/>
  <c r="A18" i="66" s="1"/>
  <c r="A19" i="66" s="1"/>
  <c r="A20" i="66" s="1"/>
  <c r="A21" i="66" s="1"/>
  <c r="A22" i="66" s="1"/>
  <c r="A13" i="66"/>
  <c r="E277" i="132"/>
  <c r="E13" i="133"/>
  <c r="B204" i="82"/>
  <c r="J36" i="82"/>
  <c r="A36" i="82"/>
  <c r="G17" i="86"/>
  <c r="G18" i="86" s="1"/>
  <c r="G19" i="86" s="1"/>
  <c r="G20" i="86" s="1"/>
  <c r="G21" i="86" s="1"/>
  <c r="G22" i="86" s="1"/>
  <c r="G23" i="86" s="1"/>
  <c r="G24" i="86" s="1"/>
  <c r="G25" i="86" s="1"/>
  <c r="G26" i="86" s="1"/>
  <c r="G27" i="86" s="1"/>
  <c r="G28" i="86" s="1"/>
  <c r="G29" i="86" s="1"/>
  <c r="G30" i="86" s="1"/>
  <c r="G31" i="86" s="1"/>
  <c r="G32" i="86" s="1"/>
  <c r="G33" i="86" s="1"/>
  <c r="G34" i="86" s="1"/>
  <c r="G35" i="86" s="1"/>
  <c r="G36" i="86" s="1"/>
  <c r="G37" i="86" s="1"/>
  <c r="G38" i="86" s="1"/>
  <c r="G39" i="86" s="1"/>
  <c r="G40" i="86" s="1"/>
  <c r="G41" i="86" s="1"/>
  <c r="G42" i="86" s="1"/>
  <c r="G43" i="86" s="1"/>
  <c r="G44" i="86" s="1"/>
  <c r="G45" i="86" s="1"/>
  <c r="G46" i="86" s="1"/>
  <c r="G47" i="86" s="1"/>
  <c r="I21" i="34"/>
  <c r="E125" i="132" s="1"/>
  <c r="E27" i="41"/>
  <c r="E43" i="41" s="1"/>
  <c r="F24" i="41"/>
  <c r="F27" i="41" s="1"/>
  <c r="F43" i="41" s="1"/>
  <c r="I14" i="153"/>
  <c r="I15" i="153" s="1"/>
  <c r="I16" i="153" s="1"/>
  <c r="I17" i="153" s="1"/>
  <c r="I18" i="153" s="1"/>
  <c r="I19" i="153" s="1"/>
  <c r="I20" i="153" s="1"/>
  <c r="I21" i="153" s="1"/>
  <c r="I22" i="153" s="1"/>
  <c r="I23" i="153" s="1"/>
  <c r="I24" i="153" s="1"/>
  <c r="I25" i="153" s="1"/>
  <c r="I26" i="153" s="1"/>
  <c r="I27" i="153" s="1"/>
  <c r="I28" i="153" s="1"/>
  <c r="I29" i="153" s="1"/>
  <c r="I30" i="153" s="1"/>
  <c r="I31" i="153" s="1"/>
  <c r="I32" i="153" s="1"/>
  <c r="I33" i="153" s="1"/>
  <c r="I34" i="153" s="1"/>
  <c r="I35" i="153" s="1"/>
  <c r="A14" i="153"/>
  <c r="A15" i="153" s="1"/>
  <c r="A16" i="153" s="1"/>
  <c r="A17" i="153" s="1"/>
  <c r="A18" i="153" s="1"/>
  <c r="A19" i="153" s="1"/>
  <c r="A20" i="153" s="1"/>
  <c r="A21" i="153" s="1"/>
  <c r="A22" i="153" s="1"/>
  <c r="A23" i="153" s="1"/>
  <c r="A24" i="153" s="1"/>
  <c r="A25" i="153" s="1"/>
  <c r="A26" i="153" s="1"/>
  <c r="A27" i="153" s="1"/>
  <c r="A28" i="153" s="1"/>
  <c r="A29" i="153" s="1"/>
  <c r="A30" i="153" s="1"/>
  <c r="A31" i="153" s="1"/>
  <c r="A32" i="153" s="1"/>
  <c r="A33" i="153" s="1"/>
  <c r="A34" i="153" s="1"/>
  <c r="A35" i="153" s="1"/>
  <c r="A17" i="86"/>
  <c r="A18" i="86" s="1"/>
  <c r="A19" i="86" s="1"/>
  <c r="A20" i="86" s="1"/>
  <c r="A21" i="86" s="1"/>
  <c r="A22" i="86" s="1"/>
  <c r="A23" i="86" s="1"/>
  <c r="A24" i="86" s="1"/>
  <c r="A25" i="86" s="1"/>
  <c r="A26" i="86" s="1"/>
  <c r="A27" i="86" s="1"/>
  <c r="A28" i="86" s="1"/>
  <c r="A29" i="86" s="1"/>
  <c r="A30" i="86" s="1"/>
  <c r="A31" i="86" s="1"/>
  <c r="A32" i="86" s="1"/>
  <c r="A33" i="86" s="1"/>
  <c r="K21" i="10"/>
  <c r="K38" i="10" s="1"/>
  <c r="E166" i="132"/>
  <c r="E165" i="144"/>
  <c r="E119" i="132"/>
  <c r="E118" i="144"/>
  <c r="A133" i="144"/>
  <c r="A134" i="144" s="1"/>
  <c r="A135" i="144" s="1"/>
  <c r="A136" i="144" s="1"/>
  <c r="A137" i="144" s="1"/>
  <c r="A138" i="144" s="1"/>
  <c r="A139" i="144" s="1"/>
  <c r="A140" i="144" s="1"/>
  <c r="A141" i="144" s="1"/>
  <c r="A142" i="144" s="1"/>
  <c r="A143" i="144" s="1"/>
  <c r="A144" i="144" s="1"/>
  <c r="A145" i="144" s="1"/>
  <c r="A146" i="144" s="1"/>
  <c r="A147" i="144" s="1"/>
  <c r="A148" i="144" s="1"/>
  <c r="H133" i="144"/>
  <c r="H134" i="144" s="1"/>
  <c r="H135" i="144" s="1"/>
  <c r="H136" i="144" s="1"/>
  <c r="H137" i="144" s="1"/>
  <c r="H138" i="144" s="1"/>
  <c r="H139" i="144" s="1"/>
  <c r="H140" i="144" s="1"/>
  <c r="H141" i="144" s="1"/>
  <c r="H142" i="144" s="1"/>
  <c r="H143" i="144" s="1"/>
  <c r="H144" i="144" s="1"/>
  <c r="H145" i="144" s="1"/>
  <c r="H146" i="144" s="1"/>
  <c r="H147" i="144" s="1"/>
  <c r="H148" i="144" s="1"/>
  <c r="H16" i="144"/>
  <c r="H17" i="144" s="1"/>
  <c r="H18" i="144" s="1"/>
  <c r="A16" i="144"/>
  <c r="A17" i="144" s="1"/>
  <c r="A18" i="144" s="1"/>
  <c r="C24" i="142"/>
  <c r="G38" i="10"/>
  <c r="K14" i="151"/>
  <c r="K15" i="151" s="1"/>
  <c r="A14" i="151"/>
  <c r="A15" i="151" s="1"/>
  <c r="A14" i="152"/>
  <c r="A15" i="152" s="1"/>
  <c r="A16" i="152" s="1"/>
  <c r="I39" i="24"/>
  <c r="E35" i="119"/>
  <c r="A228" i="82"/>
  <c r="A229" i="82" s="1"/>
  <c r="A230" i="82" s="1"/>
  <c r="A231" i="82" s="1"/>
  <c r="A232" i="82" s="1"/>
  <c r="A233" i="82" s="1"/>
  <c r="A234" i="82" s="1"/>
  <c r="A235" i="82" s="1"/>
  <c r="A236" i="82" s="1"/>
  <c r="A237" i="82" s="1"/>
  <c r="A238" i="82" s="1"/>
  <c r="A239" i="82" s="1"/>
  <c r="A240" i="82" s="1"/>
  <c r="A241" i="82" s="1"/>
  <c r="A242" i="82" s="1"/>
  <c r="A243" i="82" s="1"/>
  <c r="A244" i="82" s="1"/>
  <c r="A245" i="82" s="1"/>
  <c r="A246" i="82" s="1"/>
  <c r="J228" i="82"/>
  <c r="J229" i="82" s="1"/>
  <c r="J230" i="82" s="1"/>
  <c r="J231" i="82" s="1"/>
  <c r="J232" i="82" s="1"/>
  <c r="J233" i="82" s="1"/>
  <c r="J234" i="82" s="1"/>
  <c r="J235" i="82" s="1"/>
  <c r="J236" i="82" s="1"/>
  <c r="J237" i="82" s="1"/>
  <c r="J238" i="82" s="1"/>
  <c r="J239" i="82" s="1"/>
  <c r="J240" i="82" s="1"/>
  <c r="J241" i="82" s="1"/>
  <c r="J242" i="82" s="1"/>
  <c r="J243" i="82" s="1"/>
  <c r="J244" i="82" s="1"/>
  <c r="J245" i="82" s="1"/>
  <c r="J246" i="82" s="1"/>
  <c r="J247" i="82" s="1"/>
  <c r="C27" i="142"/>
  <c r="I27" i="2"/>
  <c r="E45" i="40" s="1"/>
  <c r="D22" i="14"/>
  <c r="C17" i="142"/>
  <c r="A26" i="41"/>
  <c r="A27" i="41" s="1"/>
  <c r="A28" i="41" s="1"/>
  <c r="A29" i="41" s="1"/>
  <c r="A30" i="41" s="1"/>
  <c r="A31" i="41" s="1"/>
  <c r="A32" i="41" s="1"/>
  <c r="A33" i="41" s="1"/>
  <c r="A34" i="41" s="1"/>
  <c r="A35" i="41" s="1"/>
  <c r="A36" i="41" s="1"/>
  <c r="A37" i="41" s="1"/>
  <c r="A38" i="41" s="1"/>
  <c r="A39" i="41" s="1"/>
  <c r="A40" i="41" s="1"/>
  <c r="A41" i="41" s="1"/>
  <c r="G43" i="41" s="1"/>
  <c r="I35" i="2"/>
  <c r="E33" i="40" s="1"/>
  <c r="E39" i="40" s="1"/>
  <c r="C20" i="142"/>
  <c r="J139" i="82"/>
  <c r="J140" i="82" s="1"/>
  <c r="J141" i="82" s="1"/>
  <c r="J142" i="82" s="1"/>
  <c r="J143" i="82" s="1"/>
  <c r="J144" i="82" s="1"/>
  <c r="J145" i="82" s="1"/>
  <c r="J146" i="82" s="1"/>
  <c r="J147" i="82" s="1"/>
  <c r="J148" i="82" s="1"/>
  <c r="A139" i="82"/>
  <c r="A140" i="82" s="1"/>
  <c r="A141" i="82" s="1"/>
  <c r="A142" i="82" s="1"/>
  <c r="A143" i="82" s="1"/>
  <c r="A144" i="82" s="1"/>
  <c r="A145" i="82" s="1"/>
  <c r="A146" i="82" s="1"/>
  <c r="A147" i="82" s="1"/>
  <c r="A148" i="82" s="1"/>
  <c r="E20" i="118"/>
  <c r="E221" i="132"/>
  <c r="E266" i="132"/>
  <c r="I25" i="2"/>
  <c r="I37" i="2" s="1"/>
  <c r="F38" i="11"/>
  <c r="G24" i="121"/>
  <c r="J24" i="121" s="1"/>
  <c r="N24" i="121" s="1"/>
  <c r="A323" i="132"/>
  <c r="A324" i="132" s="1"/>
  <c r="A325" i="132" s="1"/>
  <c r="A326" i="132" s="1"/>
  <c r="A327" i="132" s="1"/>
  <c r="A328" i="132" s="1"/>
  <c r="A329" i="132" s="1"/>
  <c r="A330" i="132" s="1"/>
  <c r="A331" i="132" s="1"/>
  <c r="A332" i="132" s="1"/>
  <c r="A333" i="132" s="1"/>
  <c r="A334" i="132" s="1"/>
  <c r="A335" i="132" s="1"/>
  <c r="A336" i="132" s="1"/>
  <c r="A337" i="132" s="1"/>
  <c r="A338" i="132" s="1"/>
  <c r="I13" i="22"/>
  <c r="I21" i="22" s="1"/>
  <c r="I23" i="34"/>
  <c r="E36" i="120"/>
  <c r="F24" i="120"/>
  <c r="E36" i="121"/>
  <c r="B115" i="82"/>
  <c r="E81" i="144"/>
  <c r="C24" i="118"/>
  <c r="E18" i="118"/>
  <c r="C22" i="142"/>
  <c r="C19" i="142"/>
  <c r="H11" i="75"/>
  <c r="H12" i="75" s="1"/>
  <c r="H13" i="75" s="1"/>
  <c r="H14" i="75" s="1"/>
  <c r="H15" i="75" s="1"/>
  <c r="H16" i="75" s="1"/>
  <c r="H17" i="75" s="1"/>
  <c r="H18" i="75" s="1"/>
  <c r="H19" i="75" s="1"/>
  <c r="I19" i="2"/>
  <c r="E43" i="40" s="1"/>
  <c r="E38" i="11"/>
  <c r="I15" i="22"/>
  <c r="I23" i="22" s="1"/>
  <c r="I19" i="34"/>
  <c r="I18" i="151"/>
  <c r="I35" i="151" s="1"/>
  <c r="D24" i="118"/>
  <c r="E222" i="132"/>
  <c r="E58" i="41"/>
  <c r="E15" i="40"/>
  <c r="E22" i="118"/>
  <c r="G16" i="157"/>
  <c r="F17" i="157"/>
  <c r="E29" i="2"/>
  <c r="I29" i="2" s="1"/>
  <c r="E46" i="40" s="1"/>
  <c r="C23" i="142"/>
  <c r="E267" i="132"/>
  <c r="D22" i="27"/>
  <c r="C29" i="158"/>
  <c r="C19" i="158"/>
  <c r="C24" i="158"/>
  <c r="F11" i="117"/>
  <c r="G11" i="117"/>
  <c r="D36" i="86"/>
  <c r="E40" i="86" s="1"/>
  <c r="E220" i="132"/>
  <c r="E265" i="132"/>
  <c r="C52" i="82"/>
  <c r="D50" i="82" s="1"/>
  <c r="C90" i="82"/>
  <c r="D89" i="82" s="1"/>
  <c r="C25" i="142"/>
  <c r="C26" i="142"/>
  <c r="C21" i="142"/>
  <c r="G33" i="153"/>
  <c r="E16" i="75" s="1"/>
  <c r="G25" i="153"/>
  <c r="E81" i="132"/>
  <c r="E24" i="132"/>
  <c r="I18" i="152"/>
  <c r="B104" i="144"/>
  <c r="E15" i="34"/>
  <c r="I15" i="34" s="1"/>
  <c r="E13" i="34"/>
  <c r="I13" i="34" s="1"/>
  <c r="E189" i="132"/>
  <c r="E188" i="144"/>
  <c r="E139" i="144" s="1"/>
  <c r="E17" i="22"/>
  <c r="I17" i="22" s="1"/>
  <c r="I25" i="22" s="1"/>
  <c r="H25" i="116"/>
  <c r="H33" i="116"/>
  <c r="H32" i="116"/>
  <c r="H29" i="116"/>
  <c r="H28" i="116"/>
  <c r="H24" i="116"/>
  <c r="H21" i="116"/>
  <c r="H20" i="116"/>
  <c r="H17" i="116"/>
  <c r="E35" i="116"/>
  <c r="H13" i="116"/>
  <c r="H22" i="116"/>
  <c r="H26" i="116"/>
  <c r="M18" i="116"/>
  <c r="O18" i="116" s="1"/>
  <c r="K18" i="116"/>
  <c r="M26" i="116"/>
  <c r="O26" i="116" s="1"/>
  <c r="K26" i="116"/>
  <c r="G33" i="117"/>
  <c r="J33" i="117" s="1"/>
  <c r="N33" i="117" s="1"/>
  <c r="G29" i="117"/>
  <c r="J29" i="117" s="1"/>
  <c r="N29" i="117" s="1"/>
  <c r="G25" i="117"/>
  <c r="J25" i="117" s="1"/>
  <c r="N25" i="117" s="1"/>
  <c r="G21" i="117"/>
  <c r="J21" i="117" s="1"/>
  <c r="N21" i="117" s="1"/>
  <c r="G17" i="117"/>
  <c r="J17" i="117" s="1"/>
  <c r="N17" i="117" s="1"/>
  <c r="G13" i="117"/>
  <c r="J13" i="117" s="1"/>
  <c r="N13" i="117" s="1"/>
  <c r="F33" i="117"/>
  <c r="F29" i="117"/>
  <c r="F25" i="117"/>
  <c r="F21" i="117"/>
  <c r="F17" i="117"/>
  <c r="F13" i="117"/>
  <c r="G32" i="117"/>
  <c r="J32" i="117" s="1"/>
  <c r="N32" i="117" s="1"/>
  <c r="G28" i="117"/>
  <c r="J28" i="117" s="1"/>
  <c r="N28" i="117" s="1"/>
  <c r="G24" i="117"/>
  <c r="J24" i="117" s="1"/>
  <c r="N24" i="117" s="1"/>
  <c r="G20" i="117"/>
  <c r="J20" i="117" s="1"/>
  <c r="N20" i="117" s="1"/>
  <c r="G16" i="117"/>
  <c r="J16" i="117" s="1"/>
  <c r="N16" i="117" s="1"/>
  <c r="G12" i="117"/>
  <c r="J12" i="117" s="1"/>
  <c r="N12" i="117" s="1"/>
  <c r="F32" i="117"/>
  <c r="F28" i="117"/>
  <c r="F24" i="117"/>
  <c r="F20" i="117"/>
  <c r="F16" i="117"/>
  <c r="F12" i="117"/>
  <c r="G31" i="117"/>
  <c r="J31" i="117" s="1"/>
  <c r="N31" i="117" s="1"/>
  <c r="G27" i="117"/>
  <c r="J27" i="117" s="1"/>
  <c r="N27" i="117" s="1"/>
  <c r="G23" i="117"/>
  <c r="J23" i="117" s="1"/>
  <c r="N23" i="117" s="1"/>
  <c r="G19" i="117"/>
  <c r="J19" i="117" s="1"/>
  <c r="N19" i="117" s="1"/>
  <c r="G15" i="117"/>
  <c r="J15" i="117" s="1"/>
  <c r="N15" i="117" s="1"/>
  <c r="F31" i="117"/>
  <c r="F27" i="117"/>
  <c r="F23" i="117"/>
  <c r="F19" i="117"/>
  <c r="F15" i="117"/>
  <c r="G22" i="117"/>
  <c r="J22" i="117" s="1"/>
  <c r="N22" i="117" s="1"/>
  <c r="F30" i="117"/>
  <c r="F14" i="117"/>
  <c r="G26" i="117"/>
  <c r="J26" i="117" s="1"/>
  <c r="N26" i="117" s="1"/>
  <c r="F18" i="117"/>
  <c r="G34" i="117"/>
  <c r="J34" i="117" s="1"/>
  <c r="N34" i="117" s="1"/>
  <c r="G18" i="117"/>
  <c r="J18" i="117" s="1"/>
  <c r="N18" i="117" s="1"/>
  <c r="F26" i="117"/>
  <c r="F34" i="117"/>
  <c r="G30" i="117"/>
  <c r="J30" i="117" s="1"/>
  <c r="N30" i="117" s="1"/>
  <c r="G14" i="117"/>
  <c r="J14" i="117" s="1"/>
  <c r="N14" i="117" s="1"/>
  <c r="F22" i="117"/>
  <c r="H14" i="116"/>
  <c r="H16" i="116"/>
  <c r="F35" i="116"/>
  <c r="I11" i="116"/>
  <c r="H11" i="116"/>
  <c r="H15" i="116"/>
  <c r="I15" i="116"/>
  <c r="H19" i="116"/>
  <c r="I19" i="116"/>
  <c r="H23" i="116"/>
  <c r="I23" i="116"/>
  <c r="H27" i="116"/>
  <c r="I27" i="116"/>
  <c r="H31" i="116"/>
  <c r="I31" i="116"/>
  <c r="G35" i="116"/>
  <c r="J11" i="116"/>
  <c r="M14" i="116"/>
  <c r="O14" i="116" s="1"/>
  <c r="K14" i="116"/>
  <c r="K30" i="116"/>
  <c r="M30" i="116"/>
  <c r="O30" i="116" s="1"/>
  <c r="I12" i="116"/>
  <c r="H12" i="116"/>
  <c r="M16" i="116"/>
  <c r="O16" i="116" s="1"/>
  <c r="K16" i="116"/>
  <c r="M20" i="116"/>
  <c r="O20" i="116" s="1"/>
  <c r="K20" i="116"/>
  <c r="M24" i="116"/>
  <c r="O24" i="116" s="1"/>
  <c r="K24" i="116"/>
  <c r="M28" i="116"/>
  <c r="O28" i="116" s="1"/>
  <c r="K28" i="116"/>
  <c r="M32" i="116"/>
  <c r="O32" i="116" s="1"/>
  <c r="K32" i="116"/>
  <c r="K22" i="116"/>
  <c r="M22" i="116"/>
  <c r="O22" i="116" s="1"/>
  <c r="M34" i="116"/>
  <c r="O34" i="116" s="1"/>
  <c r="K34" i="116"/>
  <c r="H34" i="116"/>
  <c r="H18" i="116"/>
  <c r="H30" i="116"/>
  <c r="M13" i="116"/>
  <c r="O13" i="116" s="1"/>
  <c r="K13" i="116"/>
  <c r="M17" i="116"/>
  <c r="O17" i="116" s="1"/>
  <c r="K17" i="116"/>
  <c r="M21" i="116"/>
  <c r="O21" i="116" s="1"/>
  <c r="K21" i="116"/>
  <c r="M25" i="116"/>
  <c r="O25" i="116" s="1"/>
  <c r="K25" i="116"/>
  <c r="M29" i="116"/>
  <c r="O29" i="116" s="1"/>
  <c r="K29" i="116"/>
  <c r="M33" i="116"/>
  <c r="O33" i="116" s="1"/>
  <c r="K33" i="116"/>
  <c r="E13" i="118"/>
  <c r="D15" i="118"/>
  <c r="E11" i="118"/>
  <c r="C15" i="118"/>
  <c r="C26" i="118" s="1"/>
  <c r="E49" i="82"/>
  <c r="E23" i="77"/>
  <c r="E22" i="40"/>
  <c r="E25" i="40" s="1"/>
  <c r="E173" i="132"/>
  <c r="G140" i="82"/>
  <c r="G34" i="121"/>
  <c r="J34" i="121" s="1"/>
  <c r="N34" i="121" s="1"/>
  <c r="G32" i="121"/>
  <c r="J32" i="121" s="1"/>
  <c r="N32" i="121" s="1"/>
  <c r="G30" i="121"/>
  <c r="J30" i="121" s="1"/>
  <c r="N30" i="121" s="1"/>
  <c r="G28" i="121"/>
  <c r="J28" i="121" s="1"/>
  <c r="N28" i="121" s="1"/>
  <c r="G26" i="121"/>
  <c r="J26" i="121" s="1"/>
  <c r="N26" i="121" s="1"/>
  <c r="G20" i="121"/>
  <c r="J20" i="121" s="1"/>
  <c r="N20" i="121" s="1"/>
  <c r="G18" i="121"/>
  <c r="J18" i="121" s="1"/>
  <c r="N18" i="121" s="1"/>
  <c r="G16" i="121"/>
  <c r="J16" i="121" s="1"/>
  <c r="N16" i="121" s="1"/>
  <c r="G14" i="121"/>
  <c r="J14" i="121" s="1"/>
  <c r="N14" i="121" s="1"/>
  <c r="G12" i="121"/>
  <c r="G35" i="121"/>
  <c r="J35" i="121" s="1"/>
  <c r="N35" i="121" s="1"/>
  <c r="F33" i="121"/>
  <c r="F30" i="121"/>
  <c r="G27" i="121"/>
  <c r="J27" i="121" s="1"/>
  <c r="N27" i="121" s="1"/>
  <c r="F25" i="121"/>
  <c r="F22" i="121"/>
  <c r="G19" i="121"/>
  <c r="J19" i="121" s="1"/>
  <c r="N19" i="121" s="1"/>
  <c r="F17" i="121"/>
  <c r="F14" i="121"/>
  <c r="F35" i="121"/>
  <c r="F32" i="121"/>
  <c r="G29" i="121"/>
  <c r="J29" i="121" s="1"/>
  <c r="N29" i="121" s="1"/>
  <c r="F27" i="121"/>
  <c r="F24" i="121"/>
  <c r="G21" i="121"/>
  <c r="J21" i="121" s="1"/>
  <c r="N21" i="121" s="1"/>
  <c r="F19" i="121"/>
  <c r="F16" i="121"/>
  <c r="G13" i="121"/>
  <c r="J13" i="121" s="1"/>
  <c r="N13" i="121" s="1"/>
  <c r="F34" i="121"/>
  <c r="G31" i="121"/>
  <c r="J31" i="121" s="1"/>
  <c r="N31" i="121" s="1"/>
  <c r="F29" i="121"/>
  <c r="F26" i="121"/>
  <c r="G23" i="121"/>
  <c r="J23" i="121" s="1"/>
  <c r="N23" i="121" s="1"/>
  <c r="F21" i="121"/>
  <c r="F18" i="121"/>
  <c r="G15" i="121"/>
  <c r="J15" i="121" s="1"/>
  <c r="N15" i="121" s="1"/>
  <c r="F13" i="121"/>
  <c r="F28" i="121"/>
  <c r="G17" i="121"/>
  <c r="J17" i="121" s="1"/>
  <c r="N17" i="121" s="1"/>
  <c r="G33" i="121"/>
  <c r="J33" i="121" s="1"/>
  <c r="N33" i="121" s="1"/>
  <c r="F23" i="121"/>
  <c r="F12" i="121"/>
  <c r="F31" i="121"/>
  <c r="G25" i="121"/>
  <c r="J25" i="121" s="1"/>
  <c r="N25" i="121" s="1"/>
  <c r="F20" i="121"/>
  <c r="F15" i="121"/>
  <c r="E23" i="158"/>
  <c r="E18" i="158"/>
  <c r="E33" i="158" s="1"/>
  <c r="E28" i="158"/>
  <c r="E19" i="46"/>
  <c r="F26" i="120"/>
  <c r="G35" i="120"/>
  <c r="J35" i="120" s="1"/>
  <c r="N35" i="120" s="1"/>
  <c r="G19" i="120"/>
  <c r="J19" i="120" s="1"/>
  <c r="N19" i="120" s="1"/>
  <c r="F27" i="120"/>
  <c r="G34" i="120"/>
  <c r="J34" i="120" s="1"/>
  <c r="N34" i="120" s="1"/>
  <c r="G28" i="120"/>
  <c r="J28" i="120" s="1"/>
  <c r="N28" i="120" s="1"/>
  <c r="G34" i="119"/>
  <c r="J34" i="119" s="1"/>
  <c r="N34" i="119" s="1"/>
  <c r="G32" i="119"/>
  <c r="J32" i="119" s="1"/>
  <c r="N32" i="119" s="1"/>
  <c r="G30" i="119"/>
  <c r="J30" i="119" s="1"/>
  <c r="N30" i="119" s="1"/>
  <c r="G28" i="119"/>
  <c r="J28" i="119" s="1"/>
  <c r="N28" i="119" s="1"/>
  <c r="G26" i="119"/>
  <c r="J26" i="119" s="1"/>
  <c r="N26" i="119" s="1"/>
  <c r="G24" i="119"/>
  <c r="J24" i="119" s="1"/>
  <c r="N24" i="119" s="1"/>
  <c r="G22" i="119"/>
  <c r="J22" i="119" s="1"/>
  <c r="N22" i="119" s="1"/>
  <c r="G20" i="119"/>
  <c r="J20" i="119" s="1"/>
  <c r="N20" i="119" s="1"/>
  <c r="F34" i="119"/>
  <c r="F32" i="119"/>
  <c r="F30" i="119"/>
  <c r="F28" i="119"/>
  <c r="F26" i="119"/>
  <c r="F24" i="119"/>
  <c r="F22" i="119"/>
  <c r="F20" i="119"/>
  <c r="F31" i="119"/>
  <c r="F27" i="119"/>
  <c r="F23" i="119"/>
  <c r="F19" i="119"/>
  <c r="F17" i="119"/>
  <c r="F15" i="119"/>
  <c r="F13" i="119"/>
  <c r="F11" i="119"/>
  <c r="F33" i="119"/>
  <c r="G27" i="119"/>
  <c r="J27" i="119" s="1"/>
  <c r="N27" i="119" s="1"/>
  <c r="G21" i="119"/>
  <c r="J21" i="119" s="1"/>
  <c r="N21" i="119" s="1"/>
  <c r="F18" i="119"/>
  <c r="G15" i="119"/>
  <c r="J15" i="119" s="1"/>
  <c r="N15" i="119" s="1"/>
  <c r="G12" i="119"/>
  <c r="J12" i="119" s="1"/>
  <c r="N12" i="119" s="1"/>
  <c r="G31" i="119"/>
  <c r="J31" i="119" s="1"/>
  <c r="N31" i="119" s="1"/>
  <c r="G25" i="119"/>
  <c r="J25" i="119" s="1"/>
  <c r="N25" i="119" s="1"/>
  <c r="F21" i="119"/>
  <c r="G17" i="119"/>
  <c r="J17" i="119" s="1"/>
  <c r="N17" i="119" s="1"/>
  <c r="G14" i="119"/>
  <c r="J14" i="119" s="1"/>
  <c r="N14" i="119" s="1"/>
  <c r="F12" i="119"/>
  <c r="G29" i="119"/>
  <c r="J29" i="119" s="1"/>
  <c r="N29" i="119" s="1"/>
  <c r="F25" i="119"/>
  <c r="G19" i="119"/>
  <c r="J19" i="119" s="1"/>
  <c r="N19" i="119" s="1"/>
  <c r="G16" i="119"/>
  <c r="J16" i="119" s="1"/>
  <c r="N16" i="119" s="1"/>
  <c r="F14" i="119"/>
  <c r="G11" i="119"/>
  <c r="G23" i="119"/>
  <c r="J23" i="119" s="1"/>
  <c r="N23" i="119" s="1"/>
  <c r="G18" i="119"/>
  <c r="J18" i="119" s="1"/>
  <c r="N18" i="119" s="1"/>
  <c r="G33" i="119"/>
  <c r="J33" i="119" s="1"/>
  <c r="N33" i="119" s="1"/>
  <c r="F16" i="119"/>
  <c r="F29" i="119"/>
  <c r="G13" i="119"/>
  <c r="J13" i="119" s="1"/>
  <c r="N13" i="119" s="1"/>
  <c r="J37" i="82" l="1"/>
  <c r="J38" i="82" s="1"/>
  <c r="J39" i="82" s="1"/>
  <c r="J40" i="82" s="1"/>
  <c r="J41" i="82" s="1"/>
  <c r="J42" i="82" s="1"/>
  <c r="J43" i="82" s="1"/>
  <c r="J44" i="82" s="1"/>
  <c r="J45" i="82" s="1"/>
  <c r="J46" i="82" s="1"/>
  <c r="J47" i="82" s="1"/>
  <c r="J48" i="82" s="1"/>
  <c r="J49" i="82" s="1"/>
  <c r="J50" i="82" s="1"/>
  <c r="J51" i="82" s="1"/>
  <c r="J52" i="82" s="1"/>
  <c r="J53" i="82" s="1"/>
  <c r="J54" i="82" s="1"/>
  <c r="J55" i="82" s="1"/>
  <c r="A37" i="82"/>
  <c r="A38" i="82" s="1"/>
  <c r="A39" i="82" s="1"/>
  <c r="A40" i="82" s="1"/>
  <c r="A41" i="82" s="1"/>
  <c r="A42" i="82" s="1"/>
  <c r="A43" i="82" s="1"/>
  <c r="A44" i="82" s="1"/>
  <c r="A45" i="82" s="1"/>
  <c r="A46" i="82" s="1"/>
  <c r="A47" i="82" s="1"/>
  <c r="A48" i="82" s="1"/>
  <c r="A49" i="82" s="1"/>
  <c r="A50" i="82" s="1"/>
  <c r="A51" i="82" s="1"/>
  <c r="A52" i="82" s="1"/>
  <c r="A53" i="82" s="1"/>
  <c r="A54" i="82" s="1"/>
  <c r="A55" i="82" s="1"/>
  <c r="A80" i="132"/>
  <c r="A81" i="132" s="1"/>
  <c r="D87" i="82"/>
  <c r="D51" i="82"/>
  <c r="G51" i="82" s="1"/>
  <c r="D88" i="82"/>
  <c r="G88" i="82" s="1"/>
  <c r="G63" i="82"/>
  <c r="G65" i="82" s="1"/>
  <c r="G194" i="82" s="1"/>
  <c r="D49" i="82"/>
  <c r="G89" i="82"/>
  <c r="D103" i="82"/>
  <c r="G267" i="82"/>
  <c r="J248" i="82"/>
  <c r="J249" i="82" s="1"/>
  <c r="J250" i="82" s="1"/>
  <c r="J251" i="82" s="1"/>
  <c r="J252" i="82" s="1"/>
  <c r="J253" i="82" s="1"/>
  <c r="J254" i="82" s="1"/>
  <c r="J255" i="82" s="1"/>
  <c r="J256" i="82" s="1"/>
  <c r="J257" i="82" s="1"/>
  <c r="J258" i="82" s="1"/>
  <c r="J259" i="82" s="1"/>
  <c r="J260" i="82" s="1"/>
  <c r="J261" i="82" s="1"/>
  <c r="J262" i="82" s="1"/>
  <c r="J263" i="82" s="1"/>
  <c r="J264" i="82" s="1"/>
  <c r="J265" i="82" s="1"/>
  <c r="J266" i="82" s="1"/>
  <c r="J267" i="82" s="1"/>
  <c r="J268" i="82" s="1"/>
  <c r="J269" i="82" s="1"/>
  <c r="J270" i="82" s="1"/>
  <c r="J271" i="82" s="1"/>
  <c r="J272" i="82" s="1"/>
  <c r="J273" i="82" s="1"/>
  <c r="J274" i="82" s="1"/>
  <c r="J275" i="82" s="1"/>
  <c r="J276" i="82" s="1"/>
  <c r="J277" i="82" s="1"/>
  <c r="J278" i="82" s="1"/>
  <c r="J279" i="82" s="1"/>
  <c r="J280" i="82" s="1"/>
  <c r="J281" i="82" s="1"/>
  <c r="J282" i="82" s="1"/>
  <c r="J283" i="82" s="1"/>
  <c r="A247" i="82"/>
  <c r="A248" i="82" s="1"/>
  <c r="A249" i="82" s="1"/>
  <c r="A250" i="82" s="1"/>
  <c r="A251" i="82" s="1"/>
  <c r="A252" i="82" s="1"/>
  <c r="A253" i="82" s="1"/>
  <c r="A254" i="82" s="1"/>
  <c r="A255" i="82" s="1"/>
  <c r="A256" i="82" s="1"/>
  <c r="A257" i="82" s="1"/>
  <c r="A258" i="82" s="1"/>
  <c r="A259" i="82" s="1"/>
  <c r="A260" i="82" s="1"/>
  <c r="A261" i="82" s="1"/>
  <c r="A262" i="82" s="1"/>
  <c r="A263" i="82" s="1"/>
  <c r="A264" i="82" s="1"/>
  <c r="A265" i="82" s="1"/>
  <c r="A266" i="82" s="1"/>
  <c r="A267" i="82" s="1"/>
  <c r="A268" i="82" s="1"/>
  <c r="A269" i="82" s="1"/>
  <c r="A270" i="82" s="1"/>
  <c r="A271" i="82" s="1"/>
  <c r="A272" i="82" s="1"/>
  <c r="A273" i="82" s="1"/>
  <c r="A274" i="82" s="1"/>
  <c r="A275" i="82" s="1"/>
  <c r="A276" i="82" s="1"/>
  <c r="A277" i="82" s="1"/>
  <c r="A278" i="82" s="1"/>
  <c r="A279" i="82" s="1"/>
  <c r="A280" i="82" s="1"/>
  <c r="A281" i="82" s="1"/>
  <c r="A282" i="82" s="1"/>
  <c r="A283" i="82" s="1"/>
  <c r="A284" i="82" s="1"/>
  <c r="A285" i="82" s="1"/>
  <c r="A286" i="82" s="1"/>
  <c r="A287" i="82" s="1"/>
  <c r="G103" i="82"/>
  <c r="G283" i="82" s="1"/>
  <c r="H27" i="40"/>
  <c r="H28" i="40" s="1"/>
  <c r="E124" i="144"/>
  <c r="E120" i="144"/>
  <c r="A24" i="133"/>
  <c r="A25" i="133" s="1"/>
  <c r="A26" i="133" s="1"/>
  <c r="A27" i="133" s="1"/>
  <c r="A28" i="133" s="1"/>
  <c r="A29" i="133" s="1"/>
  <c r="A30" i="133" s="1"/>
  <c r="A31" i="133" s="1"/>
  <c r="A32" i="133" s="1"/>
  <c r="A33" i="133" s="1"/>
  <c r="A34" i="133" s="1"/>
  <c r="A35" i="133" s="1"/>
  <c r="A36" i="133" s="1"/>
  <c r="A37" i="133" s="1"/>
  <c r="A38" i="133" s="1"/>
  <c r="A39" i="133" s="1"/>
  <c r="A40" i="133" s="1"/>
  <c r="A41" i="133" s="1"/>
  <c r="A42" i="133" s="1"/>
  <c r="A43" i="133" s="1"/>
  <c r="A44" i="133" s="1"/>
  <c r="E121" i="132"/>
  <c r="E140" i="132"/>
  <c r="A149" i="82"/>
  <c r="A150" i="82" s="1"/>
  <c r="A151" i="82" s="1"/>
  <c r="A152" i="82" s="1"/>
  <c r="A153" i="82" s="1"/>
  <c r="J149" i="82"/>
  <c r="J150" i="82" s="1"/>
  <c r="J151" i="82" s="1"/>
  <c r="J152" i="82" s="1"/>
  <c r="J153" i="82" s="1"/>
  <c r="H71" i="132"/>
  <c r="H72" i="132" s="1"/>
  <c r="H73" i="132" s="1"/>
  <c r="H74" i="132" s="1"/>
  <c r="H75" i="132" s="1"/>
  <c r="H76" i="132" s="1"/>
  <c r="H77" i="132" s="1"/>
  <c r="H78" i="132" s="1"/>
  <c r="H79" i="132" s="1"/>
  <c r="H80" i="132" s="1"/>
  <c r="E34" i="158"/>
  <c r="E19" i="156" s="1"/>
  <c r="G33" i="158"/>
  <c r="G34" i="158" s="1"/>
  <c r="G19" i="156" s="1"/>
  <c r="A17" i="40"/>
  <c r="A18" i="40" s="1"/>
  <c r="A19" i="40" s="1"/>
  <c r="G18" i="120"/>
  <c r="J18" i="120" s="1"/>
  <c r="N18" i="120" s="1"/>
  <c r="F13" i="120"/>
  <c r="F29" i="120"/>
  <c r="G21" i="120"/>
  <c r="J21" i="120" s="1"/>
  <c r="N21" i="120" s="1"/>
  <c r="F12" i="120"/>
  <c r="F28" i="120"/>
  <c r="G32" i="120"/>
  <c r="J32" i="120" s="1"/>
  <c r="N32" i="120" s="1"/>
  <c r="F15" i="120"/>
  <c r="I15" i="120" s="1"/>
  <c r="F31" i="120"/>
  <c r="I31" i="120" s="1"/>
  <c r="G23" i="120"/>
  <c r="J23" i="120" s="1"/>
  <c r="N23" i="120" s="1"/>
  <c r="F14" i="120"/>
  <c r="F30" i="120"/>
  <c r="G20" i="120"/>
  <c r="J20" i="120" s="1"/>
  <c r="N20" i="120" s="1"/>
  <c r="F17" i="120"/>
  <c r="F33" i="120"/>
  <c r="I33" i="120" s="1"/>
  <c r="G25" i="120"/>
  <c r="J25" i="120" s="1"/>
  <c r="N25" i="120" s="1"/>
  <c r="F16" i="120"/>
  <c r="I16" i="120" s="1"/>
  <c r="F32" i="120"/>
  <c r="G14" i="120"/>
  <c r="J14" i="120" s="1"/>
  <c r="N14" i="120" s="1"/>
  <c r="F19" i="120"/>
  <c r="F35" i="120"/>
  <c r="G27" i="120"/>
  <c r="J27" i="120" s="1"/>
  <c r="N27" i="120" s="1"/>
  <c r="F18" i="120"/>
  <c r="I18" i="120" s="1"/>
  <c r="F34" i="120"/>
  <c r="H34" i="120" s="1"/>
  <c r="G12" i="120"/>
  <c r="J12" i="120" s="1"/>
  <c r="G22" i="120"/>
  <c r="J22" i="120" s="1"/>
  <c r="N22" i="120" s="1"/>
  <c r="F21" i="120"/>
  <c r="G13" i="120"/>
  <c r="J13" i="120" s="1"/>
  <c r="N13" i="120" s="1"/>
  <c r="G29" i="120"/>
  <c r="J29" i="120" s="1"/>
  <c r="N29" i="120" s="1"/>
  <c r="F20" i="120"/>
  <c r="G24" i="120"/>
  <c r="J24" i="120" s="1"/>
  <c r="N24" i="120" s="1"/>
  <c r="G30" i="120"/>
  <c r="J30" i="120" s="1"/>
  <c r="N30" i="120" s="1"/>
  <c r="F23" i="120"/>
  <c r="H23" i="120" s="1"/>
  <c r="G15" i="120"/>
  <c r="J15" i="120" s="1"/>
  <c r="N15" i="120" s="1"/>
  <c r="G31" i="120"/>
  <c r="J31" i="120" s="1"/>
  <c r="N31" i="120" s="1"/>
  <c r="F22" i="120"/>
  <c r="G16" i="120"/>
  <c r="J16" i="120" s="1"/>
  <c r="N16" i="120" s="1"/>
  <c r="G26" i="120"/>
  <c r="J26" i="120" s="1"/>
  <c r="N26" i="120" s="1"/>
  <c r="F25" i="120"/>
  <c r="I25" i="120" s="1"/>
  <c r="G17" i="120"/>
  <c r="J17" i="120" s="1"/>
  <c r="N17" i="120" s="1"/>
  <c r="G33" i="120"/>
  <c r="J33" i="120" s="1"/>
  <c r="N33" i="120" s="1"/>
  <c r="E146" i="132"/>
  <c r="E145" i="144"/>
  <c r="E141" i="132"/>
  <c r="E140" i="144"/>
  <c r="G22" i="121"/>
  <c r="J22" i="121" s="1"/>
  <c r="N22" i="121" s="1"/>
  <c r="E27" i="40"/>
  <c r="E36" i="132"/>
  <c r="E36" i="144"/>
  <c r="A34" i="86"/>
  <c r="A35" i="86" s="1"/>
  <c r="A36" i="86" s="1"/>
  <c r="A37" i="86" s="1"/>
  <c r="A38" i="86" s="1"/>
  <c r="A39" i="86" s="1"/>
  <c r="A40" i="86" s="1"/>
  <c r="A41" i="86" s="1"/>
  <c r="A42" i="86" s="1"/>
  <c r="A43" i="86" s="1"/>
  <c r="A44" i="86" s="1"/>
  <c r="A45" i="86" s="1"/>
  <c r="A46" i="86" s="1"/>
  <c r="A47" i="86" s="1"/>
  <c r="E176" i="132"/>
  <c r="E175" i="144"/>
  <c r="I39" i="2"/>
  <c r="E175" i="132"/>
  <c r="E174" i="144"/>
  <c r="E174" i="132"/>
  <c r="E173" i="144"/>
  <c r="E47" i="40"/>
  <c r="E167" i="132"/>
  <c r="E166" i="144"/>
  <c r="A19" i="144"/>
  <c r="A20" i="144" s="1"/>
  <c r="A21" i="144" s="1"/>
  <c r="A22" i="144" s="1"/>
  <c r="A23" i="144" s="1"/>
  <c r="A24" i="144" s="1"/>
  <c r="H19" i="144"/>
  <c r="H20" i="144" s="1"/>
  <c r="H21" i="144" s="1"/>
  <c r="H22" i="144" s="1"/>
  <c r="H23" i="144" s="1"/>
  <c r="H24" i="144" s="1"/>
  <c r="A16" i="151"/>
  <c r="A17" i="151" s="1"/>
  <c r="A18" i="151" s="1"/>
  <c r="A19" i="151" s="1"/>
  <c r="A20" i="151" s="1"/>
  <c r="A21" i="151" s="1"/>
  <c r="A22" i="151" s="1"/>
  <c r="A23" i="151" s="1"/>
  <c r="A24" i="151" s="1"/>
  <c r="A25" i="151" s="1"/>
  <c r="A26" i="151" s="1"/>
  <c r="A27" i="151" s="1"/>
  <c r="A28" i="151" s="1"/>
  <c r="A29" i="151" s="1"/>
  <c r="A30" i="151" s="1"/>
  <c r="A31" i="151" s="1"/>
  <c r="A32" i="151" s="1"/>
  <c r="A33" i="151" s="1"/>
  <c r="A34" i="151" s="1"/>
  <c r="A35" i="151" s="1"/>
  <c r="K16" i="151"/>
  <c r="K17" i="151" s="1"/>
  <c r="K18" i="151" s="1"/>
  <c r="K19" i="151" s="1"/>
  <c r="K20" i="151" s="1"/>
  <c r="K21" i="151" s="1"/>
  <c r="K22" i="151" s="1"/>
  <c r="K23" i="151" s="1"/>
  <c r="K24" i="151" s="1"/>
  <c r="K25" i="151" s="1"/>
  <c r="K26" i="151" s="1"/>
  <c r="K27" i="151" s="1"/>
  <c r="K28" i="151" s="1"/>
  <c r="K29" i="151" s="1"/>
  <c r="K30" i="151" s="1"/>
  <c r="K31" i="151" s="1"/>
  <c r="K32" i="151" s="1"/>
  <c r="K33" i="151" s="1"/>
  <c r="K34" i="151" s="1"/>
  <c r="K35" i="151" s="1"/>
  <c r="A17" i="152"/>
  <c r="A18" i="152" s="1"/>
  <c r="A19" i="152" s="1"/>
  <c r="A20" i="152" s="1"/>
  <c r="A21" i="152" s="1"/>
  <c r="A22" i="152" s="1"/>
  <c r="A23" i="152" s="1"/>
  <c r="A24" i="152" s="1"/>
  <c r="A25" i="152" s="1"/>
  <c r="A26" i="152" s="1"/>
  <c r="A27" i="152" s="1"/>
  <c r="A28" i="152" s="1"/>
  <c r="A29" i="152" s="1"/>
  <c r="A30" i="152" s="1"/>
  <c r="A31" i="152" s="1"/>
  <c r="A32" i="152" s="1"/>
  <c r="A33" i="152" s="1"/>
  <c r="A34" i="152" s="1"/>
  <c r="A35" i="152" s="1"/>
  <c r="L18" i="152"/>
  <c r="L19" i="152" s="1"/>
  <c r="L20" i="152" s="1"/>
  <c r="L21" i="152" s="1"/>
  <c r="L22" i="152" s="1"/>
  <c r="L23" i="152" s="1"/>
  <c r="L24" i="152" s="1"/>
  <c r="L25" i="152" s="1"/>
  <c r="L26" i="152" s="1"/>
  <c r="L27" i="152" s="1"/>
  <c r="L28" i="152" s="1"/>
  <c r="L29" i="152" s="1"/>
  <c r="L30" i="152" s="1"/>
  <c r="L31" i="152" s="1"/>
  <c r="L32" i="152" s="1"/>
  <c r="L33" i="152" s="1"/>
  <c r="L34" i="152" s="1"/>
  <c r="L35" i="152" s="1"/>
  <c r="G87" i="82"/>
  <c r="I27" i="22"/>
  <c r="D26" i="118"/>
  <c r="E24" i="118"/>
  <c r="E15" i="75"/>
  <c r="E17" i="75" s="1"/>
  <c r="G35" i="153"/>
  <c r="F40" i="86"/>
  <c r="F42" i="86" s="1"/>
  <c r="D42" i="86"/>
  <c r="I35" i="152"/>
  <c r="G11" i="34"/>
  <c r="G17" i="34" s="1"/>
  <c r="E11" i="34"/>
  <c r="G41" i="41"/>
  <c r="I31" i="2"/>
  <c r="I41" i="2"/>
  <c r="G17" i="157"/>
  <c r="F18" i="157"/>
  <c r="E42" i="86"/>
  <c r="H28" i="133"/>
  <c r="H41" i="133" s="1"/>
  <c r="G50" i="82"/>
  <c r="E21" i="46"/>
  <c r="E25" i="46"/>
  <c r="E23" i="46"/>
  <c r="E22" i="69"/>
  <c r="E11" i="132"/>
  <c r="E179" i="144"/>
  <c r="E180" i="132"/>
  <c r="G23" i="158"/>
  <c r="G24" i="158" s="1"/>
  <c r="G15" i="156" s="1"/>
  <c r="E24" i="158"/>
  <c r="E15" i="156" s="1"/>
  <c r="G18" i="158"/>
  <c r="G19" i="158" s="1"/>
  <c r="G13" i="156" s="1"/>
  <c r="E19" i="158"/>
  <c r="E13" i="156" s="1"/>
  <c r="E29" i="158"/>
  <c r="E17" i="156" s="1"/>
  <c r="G28" i="158"/>
  <c r="G29" i="158" s="1"/>
  <c r="G17" i="156" s="1"/>
  <c r="I35" i="116"/>
  <c r="I45" i="116" s="1"/>
  <c r="M11" i="116"/>
  <c r="K11" i="116"/>
  <c r="I26" i="117"/>
  <c r="H26" i="117"/>
  <c r="H12" i="117"/>
  <c r="I12" i="117"/>
  <c r="H28" i="117"/>
  <c r="I28" i="117"/>
  <c r="H13" i="117"/>
  <c r="I13" i="117"/>
  <c r="I29" i="117"/>
  <c r="H29" i="117"/>
  <c r="M31" i="116"/>
  <c r="O31" i="116" s="1"/>
  <c r="K31" i="116"/>
  <c r="M23" i="116"/>
  <c r="O23" i="116" s="1"/>
  <c r="K23" i="116"/>
  <c r="M15" i="116"/>
  <c r="O15" i="116" s="1"/>
  <c r="K15" i="116"/>
  <c r="H14" i="117"/>
  <c r="I14" i="117"/>
  <c r="I15" i="117"/>
  <c r="H15" i="117"/>
  <c r="I31" i="117"/>
  <c r="H31" i="117"/>
  <c r="H16" i="117"/>
  <c r="I16" i="117"/>
  <c r="H32" i="117"/>
  <c r="I32" i="117"/>
  <c r="H17" i="117"/>
  <c r="I17" i="117"/>
  <c r="I33" i="117"/>
  <c r="H33" i="117"/>
  <c r="I11" i="117"/>
  <c r="F35" i="117"/>
  <c r="H11" i="117"/>
  <c r="I27" i="117"/>
  <c r="H27" i="117"/>
  <c r="M12" i="116"/>
  <c r="O12" i="116" s="1"/>
  <c r="K12" i="116"/>
  <c r="I30" i="117"/>
  <c r="H30" i="117"/>
  <c r="I19" i="117"/>
  <c r="H19" i="117"/>
  <c r="G35" i="117"/>
  <c r="J11" i="117"/>
  <c r="H20" i="117"/>
  <c r="I20" i="117"/>
  <c r="H21" i="117"/>
  <c r="I21" i="117"/>
  <c r="H22" i="117"/>
  <c r="I22" i="117"/>
  <c r="J35" i="116"/>
  <c r="J45" i="116" s="1"/>
  <c r="N11" i="116"/>
  <c r="N35" i="116" s="1"/>
  <c r="M27" i="116"/>
  <c r="O27" i="116" s="1"/>
  <c r="K27" i="116"/>
  <c r="M19" i="116"/>
  <c r="O19" i="116" s="1"/>
  <c r="K19" i="116"/>
  <c r="H35" i="116"/>
  <c r="I34" i="117"/>
  <c r="H34" i="117"/>
  <c r="H18" i="117"/>
  <c r="I18" i="117"/>
  <c r="I23" i="117"/>
  <c r="H23" i="117"/>
  <c r="H24" i="117"/>
  <c r="I24" i="117"/>
  <c r="H25" i="117"/>
  <c r="I25" i="117"/>
  <c r="E15" i="118"/>
  <c r="E26" i="118" s="1"/>
  <c r="I23" i="119"/>
  <c r="H23" i="119"/>
  <c r="I29" i="120"/>
  <c r="H29" i="120"/>
  <c r="I12" i="120"/>
  <c r="I20" i="121"/>
  <c r="H20" i="121"/>
  <c r="I34" i="121"/>
  <c r="H34" i="121"/>
  <c r="I32" i="121"/>
  <c r="H32" i="121"/>
  <c r="I30" i="121"/>
  <c r="H30" i="121"/>
  <c r="A42" i="41"/>
  <c r="A43" i="41" s="1"/>
  <c r="A44" i="41" s="1"/>
  <c r="A45" i="41" s="1"/>
  <c r="A46" i="41" s="1"/>
  <c r="A47" i="41" s="1"/>
  <c r="A48" i="41" s="1"/>
  <c r="A49" i="41" s="1"/>
  <c r="A50" i="41" s="1"/>
  <c r="A51" i="41" s="1"/>
  <c r="A52" i="41" s="1"/>
  <c r="A53" i="41" s="1"/>
  <c r="A54" i="41" s="1"/>
  <c r="A55" i="41" s="1"/>
  <c r="A56" i="41" s="1"/>
  <c r="A57" i="41" s="1"/>
  <c r="A58" i="41" s="1"/>
  <c r="A59" i="41" s="1"/>
  <c r="A60" i="41" s="1"/>
  <c r="A61" i="41" s="1"/>
  <c r="A62" i="41" s="1"/>
  <c r="I29" i="119"/>
  <c r="H29" i="119"/>
  <c r="I30" i="119"/>
  <c r="H30" i="119"/>
  <c r="I21" i="120"/>
  <c r="H21" i="120"/>
  <c r="I20" i="120"/>
  <c r="H20" i="120"/>
  <c r="I13" i="121"/>
  <c r="H13" i="121"/>
  <c r="I16" i="119"/>
  <c r="H16" i="119"/>
  <c r="J11" i="119"/>
  <c r="G35" i="119"/>
  <c r="I25" i="119"/>
  <c r="H25" i="119"/>
  <c r="I15" i="119"/>
  <c r="H15" i="119"/>
  <c r="I27" i="119"/>
  <c r="H27" i="119"/>
  <c r="I24" i="119"/>
  <c r="H24" i="119"/>
  <c r="I32" i="119"/>
  <c r="H32" i="119"/>
  <c r="I23" i="120"/>
  <c r="I14" i="120"/>
  <c r="H14" i="120"/>
  <c r="I22" i="120"/>
  <c r="H22" i="120"/>
  <c r="I30" i="120"/>
  <c r="I26" i="121"/>
  <c r="H26" i="121"/>
  <c r="I24" i="121"/>
  <c r="H24" i="121"/>
  <c r="I35" i="121"/>
  <c r="H35" i="121"/>
  <c r="I22" i="121"/>
  <c r="H22" i="121"/>
  <c r="I33" i="121"/>
  <c r="H33" i="121"/>
  <c r="G49" i="82"/>
  <c r="C17" i="156"/>
  <c r="I13" i="119"/>
  <c r="H13" i="119"/>
  <c r="I22" i="119"/>
  <c r="H22" i="119"/>
  <c r="I13" i="120"/>
  <c r="H13" i="120"/>
  <c r="I28" i="120"/>
  <c r="H28" i="120"/>
  <c r="I23" i="121"/>
  <c r="H23" i="121"/>
  <c r="C13" i="156"/>
  <c r="I14" i="119"/>
  <c r="H14" i="119"/>
  <c r="I21" i="119"/>
  <c r="H21" i="119"/>
  <c r="I33" i="119"/>
  <c r="H33" i="119"/>
  <c r="I17" i="119"/>
  <c r="H17" i="119"/>
  <c r="I31" i="119"/>
  <c r="H31" i="119"/>
  <c r="I26" i="119"/>
  <c r="H26" i="119"/>
  <c r="I34" i="119"/>
  <c r="H34" i="119"/>
  <c r="I17" i="120"/>
  <c r="H16" i="120"/>
  <c r="I24" i="120"/>
  <c r="I32" i="120"/>
  <c r="I31" i="121"/>
  <c r="H31" i="121"/>
  <c r="I18" i="121"/>
  <c r="H18" i="121"/>
  <c r="I29" i="121"/>
  <c r="H29" i="121"/>
  <c r="I16" i="121"/>
  <c r="H16" i="121"/>
  <c r="I27" i="121"/>
  <c r="H27" i="121"/>
  <c r="I14" i="121"/>
  <c r="H14" i="121"/>
  <c r="I25" i="121"/>
  <c r="H25" i="121"/>
  <c r="C15" i="156"/>
  <c r="I12" i="119"/>
  <c r="H12" i="119"/>
  <c r="I18" i="119"/>
  <c r="H18" i="119"/>
  <c r="I11" i="119"/>
  <c r="F35" i="119"/>
  <c r="H11" i="119"/>
  <c r="I19" i="119"/>
  <c r="H19" i="119"/>
  <c r="I20" i="119"/>
  <c r="H20" i="119"/>
  <c r="I28" i="119"/>
  <c r="H28" i="119"/>
  <c r="I19" i="120"/>
  <c r="H19" i="120"/>
  <c r="I27" i="120"/>
  <c r="H27" i="120"/>
  <c r="I35" i="120"/>
  <c r="H35" i="120"/>
  <c r="I26" i="120"/>
  <c r="H26" i="120"/>
  <c r="I15" i="121"/>
  <c r="H15" i="121"/>
  <c r="I12" i="121"/>
  <c r="H12" i="121"/>
  <c r="F36" i="121"/>
  <c r="I28" i="121"/>
  <c r="H28" i="121"/>
  <c r="I21" i="121"/>
  <c r="H21" i="121"/>
  <c r="I19" i="121"/>
  <c r="H19" i="121"/>
  <c r="I17" i="121"/>
  <c r="H17" i="121"/>
  <c r="J12" i="121"/>
  <c r="G36" i="121"/>
  <c r="G92" i="82" l="1"/>
  <c r="G215" i="82" s="1"/>
  <c r="G227" i="82" s="1"/>
  <c r="H29" i="40"/>
  <c r="H30" i="40" s="1"/>
  <c r="H31" i="40" s="1"/>
  <c r="H32" i="40" s="1"/>
  <c r="H33" i="40" s="1"/>
  <c r="H34" i="40" s="1"/>
  <c r="H35" i="40" s="1"/>
  <c r="H36" i="40" s="1"/>
  <c r="H37" i="40" s="1"/>
  <c r="H38" i="40" s="1"/>
  <c r="H39" i="40" s="1"/>
  <c r="H40" i="40" s="1"/>
  <c r="H41" i="40" s="1"/>
  <c r="H42" i="40" s="1"/>
  <c r="H43" i="40" s="1"/>
  <c r="H44" i="40" s="1"/>
  <c r="H45" i="40" s="1"/>
  <c r="H46" i="40" s="1"/>
  <c r="H47" i="40" s="1"/>
  <c r="H48" i="40" s="1"/>
  <c r="H49" i="40" s="1"/>
  <c r="H18" i="120"/>
  <c r="H31" i="120"/>
  <c r="H12" i="120"/>
  <c r="I34" i="120"/>
  <c r="J284" i="82"/>
  <c r="J285" i="82" s="1"/>
  <c r="J286" i="82" s="1"/>
  <c r="J287" i="82" s="1"/>
  <c r="J83" i="82"/>
  <c r="J84" i="82" s="1"/>
  <c r="J85" i="82" s="1"/>
  <c r="J86" i="82" s="1"/>
  <c r="J87" i="82" s="1"/>
  <c r="J88" i="82" s="1"/>
  <c r="J89" i="82" s="1"/>
  <c r="J90" i="82" s="1"/>
  <c r="J91" i="82" s="1"/>
  <c r="J92" i="82" s="1"/>
  <c r="J93" i="82" s="1"/>
  <c r="J94" i="82" s="1"/>
  <c r="J95" i="82" s="1"/>
  <c r="J96" i="82" s="1"/>
  <c r="J97" i="82" s="1"/>
  <c r="J98" i="82" s="1"/>
  <c r="J99" i="82" s="1"/>
  <c r="J100" i="82" s="1"/>
  <c r="J101" i="82" s="1"/>
  <c r="J102" i="82" s="1"/>
  <c r="J103" i="82" s="1"/>
  <c r="J104" i="82" s="1"/>
  <c r="J105" i="82" s="1"/>
  <c r="J56" i="82"/>
  <c r="J57" i="82" s="1"/>
  <c r="J58" i="82" s="1"/>
  <c r="J59" i="82" s="1"/>
  <c r="J60" i="82" s="1"/>
  <c r="J61" i="82" s="1"/>
  <c r="J62" i="82" s="1"/>
  <c r="J63" i="82" s="1"/>
  <c r="J64" i="82" s="1"/>
  <c r="J65" i="82" s="1"/>
  <c r="J66" i="82" s="1"/>
  <c r="J67" i="82" s="1"/>
  <c r="A83" i="82"/>
  <c r="A84" i="82" s="1"/>
  <c r="A85" i="82" s="1"/>
  <c r="A86" i="82" s="1"/>
  <c r="A87" i="82" s="1"/>
  <c r="A88" i="82" s="1"/>
  <c r="A89" i="82" s="1"/>
  <c r="A90" i="82" s="1"/>
  <c r="A91" i="82" s="1"/>
  <c r="A92" i="82" s="1"/>
  <c r="A93" i="82" s="1"/>
  <c r="A94" i="82" s="1"/>
  <c r="A95" i="82" s="1"/>
  <c r="A96" i="82" s="1"/>
  <c r="A97" i="82" s="1"/>
  <c r="A98" i="82" s="1"/>
  <c r="A99" i="82" s="1"/>
  <c r="A100" i="82" s="1"/>
  <c r="A101" i="82" s="1"/>
  <c r="A102" i="82" s="1"/>
  <c r="A103" i="82" s="1"/>
  <c r="A104" i="82" s="1"/>
  <c r="A105" i="82" s="1"/>
  <c r="A56" i="82"/>
  <c r="A57" i="82" s="1"/>
  <c r="A58" i="82" s="1"/>
  <c r="A59" i="82" s="1"/>
  <c r="A60" i="82" s="1"/>
  <c r="A61" i="82" s="1"/>
  <c r="A62" i="82" s="1"/>
  <c r="A63" i="82" s="1"/>
  <c r="A64" i="82" s="1"/>
  <c r="A65" i="82" s="1"/>
  <c r="A66" i="82" s="1"/>
  <c r="A67" i="82" s="1"/>
  <c r="A20" i="40"/>
  <c r="A21" i="40" s="1"/>
  <c r="A22" i="40" s="1"/>
  <c r="A23" i="40" s="1"/>
  <c r="A24" i="40" s="1"/>
  <c r="A25" i="40" s="1"/>
  <c r="A26" i="40" s="1"/>
  <c r="J154" i="82"/>
  <c r="J155" i="82" s="1"/>
  <c r="J156" i="82" s="1"/>
  <c r="J157" i="82" s="1"/>
  <c r="J158" i="82" s="1"/>
  <c r="J159" i="82" s="1"/>
  <c r="J160" i="82" s="1"/>
  <c r="J161" i="82" s="1"/>
  <c r="J162" i="82" s="1"/>
  <c r="J163" i="82" s="1"/>
  <c r="J164" i="82" s="1"/>
  <c r="J165" i="82" s="1"/>
  <c r="J166" i="82" s="1"/>
  <c r="J167" i="82" s="1"/>
  <c r="J168" i="82" s="1"/>
  <c r="J169" i="82" s="1"/>
  <c r="J170" i="82" s="1"/>
  <c r="J171" i="82" s="1"/>
  <c r="J172" i="82" s="1"/>
  <c r="J173" i="82" s="1"/>
  <c r="J174" i="82" s="1"/>
  <c r="J175" i="82" s="1"/>
  <c r="J176" i="82" s="1"/>
  <c r="J177" i="82" s="1"/>
  <c r="J178" i="82" s="1"/>
  <c r="J179" i="82" s="1"/>
  <c r="J180" i="82" s="1"/>
  <c r="J181" i="82" s="1"/>
  <c r="J182" i="82" s="1"/>
  <c r="J183" i="82" s="1"/>
  <c r="J184" i="82" s="1"/>
  <c r="J185" i="82" s="1"/>
  <c r="J186" i="82" s="1"/>
  <c r="J187" i="82" s="1"/>
  <c r="J188" i="82" s="1"/>
  <c r="J189" i="82" s="1"/>
  <c r="J190" i="82" s="1"/>
  <c r="J191" i="82" s="1"/>
  <c r="J192" i="82" s="1"/>
  <c r="J193" i="82" s="1"/>
  <c r="J194" i="82" s="1"/>
  <c r="A154" i="82"/>
  <c r="A155" i="82" s="1"/>
  <c r="A156" i="82" s="1"/>
  <c r="A157" i="82" s="1"/>
  <c r="A158" i="82" s="1"/>
  <c r="A159" i="82" s="1"/>
  <c r="A160" i="82" s="1"/>
  <c r="A161" i="82" s="1"/>
  <c r="A162" i="82" s="1"/>
  <c r="A163" i="82" s="1"/>
  <c r="A164" i="82" s="1"/>
  <c r="A165" i="82" s="1"/>
  <c r="A166" i="82" s="1"/>
  <c r="A167" i="82" s="1"/>
  <c r="A168" i="82" s="1"/>
  <c r="A169" i="82" s="1"/>
  <c r="A170" i="82" s="1"/>
  <c r="A171" i="82" s="1"/>
  <c r="A172" i="82" s="1"/>
  <c r="A173" i="82" s="1"/>
  <c r="A174" i="82" s="1"/>
  <c r="A175" i="82" s="1"/>
  <c r="A176" i="82" s="1"/>
  <c r="A177" i="82" s="1"/>
  <c r="A178" i="82" s="1"/>
  <c r="A179" i="82" s="1"/>
  <c r="A180" i="82" s="1"/>
  <c r="A181" i="82" s="1"/>
  <c r="A182" i="82" s="1"/>
  <c r="A183" i="82" s="1"/>
  <c r="A184" i="82" s="1"/>
  <c r="A185" i="82" s="1"/>
  <c r="A186" i="82" s="1"/>
  <c r="A187" i="82" s="1"/>
  <c r="A188" i="82" s="1"/>
  <c r="A189" i="82" s="1"/>
  <c r="A190" i="82" s="1"/>
  <c r="A191" i="82" s="1"/>
  <c r="A192" i="82" s="1"/>
  <c r="A193" i="82" s="1"/>
  <c r="A194" i="82" s="1"/>
  <c r="E141" i="144"/>
  <c r="E111" i="144"/>
  <c r="E146" i="144"/>
  <c r="E112" i="132"/>
  <c r="E142" i="132"/>
  <c r="E58" i="132" s="1"/>
  <c r="E147" i="132"/>
  <c r="E74" i="132" s="1"/>
  <c r="E76" i="132" s="1"/>
  <c r="E181" i="132"/>
  <c r="H33" i="120"/>
  <c r="H32" i="120"/>
  <c r="H24" i="120"/>
  <c r="G36" i="120"/>
  <c r="H25" i="120"/>
  <c r="F36" i="120"/>
  <c r="H30" i="120"/>
  <c r="H17" i="120"/>
  <c r="H15" i="120"/>
  <c r="E176" i="144"/>
  <c r="E177" i="132"/>
  <c r="D90" i="82"/>
  <c r="D26" i="157"/>
  <c r="I43" i="2"/>
  <c r="G13" i="69" s="1"/>
  <c r="G19" i="69" s="1"/>
  <c r="E168" i="144"/>
  <c r="E167" i="144"/>
  <c r="E35" i="40"/>
  <c r="E168" i="132"/>
  <c r="H25" i="144"/>
  <c r="A25" i="144"/>
  <c r="D44" i="86"/>
  <c r="G54" i="82"/>
  <c r="G126" i="82" s="1"/>
  <c r="G28" i="133"/>
  <c r="G41" i="133" s="1"/>
  <c r="E169" i="132"/>
  <c r="I11" i="34"/>
  <c r="I17" i="34" s="1"/>
  <c r="E124" i="132" s="1"/>
  <c r="E17" i="34"/>
  <c r="D13" i="157" s="1"/>
  <c r="I13" i="157" s="1"/>
  <c r="E36" i="40"/>
  <c r="E19" i="75"/>
  <c r="G127" i="82" s="1"/>
  <c r="G18" i="157"/>
  <c r="F19" i="157"/>
  <c r="D52" i="82"/>
  <c r="G52" i="82"/>
  <c r="G154" i="82" s="1"/>
  <c r="G90" i="82"/>
  <c r="G243" i="82" s="1"/>
  <c r="E27" i="46"/>
  <c r="E263" i="132"/>
  <c r="E218" i="132"/>
  <c r="E16" i="137"/>
  <c r="M34" i="117"/>
  <c r="O34" i="117" s="1"/>
  <c r="K34" i="117"/>
  <c r="M22" i="117"/>
  <c r="O22" i="117" s="1"/>
  <c r="K22" i="117"/>
  <c r="K33" i="117"/>
  <c r="M33" i="117"/>
  <c r="O33" i="117" s="1"/>
  <c r="M26" i="117"/>
  <c r="O26" i="117" s="1"/>
  <c r="K26" i="117"/>
  <c r="M24" i="117"/>
  <c r="O24" i="117" s="1"/>
  <c r="K24" i="117"/>
  <c r="M18" i="117"/>
  <c r="O18" i="117" s="1"/>
  <c r="K18" i="117"/>
  <c r="M19" i="117"/>
  <c r="O19" i="117" s="1"/>
  <c r="K19" i="117"/>
  <c r="K17" i="117"/>
  <c r="M17" i="117"/>
  <c r="O17" i="117" s="1"/>
  <c r="M16" i="117"/>
  <c r="O16" i="117" s="1"/>
  <c r="K16" i="117"/>
  <c r="K13" i="117"/>
  <c r="M13" i="117"/>
  <c r="O13" i="117" s="1"/>
  <c r="M12" i="117"/>
  <c r="O12" i="117" s="1"/>
  <c r="K12" i="117"/>
  <c r="K35" i="116"/>
  <c r="K45" i="116" s="1"/>
  <c r="M23" i="117"/>
  <c r="O23" i="117" s="1"/>
  <c r="K23" i="117"/>
  <c r="M20" i="117"/>
  <c r="O20" i="117" s="1"/>
  <c r="K20" i="117"/>
  <c r="H35" i="117"/>
  <c r="K29" i="117"/>
  <c r="M29" i="117"/>
  <c r="O29" i="117" s="1"/>
  <c r="K21" i="117"/>
  <c r="M21" i="117"/>
  <c r="O21" i="117" s="1"/>
  <c r="N11" i="117"/>
  <c r="N35" i="117" s="1"/>
  <c r="H13" i="118" s="1"/>
  <c r="J35" i="117"/>
  <c r="J45" i="117" s="1"/>
  <c r="I35" i="117"/>
  <c r="I45" i="117" s="1"/>
  <c r="M11" i="117"/>
  <c r="K11" i="117"/>
  <c r="M15" i="117"/>
  <c r="O15" i="117" s="1"/>
  <c r="K15" i="117"/>
  <c r="M35" i="116"/>
  <c r="G11" i="118" s="1"/>
  <c r="O11" i="116"/>
  <c r="O35" i="116" s="1"/>
  <c r="O45" i="116" s="1"/>
  <c r="M31" i="117"/>
  <c r="O31" i="117" s="1"/>
  <c r="K31" i="117"/>
  <c r="K25" i="117"/>
  <c r="M25" i="117"/>
  <c r="O25" i="117" s="1"/>
  <c r="M30" i="117"/>
  <c r="O30" i="117" s="1"/>
  <c r="K30" i="117"/>
  <c r="M27" i="117"/>
  <c r="O27" i="117" s="1"/>
  <c r="K27" i="117"/>
  <c r="M32" i="117"/>
  <c r="O32" i="117" s="1"/>
  <c r="K32" i="117"/>
  <c r="M14" i="117"/>
  <c r="O14" i="117" s="1"/>
  <c r="K14" i="117"/>
  <c r="M28" i="117"/>
  <c r="O28" i="117" s="1"/>
  <c r="K28" i="117"/>
  <c r="J36" i="121"/>
  <c r="J46" i="121" s="1"/>
  <c r="N12" i="121"/>
  <c r="N36" i="121" s="1"/>
  <c r="J36" i="120"/>
  <c r="J46" i="120" s="1"/>
  <c r="N12" i="120"/>
  <c r="N36" i="120" s="1"/>
  <c r="K13" i="120"/>
  <c r="M13" i="120"/>
  <c r="O13" i="120" s="1"/>
  <c r="K13" i="119"/>
  <c r="M13" i="119"/>
  <c r="O13" i="119" s="1"/>
  <c r="K22" i="120"/>
  <c r="M22" i="120"/>
  <c r="O22" i="120" s="1"/>
  <c r="K31" i="120"/>
  <c r="M31" i="120"/>
  <c r="O31" i="120" s="1"/>
  <c r="M15" i="120"/>
  <c r="O15" i="120" s="1"/>
  <c r="K15" i="120"/>
  <c r="K24" i="119"/>
  <c r="M24" i="119"/>
  <c r="O24" i="119" s="1"/>
  <c r="K15" i="119"/>
  <c r="M15" i="119"/>
  <c r="O15" i="119" s="1"/>
  <c r="J35" i="119"/>
  <c r="J45" i="119" s="1"/>
  <c r="N11" i="119"/>
  <c r="N35" i="119" s="1"/>
  <c r="K13" i="121"/>
  <c r="M13" i="121"/>
  <c r="O13" i="121" s="1"/>
  <c r="M32" i="121"/>
  <c r="O32" i="121" s="1"/>
  <c r="K32" i="121"/>
  <c r="M20" i="121"/>
  <c r="O20" i="121" s="1"/>
  <c r="K20" i="121"/>
  <c r="K15" i="121"/>
  <c r="M15" i="121"/>
  <c r="O15" i="121" s="1"/>
  <c r="K11" i="119"/>
  <c r="I35" i="119"/>
  <c r="I45" i="119" s="1"/>
  <c r="M11" i="119"/>
  <c r="M17" i="121"/>
  <c r="O17" i="121" s="1"/>
  <c r="K17" i="121"/>
  <c r="K21" i="121"/>
  <c r="M21" i="121"/>
  <c r="O21" i="121" s="1"/>
  <c r="H36" i="121"/>
  <c r="K34" i="120"/>
  <c r="M34" i="120"/>
  <c r="O34" i="120" s="1"/>
  <c r="M18" i="120"/>
  <c r="O18" i="120" s="1"/>
  <c r="K18" i="120"/>
  <c r="K27" i="120"/>
  <c r="M27" i="120"/>
  <c r="O27" i="120" s="1"/>
  <c r="K28" i="119"/>
  <c r="M28" i="119"/>
  <c r="O28" i="119" s="1"/>
  <c r="M19" i="119"/>
  <c r="O19" i="119" s="1"/>
  <c r="K19" i="119"/>
  <c r="K25" i="121"/>
  <c r="M25" i="121"/>
  <c r="O25" i="121" s="1"/>
  <c r="K27" i="121"/>
  <c r="M27" i="121"/>
  <c r="O27" i="121" s="1"/>
  <c r="K29" i="121"/>
  <c r="M29" i="121"/>
  <c r="O29" i="121" s="1"/>
  <c r="K31" i="121"/>
  <c r="M31" i="121"/>
  <c r="O31" i="121" s="1"/>
  <c r="K24" i="120"/>
  <c r="M24" i="120"/>
  <c r="O24" i="120" s="1"/>
  <c r="K33" i="120"/>
  <c r="M33" i="120"/>
  <c r="O33" i="120" s="1"/>
  <c r="K17" i="120"/>
  <c r="M17" i="120"/>
  <c r="O17" i="120" s="1"/>
  <c r="M26" i="119"/>
  <c r="O26" i="119" s="1"/>
  <c r="K26" i="119"/>
  <c r="K17" i="119"/>
  <c r="M17" i="119"/>
  <c r="O17" i="119" s="1"/>
  <c r="K21" i="119"/>
  <c r="M21" i="119"/>
  <c r="O21" i="119" s="1"/>
  <c r="K23" i="121"/>
  <c r="M23" i="121"/>
  <c r="O23" i="121" s="1"/>
  <c r="M33" i="121"/>
  <c r="O33" i="121" s="1"/>
  <c r="K33" i="121"/>
  <c r="K35" i="121"/>
  <c r="M35" i="121"/>
  <c r="O35" i="121" s="1"/>
  <c r="K26" i="121"/>
  <c r="M26" i="121"/>
  <c r="O26" i="121" s="1"/>
  <c r="K21" i="120"/>
  <c r="M21" i="120"/>
  <c r="O21" i="120" s="1"/>
  <c r="K29" i="119"/>
  <c r="M29" i="119"/>
  <c r="O29" i="119" s="1"/>
  <c r="K29" i="120"/>
  <c r="M29" i="120"/>
  <c r="O29" i="120" s="1"/>
  <c r="K28" i="121"/>
  <c r="M28" i="121"/>
  <c r="O28" i="121" s="1"/>
  <c r="M12" i="119"/>
  <c r="O12" i="119" s="1"/>
  <c r="K12" i="119"/>
  <c r="H11" i="118"/>
  <c r="N45" i="116"/>
  <c r="K12" i="121"/>
  <c r="I36" i="121"/>
  <c r="I46" i="121" s="1"/>
  <c r="M12" i="121"/>
  <c r="H35" i="119"/>
  <c r="M18" i="119"/>
  <c r="O18" i="119" s="1"/>
  <c r="K18" i="119"/>
  <c r="K28" i="120"/>
  <c r="M28" i="120"/>
  <c r="O28" i="120" s="1"/>
  <c r="K22" i="119"/>
  <c r="M22" i="119"/>
  <c r="O22" i="119" s="1"/>
  <c r="K30" i="120"/>
  <c r="M30" i="120"/>
  <c r="O30" i="120" s="1"/>
  <c r="K14" i="120"/>
  <c r="M14" i="120"/>
  <c r="O14" i="120" s="1"/>
  <c r="K23" i="120"/>
  <c r="M23" i="120"/>
  <c r="O23" i="120" s="1"/>
  <c r="K32" i="119"/>
  <c r="M32" i="119"/>
  <c r="O32" i="119" s="1"/>
  <c r="K27" i="119"/>
  <c r="M27" i="119"/>
  <c r="O27" i="119" s="1"/>
  <c r="K25" i="119"/>
  <c r="M25" i="119"/>
  <c r="O25" i="119" s="1"/>
  <c r="K16" i="119"/>
  <c r="M16" i="119"/>
  <c r="O16" i="119" s="1"/>
  <c r="K30" i="121"/>
  <c r="M30" i="121"/>
  <c r="O30" i="121" s="1"/>
  <c r="K34" i="121"/>
  <c r="M34" i="121"/>
  <c r="O34" i="121" s="1"/>
  <c r="K19" i="121"/>
  <c r="M19" i="121"/>
  <c r="O19" i="121" s="1"/>
  <c r="M26" i="120"/>
  <c r="O26" i="120" s="1"/>
  <c r="K26" i="120"/>
  <c r="K35" i="120"/>
  <c r="M35" i="120"/>
  <c r="O35" i="120" s="1"/>
  <c r="K19" i="120"/>
  <c r="M19" i="120"/>
  <c r="O19" i="120" s="1"/>
  <c r="M20" i="119"/>
  <c r="O20" i="119" s="1"/>
  <c r="K20" i="119"/>
  <c r="K14" i="121"/>
  <c r="M14" i="121"/>
  <c r="O14" i="121" s="1"/>
  <c r="K16" i="121"/>
  <c r="M16" i="121"/>
  <c r="O16" i="121" s="1"/>
  <c r="K18" i="121"/>
  <c r="M18" i="121"/>
  <c r="O18" i="121" s="1"/>
  <c r="K32" i="120"/>
  <c r="M32" i="120"/>
  <c r="O32" i="120" s="1"/>
  <c r="K16" i="120"/>
  <c r="M16" i="120"/>
  <c r="O16" i="120" s="1"/>
  <c r="K25" i="120"/>
  <c r="M25" i="120"/>
  <c r="O25" i="120" s="1"/>
  <c r="K34" i="119"/>
  <c r="M34" i="119"/>
  <c r="O34" i="119" s="1"/>
  <c r="K31" i="119"/>
  <c r="M31" i="119"/>
  <c r="O31" i="119" s="1"/>
  <c r="K33" i="119"/>
  <c r="M33" i="119"/>
  <c r="O33" i="119" s="1"/>
  <c r="K14" i="119"/>
  <c r="M14" i="119"/>
  <c r="O14" i="119" s="1"/>
  <c r="K22" i="121"/>
  <c r="M22" i="121"/>
  <c r="O22" i="121" s="1"/>
  <c r="K24" i="121"/>
  <c r="M24" i="121"/>
  <c r="O24" i="121" s="1"/>
  <c r="K20" i="120"/>
  <c r="M20" i="120"/>
  <c r="O20" i="120" s="1"/>
  <c r="K30" i="119"/>
  <c r="M30" i="119"/>
  <c r="O30" i="119" s="1"/>
  <c r="E180" i="144"/>
  <c r="K12" i="120"/>
  <c r="I36" i="120"/>
  <c r="I46" i="120" s="1"/>
  <c r="M12" i="120"/>
  <c r="M23" i="119"/>
  <c r="O23" i="119" s="1"/>
  <c r="K23" i="119"/>
  <c r="E62" i="132" l="1"/>
  <c r="G138" i="82"/>
  <c r="H36" i="120"/>
  <c r="G258" i="82"/>
  <c r="G285" i="82" s="1"/>
  <c r="A195" i="82"/>
  <c r="A196" i="82" s="1"/>
  <c r="A197" i="82" s="1"/>
  <c r="A198" i="82" s="1"/>
  <c r="J195" i="82"/>
  <c r="J196" i="82" s="1"/>
  <c r="J197" i="82" s="1"/>
  <c r="J198" i="82" s="1"/>
  <c r="A27" i="40"/>
  <c r="A28" i="40" s="1"/>
  <c r="A82" i="132"/>
  <c r="G218" i="82"/>
  <c r="G245" i="82" s="1"/>
  <c r="G236" i="178"/>
  <c r="G202" i="178"/>
  <c r="E74" i="144"/>
  <c r="E76" i="144" s="1"/>
  <c r="E70" i="144"/>
  <c r="E62" i="144"/>
  <c r="E58" i="144"/>
  <c r="A26" i="144"/>
  <c r="A27" i="144" s="1"/>
  <c r="A28" i="144" s="1"/>
  <c r="A29" i="144" s="1"/>
  <c r="A30" i="144" s="1"/>
  <c r="A31" i="144" s="1"/>
  <c r="A32" i="144" s="1"/>
  <c r="A33" i="144" s="1"/>
  <c r="A34" i="144" s="1"/>
  <c r="A35" i="144" s="1"/>
  <c r="A36" i="144" s="1"/>
  <c r="A37" i="144" s="1"/>
  <c r="A38" i="144" s="1"/>
  <c r="A39" i="144" s="1"/>
  <c r="A40" i="144" s="1"/>
  <c r="H26" i="144"/>
  <c r="H27" i="144" s="1"/>
  <c r="H28" i="144" s="1"/>
  <c r="H29" i="144" s="1"/>
  <c r="H30" i="144" s="1"/>
  <c r="H31" i="144" s="1"/>
  <c r="H32" i="144" s="1"/>
  <c r="H33" i="144" s="1"/>
  <c r="H34" i="144" s="1"/>
  <c r="H35" i="144" s="1"/>
  <c r="H36" i="144" s="1"/>
  <c r="H37" i="144" s="1"/>
  <c r="H38" i="144" s="1"/>
  <c r="H39" i="144" s="1"/>
  <c r="H40" i="144" s="1"/>
  <c r="E181" i="144"/>
  <c r="E70" i="132"/>
  <c r="E182" i="132"/>
  <c r="E113" i="132"/>
  <c r="E126" i="132"/>
  <c r="E18" i="132"/>
  <c r="E18" i="144"/>
  <c r="C18" i="157"/>
  <c r="H18" i="157" s="1"/>
  <c r="C24" i="157"/>
  <c r="C14" i="157"/>
  <c r="H14" i="157" s="1"/>
  <c r="I14" i="157" s="1"/>
  <c r="C17" i="157"/>
  <c r="H17" i="157" s="1"/>
  <c r="C20" i="157"/>
  <c r="C23" i="157"/>
  <c r="C22" i="157"/>
  <c r="C16" i="157"/>
  <c r="H16" i="157" s="1"/>
  <c r="C19" i="157"/>
  <c r="C15" i="157"/>
  <c r="H15" i="157" s="1"/>
  <c r="C21" i="157"/>
  <c r="C25" i="157"/>
  <c r="E182" i="144"/>
  <c r="E183" i="132"/>
  <c r="E37" i="40"/>
  <c r="G15" i="69"/>
  <c r="E130" i="132"/>
  <c r="E135" i="132"/>
  <c r="A55" i="144"/>
  <c r="A56" i="144" s="1"/>
  <c r="H55" i="144"/>
  <c r="H56" i="144" s="1"/>
  <c r="H57" i="144" s="1"/>
  <c r="H58" i="144" s="1"/>
  <c r="H59" i="144" s="1"/>
  <c r="H60" i="144" s="1"/>
  <c r="H61" i="144" s="1"/>
  <c r="H62" i="144" s="1"/>
  <c r="H63" i="144" s="1"/>
  <c r="H64" i="144" s="1"/>
  <c r="H65" i="144" s="1"/>
  <c r="H66" i="144" s="1"/>
  <c r="H67" i="144" s="1"/>
  <c r="H68" i="144" s="1"/>
  <c r="E170" i="132"/>
  <c r="E28" i="133"/>
  <c r="G19" i="157"/>
  <c r="F20" i="157"/>
  <c r="N45" i="117"/>
  <c r="E169" i="144"/>
  <c r="K47" i="116"/>
  <c r="M35" i="117"/>
  <c r="M45" i="117" s="1"/>
  <c r="O11" i="117"/>
  <c r="O35" i="117" s="1"/>
  <c r="O45" i="117" s="1"/>
  <c r="K36" i="120"/>
  <c r="K46" i="120" s="1"/>
  <c r="J48" i="120" s="1"/>
  <c r="K35" i="117"/>
  <c r="K45" i="117" s="1"/>
  <c r="H15" i="118"/>
  <c r="I11" i="118"/>
  <c r="M36" i="120"/>
  <c r="O12" i="120"/>
  <c r="O36" i="120" s="1"/>
  <c r="O46" i="120" s="1"/>
  <c r="K36" i="121"/>
  <c r="K46" i="121" s="1"/>
  <c r="I48" i="121" s="1"/>
  <c r="N45" i="119"/>
  <c r="H18" i="118"/>
  <c r="M45" i="116"/>
  <c r="M35" i="119"/>
  <c r="O11" i="119"/>
  <c r="O35" i="119" s="1"/>
  <c r="O45" i="119" s="1"/>
  <c r="N46" i="121"/>
  <c r="H22" i="118"/>
  <c r="O12" i="121"/>
  <c r="O36" i="121" s="1"/>
  <c r="O46" i="121" s="1"/>
  <c r="M36" i="121"/>
  <c r="N46" i="120"/>
  <c r="H20" i="118"/>
  <c r="E112" i="144"/>
  <c r="K35" i="119"/>
  <c r="K45" i="119" s="1"/>
  <c r="J47" i="119" s="1"/>
  <c r="E49" i="40" l="1"/>
  <c r="E13" i="66" s="1"/>
  <c r="E15" i="66" s="1"/>
  <c r="E22" i="132" s="1"/>
  <c r="A29" i="40"/>
  <c r="A30" i="40" s="1"/>
  <c r="A31" i="40" s="1"/>
  <c r="A32" i="40" s="1"/>
  <c r="A33" i="40" s="1"/>
  <c r="A34" i="40" s="1"/>
  <c r="A35" i="40" s="1"/>
  <c r="A36" i="40" s="1"/>
  <c r="A37" i="40" s="1"/>
  <c r="A38" i="40" s="1"/>
  <c r="A39" i="40" s="1"/>
  <c r="A40" i="40" s="1"/>
  <c r="A41" i="40" s="1"/>
  <c r="A42" i="40" s="1"/>
  <c r="A43" i="40" s="1"/>
  <c r="A44" i="40" s="1"/>
  <c r="A45" i="40" s="1"/>
  <c r="A46" i="40" s="1"/>
  <c r="A47" i="40" s="1"/>
  <c r="A48" i="40" s="1"/>
  <c r="A49" i="40" s="1"/>
  <c r="I48" i="120"/>
  <c r="G270" i="82"/>
  <c r="G261" i="82"/>
  <c r="G271" i="82" s="1"/>
  <c r="E207" i="132"/>
  <c r="G221" i="82"/>
  <c r="G230" i="82"/>
  <c r="H81" i="132"/>
  <c r="E252" i="132"/>
  <c r="G214" i="178"/>
  <c r="G205" i="178"/>
  <c r="G215" i="178" s="1"/>
  <c r="G248" i="178"/>
  <c r="G239" i="178"/>
  <c r="G249" i="178" s="1"/>
  <c r="A57" i="144"/>
  <c r="A58" i="144" s="1"/>
  <c r="A59" i="144" s="1"/>
  <c r="A60" i="144" s="1"/>
  <c r="A61" i="144" s="1"/>
  <c r="A62" i="144" s="1"/>
  <c r="A63" i="144" s="1"/>
  <c r="A64" i="144" s="1"/>
  <c r="A65" i="144" s="1"/>
  <c r="A66" i="144" s="1"/>
  <c r="A67" i="144" s="1"/>
  <c r="A68" i="144" s="1"/>
  <c r="A69" i="144" s="1"/>
  <c r="E114" i="144"/>
  <c r="E113" i="144"/>
  <c r="E115" i="132"/>
  <c r="E114" i="132"/>
  <c r="H69" i="144"/>
  <c r="H70" i="144" s="1"/>
  <c r="E183" i="144"/>
  <c r="I15" i="157"/>
  <c r="I16" i="157" s="1"/>
  <c r="I17" i="157" s="1"/>
  <c r="I18" i="157" s="1"/>
  <c r="D14" i="157"/>
  <c r="D15" i="157" s="1"/>
  <c r="D16" i="157" s="1"/>
  <c r="D17" i="157" s="1"/>
  <c r="D18" i="157" s="1"/>
  <c r="D19" i="157" s="1"/>
  <c r="D20" i="157" s="1"/>
  <c r="D21" i="157" s="1"/>
  <c r="D22" i="157" s="1"/>
  <c r="D23" i="157" s="1"/>
  <c r="D24" i="157" s="1"/>
  <c r="D25" i="157" s="1"/>
  <c r="H19" i="157"/>
  <c r="E184" i="132"/>
  <c r="E129" i="132"/>
  <c r="G20" i="157"/>
  <c r="H20" i="157" s="1"/>
  <c r="F21" i="157"/>
  <c r="N48" i="120"/>
  <c r="O47" i="117"/>
  <c r="O47" i="116"/>
  <c r="J48" i="121"/>
  <c r="K48" i="121" s="1"/>
  <c r="N48" i="121"/>
  <c r="K47" i="117"/>
  <c r="G13" i="118"/>
  <c r="I13" i="118" s="1"/>
  <c r="I15" i="118" s="1"/>
  <c r="H24" i="118"/>
  <c r="H26" i="118" s="1"/>
  <c r="K48" i="120"/>
  <c r="M46" i="121"/>
  <c r="M48" i="121" s="1"/>
  <c r="G22" i="118"/>
  <c r="I22" i="118" s="1"/>
  <c r="G18" i="118"/>
  <c r="M45" i="119"/>
  <c r="M47" i="119" s="1"/>
  <c r="N47" i="119"/>
  <c r="I47" i="119"/>
  <c r="K47" i="119" s="1"/>
  <c r="M46" i="120"/>
  <c r="M48" i="120" s="1"/>
  <c r="G20" i="118"/>
  <c r="I20" i="118" s="1"/>
  <c r="E28" i="40" l="1"/>
  <c r="E30" i="40" s="1"/>
  <c r="E22" i="144"/>
  <c r="E226" i="132"/>
  <c r="G274" i="82"/>
  <c r="G280" i="82" s="1"/>
  <c r="G279" i="82"/>
  <c r="G231" i="82"/>
  <c r="G239" i="82"/>
  <c r="G234" i="82"/>
  <c r="G237" i="82" s="1"/>
  <c r="H82" i="132"/>
  <c r="H83" i="132" s="1"/>
  <c r="H84" i="132" s="1"/>
  <c r="H85" i="132" s="1"/>
  <c r="H86" i="132" s="1"/>
  <c r="H87" i="132" s="1"/>
  <c r="H88" i="132" s="1"/>
  <c r="H89" i="132" s="1"/>
  <c r="H90" i="132" s="1"/>
  <c r="H91" i="132" s="1"/>
  <c r="H92" i="132" s="1"/>
  <c r="H93" i="132" s="1"/>
  <c r="A83" i="132"/>
  <c r="A84" i="132" s="1"/>
  <c r="A85" i="132" s="1"/>
  <c r="A86" i="132" s="1"/>
  <c r="A87" i="132" s="1"/>
  <c r="A88" i="132" s="1"/>
  <c r="A89" i="132" s="1"/>
  <c r="A90" i="132" s="1"/>
  <c r="A91" i="132" s="1"/>
  <c r="A92" i="132" s="1"/>
  <c r="A93" i="132" s="1"/>
  <c r="A70" i="144"/>
  <c r="A71" i="144" s="1"/>
  <c r="A72" i="144" s="1"/>
  <c r="A73" i="144" s="1"/>
  <c r="A74" i="144" s="1"/>
  <c r="A75" i="144" s="1"/>
  <c r="A76" i="144" s="1"/>
  <c r="A77" i="144" s="1"/>
  <c r="A78" i="144" s="1"/>
  <c r="A79" i="144" s="1"/>
  <c r="A80" i="144" s="1"/>
  <c r="A81" i="144" s="1"/>
  <c r="A82" i="144" s="1"/>
  <c r="A83" i="144" s="1"/>
  <c r="A84" i="144" s="1"/>
  <c r="A85" i="144" s="1"/>
  <c r="A86" i="144" s="1"/>
  <c r="A87" i="144" s="1"/>
  <c r="A88" i="144" s="1"/>
  <c r="A89" i="144" s="1"/>
  <c r="A90" i="144" s="1"/>
  <c r="A91" i="144" s="1"/>
  <c r="A92" i="144" s="1"/>
  <c r="G252" i="178"/>
  <c r="G255" i="178" s="1"/>
  <c r="G259" i="178" s="1"/>
  <c r="E61" i="144" s="1"/>
  <c r="G218" i="178"/>
  <c r="G221" i="178" s="1"/>
  <c r="G225" i="178" s="1"/>
  <c r="E57" i="144" s="1"/>
  <c r="E115" i="144"/>
  <c r="E116" i="132"/>
  <c r="H71" i="144"/>
  <c r="H72" i="144" s="1"/>
  <c r="H73" i="144" s="1"/>
  <c r="H74" i="144" s="1"/>
  <c r="H75" i="144" s="1"/>
  <c r="H76" i="144" s="1"/>
  <c r="H77" i="144" s="1"/>
  <c r="H78" i="144" s="1"/>
  <c r="H79" i="144" s="1"/>
  <c r="E271" i="132"/>
  <c r="I19" i="157"/>
  <c r="I20" i="157" s="1"/>
  <c r="O48" i="120"/>
  <c r="G21" i="157"/>
  <c r="H21" i="157" s="1"/>
  <c r="F22" i="157"/>
  <c r="G15" i="118"/>
  <c r="O48" i="121"/>
  <c r="G24" i="118"/>
  <c r="O47" i="119"/>
  <c r="I18" i="118"/>
  <c r="I24" i="118" s="1"/>
  <c r="I26" i="118" s="1"/>
  <c r="H29" i="118" s="1"/>
  <c r="E230" i="132"/>
  <c r="E285" i="132"/>
  <c r="E23" i="69" l="1"/>
  <c r="E25" i="69" s="1"/>
  <c r="E29" i="69" s="1"/>
  <c r="E13" i="132"/>
  <c r="E16" i="144"/>
  <c r="E25" i="144" s="1"/>
  <c r="G281" i="82"/>
  <c r="G277" i="82"/>
  <c r="G287" i="82" s="1"/>
  <c r="E61" i="132" s="1"/>
  <c r="G247" i="82"/>
  <c r="E57" i="132" s="1"/>
  <c r="G240" i="82"/>
  <c r="G241" i="82" s="1"/>
  <c r="E63" i="144"/>
  <c r="E59" i="144"/>
  <c r="H80" i="144"/>
  <c r="H81" i="144" s="1"/>
  <c r="A93" i="144"/>
  <c r="G26" i="118"/>
  <c r="G29" i="118" s="1"/>
  <c r="I21" i="157"/>
  <c r="F23" i="157"/>
  <c r="G22" i="157"/>
  <c r="H22" i="157" s="1"/>
  <c r="E233" i="132"/>
  <c r="E275" i="132"/>
  <c r="E59" i="132" l="1"/>
  <c r="E63" i="132"/>
  <c r="E131" i="132"/>
  <c r="E16" i="132"/>
  <c r="E25" i="132" s="1"/>
  <c r="E264" i="132"/>
  <c r="E131" i="144"/>
  <c r="E219" i="132"/>
  <c r="H82" i="144"/>
  <c r="H83" i="144" s="1"/>
  <c r="H84" i="144" s="1"/>
  <c r="H85" i="144" s="1"/>
  <c r="H86" i="144" s="1"/>
  <c r="H87" i="144" s="1"/>
  <c r="H88" i="144" s="1"/>
  <c r="H89" i="144" s="1"/>
  <c r="H90" i="144" s="1"/>
  <c r="H91" i="144" s="1"/>
  <c r="H92" i="144" s="1"/>
  <c r="H93" i="144" s="1"/>
  <c r="E65" i="144"/>
  <c r="E235" i="132"/>
  <c r="I22" i="157"/>
  <c r="G23" i="157"/>
  <c r="H23" i="157" s="1"/>
  <c r="F24" i="157"/>
  <c r="I29" i="118"/>
  <c r="H32" i="133"/>
  <c r="E278" i="132"/>
  <c r="E65" i="132" l="1"/>
  <c r="E132" i="132"/>
  <c r="E137" i="132" s="1"/>
  <c r="G169" i="82" s="1"/>
  <c r="E280" i="132"/>
  <c r="I23" i="157"/>
  <c r="G24" i="157"/>
  <c r="H24" i="157" s="1"/>
  <c r="F25" i="157"/>
  <c r="G25" i="157" s="1"/>
  <c r="H25" i="157" s="1"/>
  <c r="G32" i="133"/>
  <c r="G129" i="82" l="1"/>
  <c r="G132" i="82" s="1"/>
  <c r="E251" i="132"/>
  <c r="E206" i="132"/>
  <c r="E209" i="132" s="1"/>
  <c r="E32" i="132"/>
  <c r="E28" i="132"/>
  <c r="G196" i="82"/>
  <c r="G172" i="82"/>
  <c r="G190" i="82" s="1"/>
  <c r="G181" i="82"/>
  <c r="G141" i="82"/>
  <c r="E254" i="132"/>
  <c r="I24" i="157"/>
  <c r="I25" i="157" s="1"/>
  <c r="E32" i="133"/>
  <c r="G156" i="82" l="1"/>
  <c r="G145" i="82"/>
  <c r="G185" i="82"/>
  <c r="G191" i="82" s="1"/>
  <c r="G192" i="82" s="1"/>
  <c r="G182" i="82"/>
  <c r="G150" i="82"/>
  <c r="G142" i="82"/>
  <c r="G188" i="82" l="1"/>
  <c r="G198" i="82" s="1"/>
  <c r="E42" i="69" s="1"/>
  <c r="G151" i="82"/>
  <c r="G152" i="82" s="1"/>
  <c r="G148" i="82"/>
  <c r="G158" i="82" s="1"/>
  <c r="E123" i="144"/>
  <c r="E27" i="132" l="1"/>
  <c r="E29" i="132" s="1"/>
  <c r="E38" i="69"/>
  <c r="E293" i="132"/>
  <c r="E295" i="132" s="1"/>
  <c r="E86" i="132"/>
  <c r="E31" i="132"/>
  <c r="E44" i="69"/>
  <c r="E17" i="133" s="1"/>
  <c r="E287" i="132"/>
  <c r="E256" i="132"/>
  <c r="E211" i="132"/>
  <c r="E71" i="132"/>
  <c r="E72" i="132" s="1"/>
  <c r="E78" i="132" s="1"/>
  <c r="E82" i="132"/>
  <c r="E125" i="144"/>
  <c r="E136" i="144" s="1"/>
  <c r="E87" i="132" l="1"/>
  <c r="E33" i="132"/>
  <c r="E214" i="132" s="1"/>
  <c r="E28" i="144"/>
  <c r="E32" i="144"/>
  <c r="E40" i="69"/>
  <c r="E15" i="133" s="1"/>
  <c r="E213" i="132"/>
  <c r="E83" i="132"/>
  <c r="E258" i="132"/>
  <c r="G159" i="178"/>
  <c r="G162" i="178" s="1"/>
  <c r="G125" i="178"/>
  <c r="G128" i="178" s="1"/>
  <c r="E89" i="132" l="1"/>
  <c r="E91" i="132" s="1"/>
  <c r="E259" i="132"/>
  <c r="E40" i="132"/>
  <c r="E217" i="132" s="1"/>
  <c r="E289" i="132"/>
  <c r="E215" i="132"/>
  <c r="E223" i="132" s="1"/>
  <c r="G137" i="178"/>
  <c r="G141" i="178" s="1"/>
  <c r="G138" i="178"/>
  <c r="G171" i="178"/>
  <c r="G175" i="178" s="1"/>
  <c r="G172" i="178"/>
  <c r="E260" i="132" l="1"/>
  <c r="E268" i="132" s="1"/>
  <c r="E262" i="132"/>
  <c r="E315" i="132"/>
  <c r="E297" i="132"/>
  <c r="G178" i="178"/>
  <c r="G182" i="178" s="1"/>
  <c r="E42" i="186" s="1"/>
  <c r="E44" i="186" s="1"/>
  <c r="G144" i="178"/>
  <c r="G148" i="178" s="1"/>
  <c r="E224" i="132"/>
  <c r="E228" i="132" s="1"/>
  <c r="E16" i="142"/>
  <c r="E269" i="132" l="1"/>
  <c r="E82" i="144"/>
  <c r="E38" i="186"/>
  <c r="E40" i="186" s="1"/>
  <c r="E327" i="132"/>
  <c r="E273" i="132"/>
  <c r="E93" i="132"/>
  <c r="E317" i="132"/>
  <c r="E83" i="144"/>
  <c r="E31" i="144"/>
  <c r="E86" i="144"/>
  <c r="E27" i="144"/>
  <c r="E71" i="144"/>
  <c r="H16" i="142"/>
  <c r="E282" i="132" l="1"/>
  <c r="E87" i="144"/>
  <c r="E33" i="144"/>
  <c r="E72" i="144"/>
  <c r="E29" i="144"/>
  <c r="E237" i="132"/>
  <c r="G16" i="142"/>
  <c r="I16" i="142" s="1"/>
  <c r="E17" i="142" s="1"/>
  <c r="E325" i="132" l="1"/>
  <c r="E40" i="144"/>
  <c r="E78" i="144"/>
  <c r="E89" i="144"/>
  <c r="E323" i="132"/>
  <c r="H17" i="142"/>
  <c r="E91" i="144" l="1"/>
  <c r="E33" i="133"/>
  <c r="G17" i="142"/>
  <c r="E93" i="144" l="1"/>
  <c r="G33" i="133"/>
  <c r="H33" i="133"/>
  <c r="I17" i="142"/>
  <c r="E18" i="142" s="1"/>
  <c r="H18" i="142" s="1"/>
  <c r="E10" i="140" l="1"/>
  <c r="E12" i="140" s="1"/>
  <c r="G18" i="142"/>
  <c r="I18" i="142" s="1"/>
  <c r="E19" i="142" s="1"/>
  <c r="H19" i="142" s="1"/>
  <c r="G19" i="142" s="1"/>
  <c r="I19" i="142" s="1"/>
  <c r="E20" i="142" s="1"/>
  <c r="H20" i="142" s="1"/>
  <c r="G20" i="142" s="1"/>
  <c r="I20" i="142" s="1"/>
  <c r="E21" i="142" s="1"/>
  <c r="H21" i="142" s="1"/>
  <c r="G21" i="142" s="1"/>
  <c r="I21" i="142" s="1"/>
  <c r="E22" i="142" s="1"/>
  <c r="H22" i="142" s="1"/>
  <c r="G22" i="142" s="1"/>
  <c r="I22" i="142" s="1"/>
  <c r="E23" i="142" s="1"/>
  <c r="H23" i="142" s="1"/>
  <c r="G23" i="142" s="1"/>
  <c r="I23" i="142" s="1"/>
  <c r="E24" i="142" s="1"/>
  <c r="H24" i="142" s="1"/>
  <c r="G24" i="142" s="1"/>
  <c r="I24" i="142" s="1"/>
  <c r="E25" i="142" s="1"/>
  <c r="H25" i="142" s="1"/>
  <c r="G25" i="142" s="1"/>
  <c r="I25" i="142" s="1"/>
  <c r="E26" i="142" s="1"/>
  <c r="E11" i="140" l="1"/>
  <c r="E13" i="140" s="1"/>
  <c r="D34" i="140" s="1"/>
  <c r="I34" i="140" s="1"/>
  <c r="H26" i="142"/>
  <c r="G26" i="142" s="1"/>
  <c r="I26" i="142" s="1"/>
  <c r="E27" i="142" s="1"/>
  <c r="D31" i="140" l="1"/>
  <c r="I31" i="140" s="1"/>
  <c r="D26" i="140"/>
  <c r="I26" i="140" s="1"/>
  <c r="D25" i="140"/>
  <c r="I25" i="140" s="1"/>
  <c r="D27" i="140"/>
  <c r="I27" i="140" s="1"/>
  <c r="D30" i="140"/>
  <c r="I30" i="140" s="1"/>
  <c r="D32" i="140"/>
  <c r="I32" i="140" s="1"/>
  <c r="D24" i="140"/>
  <c r="I24" i="140" s="1"/>
  <c r="D28" i="140"/>
  <c r="I28" i="140" s="1"/>
  <c r="D29" i="140"/>
  <c r="I29" i="140" s="1"/>
  <c r="D23" i="140"/>
  <c r="I23" i="140" s="1"/>
  <c r="K23" i="140" s="1"/>
  <c r="D33" i="140"/>
  <c r="I33" i="140" s="1"/>
  <c r="H27" i="142"/>
  <c r="H28" i="142" s="1"/>
  <c r="I35" i="140" l="1"/>
  <c r="L23" i="140"/>
  <c r="M23" i="140" s="1"/>
  <c r="K24" i="140" s="1"/>
  <c r="L24" i="140" s="1"/>
  <c r="M24" i="140" s="1"/>
  <c r="K25" i="140" s="1"/>
  <c r="L25" i="140" s="1"/>
  <c r="M25" i="140" s="1"/>
  <c r="K26" i="140" s="1"/>
  <c r="L26" i="140" s="1"/>
  <c r="M26" i="140" s="1"/>
  <c r="D35" i="140"/>
  <c r="G27" i="142"/>
  <c r="I27" i="142" s="1"/>
  <c r="D31" i="142"/>
  <c r="E321" i="132" s="1"/>
  <c r="K27" i="140" l="1"/>
  <c r="L27" i="140" s="1"/>
  <c r="M27" i="140" s="1"/>
  <c r="K28" i="140" l="1"/>
  <c r="L28" i="140" s="1"/>
  <c r="M28" i="140" s="1"/>
  <c r="K29" i="140" s="1"/>
  <c r="L29" i="140" s="1"/>
  <c r="M29" i="140" s="1"/>
  <c r="K30" i="140" s="1"/>
  <c r="L30" i="140" s="1"/>
  <c r="M30" i="140" s="1"/>
  <c r="K31" i="140" l="1"/>
  <c r="L31" i="140" s="1"/>
  <c r="M31" i="140" s="1"/>
  <c r="K32" i="140" l="1"/>
  <c r="L32" i="140" s="1"/>
  <c r="M32" i="140" l="1"/>
  <c r="K33" i="140" l="1"/>
  <c r="L33" i="140" s="1"/>
  <c r="M33" i="140" s="1"/>
  <c r="K34" i="140" l="1"/>
  <c r="L34" i="140" s="1"/>
  <c r="L35" i="140" s="1"/>
  <c r="M34" i="140" l="1"/>
  <c r="E319" i="132" l="1"/>
  <c r="D30" i="142"/>
  <c r="D32" i="142" s="1"/>
  <c r="E329" i="132" l="1"/>
  <c r="E332" i="132" l="1"/>
  <c r="E331" i="132"/>
  <c r="E11" i="133"/>
  <c r="E334" i="132" l="1"/>
  <c r="E23" i="133"/>
  <c r="E29" i="133" l="1"/>
  <c r="E37" i="133" s="1"/>
  <c r="E338" i="132"/>
  <c r="G29" i="133" l="1"/>
  <c r="G37" i="133" s="1"/>
  <c r="G38" i="133" s="1"/>
  <c r="H29" i="133"/>
  <c r="H37" i="133" s="1"/>
  <c r="H38" i="133" s="1"/>
  <c r="H39" i="133" s="1"/>
  <c r="H44" i="133" s="1"/>
  <c r="E38" i="133" l="1"/>
  <c r="G39" i="133"/>
  <c r="G44" i="133" s="1"/>
  <c r="E39" i="133" l="1"/>
  <c r="E44" i="133" l="1"/>
</calcChain>
</file>

<file path=xl/sharedStrings.xml><?xml version="1.0" encoding="utf-8"?>
<sst xmlns="http://schemas.openxmlformats.org/spreadsheetml/2006/main" count="5527" uniqueCount="1954">
  <si>
    <t>SAN DIEGO GAS &amp; ELECTRIC COMPANY</t>
  </si>
  <si>
    <t xml:space="preserve"> </t>
  </si>
  <si>
    <t>Statement BK-1</t>
  </si>
  <si>
    <r>
      <t xml:space="preserve">Derivation of End Use Prior Year Revenue Requirements (PYRR </t>
    </r>
    <r>
      <rPr>
        <b/>
        <vertAlign val="subscript"/>
        <sz val="12"/>
        <rFont val="Times New Roman"/>
        <family val="1"/>
      </rPr>
      <t>EU</t>
    </r>
    <r>
      <rPr>
        <b/>
        <sz val="12"/>
        <rFont val="Times New Roman"/>
        <family val="1"/>
      </rPr>
      <t>)</t>
    </r>
  </si>
  <si>
    <t>($1,000)</t>
  </si>
  <si>
    <t>Line</t>
  </si>
  <si>
    <t>No.</t>
  </si>
  <si>
    <t>Amounts</t>
  </si>
  <si>
    <t>Reference</t>
  </si>
  <si>
    <t>A. Revenues:</t>
  </si>
  <si>
    <t>Transmission Operation &amp; Maintenance Expense</t>
  </si>
  <si>
    <t>Transmission Related A&amp;G Expense</t>
  </si>
  <si>
    <t>CPUC Intervenor Funding Expense - Transmission</t>
  </si>
  <si>
    <t xml:space="preserve">     Total O&amp;M Expenses</t>
  </si>
  <si>
    <t>Sum Lines 1 thru 5</t>
  </si>
  <si>
    <t>Transmission, General, Common Plant Depn. Exp., and Electric Misc. Intangible Plant Amort. Exp.</t>
  </si>
  <si>
    <t>Statement AJ; Line 17</t>
  </si>
  <si>
    <r>
      <t xml:space="preserve">Transmission Plant Abandoned Project Cost Amortization Expense </t>
    </r>
    <r>
      <rPr>
        <b/>
        <vertAlign val="superscript"/>
        <sz val="12"/>
        <rFont val="Times New Roman"/>
        <family val="1"/>
      </rPr>
      <t>1</t>
    </r>
  </si>
  <si>
    <t>Statement AJ; Line 23</t>
  </si>
  <si>
    <t>Transmission Related Property Taxes Expense</t>
  </si>
  <si>
    <t>Transmission Related Payroll Taxes Expense</t>
  </si>
  <si>
    <t xml:space="preserve">     Sub-Total Expense</t>
  </si>
  <si>
    <t>Sum Lines 6 thru 14</t>
  </si>
  <si>
    <t>Transmission Rate Base</t>
  </si>
  <si>
    <t>Page 3; Line 27</t>
  </si>
  <si>
    <t>Line 17 x Line 18</t>
  </si>
  <si>
    <t>Total of Federal Income Tax Deductions, Other Than Interest</t>
  </si>
  <si>
    <t>Statement AQ; Line 3</t>
  </si>
  <si>
    <t>Transmission Related Revenue Credits</t>
  </si>
  <si>
    <t>Statement AU; Line 13</t>
  </si>
  <si>
    <t>Transmission Related Regulatory Debits/Credits</t>
  </si>
  <si>
    <t>Statement Misc; Line 1</t>
  </si>
  <si>
    <t>(Gains)/Losses from Sale of Plant Held for Future Use</t>
  </si>
  <si>
    <t>Statement AU; Line 15</t>
  </si>
  <si>
    <r>
      <t xml:space="preserve">     End of Prior Year Revenues (PYRR </t>
    </r>
    <r>
      <rPr>
        <vertAlign val="subscript"/>
        <sz val="12"/>
        <rFont val="Times New Roman"/>
        <family val="1"/>
      </rPr>
      <t>EU</t>
    </r>
    <r>
      <rPr>
        <sz val="12"/>
        <rFont val="Times New Roman"/>
        <family val="1"/>
      </rPr>
      <t>) Excluding FF&amp;U</t>
    </r>
  </si>
  <si>
    <t>Blank lines that show up in the Formula Rate Spreadsheet will not be populated with any numbers absent a Section 205 filing to approve the blank lines.</t>
  </si>
  <si>
    <r>
      <t>B. Incentive ROE Project Transmission Revenue:</t>
    </r>
    <r>
      <rPr>
        <b/>
        <sz val="12"/>
        <rFont val="Times New Roman"/>
        <family val="1"/>
      </rPr>
      <t xml:space="preserve"> </t>
    </r>
    <r>
      <rPr>
        <b/>
        <vertAlign val="superscript"/>
        <sz val="12"/>
        <rFont val="Times New Roman"/>
        <family val="1"/>
      </rPr>
      <t>1, 2</t>
    </r>
  </si>
  <si>
    <t>Incentive Transmission Plant Depreciation Expense</t>
  </si>
  <si>
    <t>Statement AJ; Line 19</t>
  </si>
  <si>
    <t>Line 7 x Line 8</t>
  </si>
  <si>
    <t xml:space="preserve">     Total Incentive ROE Project Transmission Revenue</t>
  </si>
  <si>
    <r>
      <t>C. Incentive Transmission Plant Abandoned Project Revenue:</t>
    </r>
    <r>
      <rPr>
        <b/>
        <sz val="12"/>
        <rFont val="Times New Roman"/>
        <family val="1"/>
      </rPr>
      <t xml:space="preserve"> </t>
    </r>
    <r>
      <rPr>
        <b/>
        <vertAlign val="superscript"/>
        <sz val="12"/>
        <rFont val="Times New Roman"/>
        <family val="1"/>
      </rPr>
      <t>1, 2</t>
    </r>
  </si>
  <si>
    <t>Incentive Transmission Plant Abandoned Project Cost Amortization Expense</t>
  </si>
  <si>
    <t>Statement AJ; Line 21</t>
  </si>
  <si>
    <t>Total Incentive Transmission Plant Abandoned Project Cost Rate Base</t>
  </si>
  <si>
    <t>Page 3; Line 37</t>
  </si>
  <si>
    <t>Shall be Zero</t>
  </si>
  <si>
    <t xml:space="preserve">     Total Incentive Transmission Plant Abandoned Project Revenue</t>
  </si>
  <si>
    <r>
      <t>D. Incentive Transmission Construction Work In Progress (CWIP) Revenue:</t>
    </r>
    <r>
      <rPr>
        <b/>
        <sz val="12"/>
        <rFont val="Times New Roman"/>
        <family val="1"/>
      </rPr>
      <t xml:space="preserve"> </t>
    </r>
    <r>
      <rPr>
        <b/>
        <vertAlign val="superscript"/>
        <sz val="12"/>
        <rFont val="Times New Roman"/>
        <family val="1"/>
      </rPr>
      <t>1, 2</t>
    </r>
  </si>
  <si>
    <t>Incentive Transmission Construction Work In Progress</t>
  </si>
  <si>
    <t>Page 3; Line 39</t>
  </si>
  <si>
    <t xml:space="preserve">     Total Incentive CWIP Revenue</t>
  </si>
  <si>
    <r>
      <t xml:space="preserve">     Total Incentive End of Prior Year Revenues (PYRR </t>
    </r>
    <r>
      <rPr>
        <vertAlign val="subscript"/>
        <sz val="12"/>
        <rFont val="Times New Roman"/>
        <family val="1"/>
      </rPr>
      <t>EU-IR</t>
    </r>
    <r>
      <rPr>
        <sz val="12"/>
        <rFont val="Times New Roman"/>
        <family val="1"/>
      </rPr>
      <t>) Excluding FF&amp;U</t>
    </r>
  </si>
  <si>
    <r>
      <t xml:space="preserve">E. Total (PYRR </t>
    </r>
    <r>
      <rPr>
        <b/>
        <u/>
        <vertAlign val="subscript"/>
        <sz val="12"/>
        <rFont val="Times New Roman"/>
        <family val="1"/>
      </rPr>
      <t>EU</t>
    </r>
    <r>
      <rPr>
        <b/>
        <u/>
        <sz val="12"/>
        <rFont val="Times New Roman"/>
        <family val="1"/>
      </rPr>
      <t>) Excluding FF&amp;U</t>
    </r>
    <r>
      <rPr>
        <b/>
        <sz val="12"/>
        <rFont val="Times New Roman"/>
        <family val="1"/>
      </rPr>
      <t xml:space="preserve"> </t>
    </r>
    <r>
      <rPr>
        <b/>
        <vertAlign val="superscript"/>
        <sz val="12"/>
        <rFont val="Times New Roman"/>
        <family val="1"/>
      </rPr>
      <t>3</t>
    </r>
  </si>
  <si>
    <t>The FERC approved incentives for each project will be tracked and shown separately by repeating the applicable lines. As a result, the data on this page may carryover to the next page.</t>
  </si>
  <si>
    <t>Total Prior Year Revenues (PYRR) or Base Period Revenue is for 12 months ending the applicable cycle base period.</t>
  </si>
  <si>
    <t>A. Transmission Rate Base:</t>
  </si>
  <si>
    <t>Net Transmission Plant:</t>
  </si>
  <si>
    <t>Transmission Plant</t>
  </si>
  <si>
    <t>Page 4; Line 16</t>
  </si>
  <si>
    <t>Transmission Related Electric Miscellaneous Intangible Plant</t>
  </si>
  <si>
    <t>Page 4; Line 17</t>
  </si>
  <si>
    <t>Transmission Related General Plant</t>
  </si>
  <si>
    <t>Page 4; Line 18</t>
  </si>
  <si>
    <t>Transmission Related Common Plant</t>
  </si>
  <si>
    <t>Page 4; Line 19</t>
  </si>
  <si>
    <t xml:space="preserve">     Total Net Transmission Plant</t>
  </si>
  <si>
    <t>Sum Lines 2 thru 5</t>
  </si>
  <si>
    <t>Rate Base Additions:</t>
  </si>
  <si>
    <t>Transmission Plant Held for Future Use</t>
  </si>
  <si>
    <t>Statement AG; Line 1</t>
  </si>
  <si>
    <t>Transmission Plant Abandoned Project Cost</t>
  </si>
  <si>
    <t>Statement Misc; Line 3</t>
  </si>
  <si>
    <t xml:space="preserve">     Total Rate Base Additions</t>
  </si>
  <si>
    <t>Line 9 + Line 10</t>
  </si>
  <si>
    <t>Rate Base Reductions:</t>
  </si>
  <si>
    <r>
      <t xml:space="preserve">Transmission Related Accum. Def. Inc. Taxes </t>
    </r>
    <r>
      <rPr>
        <b/>
        <vertAlign val="superscript"/>
        <sz val="12"/>
        <rFont val="Times New Roman"/>
        <family val="1"/>
      </rPr>
      <t>1</t>
    </r>
  </si>
  <si>
    <t>Statement AF; Line 7</t>
  </si>
  <si>
    <t>Transmission Plant Abandoned Accum. Def. Inc. Taxes</t>
  </si>
  <si>
    <t>Statement AF; Line 11</t>
  </si>
  <si>
    <t xml:space="preserve">     Total Rate Base Reductions</t>
  </si>
  <si>
    <t>Line 14 + Line 15</t>
  </si>
  <si>
    <t>Working Capital:</t>
  </si>
  <si>
    <t xml:space="preserve">Transmission Related Materials and Supplies </t>
  </si>
  <si>
    <t>Statement AL; Line 5</t>
  </si>
  <si>
    <t>Transmission Related Prepayments</t>
  </si>
  <si>
    <t>Statement AL; Line 9</t>
  </si>
  <si>
    <t>Transmission Related Cash Working Capital</t>
  </si>
  <si>
    <t>Statement AL; Line 19</t>
  </si>
  <si>
    <t xml:space="preserve">     Total Working Capital</t>
  </si>
  <si>
    <t>Sum Lines 19 thru 21</t>
  </si>
  <si>
    <t>Other Regulatory Assets/Liabilities</t>
  </si>
  <si>
    <t>Statement Misc; Line 5</t>
  </si>
  <si>
    <t>Unfunded Reserves</t>
  </si>
  <si>
    <t>Statement Misc; Line 7</t>
  </si>
  <si>
    <t xml:space="preserve">     Total Transmission Rate Base</t>
  </si>
  <si>
    <t>Sum Lines 6, 11, 16, 22, 24, 25</t>
  </si>
  <si>
    <r>
      <t>B. Incentive ROE Project Transmission Rate Base:</t>
    </r>
    <r>
      <rPr>
        <b/>
        <sz val="12"/>
        <rFont val="Times New Roman"/>
        <family val="1"/>
      </rPr>
      <t xml:space="preserve"> </t>
    </r>
    <r>
      <rPr>
        <b/>
        <vertAlign val="superscript"/>
        <sz val="12"/>
        <rFont val="Times New Roman"/>
        <family val="1"/>
      </rPr>
      <t>2</t>
    </r>
  </si>
  <si>
    <t>Net Incentive Transmission Plant</t>
  </si>
  <si>
    <t>Page 4; Line 25</t>
  </si>
  <si>
    <t xml:space="preserve">Incentive Transmission Plant Accum. Def. Income Taxes </t>
  </si>
  <si>
    <t>Statement AF; Line 9</t>
  </si>
  <si>
    <t xml:space="preserve">     Total Incentive ROE Project Transmission Rate Base</t>
  </si>
  <si>
    <t>Line 30 + Line 31</t>
  </si>
  <si>
    <r>
      <t>C. Incentive Transmission Plant Abandoned Project Rate Base:</t>
    </r>
    <r>
      <rPr>
        <b/>
        <vertAlign val="superscript"/>
        <sz val="12"/>
        <rFont val="Times New Roman"/>
        <family val="1"/>
      </rPr>
      <t xml:space="preserve"> 2</t>
    </r>
  </si>
  <si>
    <t>Incentive Transmission Plant Abandoned Project Cost</t>
  </si>
  <si>
    <t>Statement Misc; Line 9</t>
  </si>
  <si>
    <t>Incentive Transmission Plant Abandoned Project Cost Accum. Def. Inc. Taxes</t>
  </si>
  <si>
    <t>Statement AF; Line 13</t>
  </si>
  <si>
    <t xml:space="preserve">     Total Incentive Transmission Plant Abandoned Project Cost Rate Base</t>
  </si>
  <si>
    <t>Line 35 + Line 36</t>
  </si>
  <si>
    <r>
      <t>D. Incentive Transmission Construction Work In Progress</t>
    </r>
    <r>
      <rPr>
        <b/>
        <sz val="12"/>
        <rFont val="Times New Roman"/>
        <family val="1"/>
      </rPr>
      <t xml:space="preserve"> </t>
    </r>
    <r>
      <rPr>
        <b/>
        <vertAlign val="superscript"/>
        <sz val="12"/>
        <rFont val="Times New Roman"/>
        <family val="1"/>
      </rPr>
      <t>2</t>
    </r>
  </si>
  <si>
    <t>Statement AM; Line 1</t>
  </si>
  <si>
    <t xml:space="preserve">Represents Transmission Related Net ADIT (Liab)/Asset and Net (Excess)/Deficient ADIT. </t>
  </si>
  <si>
    <t>A. Transmission Plant:</t>
  </si>
  <si>
    <t>Gross Transmission Plant:</t>
  </si>
  <si>
    <t>Statement AD; Line 11</t>
  </si>
  <si>
    <t>Transmission Related Electric Misc. Intangible Plant</t>
  </si>
  <si>
    <t>Statement AD; Line 27</t>
  </si>
  <si>
    <t>Statement AD; Line 29</t>
  </si>
  <si>
    <t>Statement AD; Line 31</t>
  </si>
  <si>
    <t xml:space="preserve">     Total Gross Transmission Plant</t>
  </si>
  <si>
    <t>Transmission Related Depreciation Reserve:</t>
  </si>
  <si>
    <t xml:space="preserve">Transmission Plant Depreciation Reserve </t>
  </si>
  <si>
    <t>Statement AE; Line 1</t>
  </si>
  <si>
    <t>Transmission Related Electric Misc. Intangible Plant Amortization Reserve</t>
  </si>
  <si>
    <t>Statement AE; Line 11</t>
  </si>
  <si>
    <t>Transmission Related General Plant Depr Reserve</t>
  </si>
  <si>
    <t>Statement AE; Line 13</t>
  </si>
  <si>
    <t>Transmission Related Common Plant Depr Reserve</t>
  </si>
  <si>
    <t>Statement AE; Line 15</t>
  </si>
  <si>
    <t xml:space="preserve">     Total Transmission Related Depreciation Reserve</t>
  </si>
  <si>
    <t>Sum Lines 9 thru 12</t>
  </si>
  <si>
    <t>Sum Lines 16 thru 19</t>
  </si>
  <si>
    <r>
      <t>B. Incentive Project Transmission Plant:</t>
    </r>
    <r>
      <rPr>
        <b/>
        <sz val="12"/>
        <rFont val="Times New Roman"/>
        <family val="1"/>
      </rPr>
      <t xml:space="preserve"> </t>
    </r>
    <r>
      <rPr>
        <b/>
        <vertAlign val="superscript"/>
        <sz val="12"/>
        <rFont val="Times New Roman"/>
        <family val="1"/>
      </rPr>
      <t>1</t>
    </r>
  </si>
  <si>
    <t>Incentive Transmission Plant</t>
  </si>
  <si>
    <t>Statement AD; Line 13</t>
  </si>
  <si>
    <t>Incentive Transmission Plant Depreciation Reserve</t>
  </si>
  <si>
    <t>Statement AE; Line 19</t>
  </si>
  <si>
    <t xml:space="preserve">     Total Net Incentive Transmission Plant</t>
  </si>
  <si>
    <t>The Incentive ROE Transmission plant and depreciation reserve will be tracked and shown for each incentive project and lines 23 through 25 will be repeated for each project.</t>
  </si>
  <si>
    <r>
      <t xml:space="preserve">Derivation of End Use Forecast Period Capital Additions Revenue Requirements (FC </t>
    </r>
    <r>
      <rPr>
        <b/>
        <vertAlign val="subscript"/>
        <sz val="12"/>
        <rFont val="Times New Roman"/>
        <family val="1"/>
      </rPr>
      <t>EU</t>
    </r>
    <r>
      <rPr>
        <b/>
        <sz val="12"/>
        <rFont val="Times New Roman"/>
        <family val="1"/>
      </rPr>
      <t>)</t>
    </r>
  </si>
  <si>
    <t>ANNUAL FIXED CHARGES APPLICABLE TO CAPITAL PROJECTS</t>
  </si>
  <si>
    <r>
      <t xml:space="preserve">A.  Derivation of Annual Fix Charge Rate (AFCR </t>
    </r>
    <r>
      <rPr>
        <b/>
        <u/>
        <vertAlign val="subscript"/>
        <sz val="12"/>
        <rFont val="Times New Roman"/>
        <family val="1"/>
      </rPr>
      <t>EU</t>
    </r>
    <r>
      <rPr>
        <b/>
        <u/>
        <sz val="12"/>
        <rFont val="Times New Roman"/>
        <family val="1"/>
      </rPr>
      <t>) Applicable to</t>
    </r>
  </si>
  <si>
    <t>Weighted Forecast Plant Additions:</t>
  </si>
  <si>
    <r>
      <t xml:space="preserve">PYRR </t>
    </r>
    <r>
      <rPr>
        <vertAlign val="subscript"/>
        <sz val="12"/>
        <rFont val="Times New Roman"/>
        <family val="1"/>
      </rPr>
      <t>EU</t>
    </r>
    <r>
      <rPr>
        <sz val="12"/>
        <rFont val="Times New Roman"/>
        <family val="1"/>
      </rPr>
      <t xml:space="preserve"> Excluding Franchise Fees and Uncollectible</t>
    </r>
  </si>
  <si>
    <t>50% of Transmission O&amp;M Expense</t>
  </si>
  <si>
    <t>Negative of Page 1; Line 1 x 50%</t>
  </si>
  <si>
    <t>50% of Transmission Related A&amp;G Expense</t>
  </si>
  <si>
    <t>Negative of Page 1; Line 3 x 50%</t>
  </si>
  <si>
    <t>Negative of Page 1; Line 5</t>
  </si>
  <si>
    <r>
      <t xml:space="preserve">     Adjusted Total (PYRR</t>
    </r>
    <r>
      <rPr>
        <vertAlign val="subscript"/>
        <sz val="12"/>
        <rFont val="Times New Roman"/>
        <family val="1"/>
      </rPr>
      <t xml:space="preserve"> EU</t>
    </r>
    <r>
      <rPr>
        <sz val="12"/>
        <rFont val="Times New Roman"/>
        <family val="1"/>
      </rPr>
      <t xml:space="preserve">) Excluding FF&amp;U </t>
    </r>
  </si>
  <si>
    <t>Sum Lines 1 thru 6</t>
  </si>
  <si>
    <t>Net Transmission Plant</t>
  </si>
  <si>
    <r>
      <t xml:space="preserve">Annual Fix Charge Rate (AFCR </t>
    </r>
    <r>
      <rPr>
        <vertAlign val="subscript"/>
        <sz val="12"/>
        <rFont val="Times New Roman"/>
        <family val="1"/>
      </rPr>
      <t>EU</t>
    </r>
    <r>
      <rPr>
        <sz val="12"/>
        <rFont val="Times New Roman"/>
        <family val="1"/>
      </rPr>
      <t>)</t>
    </r>
  </si>
  <si>
    <t xml:space="preserve">Weighted Forecast Plant Additions </t>
  </si>
  <si>
    <t>Summary of HV/LV Splits for Forecast Plant Additions; Line 5; Col. f</t>
  </si>
  <si>
    <t>Composite Depreciation Rate</t>
  </si>
  <si>
    <t>Statement AJ; Page AJ-1B; Line 33; Col. c</t>
  </si>
  <si>
    <t>Weighted Forecast Plant Additions Depreciation Expense</t>
  </si>
  <si>
    <t/>
  </si>
  <si>
    <t>Net Weighted Forecast Plant Additions</t>
  </si>
  <si>
    <t xml:space="preserve">     Forecast Period Capital Addition Revenue Requirements</t>
  </si>
  <si>
    <r>
      <t xml:space="preserve">A. Derivation of Annual Fix Charge Rate (AFCR </t>
    </r>
    <r>
      <rPr>
        <b/>
        <u/>
        <vertAlign val="subscript"/>
        <sz val="12"/>
        <rFont val="Times New Roman"/>
        <family val="1"/>
      </rPr>
      <t>EU-IR-ROE</t>
    </r>
    <r>
      <rPr>
        <b/>
        <u/>
        <sz val="12"/>
        <rFont val="Times New Roman"/>
        <family val="1"/>
      </rPr>
      <t>) Applicable to</t>
    </r>
  </si>
  <si>
    <t>Incentive Weighted Forecast Plant Additions (ROE Incentive Only):</t>
  </si>
  <si>
    <r>
      <t xml:space="preserve">PYRR </t>
    </r>
    <r>
      <rPr>
        <vertAlign val="subscript"/>
        <sz val="12"/>
        <rFont val="Times New Roman"/>
        <family val="1"/>
      </rPr>
      <t>EU-IR-ROE</t>
    </r>
    <r>
      <rPr>
        <sz val="12"/>
        <rFont val="Times New Roman"/>
        <family val="1"/>
      </rPr>
      <t xml:space="preserve"> Excluding Franchise Fees and Uncollectible</t>
    </r>
  </si>
  <si>
    <r>
      <t xml:space="preserve">     Adjusted Total (PYRR</t>
    </r>
    <r>
      <rPr>
        <vertAlign val="subscript"/>
        <sz val="12"/>
        <rFont val="Times New Roman"/>
        <family val="1"/>
      </rPr>
      <t xml:space="preserve"> EU-IR-ROE</t>
    </r>
    <r>
      <rPr>
        <sz val="12"/>
        <rFont val="Times New Roman"/>
        <family val="1"/>
      </rPr>
      <t xml:space="preserve">) Excluding FF&amp;U </t>
    </r>
  </si>
  <si>
    <t>Net Transmission Plant &amp; Incentive Transmission Plant</t>
  </si>
  <si>
    <t>Page 4; (Line 20 + Line 25)</t>
  </si>
  <si>
    <t xml:space="preserve">Incentive Weighted Forecast Plant Additions </t>
  </si>
  <si>
    <t>Summary of HV/LV Splits for Forecast Plant Additions; Line 8; Col. f</t>
  </si>
  <si>
    <r>
      <t xml:space="preserve">     Forecast Period Incentive Capital Addition Revenue Requirements (FC </t>
    </r>
    <r>
      <rPr>
        <vertAlign val="subscript"/>
        <sz val="12"/>
        <rFont val="Times New Roman"/>
        <family val="1"/>
      </rPr>
      <t>EU-IR-ROE</t>
    </r>
    <r>
      <rPr>
        <sz val="12"/>
        <rFont val="Times New Roman"/>
        <family val="1"/>
      </rPr>
      <t>)</t>
    </r>
  </si>
  <si>
    <t>B. Derivation of Incentive Forecast Transmission CWIP Revenues:</t>
  </si>
  <si>
    <t xml:space="preserve">Incentive Weighted Forecast Transmission Construction Work In Progress </t>
  </si>
  <si>
    <t>Summary of HV/LV Splits for Forecast Plant Additions; Line 10 + Line 12; Col. f</t>
  </si>
  <si>
    <t>The Incentive Annual Fixed Charge Rate will be tracked and shown for each incentive project as applicable.</t>
  </si>
  <si>
    <r>
      <t xml:space="preserve">Derivation of End Use Base Transmission Revenue Requirements (BTRR </t>
    </r>
    <r>
      <rPr>
        <b/>
        <vertAlign val="subscript"/>
        <sz val="12"/>
        <rFont val="Times New Roman"/>
        <family val="1"/>
      </rPr>
      <t>EU</t>
    </r>
    <r>
      <rPr>
        <b/>
        <sz val="12"/>
        <rFont val="Times New Roman"/>
        <family val="1"/>
      </rPr>
      <t>)</t>
    </r>
  </si>
  <si>
    <r>
      <t xml:space="preserve">A. End Use Customer Base Transmission Revenue Requirement (BTRR </t>
    </r>
    <r>
      <rPr>
        <b/>
        <u/>
        <vertAlign val="subscript"/>
        <sz val="12"/>
        <rFont val="Times New Roman"/>
        <family val="1"/>
      </rPr>
      <t>EU</t>
    </r>
    <r>
      <rPr>
        <b/>
        <u/>
        <sz val="12"/>
        <rFont val="Times New Roman"/>
        <family val="1"/>
      </rPr>
      <t>):</t>
    </r>
  </si>
  <si>
    <r>
      <t xml:space="preserve">End of Prior Year Revenues (PYRR </t>
    </r>
    <r>
      <rPr>
        <vertAlign val="subscript"/>
        <sz val="12"/>
        <rFont val="Times New Roman"/>
        <family val="1"/>
      </rPr>
      <t>EU</t>
    </r>
    <r>
      <rPr>
        <sz val="12"/>
        <rFont val="Times New Roman"/>
        <family val="1"/>
      </rPr>
      <t>) Excluding FF&amp;U</t>
    </r>
  </si>
  <si>
    <r>
      <t xml:space="preserve">Incentive End of Prior Year Revenues (PYRR </t>
    </r>
    <r>
      <rPr>
        <vertAlign val="subscript"/>
        <sz val="12"/>
        <rFont val="Times New Roman"/>
        <family val="1"/>
      </rPr>
      <t>EU-IR</t>
    </r>
    <r>
      <rPr>
        <sz val="12"/>
        <rFont val="Times New Roman"/>
        <family val="1"/>
      </rPr>
      <t>) Excluding FF&amp;U</t>
    </r>
  </si>
  <si>
    <t xml:space="preserve">Retail True-Up Period Adjustment </t>
  </si>
  <si>
    <t>True-Up; Line 25; Col. 11</t>
  </si>
  <si>
    <t>Retail Interest True-Up Adjustment</t>
  </si>
  <si>
    <t>Interest True-Up CY; Line 22; Col. 2</t>
  </si>
  <si>
    <t>Forecast Period Capital Addition Revenue Requirements</t>
  </si>
  <si>
    <r>
      <t xml:space="preserve">Forecast Period Incentive Capital Additions Revenue Requirements (FC </t>
    </r>
    <r>
      <rPr>
        <vertAlign val="subscript"/>
        <sz val="12"/>
        <rFont val="Times New Roman"/>
        <family val="1"/>
      </rPr>
      <t>EU-IR-ROE</t>
    </r>
    <r>
      <rPr>
        <sz val="12"/>
        <rFont val="Times New Roman"/>
        <family val="1"/>
      </rPr>
      <t>)</t>
    </r>
  </si>
  <si>
    <t>Incentive Transmission Forecast CWIP Projects Revenue Requirements</t>
  </si>
  <si>
    <r>
      <t xml:space="preserve">B. Subtotal BTRR </t>
    </r>
    <r>
      <rPr>
        <b/>
        <u/>
        <vertAlign val="subscript"/>
        <sz val="12"/>
        <rFont val="Times New Roman"/>
        <family val="1"/>
      </rPr>
      <t>EU</t>
    </r>
    <r>
      <rPr>
        <b/>
        <u/>
        <sz val="12"/>
        <rFont val="Times New Roman"/>
        <family val="1"/>
      </rPr>
      <t xml:space="preserve"> Excluding FF&amp;U:</t>
    </r>
  </si>
  <si>
    <t>Sum Lines 2 thru 14</t>
  </si>
  <si>
    <t>Transmission Related Municipal Franchise Fees Expenses</t>
  </si>
  <si>
    <t>Line 16 x Franchise Fee Rate</t>
  </si>
  <si>
    <t>Transmission Related Uncollectible Expense</t>
  </si>
  <si>
    <t>Line 16 x Uncollectible Rate</t>
  </si>
  <si>
    <r>
      <t xml:space="preserve">C. Subtotal Retail BTRR </t>
    </r>
    <r>
      <rPr>
        <b/>
        <u/>
        <vertAlign val="subscript"/>
        <sz val="12"/>
        <rFont val="Times New Roman"/>
        <family val="1"/>
      </rPr>
      <t>EU</t>
    </r>
    <r>
      <rPr>
        <b/>
        <u/>
        <sz val="12"/>
        <rFont val="Times New Roman"/>
        <family val="1"/>
      </rPr>
      <t xml:space="preserve"> With FF&amp;U:</t>
    </r>
  </si>
  <si>
    <r>
      <t xml:space="preserve">D. Other BTRR </t>
    </r>
    <r>
      <rPr>
        <b/>
        <u/>
        <vertAlign val="subscript"/>
        <sz val="12"/>
        <rFont val="Times New Roman"/>
        <family val="1"/>
      </rPr>
      <t>EU</t>
    </r>
    <r>
      <rPr>
        <b/>
        <u/>
        <sz val="12"/>
        <rFont val="Times New Roman"/>
        <family val="1"/>
      </rPr>
      <t xml:space="preserve"> Adjustments:</t>
    </r>
  </si>
  <si>
    <t>Cost Adjustment Workpapers</t>
  </si>
  <si>
    <r>
      <t xml:space="preserve">E. Total Retail BTRR </t>
    </r>
    <r>
      <rPr>
        <b/>
        <u/>
        <vertAlign val="subscript"/>
        <sz val="12"/>
        <rFont val="Times New Roman"/>
        <family val="1"/>
      </rPr>
      <t>EU</t>
    </r>
    <r>
      <rPr>
        <b/>
        <u/>
        <sz val="12"/>
        <rFont val="Times New Roman"/>
        <family val="1"/>
      </rPr>
      <t xml:space="preserve"> With FF&amp;U:</t>
    </r>
  </si>
  <si>
    <t>Line 21 + Line 23</t>
  </si>
  <si>
    <t>Statement BK-2</t>
  </si>
  <si>
    <r>
      <t xml:space="preserve">Derivation of CAISO HV Transmission Facility (BTRR </t>
    </r>
    <r>
      <rPr>
        <b/>
        <vertAlign val="subscript"/>
        <sz val="12"/>
        <rFont val="Times New Roman"/>
        <family val="1"/>
      </rPr>
      <t>CAISO-HV</t>
    </r>
    <r>
      <rPr>
        <b/>
        <sz val="12"/>
        <rFont val="Times New Roman"/>
        <family val="1"/>
      </rPr>
      <t xml:space="preserve">) &amp; LV Transmission Facility (BTRR </t>
    </r>
    <r>
      <rPr>
        <b/>
        <vertAlign val="subscript"/>
        <sz val="12"/>
        <rFont val="Times New Roman"/>
        <family val="1"/>
      </rPr>
      <t>CAISO- LV</t>
    </r>
    <r>
      <rPr>
        <b/>
        <sz val="12"/>
        <rFont val="Times New Roman"/>
        <family val="1"/>
      </rPr>
      <t>) Revenue Requirements</t>
    </r>
  </si>
  <si>
    <t>Total</t>
  </si>
  <si>
    <t>A. Derivation of Revenues Related With Total Transmission Facilities:</t>
  </si>
  <si>
    <t>Retail BTRR Excluding FF&amp;U</t>
  </si>
  <si>
    <t>Statement BK-1; Page 7; Line 16</t>
  </si>
  <si>
    <t>Less: CPUC Intervenor Funding Expense - Transmission</t>
  </si>
  <si>
    <t>Negative of Statement BK-1; Page 1; Line 5</t>
  </si>
  <si>
    <t>Less: South Georgia Income Tax Adjustment</t>
  </si>
  <si>
    <t>Negative of Statement AQ; Line 1</t>
  </si>
  <si>
    <t xml:space="preserve">     Total Wholesale BTRR Excluding Franchise Fees</t>
  </si>
  <si>
    <r>
      <t>B. Derivation of Split Between HV and LV:</t>
    </r>
    <r>
      <rPr>
        <b/>
        <sz val="12"/>
        <rFont val="Times New Roman"/>
        <family val="1"/>
      </rPr>
      <t xml:space="preserve"> </t>
    </r>
    <r>
      <rPr>
        <b/>
        <vertAlign val="superscript"/>
        <sz val="12"/>
        <rFont val="Times New Roman"/>
        <family val="1"/>
      </rPr>
      <t>1</t>
    </r>
  </si>
  <si>
    <t>(a)</t>
  </si>
  <si>
    <t>(b)</t>
  </si>
  <si>
    <t>(c)</t>
  </si>
  <si>
    <t xml:space="preserve">1. Percent Split Between HV &amp; LV for Recorded Non-Incentive &amp; Incentive </t>
  </si>
  <si>
    <t>High Voltage</t>
  </si>
  <si>
    <t>Low Voltage</t>
  </si>
  <si>
    <t xml:space="preserve">    Gross Transmission Plant Facilities and Incentive CWIP:</t>
  </si>
  <si>
    <t xml:space="preserve">    HV/LV Plant Allocation Ratios</t>
  </si>
  <si>
    <t xml:space="preserve">    Total HV/LV Transmission Plant Facilities Revenues </t>
  </si>
  <si>
    <t>2. Percent Split Between HV &amp; LV Forecast Plant Additions:</t>
  </si>
  <si>
    <t xml:space="preserve">    HV/LV Plant Allocation Ratios Based on Forecast Plant Additions</t>
  </si>
  <si>
    <t>Summary of HV/LV Splits for Forecast Plant Additions; Line 19; Col. d and e</t>
  </si>
  <si>
    <t xml:space="preserve">    Total HV/LV Transmission Forecast Plant Additions Revenues</t>
  </si>
  <si>
    <t>Col. a = Statement BK-1; Page 7; 
Sum Lines 10 thru 14</t>
  </si>
  <si>
    <t>C. Summary of CAISO Transmission Facilities by</t>
  </si>
  <si>
    <t xml:space="preserve"> High Voltage and Low Voltage Classification:</t>
  </si>
  <si>
    <r>
      <t xml:space="preserve">Transmission Facilities (BTRR </t>
    </r>
    <r>
      <rPr>
        <vertAlign val="subscript"/>
        <sz val="12"/>
        <rFont val="Times New Roman"/>
        <family val="1"/>
      </rPr>
      <t>CAISO</t>
    </r>
    <r>
      <rPr>
        <sz val="12"/>
        <rFont val="Times New Roman"/>
        <family val="1"/>
      </rPr>
      <t>) Excluding Franchise Fees</t>
    </r>
  </si>
  <si>
    <r>
      <t xml:space="preserve">Franchise Fee </t>
    </r>
    <r>
      <rPr>
        <b/>
        <vertAlign val="superscript"/>
        <sz val="12"/>
        <rFont val="Times New Roman"/>
        <family val="1"/>
      </rPr>
      <t>2</t>
    </r>
  </si>
  <si>
    <t xml:space="preserve">     Subtotal Wholesale BTRR With Franchise Fees</t>
  </si>
  <si>
    <t>D. Other BTRR Adjustments with Franchise Fees</t>
  </si>
  <si>
    <t>Col. a = Cost Adjustment Workpapers</t>
  </si>
  <si>
    <t>SDG&amp;E has followed the CAISO's guidelines to separate all elements of its Transmission facilities into HV and LV components as outlined in Appendix F; Schedule 3; Section 12 of the CAISO tariff.</t>
  </si>
  <si>
    <t xml:space="preserve">Base franchise fees are applicable to all SDG&amp;E customers. </t>
  </si>
  <si>
    <t xml:space="preserve">The following HV/LV Wholesale Base Transmission Revenue Requirements will be used by the CAISO to develop the TAC rates for the applicable rate effective period. </t>
  </si>
  <si>
    <t>Statement AD</t>
  </si>
  <si>
    <t>Cost of Plant</t>
  </si>
  <si>
    <t>FERC Form 1</t>
  </si>
  <si>
    <t>(c) = [(a)+(b)]/2</t>
  </si>
  <si>
    <t>Page; Line; Col.</t>
  </si>
  <si>
    <t>Average Balance</t>
  </si>
  <si>
    <r>
      <t xml:space="preserve">Total Steam Production Plant </t>
    </r>
    <r>
      <rPr>
        <b/>
        <vertAlign val="superscript"/>
        <sz val="12"/>
        <rFont val="Times New Roman"/>
        <family val="1"/>
      </rPr>
      <t>1,3</t>
    </r>
  </si>
  <si>
    <t>204-207; Footnote Data (a)</t>
  </si>
  <si>
    <t>AD-1; Line 18</t>
  </si>
  <si>
    <r>
      <t xml:space="preserve">Total Nuclear Production Plant </t>
    </r>
    <r>
      <rPr>
        <b/>
        <vertAlign val="superscript"/>
        <sz val="12"/>
        <rFont val="Times New Roman"/>
        <family val="1"/>
      </rPr>
      <t>1,3</t>
    </r>
  </si>
  <si>
    <t>AD-2; Line 18</t>
  </si>
  <si>
    <r>
      <t xml:space="preserve">Total Hydraulic Production Plant </t>
    </r>
    <r>
      <rPr>
        <b/>
        <vertAlign val="superscript"/>
        <sz val="12"/>
        <rFont val="Times New Roman"/>
        <family val="1"/>
      </rPr>
      <t>1,3</t>
    </r>
  </si>
  <si>
    <t>AD-3; Line 18</t>
  </si>
  <si>
    <r>
      <t xml:space="preserve">Total Other Production Plant </t>
    </r>
    <r>
      <rPr>
        <b/>
        <vertAlign val="superscript"/>
        <sz val="12"/>
        <rFont val="Times New Roman"/>
        <family val="1"/>
      </rPr>
      <t>1,3</t>
    </r>
  </si>
  <si>
    <t>AD-4; Line 18</t>
  </si>
  <si>
    <r>
      <t xml:space="preserve">Total Distribution Plant </t>
    </r>
    <r>
      <rPr>
        <b/>
        <vertAlign val="superscript"/>
        <sz val="12"/>
        <rFont val="Times New Roman"/>
        <family val="1"/>
      </rPr>
      <t>2,3</t>
    </r>
  </si>
  <si>
    <t>204-207; Footnote Data (a); BOY and EOY</t>
  </si>
  <si>
    <t>AD-5; Line 6</t>
  </si>
  <si>
    <r>
      <t xml:space="preserve">Transmission Plant </t>
    </r>
    <r>
      <rPr>
        <b/>
        <vertAlign val="superscript"/>
        <sz val="12"/>
        <rFont val="Times New Roman"/>
        <family val="1"/>
      </rPr>
      <t>1, 3</t>
    </r>
  </si>
  <si>
    <t>AD-6; Line 18</t>
  </si>
  <si>
    <r>
      <t xml:space="preserve">Incentive Transmission Plant </t>
    </r>
    <r>
      <rPr>
        <b/>
        <vertAlign val="superscript"/>
        <sz val="12"/>
        <rFont val="Times New Roman"/>
        <family val="1"/>
      </rPr>
      <t>1</t>
    </r>
  </si>
  <si>
    <t>AD-7; Line 18</t>
  </si>
  <si>
    <r>
      <t>Total Electric Miscellaneous Intangible Plant</t>
    </r>
    <r>
      <rPr>
        <b/>
        <sz val="12"/>
        <rFont val="Times New Roman"/>
        <family val="1"/>
      </rPr>
      <t xml:space="preserve"> </t>
    </r>
    <r>
      <rPr>
        <b/>
        <vertAlign val="superscript"/>
        <sz val="12"/>
        <rFont val="Times New Roman"/>
        <family val="1"/>
      </rPr>
      <t>2, 4</t>
    </r>
  </si>
  <si>
    <t>AD-8; Line 6</t>
  </si>
  <si>
    <r>
      <t>Total General Plant</t>
    </r>
    <r>
      <rPr>
        <b/>
        <sz val="12"/>
        <rFont val="Times New Roman"/>
        <family val="1"/>
      </rPr>
      <t xml:space="preserve"> </t>
    </r>
    <r>
      <rPr>
        <b/>
        <vertAlign val="superscript"/>
        <sz val="12"/>
        <rFont val="Times New Roman"/>
        <family val="1"/>
      </rPr>
      <t>2, 4</t>
    </r>
  </si>
  <si>
    <t>AD-9; Line 6</t>
  </si>
  <si>
    <r>
      <t xml:space="preserve">Total Common Plant </t>
    </r>
    <r>
      <rPr>
        <b/>
        <vertAlign val="superscript"/>
        <sz val="12"/>
        <rFont val="Times New Roman"/>
        <family val="1"/>
      </rPr>
      <t>2, 4</t>
    </r>
  </si>
  <si>
    <t>AD-10; Line 10</t>
  </si>
  <si>
    <t xml:space="preserve">     Total Plant in Service </t>
  </si>
  <si>
    <t>Sum Lines 1 thru 19</t>
  </si>
  <si>
    <t>Transmission Wages and Salaries Allocation Factor</t>
  </si>
  <si>
    <t>Statement AI; Line 15</t>
  </si>
  <si>
    <t>Total Transmission Plant &amp; Incentive Transmission Plant</t>
  </si>
  <si>
    <t>Line 11 + Line 13</t>
  </si>
  <si>
    <t>Line 15 x Line 23</t>
  </si>
  <si>
    <t>Line 17 x Line 23</t>
  </si>
  <si>
    <t xml:space="preserve">Transmission Related Common Plant </t>
  </si>
  <si>
    <t>Line 19 x Line 23</t>
  </si>
  <si>
    <t xml:space="preserve">     Transmission Related Total Plant in Service </t>
  </si>
  <si>
    <t>Sum Lines 25 thru 31</t>
  </si>
  <si>
    <r>
      <t>Transmission Plant Allocation Factor</t>
    </r>
    <r>
      <rPr>
        <b/>
        <vertAlign val="superscript"/>
        <sz val="12"/>
        <rFont val="Times New Roman"/>
        <family val="1"/>
      </rPr>
      <t xml:space="preserve">  5</t>
    </r>
  </si>
  <si>
    <t>Line 33 / Line 21</t>
  </si>
  <si>
    <t>The balances for Steam, Nuclear, Hydraulic, Other Production, Transmission, and Incentive Transmission plant are derived based on a 13-month average balance.</t>
  </si>
  <si>
    <t>The balances for Electric Miscellaneous Intangible, Distribution, General and Common plant are derived based on a simple average balance using beginning and ending year balances.</t>
  </si>
  <si>
    <t>The amounts stated above are ratemaking utility plant in service and a result of implementing the “Seven-Element Adjustment Factor” which reflects transfers between core electric functional areas.</t>
  </si>
  <si>
    <t>Not affected by the "Seven-Element Adjustment Factor".</t>
  </si>
  <si>
    <t>Used to allocate all elements of working capital, other than working cash.</t>
  </si>
  <si>
    <t>STATEMENT AD</t>
  </si>
  <si>
    <t>COST OF PLANT</t>
  </si>
  <si>
    <t>STEAM PRODUCTION</t>
  </si>
  <si>
    <t>Steam</t>
  </si>
  <si>
    <t>Production</t>
  </si>
  <si>
    <t>Month</t>
  </si>
  <si>
    <t>Per Book</t>
  </si>
  <si>
    <r>
      <t>Ratemaking</t>
    </r>
    <r>
      <rPr>
        <b/>
        <vertAlign val="superscript"/>
        <sz val="12"/>
        <rFont val="Times New Roman"/>
        <family val="1"/>
      </rPr>
      <t xml:space="preserve"> 1</t>
    </r>
  </si>
  <si>
    <t>SDG&amp;E Records</t>
  </si>
  <si>
    <t xml:space="preserve">Form 1; Page 204-207; Footnote Data (a); BOY </t>
  </si>
  <si>
    <t>Feb</t>
  </si>
  <si>
    <t>Mar</t>
  </si>
  <si>
    <t>Apr</t>
  </si>
  <si>
    <t>May</t>
  </si>
  <si>
    <t>Jun</t>
  </si>
  <si>
    <t>Jul</t>
  </si>
  <si>
    <t>Aug</t>
  </si>
  <si>
    <t>Sep</t>
  </si>
  <si>
    <t>Oct</t>
  </si>
  <si>
    <t>Nov</t>
  </si>
  <si>
    <t xml:space="preserve">Form 1; Page 204-207; Footnote Data (a); EOY </t>
  </si>
  <si>
    <t>Total 13 Months</t>
  </si>
  <si>
    <t>Sum Lines 1 thru 13</t>
  </si>
  <si>
    <t>13-Month Average Balance</t>
  </si>
  <si>
    <t>Average of Lines 1 thru 13</t>
  </si>
  <si>
    <t>Form 1; Page 204-207; Footnote Data (a)</t>
  </si>
  <si>
    <t>This column represents the monthly ratemaking plant balances for the base &amp; true-up periods. These plant balances reflect the amounts shifted between functions (Transmission to</t>
  </si>
  <si>
    <t>Distribution, Transmission to Generation, Distribution to Transmission, etc.) as required by FERC Order 888: Seven-Element Adjustment Factor.</t>
  </si>
  <si>
    <t>NUCLEAR PRODUCTION</t>
  </si>
  <si>
    <t>Nuclear</t>
  </si>
  <si>
    <t>HYDRAULIC PRODUCTION PLANT</t>
  </si>
  <si>
    <t>Hydraulic</t>
  </si>
  <si>
    <t>OTHER PRODUCTION</t>
  </si>
  <si>
    <t>Other</t>
  </si>
  <si>
    <t>DISTRIBUTION PLANT</t>
  </si>
  <si>
    <t>Distribution</t>
  </si>
  <si>
    <t>Plant</t>
  </si>
  <si>
    <t>Beginning and End Period Average</t>
  </si>
  <si>
    <t>Average of Line 1 and Line 3</t>
  </si>
  <si>
    <t>TRANSMISSION PLANT</t>
  </si>
  <si>
    <t>Transmission</t>
  </si>
  <si>
    <t>TRANSMISSION FUNCTIONALIZATION STUDY</t>
  </si>
  <si>
    <t>DERIVATION OF TRANSMISSION RELATED PLANT DOLLARS</t>
  </si>
  <si>
    <t>(1)</t>
  </si>
  <si>
    <t>(2)</t>
  </si>
  <si>
    <t>(3)</t>
  </si>
  <si>
    <t>(4)</t>
  </si>
  <si>
    <t>(5)</t>
  </si>
  <si>
    <t>(6)</t>
  </si>
  <si>
    <t>(7)</t>
  </si>
  <si>
    <t>(8)</t>
  </si>
  <si>
    <t>Generation</t>
  </si>
  <si>
    <t>Account 101</t>
  </si>
  <si>
    <t>Plant Reclass</t>
  </si>
  <si>
    <t>Adjusted Book</t>
  </si>
  <si>
    <t>Account</t>
  </si>
  <si>
    <t>Description</t>
  </si>
  <si>
    <t>as Transmission</t>
  </si>
  <si>
    <t>to Transmission</t>
  </si>
  <si>
    <t>Steam Prod.</t>
  </si>
  <si>
    <t>Other Prod.</t>
  </si>
  <si>
    <t>as Distribution</t>
  </si>
  <si>
    <t>SUM 1:7</t>
  </si>
  <si>
    <t>Production Related to Trans</t>
  </si>
  <si>
    <t>Intangibles</t>
  </si>
  <si>
    <t>Land</t>
  </si>
  <si>
    <t>Land &amp; Land Rights</t>
  </si>
  <si>
    <t>Structures &amp; Improvements</t>
  </si>
  <si>
    <t>TOTAL</t>
  </si>
  <si>
    <t>TRANSMISSION RELATED</t>
  </si>
  <si>
    <t>Station Equipment</t>
  </si>
  <si>
    <t>Towers and Fixtures</t>
  </si>
  <si>
    <t>Poles and Fixtures</t>
  </si>
  <si>
    <t>OH Conductors and Device</t>
  </si>
  <si>
    <t>Underground Conduit</t>
  </si>
  <si>
    <t>UG Conductors &amp; Devices</t>
  </si>
  <si>
    <t>Roads &amp; Trails</t>
  </si>
  <si>
    <t>GRAND TOTAL RECLASS TRANS PLANT</t>
  </si>
  <si>
    <t>These represent plant transfers to comply with FERC Order No. 888 and reflect the adjusted Transmission plant balances.</t>
  </si>
  <si>
    <t>INCENTIVE TRANSMISSION PLANT</t>
  </si>
  <si>
    <t>Incentive</t>
  </si>
  <si>
    <t xml:space="preserve">Transmission </t>
  </si>
  <si>
    <t>Ratemaking</t>
  </si>
  <si>
    <t>ELECTRIC MISCELLANEOUS INTANGIBLE PLANT</t>
  </si>
  <si>
    <t>Adjusted FERC</t>
  </si>
  <si>
    <t>Intangible Plant</t>
  </si>
  <si>
    <t>Balance</t>
  </si>
  <si>
    <t>GENERAL PLANT</t>
  </si>
  <si>
    <t>General Plant</t>
  </si>
  <si>
    <t>COMMON PLANT</t>
  </si>
  <si>
    <t>Total Common Plant Per Book</t>
  </si>
  <si>
    <t>Form 1; Page 356; Accts 303 to 398; BOY</t>
  </si>
  <si>
    <t>Electric Split of Common Utility Plant</t>
  </si>
  <si>
    <t>Form 1; Page 356; Electric</t>
  </si>
  <si>
    <t>Total Common Plant to Electric Per Book</t>
  </si>
  <si>
    <t>Line 1 x Line 2</t>
  </si>
  <si>
    <t>Form 1; Page 356; Accts 303 to 398; EOY</t>
  </si>
  <si>
    <t>Line 5 x Line 6</t>
  </si>
  <si>
    <t>Average of Line 3 and Line 7</t>
  </si>
  <si>
    <t>Statement AE</t>
  </si>
  <si>
    <t>Accumulated Depreciation and Amortization</t>
  </si>
  <si>
    <r>
      <t xml:space="preserve">Transmission Plant Depreciation Reserve </t>
    </r>
    <r>
      <rPr>
        <b/>
        <vertAlign val="superscript"/>
        <sz val="12"/>
        <rFont val="Times New Roman"/>
        <family val="1"/>
      </rPr>
      <t>1, 3</t>
    </r>
  </si>
  <si>
    <t>200-201; Footnote Data (b)</t>
  </si>
  <si>
    <t>AE-1; Line 18</t>
  </si>
  <si>
    <r>
      <t xml:space="preserve">Electric Misc. Intangible Plant Amortization Reserve </t>
    </r>
    <r>
      <rPr>
        <b/>
        <vertAlign val="superscript"/>
        <sz val="12"/>
        <rFont val="Times New Roman"/>
        <family val="1"/>
      </rPr>
      <t>2, 4</t>
    </r>
  </si>
  <si>
    <t>AE-2; Line 6</t>
  </si>
  <si>
    <r>
      <t xml:space="preserve">General Plant Depreciation Reserve </t>
    </r>
    <r>
      <rPr>
        <b/>
        <vertAlign val="superscript"/>
        <sz val="12"/>
        <rFont val="Times New Roman"/>
        <family val="1"/>
      </rPr>
      <t>2, 4</t>
    </r>
  </si>
  <si>
    <t>AE-3; Line 6</t>
  </si>
  <si>
    <r>
      <t xml:space="preserve">Common Plant Depreciation Reserve </t>
    </r>
    <r>
      <rPr>
        <b/>
        <vertAlign val="superscript"/>
        <sz val="12"/>
        <rFont val="Times New Roman"/>
        <family val="1"/>
      </rPr>
      <t>2, 4</t>
    </r>
  </si>
  <si>
    <t>AE-4; Line 10</t>
  </si>
  <si>
    <t>Line 3 x Line 9</t>
  </si>
  <si>
    <t>Transmission Related General Plant Depreciation Reserve</t>
  </si>
  <si>
    <t>Line 5 x Line 9</t>
  </si>
  <si>
    <t>Transmission Related Common Plant Depreciation Reserve</t>
  </si>
  <si>
    <t>Line 7 x Line 9</t>
  </si>
  <si>
    <t>Line 1 + (Sum Lines 11 thru 15)</t>
  </si>
  <si>
    <r>
      <t xml:space="preserve">Incentive Transmission Plant Depreciation Reserve </t>
    </r>
    <r>
      <rPr>
        <b/>
        <vertAlign val="superscript"/>
        <sz val="12"/>
        <rFont val="Times New Roman"/>
        <family val="1"/>
      </rPr>
      <t>1</t>
    </r>
  </si>
  <si>
    <t>AE-5; Line 18</t>
  </si>
  <si>
    <t>The depreciation reserve for Transmission and Incentive Transmission plant is derived based on a 13-month average balance.</t>
  </si>
  <si>
    <t>The depreciation reserve for Electric Miscellaneous Intangible, General, and Common plant is derived based on a simple average of beginning and end of year balances.</t>
  </si>
  <si>
    <t>The amounts stated above are ratemaking utility plant in service and a result of implementing the "Seven-Element Adjustment Factor" which reflects transfers between core electric functional areas.</t>
  </si>
  <si>
    <t>STATEMENT AE</t>
  </si>
  <si>
    <t>ACCUMULATED DEPRECIATION AND AMORTIZATION</t>
  </si>
  <si>
    <t>Reserves</t>
  </si>
  <si>
    <t>2022 Form 1; Page 200-201; Footnote Data (b)</t>
  </si>
  <si>
    <t>This column represents the monthly ratemaking depreciation reserve balances for the base &amp; true-up periods. These depreciation reserve balances reflect the amounts shifted between</t>
  </si>
  <si>
    <t>functions (Transmission to Distribution, Transmission to Generation, Distribution to Transmission, etc.) as required by FERC Order 888: Seven-Element Adjustment Factor.</t>
  </si>
  <si>
    <t xml:space="preserve">DERIVATION OF TRANSMISSION RELATED </t>
  </si>
  <si>
    <t>Account 108</t>
  </si>
  <si>
    <t>Reserves Reclass</t>
  </si>
  <si>
    <t>as Steam Prod.</t>
  </si>
  <si>
    <t>as Other Prod.</t>
  </si>
  <si>
    <t>as Nuclear</t>
  </si>
  <si>
    <t>These represent plant transfers to comply with FERC Order No. 888 and reflect the adjusted plant accumulated depreciation and amortization balances.</t>
  </si>
  <si>
    <t>Intangible Reserve</t>
  </si>
  <si>
    <t>General Reserve</t>
  </si>
  <si>
    <t>Total Common Reserves to Electric Per Book</t>
  </si>
  <si>
    <t>2022 Form 1; Page 356; Accts 303 to 398</t>
  </si>
  <si>
    <t>2022 Form 1; Page 356; Electric</t>
  </si>
  <si>
    <t>DEPRECIATION RESERVE</t>
  </si>
  <si>
    <t>Total Incentive</t>
  </si>
  <si>
    <t>Statement AF</t>
  </si>
  <si>
    <t>Deferred Credits</t>
  </si>
  <si>
    <t>FERC Account 190</t>
  </si>
  <si>
    <t xml:space="preserve">234; Footnote Data (c) and (d) </t>
  </si>
  <si>
    <t>AF-1 and AF-2; Line 7; Col. d</t>
  </si>
  <si>
    <t>FERC Account 282</t>
  </si>
  <si>
    <t xml:space="preserve">274-275; Footnote Data (a) and (b) </t>
  </si>
  <si>
    <t>AF-1 and AF-2; Line 14; Col. d</t>
  </si>
  <si>
    <t>FERC Account 283</t>
  </si>
  <si>
    <t xml:space="preserve">276-277; Footnote Data (a) and (b) </t>
  </si>
  <si>
    <t>AF-1 and AF-2; Line 22; Col. d</t>
  </si>
  <si>
    <r>
      <t xml:space="preserve">     Total Transmission Related ADIT</t>
    </r>
    <r>
      <rPr>
        <b/>
        <vertAlign val="superscript"/>
        <sz val="12"/>
        <rFont val="Times New Roman"/>
        <family val="1"/>
      </rPr>
      <t xml:space="preserve"> 1, 2</t>
    </r>
  </si>
  <si>
    <t>Incentive Transmission Plant ADIT</t>
  </si>
  <si>
    <t>AF-3; Line 1; Col. c</t>
  </si>
  <si>
    <t>Transmission Plant Abandoned ADIT</t>
  </si>
  <si>
    <t>AF-3; Line 3, Col. c</t>
  </si>
  <si>
    <t>Incentive Transmission Plant Abandoned Project Cost ADIT</t>
  </si>
  <si>
    <t>AF-3; Line 5; Col. c</t>
  </si>
  <si>
    <t>The allocated general and common accumulated deferred income taxes are included in the total transmission related accumulated deferred income taxes. See FERC Form 1; Page 274-275; Footnote Data (a) and (b)</t>
  </si>
  <si>
    <t xml:space="preserve">STATEMENT AF </t>
  </si>
  <si>
    <t>ACCUMULATED DEFERRED INCOME TAXES - ELECTRIC TRANSMISSION</t>
  </si>
  <si>
    <t>(d) = [Sum (a) thru (c)]</t>
  </si>
  <si>
    <t xml:space="preserve">Remeasured </t>
  </si>
  <si>
    <r>
      <t xml:space="preserve">Deficient Reserve </t>
    </r>
    <r>
      <rPr>
        <b/>
        <vertAlign val="superscript"/>
        <sz val="12"/>
        <rFont val="Times New Roman"/>
        <family val="1"/>
      </rPr>
      <t>1, 2</t>
    </r>
  </si>
  <si>
    <r>
      <t xml:space="preserve">(Excess) Reserve </t>
    </r>
    <r>
      <rPr>
        <b/>
        <vertAlign val="superscript"/>
        <sz val="12"/>
        <rFont val="Times New Roman"/>
        <family val="1"/>
      </rPr>
      <t>1, 3</t>
    </r>
  </si>
  <si>
    <t>Amount</t>
  </si>
  <si>
    <t>Account 182.3</t>
  </si>
  <si>
    <t>Account 254</t>
  </si>
  <si>
    <t>Account 190</t>
  </si>
  <si>
    <t xml:space="preserve">   Non-Property Related</t>
  </si>
  <si>
    <t xml:space="preserve">   Property Related</t>
  </si>
  <si>
    <t xml:space="preserve">     Total of Account 190</t>
  </si>
  <si>
    <t>Sum Lines 2 thru 6</t>
  </si>
  <si>
    <t>Account 282</t>
  </si>
  <si>
    <t xml:space="preserve">     Total of Account 282</t>
  </si>
  <si>
    <t>Sum Lines 10 thru 13</t>
  </si>
  <si>
    <t>Account 283</t>
  </si>
  <si>
    <t xml:space="preserve">     Total of Account 283</t>
  </si>
  <si>
    <t>Sum Lines 17 thru 21</t>
  </si>
  <si>
    <r>
      <t xml:space="preserve">Total ADIT </t>
    </r>
    <r>
      <rPr>
        <b/>
        <vertAlign val="superscript"/>
        <sz val="12"/>
        <rFont val="Times New Roman"/>
        <family val="1"/>
      </rPr>
      <t>4</t>
    </r>
  </si>
  <si>
    <t>Line 7 + Line 14 + Line 22</t>
  </si>
  <si>
    <t>FERC Order No. 864 worksheets are included in this formula rate spreadsheet to report all components of (excess)/deficient ADIT resulting from a change in tax rate.</t>
  </si>
  <si>
    <t>Deficient amounts reported in column (b) are sourced from Order 864-1; Col. 12. Total ADIT calculated on Line 24; column (b) agrees to the Grand Total calculated Order 864-1; Line 32; Col. 12.</t>
  </si>
  <si>
    <t>(Excess) amounts reported in column (c) are sourced from Order 864-1; Col. 13. Total ADIT calculated on Line 24; column (c) agrees to the Grand Total calculated on Order 864-1; Line 32; Col. 13.</t>
  </si>
  <si>
    <t>Deficient amounts reported in column (b) are sourced from Order 864-3; Col. 12. Total ADIT calculated on Line 24; column (b) agrees to the Grand Total calculated Order 864-3; Line 32; Col. 12.</t>
  </si>
  <si>
    <t>(Excess) amounts reported in column (c) are sourced from Order 864-3; Col. 13. Total ADIT calculated on Line 24; column (c) agrees to the Grand Total calculated on Order 864-3; Line 32; Col. 13.</t>
  </si>
  <si>
    <t>DEFERRED CREDITS</t>
  </si>
  <si>
    <t>Statement AG</t>
  </si>
  <si>
    <t>Specified Plant Account (Other than Plant in Service) and Deferred Debits</t>
  </si>
  <si>
    <r>
      <t xml:space="preserve">Transmission Plant Held for Future Use </t>
    </r>
    <r>
      <rPr>
        <b/>
        <vertAlign val="superscript"/>
        <sz val="12"/>
        <rFont val="Times New Roman"/>
        <family val="1"/>
      </rPr>
      <t>1</t>
    </r>
  </si>
  <si>
    <t>AG-1; Line 18</t>
  </si>
  <si>
    <t>1</t>
  </si>
  <si>
    <t xml:space="preserve">The balances for Transmission Plant Held for Future Use are derived based on a 13-month average balance. </t>
  </si>
  <si>
    <t>STATEMENT AG</t>
  </si>
  <si>
    <t>SPECIFIED PLANT ACCOUNTS (OTHER THAN PLANT IN SERVICE)</t>
  </si>
  <si>
    <t>AND DEFERRED DEBITS</t>
  </si>
  <si>
    <t>Plant Held for</t>
  </si>
  <si>
    <t>Future Use</t>
  </si>
  <si>
    <t>13-Month Average</t>
  </si>
  <si>
    <t>(c) = (a)+(b)</t>
  </si>
  <si>
    <t>FERC</t>
  </si>
  <si>
    <t>CPUC</t>
  </si>
  <si>
    <t>Total Project</t>
  </si>
  <si>
    <t>Project</t>
  </si>
  <si>
    <t>($)</t>
  </si>
  <si>
    <t>Sum Lines 1 thru 3</t>
  </si>
  <si>
    <t>Statement AH</t>
  </si>
  <si>
    <t>Operation and Maintenance Expenses</t>
  </si>
  <si>
    <t>Derivation of Transmission Operation and Maintenance Expense:</t>
  </si>
  <si>
    <t>Total Transmission O&amp;M Expense</t>
  </si>
  <si>
    <t>320-323; 112; b</t>
  </si>
  <si>
    <t>AH-1; Line 33; Col. a</t>
  </si>
  <si>
    <t xml:space="preserve">     Total Adjusted Transmission O&amp;M Expenses </t>
  </si>
  <si>
    <t>Derivation of Administrative and General Expense:</t>
  </si>
  <si>
    <t>Total Administrative &amp; General Expense</t>
  </si>
  <si>
    <t>320-323; 197; b</t>
  </si>
  <si>
    <t>AH-2; Line 16; Col. a</t>
  </si>
  <si>
    <t xml:space="preserve">     Total Adjusted A&amp;G Expenses Including Property Insurance</t>
  </si>
  <si>
    <t>Less: Property Insurance (Due to different allocation factor)</t>
  </si>
  <si>
    <t>Negative of AH-2; Line 5; Col. c</t>
  </si>
  <si>
    <t>Total Adjusted A&amp;G Expenses Excluding Property Insurance</t>
  </si>
  <si>
    <t>Transmission Related Administrative &amp; General Expenses</t>
  </si>
  <si>
    <t>Property Insurance Allocated to Transmission, General, and Common Plant</t>
  </si>
  <si>
    <t xml:space="preserve">     Transmission Related A&amp;G Expense Including Property Insurance Expense</t>
  </si>
  <si>
    <t>Derivation of Transmission Plant Property Insurance Allocation Factor:</t>
  </si>
  <si>
    <t>Transmission Plant &amp; Incentive Transmission Plant</t>
  </si>
  <si>
    <t>Statement AD; Line 25</t>
  </si>
  <si>
    <t xml:space="preserve">     Total Transmission Related Investment in Plant</t>
  </si>
  <si>
    <t>Total Steam Production Plant</t>
  </si>
  <si>
    <t>Statement AD; Line 1</t>
  </si>
  <si>
    <t>Total Nuclear Production Plant</t>
  </si>
  <si>
    <t>Total Other Production Plant</t>
  </si>
  <si>
    <t>Statement AD; Line 7</t>
  </si>
  <si>
    <t>Total Distribution Plant</t>
  </si>
  <si>
    <t>Statement AD; Line 9</t>
  </si>
  <si>
    <t>Total General Plant</t>
  </si>
  <si>
    <t>Statement AD; Line 17</t>
  </si>
  <si>
    <t>Total Common Plant</t>
  </si>
  <si>
    <t>Statement AD; Line 19</t>
  </si>
  <si>
    <t xml:space="preserve">     Total Plant in Service Excluding SONGS</t>
  </si>
  <si>
    <t>Transmission Property Insurance and Tax Allocation Factor</t>
  </si>
  <si>
    <t>The CPUC Intervenor Expense for Transmission shall be treated as an exclusion in A&amp;G but added back to the Retail BTRR on BK-1; Page 1; Line 5. This expense will be</t>
  </si>
  <si>
    <t>excluded in Wholesale BTRR on BK-2; Line 3.</t>
  </si>
  <si>
    <t>Electric Transmission O&amp;M Expenses</t>
  </si>
  <si>
    <t>(c) = (a) - (b)</t>
  </si>
  <si>
    <t>Excluded</t>
  </si>
  <si>
    <t>Acct</t>
  </si>
  <si>
    <t>Per Books</t>
  </si>
  <si>
    <t>Expenses</t>
  </si>
  <si>
    <t>Adjusted</t>
  </si>
  <si>
    <t>Electric Transmission Operation</t>
  </si>
  <si>
    <t>Operation Supervision and Engineering</t>
  </si>
  <si>
    <t>Form 1; Page 320-323; Line 83</t>
  </si>
  <si>
    <t>Load Dispatch - Reliability</t>
  </si>
  <si>
    <t>Form 1; Page 320-323; Line 85</t>
  </si>
  <si>
    <t>Load Dispatch - Monitor and Operate Transmission System</t>
  </si>
  <si>
    <t>Form 1; Page 320-323; Line 86</t>
  </si>
  <si>
    <t>Load Dispatch - Transmission Service and Scheduling</t>
  </si>
  <si>
    <t>Form 1; Page 320-323; Line 87</t>
  </si>
  <si>
    <t xml:space="preserve">Scheduling, System Control and Dispatch Services </t>
  </si>
  <si>
    <t>Form 1; Page 320-323; Line 88</t>
  </si>
  <si>
    <t>Reliability, Planning and Standards Development</t>
  </si>
  <si>
    <t>Form 1; Page 320-323; Line 89</t>
  </si>
  <si>
    <t>Transmission Service Studies</t>
  </si>
  <si>
    <t>Form 1; Page 320-323; Line 90</t>
  </si>
  <si>
    <t>Generation Interconnection Studies</t>
  </si>
  <si>
    <t>Form 1; Page 320-323; Line 91</t>
  </si>
  <si>
    <t xml:space="preserve">Reliability, Planning and Standards Development Services </t>
  </si>
  <si>
    <t>Form 1; Page 320-323; Line 92</t>
  </si>
  <si>
    <t>Station Expenses</t>
  </si>
  <si>
    <t>Form 1; Page 320-323; Line 93</t>
  </si>
  <si>
    <r>
      <t xml:space="preserve">Overhead Line Expenses </t>
    </r>
    <r>
      <rPr>
        <b/>
        <sz val="12"/>
        <rFont val="Times New Roman"/>
        <family val="1"/>
      </rPr>
      <t xml:space="preserve"> </t>
    </r>
  </si>
  <si>
    <t>Form 1; Page 320-323; Line 94</t>
  </si>
  <si>
    <t>Underground Line Expenses</t>
  </si>
  <si>
    <t>Form 1; Page 320-323; Line 95</t>
  </si>
  <si>
    <t>Transmission of Electricity by Others</t>
  </si>
  <si>
    <t>Form 1; Page 320-323; Line 96</t>
  </si>
  <si>
    <t>Misc. Transmission Expenses</t>
  </si>
  <si>
    <t>Form 1; Page 320-323; Line 97</t>
  </si>
  <si>
    <t>Rents</t>
  </si>
  <si>
    <t>Form 1; Page 320-323; Line 98</t>
  </si>
  <si>
    <t xml:space="preserve">     Total Electric Transmission Operation </t>
  </si>
  <si>
    <t>Electric Transmission Maintenance</t>
  </si>
  <si>
    <t>Maintenance Supervision and Engineering</t>
  </si>
  <si>
    <t>Form 1; Page 320-323; Line 101</t>
  </si>
  <si>
    <t>Maintenance of Structures</t>
  </si>
  <si>
    <t>Form 1; Page 320-323; Line 102</t>
  </si>
  <si>
    <t>Maintenance of Computer Hardware</t>
  </si>
  <si>
    <t>Form 1; Page 320-323; Line 103</t>
  </si>
  <si>
    <t>Maintenance of Computer Software</t>
  </si>
  <si>
    <t>Form 1; Page 320-323; Line 104</t>
  </si>
  <si>
    <t>Maintenance of Communication Equipment</t>
  </si>
  <si>
    <t>Form 1; Page 320-323; Line 105</t>
  </si>
  <si>
    <t>Maintenance of Misc. Regional Transmission Plant</t>
  </si>
  <si>
    <t>Form 1; Page 320-323; Line 106</t>
  </si>
  <si>
    <t>Maintenance of Station Equipment</t>
  </si>
  <si>
    <t>Form 1; Page 320-323; Line 107</t>
  </si>
  <si>
    <t>Maintenance of Overhead Lines</t>
  </si>
  <si>
    <t>Form 1; Page 320-323; Line 108</t>
  </si>
  <si>
    <t>Maintenance of Underground Lines</t>
  </si>
  <si>
    <t>Form 1; Page 320-323; Line 109</t>
  </si>
  <si>
    <t>Maintenance of Misc. Transmission Plant</t>
  </si>
  <si>
    <t>Form 1; Page 320-323; Line 110</t>
  </si>
  <si>
    <t xml:space="preserve">     Total Electric Transmission Maintenance</t>
  </si>
  <si>
    <t>Total Electric Transmission O&amp;M Expenses</t>
  </si>
  <si>
    <t>Excluded Expenses (recovery method in parentheses):</t>
  </si>
  <si>
    <t>560</t>
  </si>
  <si>
    <t>Executive ICP</t>
  </si>
  <si>
    <t xml:space="preserve">561.4 </t>
  </si>
  <si>
    <t>Scheduling, System Control and Dispatch Services (ERRA)</t>
  </si>
  <si>
    <t>Reliability, Planning and Standards Development Services (ERRA)</t>
  </si>
  <si>
    <t>Transmission of Electricity by Others (ERRA)</t>
  </si>
  <si>
    <t>566</t>
  </si>
  <si>
    <t>Century Energy Systems Balancing Account (CES-21BA)</t>
  </si>
  <si>
    <t>Hazardous Substance Cleanup Cost Memo Account (HSCCMA)</t>
  </si>
  <si>
    <t>ISO Grid Management Costs (ERRA)</t>
  </si>
  <si>
    <t>Reliability Services (RS rates)</t>
  </si>
  <si>
    <t xml:space="preserve">Other (TRBAA, TACBAA) </t>
  </si>
  <si>
    <t>Total Excluded Expenses</t>
  </si>
  <si>
    <t>Administrative &amp; General Expenses</t>
  </si>
  <si>
    <t>Administrative &amp; General</t>
  </si>
  <si>
    <t>A&amp;G Salaries</t>
  </si>
  <si>
    <t>Form 1; Page 320-323; Line 181</t>
  </si>
  <si>
    <t>Office Supplies &amp; Expenses</t>
  </si>
  <si>
    <t>Form 1; Page 320-323; Line 182</t>
  </si>
  <si>
    <t>Less: Administrative Expenses Transferred-Credit</t>
  </si>
  <si>
    <t>Form 1; Page 320-323; Line 183</t>
  </si>
  <si>
    <t>Outside Services Employed</t>
  </si>
  <si>
    <t>Form 1; Page 320-323; Line 184</t>
  </si>
  <si>
    <t>Property Insurance</t>
  </si>
  <si>
    <t>Form 1; Page 320-323; Line 185</t>
  </si>
  <si>
    <t>Injuries &amp; Damages</t>
  </si>
  <si>
    <t>Form 1; Page 320-323; Line 186</t>
  </si>
  <si>
    <r>
      <t>Employee Pensions &amp; Benefits</t>
    </r>
    <r>
      <rPr>
        <b/>
        <vertAlign val="superscript"/>
        <sz val="12"/>
        <rFont val="Times New Roman"/>
        <family val="1"/>
      </rPr>
      <t xml:space="preserve"> 1</t>
    </r>
  </si>
  <si>
    <t>Form 1; Page 320-323; Line 187</t>
  </si>
  <si>
    <t xml:space="preserve">Franchise Requirements </t>
  </si>
  <si>
    <t>Form 1; Page 320-323; Line 188</t>
  </si>
  <si>
    <r>
      <t xml:space="preserve">Regulatory Commission Expenses </t>
    </r>
    <r>
      <rPr>
        <vertAlign val="superscript"/>
        <sz val="12"/>
        <rFont val="Times New Roman"/>
        <family val="1"/>
      </rPr>
      <t xml:space="preserve"> </t>
    </r>
  </si>
  <si>
    <t>Form 1; Page 320-323; Line 189</t>
  </si>
  <si>
    <t>Less: Duplicate Charges (Company Energy Use)</t>
  </si>
  <si>
    <t>Form 1; Page 320-323; Line 190</t>
  </si>
  <si>
    <t>General Advertising Expenses</t>
  </si>
  <si>
    <t>Form 1; Page 320-323; Line 191</t>
  </si>
  <si>
    <t>Miscellaneous General Expenses</t>
  </si>
  <si>
    <t>Form 1; Page 320-323; Line 192</t>
  </si>
  <si>
    <t>Form 1; Page 320-323; Line 193</t>
  </si>
  <si>
    <t>Maintenance of General Plant</t>
  </si>
  <si>
    <t>Form 1; Page 320-323; Line 196</t>
  </si>
  <si>
    <t>Total Administrative &amp; General Expenses</t>
  </si>
  <si>
    <t>Excluded Expenses:</t>
  </si>
  <si>
    <t>Energy Efficiency</t>
  </si>
  <si>
    <t>CPUC reimbursement fees</t>
  </si>
  <si>
    <t>Litigation expenses - Litigation Cost Memorandum Account (LCMA)</t>
  </si>
  <si>
    <t>CPUC Intervenor Funding Expense - Distribution</t>
  </si>
  <si>
    <t>Abandoned Projects</t>
  </si>
  <si>
    <t xml:space="preserve">Hazardous Substances-Hazardous Substance Cleanup Cost Account </t>
  </si>
  <si>
    <t>Statement AI</t>
  </si>
  <si>
    <t>Wages and Salaries</t>
  </si>
  <si>
    <t>Production Wages &amp; Salaries (Includes Steam &amp; Other Power Supply)</t>
  </si>
  <si>
    <t>354-355; 20; b</t>
  </si>
  <si>
    <t>Transmission Wages &amp; Salaries</t>
  </si>
  <si>
    <t>354-355; 21; b</t>
  </si>
  <si>
    <t>Distribution Wages &amp; Salaries</t>
  </si>
  <si>
    <t>354-355; 23; b</t>
  </si>
  <si>
    <t>Customer Accounts Wages &amp; Salaries</t>
  </si>
  <si>
    <t>354-355; 24; b</t>
  </si>
  <si>
    <t>Customer Services and Informational Wages &amp; Salaries</t>
  </si>
  <si>
    <t>354-355; 25; b</t>
  </si>
  <si>
    <t>Sales Wages &amp; Salaries</t>
  </si>
  <si>
    <t>354-355; 26; b</t>
  </si>
  <si>
    <t xml:space="preserve">     Total Operating &amp; Maintenance Wages &amp; Salaries Excl. A&amp;G</t>
  </si>
  <si>
    <t>Sum Lines 1 thru 11</t>
  </si>
  <si>
    <t>Line 3 /  Line 13</t>
  </si>
  <si>
    <t>Statement AJ</t>
  </si>
  <si>
    <t>Depreciation and Amortization Expense</t>
  </si>
  <si>
    <t>Transmission Plant Depreciation Expense</t>
  </si>
  <si>
    <t>Electric Miscellaneous Intangible Plant Amortization Expense</t>
  </si>
  <si>
    <t>336-337; 1; f</t>
  </si>
  <si>
    <t>AJ-2; Line 1</t>
  </si>
  <si>
    <t xml:space="preserve">General Plant Depreciation Expense </t>
  </si>
  <si>
    <t>336-337; 10; f</t>
  </si>
  <si>
    <t>AJ-3; Line 1</t>
  </si>
  <si>
    <t xml:space="preserve">Common Plant Depreciation Expense </t>
  </si>
  <si>
    <t>336-337; 11; f</t>
  </si>
  <si>
    <t>AJ-4; Line 3</t>
  </si>
  <si>
    <t>Transmission Related Electric Misc. Intangible Plant Amortization Expense</t>
  </si>
  <si>
    <t>Transmission Related General Plant Depreciation Expense</t>
  </si>
  <si>
    <t>Transmission Related Common Plant Depreciation Expense</t>
  </si>
  <si>
    <t xml:space="preserve">     Total Transmission, General, Common, and Electric Misc. Intangible Exp.</t>
  </si>
  <si>
    <r>
      <t>Incentive Transmission Plant Abandoned Project Cost Amortization Expense</t>
    </r>
    <r>
      <rPr>
        <vertAlign val="superscript"/>
        <sz val="12"/>
        <rFont val="Times New Roman"/>
        <family val="1"/>
      </rPr>
      <t xml:space="preserve"> </t>
    </r>
    <r>
      <rPr>
        <b/>
        <vertAlign val="superscript"/>
        <sz val="12"/>
        <rFont val="Times New Roman"/>
        <family val="1"/>
      </rPr>
      <t>1</t>
    </r>
  </si>
  <si>
    <t>AJ-6; Line 1</t>
  </si>
  <si>
    <t>Transmission Plant Abandoned Project Cost Amortization Expense</t>
  </si>
  <si>
    <t>AJ-7; Line 1</t>
  </si>
  <si>
    <t>Net of Incentive Transmission Plant Depreciation Expense.</t>
  </si>
  <si>
    <t>STATEMENT AJ</t>
  </si>
  <si>
    <t>DEPRECIATION &amp; AMORTIZATION EXPENSE RELATED TO TRANSMISSION</t>
  </si>
  <si>
    <t>Expense</t>
  </si>
  <si>
    <t>Land and  Land Rights</t>
  </si>
  <si>
    <t>Structures and Improvements</t>
  </si>
  <si>
    <t>Overhead Conductors &amp; Devices</t>
  </si>
  <si>
    <t>Underground Conductors &amp; Devices</t>
  </si>
  <si>
    <t>Roads and Trails</t>
  </si>
  <si>
    <t>Total Depreciation and Amortization Expense</t>
  </si>
  <si>
    <t>AJ-1A; Line 22; Col. 1</t>
  </si>
  <si>
    <t>AJ-1A; Line 22; Col. 7</t>
  </si>
  <si>
    <t>This column represents the monthly ratemaking depreciation expense balances for the base &amp; true-up periods. These depreciation expense balances reflect the amounts shifted between</t>
  </si>
  <si>
    <t>DERIVATION OF RECLASSIFIED</t>
  </si>
  <si>
    <t>DEPRECIATION AND AMORTIZATION EXPENSE AND RECLASSIFICATION FACTOR</t>
  </si>
  <si>
    <t>`</t>
  </si>
  <si>
    <t>Net</t>
  </si>
  <si>
    <t>SWPL</t>
  </si>
  <si>
    <t>Total Trans</t>
  </si>
  <si>
    <t>Accounts 403-405</t>
  </si>
  <si>
    <t>Accounts 403,</t>
  </si>
  <si>
    <t>Expense Reclass</t>
  </si>
  <si>
    <t>403-405</t>
  </si>
  <si>
    <t>Adj.</t>
  </si>
  <si>
    <r>
      <t xml:space="preserve">Ratemaking </t>
    </r>
    <r>
      <rPr>
        <b/>
        <vertAlign val="superscript"/>
        <sz val="12"/>
        <rFont val="Times New Roman"/>
        <family val="1"/>
      </rPr>
      <t>2</t>
    </r>
  </si>
  <si>
    <r>
      <t xml:space="preserve">404 &amp; 405 </t>
    </r>
    <r>
      <rPr>
        <b/>
        <vertAlign val="superscript"/>
        <sz val="12"/>
        <rFont val="Times New Roman"/>
        <family val="1"/>
      </rPr>
      <t>1</t>
    </r>
  </si>
  <si>
    <t>to Generation</t>
  </si>
  <si>
    <t>to Distribution</t>
  </si>
  <si>
    <t>Sum 1:4</t>
  </si>
  <si>
    <r>
      <t xml:space="preserve">Expense </t>
    </r>
    <r>
      <rPr>
        <b/>
        <vertAlign val="superscript"/>
        <sz val="12"/>
        <rFont val="Times New Roman"/>
        <family val="1"/>
      </rPr>
      <t>3</t>
    </r>
  </si>
  <si>
    <t>SUM 5:6</t>
  </si>
  <si>
    <t>Valley Rainbow Ratemaking Adj.</t>
  </si>
  <si>
    <t>SWPL Ratemaking Adj. Amort.</t>
  </si>
  <si>
    <t>Land and Land Rights</t>
  </si>
  <si>
    <t>These represent plant depreciation and amortization expense transfers to comply with FERC Order No. 888 and reflect the adjusted Transmission plant depreciation and amortization expense.</t>
  </si>
  <si>
    <t>Per Books Total Transmission Depreciation Expense (Col. 1) can be found in the FERC Form 1; Page 336-337; Line 7; Col. f.</t>
  </si>
  <si>
    <t>Ratemaking Total Transmission Depreciation Expense (Col. 7) is the sum of Total Transmission Depreciation Expense plus the SWPL Adjustment referred to in Footnote 3 below.</t>
  </si>
  <si>
    <t>Total Transmission Depreciation Expense for Ratemaking (Col. 7) = (FERC Form 1; Page 336-337; Footnote Data (a); Transmission Plant Total) + (FERC Form 1; Page 114-117; Line 9; Col. g).</t>
  </si>
  <si>
    <t>difference is recorded in deferred debit FERC Acct 186 and the amortization of the difference is included in Acct 406. The amortization is considered a ratemaking adjustment with the annual expense continuing over the 30 year</t>
  </si>
  <si>
    <t>amortization life of the line, ending in 2023.</t>
  </si>
  <si>
    <t>Statement AJ - Workpapers</t>
  </si>
  <si>
    <t>(c) = (a) + (b)</t>
  </si>
  <si>
    <t>Life</t>
  </si>
  <si>
    <t>Removal</t>
  </si>
  <si>
    <t>Rate</t>
  </si>
  <si>
    <t>E352.10</t>
  </si>
  <si>
    <t>E352.20</t>
  </si>
  <si>
    <t>E352.60</t>
  </si>
  <si>
    <t>SRPL</t>
  </si>
  <si>
    <t>E352 - Total</t>
  </si>
  <si>
    <t>Struct &amp; Improv</t>
  </si>
  <si>
    <t>E353.10</t>
  </si>
  <si>
    <t>E353.20</t>
  </si>
  <si>
    <t>E353.40</t>
  </si>
  <si>
    <t>CTC</t>
  </si>
  <si>
    <t>E353.60</t>
  </si>
  <si>
    <t>E353</t>
  </si>
  <si>
    <t>Station Equip</t>
  </si>
  <si>
    <t>E354.10</t>
  </si>
  <si>
    <t>E354.20</t>
  </si>
  <si>
    <t>E354.60</t>
  </si>
  <si>
    <t>E354</t>
  </si>
  <si>
    <t>Towers &amp; Fixtrs</t>
  </si>
  <si>
    <t>E355.10</t>
  </si>
  <si>
    <t>E355.20</t>
  </si>
  <si>
    <t>E355.60</t>
  </si>
  <si>
    <t>E355</t>
  </si>
  <si>
    <t>Poles &amp; Fixtrs</t>
  </si>
  <si>
    <t>E356.10</t>
  </si>
  <si>
    <t>E356.20</t>
  </si>
  <si>
    <t>E356.60</t>
  </si>
  <si>
    <t>E356</t>
  </si>
  <si>
    <t>OVH Cnd &amp; Dev</t>
  </si>
  <si>
    <t>E357.00</t>
  </si>
  <si>
    <t>Other &amp; SWPL</t>
  </si>
  <si>
    <t>E357.60</t>
  </si>
  <si>
    <t>Other &amp; SRPL</t>
  </si>
  <si>
    <t>E357</t>
  </si>
  <si>
    <t>Trans UG Cnduit</t>
  </si>
  <si>
    <t>E358.00</t>
  </si>
  <si>
    <t>E358.60</t>
  </si>
  <si>
    <t>E358</t>
  </si>
  <si>
    <t>Trans UG Cndctr</t>
  </si>
  <si>
    <t>E359.10</t>
  </si>
  <si>
    <t>E359.20</t>
  </si>
  <si>
    <t>E359.60</t>
  </si>
  <si>
    <t>E359</t>
  </si>
  <si>
    <t xml:space="preserve">Workpapers will be included in each Annual Information Filing that will calculate the annual composite </t>
  </si>
  <si>
    <t>DEPRECIATION AND AMORTIZATION EXPENSE</t>
  </si>
  <si>
    <t>Intangible</t>
  </si>
  <si>
    <t>Form 1; Page 336-337; Line 1; Col. f</t>
  </si>
  <si>
    <t xml:space="preserve"> Amortization </t>
  </si>
  <si>
    <t>Acct No</t>
  </si>
  <si>
    <t>DESCRIPTION</t>
  </si>
  <si>
    <t xml:space="preserve"> Period (Yrs)</t>
  </si>
  <si>
    <t>ELECTRIC DISTRIBUTION</t>
  </si>
  <si>
    <t>E303</t>
  </si>
  <si>
    <t>Electric Distribution Software</t>
  </si>
  <si>
    <t>5, 7, or 10 years</t>
  </si>
  <si>
    <t>E360</t>
  </si>
  <si>
    <t>Electric Distribution Easements (land rights)</t>
  </si>
  <si>
    <t>45 years</t>
  </si>
  <si>
    <t>ELECTRIC TRANSMISSION</t>
  </si>
  <si>
    <t>E350</t>
  </si>
  <si>
    <t>Electric Transmission Easements (land rights)</t>
  </si>
  <si>
    <t>100 years</t>
  </si>
  <si>
    <t>These periods may not be changed absent a section 205 or 206 filing.</t>
  </si>
  <si>
    <t>The Annual Information Filing will reference the docket number of the FERC proceeding that</t>
  </si>
  <si>
    <t>establishes new General Plant and Common Plant depreciation rates and Intangible Plant</t>
  </si>
  <si>
    <t>amortization periods.</t>
  </si>
  <si>
    <t>General</t>
  </si>
  <si>
    <t>Form 1; Page 336-337; Line 10; Col. f</t>
  </si>
  <si>
    <t>E0139000</t>
  </si>
  <si>
    <t>Struct. and Improv.</t>
  </si>
  <si>
    <t>E0139210</t>
  </si>
  <si>
    <t>Transprtn Eq-Autos</t>
  </si>
  <si>
    <t>E0139220</t>
  </si>
  <si>
    <t>Transprtn Eq-Trailer</t>
  </si>
  <si>
    <t>E0139310</t>
  </si>
  <si>
    <t>Stores Equip.-Other</t>
  </si>
  <si>
    <t>E0139411</t>
  </si>
  <si>
    <t>Portable Tools-Other</t>
  </si>
  <si>
    <t>E0139420</t>
  </si>
  <si>
    <t>Shop Equipment</t>
  </si>
  <si>
    <t>E0139510</t>
  </si>
  <si>
    <t>Laboratory Eq.-Other</t>
  </si>
  <si>
    <t>E0139710</t>
  </si>
  <si>
    <t>Commun. Equip.-Other</t>
  </si>
  <si>
    <t>E0139720</t>
  </si>
  <si>
    <t>Commun. Equip.-SWPL</t>
  </si>
  <si>
    <t>E0139760</t>
  </si>
  <si>
    <t>Commun. Equip.-SRPL</t>
  </si>
  <si>
    <t>E0139770</t>
  </si>
  <si>
    <t>Telecommunications Equip</t>
  </si>
  <si>
    <t>E0139810</t>
  </si>
  <si>
    <t>Misc. Equip. - Other</t>
  </si>
  <si>
    <t>E0139820</t>
  </si>
  <si>
    <t>Misc. Equip. - EVSE</t>
  </si>
  <si>
    <t>The above General Plant depreciation rates are applicable to SDG&amp;E's base period recorded</t>
  </si>
  <si>
    <t xml:space="preserve">depreciation. </t>
  </si>
  <si>
    <t>These rates may not be changed absent a section 205 or 206 filing.</t>
  </si>
  <si>
    <t>Each year, SDG&amp;E will make a FERC filing to update non-transmission depreciation rates for Common</t>
  </si>
  <si>
    <t>Plant and Electric General Plant to reflect the impact of changes in plant balances and related depreciation</t>
  </si>
  <si>
    <t>rates for each base period.</t>
  </si>
  <si>
    <t>Total Common Expense to Electric Per Book</t>
  </si>
  <si>
    <t>(Line 1 x Line 2); Form 1; Page 336-337; Line 11; Col. f</t>
  </si>
  <si>
    <t>C1839010</t>
  </si>
  <si>
    <t>Struct &amp; Imprv-Other</t>
  </si>
  <si>
    <t>C1839110</t>
  </si>
  <si>
    <t>Offc Furn &amp; Eq-Other</t>
  </si>
  <si>
    <t>C1839120</t>
  </si>
  <si>
    <t>Offc Furn &amp; Eq-Cmptr</t>
  </si>
  <si>
    <t>C1839210</t>
  </si>
  <si>
    <t>C1839220</t>
  </si>
  <si>
    <t>C1839230</t>
  </si>
  <si>
    <t>Transprtn Eq-Aviation</t>
  </si>
  <si>
    <t>C1839310</t>
  </si>
  <si>
    <t>C1839411</t>
  </si>
  <si>
    <t>C1839421</t>
  </si>
  <si>
    <t>Shop Equip. - Other</t>
  </si>
  <si>
    <t>C1839431</t>
  </si>
  <si>
    <t>Garage Equip.-Other</t>
  </si>
  <si>
    <t>C1839510</t>
  </si>
  <si>
    <t>C1839710</t>
  </si>
  <si>
    <t>C1839810</t>
  </si>
  <si>
    <t>The above Common Plant depreciation rates are applicable to SDG&amp;E's base period recorded</t>
  </si>
  <si>
    <t>DEPRECIATION &amp; AMORTIZATION EXPENSE</t>
  </si>
  <si>
    <t>Per Ratemaking</t>
  </si>
  <si>
    <t>Total Incentive Transmission Plant Depreciation Exp.</t>
  </si>
  <si>
    <t xml:space="preserve">INCENTIVE TRANSMISSION PLANT ABANDONED PROJECT COST </t>
  </si>
  <si>
    <t>Abandoned Project</t>
  </si>
  <si>
    <t xml:space="preserve">Cost </t>
  </si>
  <si>
    <t>Amortization Exp.</t>
  </si>
  <si>
    <t xml:space="preserve">TRANSMISSION PLANT ABANDONED PROJECT COST </t>
  </si>
  <si>
    <t>Statement AK</t>
  </si>
  <si>
    <t>Taxes Other Than Income Taxes</t>
  </si>
  <si>
    <t>262-263; 12; l</t>
  </si>
  <si>
    <t>Line 1 + Line 3</t>
  </si>
  <si>
    <t xml:space="preserve">     Transmission Related Property Taxes Expense</t>
  </si>
  <si>
    <t>262-263; 2,3,4,8; l</t>
  </si>
  <si>
    <t xml:space="preserve">     Transmission Related Payroll Taxes Expense</t>
  </si>
  <si>
    <t>Statement AL</t>
  </si>
  <si>
    <t>Working Capital</t>
  </si>
  <si>
    <t>Working</t>
  </si>
  <si>
    <t>13-Months</t>
  </si>
  <si>
    <t>Cash</t>
  </si>
  <si>
    <r>
      <t xml:space="preserve">A. Plant Materials and Operating Supplies </t>
    </r>
    <r>
      <rPr>
        <b/>
        <vertAlign val="superscript"/>
        <sz val="12"/>
        <rFont val="Times New Roman"/>
        <family val="1"/>
      </rPr>
      <t>1</t>
    </r>
  </si>
  <si>
    <t>227; Footnote Data (a)</t>
  </si>
  <si>
    <t>AL-1; Line 18</t>
  </si>
  <si>
    <t>Transmission Plant Allocation Factor</t>
  </si>
  <si>
    <t>Statement AD; Line 35</t>
  </si>
  <si>
    <t xml:space="preserve">     Transmission Related Materials and Supplies </t>
  </si>
  <si>
    <t>Line 1 x Line 3</t>
  </si>
  <si>
    <r>
      <t xml:space="preserve">B. Prepayments </t>
    </r>
    <r>
      <rPr>
        <b/>
        <vertAlign val="superscript"/>
        <sz val="12"/>
        <rFont val="Times New Roman"/>
        <family val="1"/>
      </rPr>
      <t>1</t>
    </r>
  </si>
  <si>
    <t>110-111; Footnote Data (c)</t>
  </si>
  <si>
    <t>AL-2; Line 18</t>
  </si>
  <si>
    <t xml:space="preserve">     Transmission Related Prepayments </t>
  </si>
  <si>
    <t>Line 3 x Line 7</t>
  </si>
  <si>
    <t>C. Derivation of Transmission Related Cash Working Capital - Retail:</t>
  </si>
  <si>
    <t xml:space="preserve">   Transmission O&amp;M Expense</t>
  </si>
  <si>
    <t xml:space="preserve">   Transmission Related A&amp;G Expense - Excl. Intervenor Funding Expense</t>
  </si>
  <si>
    <t xml:space="preserve">   CPUC Intervenor Funding Expense - Transmission</t>
  </si>
  <si>
    <t xml:space="preserve">     Total</t>
  </si>
  <si>
    <t>Sum Lines 12 thru 14</t>
  </si>
  <si>
    <t xml:space="preserve">   One Eighth O&amp;M Rule</t>
  </si>
  <si>
    <t>FERC Method = 1/8 of O&amp;M Expense</t>
  </si>
  <si>
    <t xml:space="preserve">     Transmission Related Cash Working Capital - Retail Customers</t>
  </si>
  <si>
    <t>Line 15 x Line 17</t>
  </si>
  <si>
    <t>D. Adj. to Back Out CPUC Intervenor Funding Exp. Embedded in Retail Working Cash:</t>
  </si>
  <si>
    <t>Line 14 Above</t>
  </si>
  <si>
    <t>Line 17 Above</t>
  </si>
  <si>
    <t>Adj. to Transmission Related Cash Working Capital - Wholesale Customers</t>
  </si>
  <si>
    <t>Line 22 x Line 24</t>
  </si>
  <si>
    <t>The balances for Materials &amp; Supplies and Prepayments are derived based on a 13-month average balance.</t>
  </si>
  <si>
    <t>Working Capital Adjustment to show that Wholesale customers do not pay for CPUC Intervenor Funding Expense.</t>
  </si>
  <si>
    <t>STATEMENT AL</t>
  </si>
  <si>
    <t>WORKING CAPITAL</t>
  </si>
  <si>
    <t>ACCOUNT 154 PLANT MATERIALS AND OPERATING SUPPLIES</t>
  </si>
  <si>
    <t>ELECTRIC ALLOWABLE PER FERC FORMULA</t>
  </si>
  <si>
    <t>Electric Plant</t>
  </si>
  <si>
    <t>Materials</t>
  </si>
  <si>
    <t>&amp; Supplies</t>
  </si>
  <si>
    <t>Form 1; Page 227; Footnote Data (a)</t>
  </si>
  <si>
    <t>ACCOUNT 165 PREPAYMENTS  -  ELECTRIC</t>
  </si>
  <si>
    <t>Prepayments</t>
  </si>
  <si>
    <t>Form 1; Page 110-111; Footnote Data (c)</t>
  </si>
  <si>
    <t>Statement AM</t>
  </si>
  <si>
    <t>Construction Work In Progress (CWIP)</t>
  </si>
  <si>
    <r>
      <t xml:space="preserve">Incentive Transmission Construction Work In Progress </t>
    </r>
    <r>
      <rPr>
        <b/>
        <vertAlign val="superscript"/>
        <sz val="12"/>
        <rFont val="Times New Roman"/>
        <family val="1"/>
      </rPr>
      <t>1</t>
    </r>
  </si>
  <si>
    <t>AM-1; Line 18</t>
  </si>
  <si>
    <t>The balance for Incentive Transmission Construction Work In Progress is derived based on a 13-month average balance. A line will be shown for</t>
  </si>
  <si>
    <t>each applicable project.</t>
  </si>
  <si>
    <t>STATEMENT AM</t>
  </si>
  <si>
    <t>INCENTIVE TRANSMISSION CONSTRUCTION WORK IN PROGRESS</t>
  </si>
  <si>
    <t>CWIP</t>
  </si>
  <si>
    <t>Statement AQ</t>
  </si>
  <si>
    <t>Federal Income Tax Deductions, Other Than Interest</t>
  </si>
  <si>
    <t xml:space="preserve">South Georgia Income Tax Adjustment </t>
  </si>
  <si>
    <t>261; Footnote Data (a)</t>
  </si>
  <si>
    <t xml:space="preserve">     Total Federal Income Tax Deductions Other Than Interest</t>
  </si>
  <si>
    <t>Line 1</t>
  </si>
  <si>
    <t>Statement AR</t>
  </si>
  <si>
    <t>Federal Tax Adjustments</t>
  </si>
  <si>
    <r>
      <t xml:space="preserve">Transmission Related Amortization of Investment Tax Credits </t>
    </r>
    <r>
      <rPr>
        <b/>
        <vertAlign val="superscript"/>
        <sz val="12"/>
        <rFont val="Times New Roman"/>
        <family val="1"/>
      </rPr>
      <t>1</t>
    </r>
  </si>
  <si>
    <t>266-267; Footnote Data (a)</t>
  </si>
  <si>
    <t>Transmission Related Amortization of (Excess)/Deficient Deferred Taxes</t>
  </si>
  <si>
    <t xml:space="preserve">   FERC Account 190</t>
  </si>
  <si>
    <t>AR-1; Line 7; Col. c</t>
  </si>
  <si>
    <t xml:space="preserve">   FERC Account 282</t>
  </si>
  <si>
    <t>AR-1; Line 14; Col. c</t>
  </si>
  <si>
    <t xml:space="preserve">   FERC Account 283</t>
  </si>
  <si>
    <t>AR-1; Line 22; Col. c</t>
  </si>
  <si>
    <t>Total Transmission Related Amortization of (Excess)/Deficient Deferred Taxes</t>
  </si>
  <si>
    <t>Sum Lines 4 thru 6</t>
  </si>
  <si>
    <t xml:space="preserve">     Total Federal Tax Adjustments</t>
  </si>
  <si>
    <t>Line 1 + Line 7</t>
  </si>
  <si>
    <t>Input value from FERC Form 1 should be entered as a negative.</t>
  </si>
  <si>
    <t>STATEMENT AR</t>
  </si>
  <si>
    <t>AMORTIZATION OF TRANSMISSION RELATED (EXCESS)/DEFICIENT DEFERRED TAXES</t>
  </si>
  <si>
    <t>(c) = [(a) + (b)]</t>
  </si>
  <si>
    <t xml:space="preserve">   Property Related </t>
  </si>
  <si>
    <r>
      <t xml:space="preserve">     Total of Account 190 </t>
    </r>
    <r>
      <rPr>
        <b/>
        <vertAlign val="superscript"/>
        <sz val="12"/>
        <rFont val="Times New Roman"/>
        <family val="1"/>
      </rPr>
      <t>4</t>
    </r>
  </si>
  <si>
    <t>Form 1; Page 274-275; Footnote Data (b)</t>
  </si>
  <si>
    <t xml:space="preserve">Total Federal Amortization </t>
  </si>
  <si>
    <t>Deficient amounts reported in column (b) are sourced from Order 864-3; Col. 5 and Col. 7.</t>
  </si>
  <si>
    <t>(Excess) amounts reported in column (a) are sourced from Order 864-3; Col. 6 and Col. 8.</t>
  </si>
  <si>
    <t>Statement AT</t>
  </si>
  <si>
    <t>State and Local Tax Adjustments</t>
  </si>
  <si>
    <t>AT-1; Line 7; Col. c</t>
  </si>
  <si>
    <t>AT-1; Line 14; Col. c</t>
  </si>
  <si>
    <t>AT-1; Line 22; Col. c</t>
  </si>
  <si>
    <t xml:space="preserve">     Total State and Local Tax Adjustments</t>
  </si>
  <si>
    <t>STATEMENT AT</t>
  </si>
  <si>
    <r>
      <t xml:space="preserve">Deficient Reserve </t>
    </r>
    <r>
      <rPr>
        <b/>
        <vertAlign val="superscript"/>
        <sz val="12"/>
        <rFont val="Times New Roman"/>
        <family val="1"/>
      </rPr>
      <t>1</t>
    </r>
  </si>
  <si>
    <r>
      <t xml:space="preserve">(Excess) Reserve </t>
    </r>
    <r>
      <rPr>
        <b/>
        <vertAlign val="superscript"/>
        <sz val="12"/>
        <rFont val="Times New Roman"/>
        <family val="1"/>
      </rPr>
      <t>1</t>
    </r>
  </si>
  <si>
    <t xml:space="preserve">Total State Amortization </t>
  </si>
  <si>
    <t>Statement AU</t>
  </si>
  <si>
    <t>Revenue Credits</t>
  </si>
  <si>
    <r>
      <t xml:space="preserve">(451) Miscellaneous Service Revenues </t>
    </r>
    <r>
      <rPr>
        <b/>
        <vertAlign val="superscript"/>
        <sz val="12"/>
        <rFont val="Times New Roman"/>
        <family val="1"/>
      </rPr>
      <t>1</t>
    </r>
  </si>
  <si>
    <t>300-301; 17; b</t>
  </si>
  <si>
    <t>(453) Sales of Water and Water Power</t>
  </si>
  <si>
    <t>300-301; 18; b</t>
  </si>
  <si>
    <t>(454) Rent from Electric Property</t>
  </si>
  <si>
    <t>300-301; Footnote Data (b)</t>
  </si>
  <si>
    <t>(455) Interdepartmental Rents</t>
  </si>
  <si>
    <t>300-301; 20; b</t>
  </si>
  <si>
    <t>(456) Other Electric Revenues</t>
  </si>
  <si>
    <t>300-301; Footnote Data (c)</t>
  </si>
  <si>
    <t>Electric Transmission Revenues from Citizens</t>
  </si>
  <si>
    <t xml:space="preserve">     Transmission Related Revenue Credits</t>
  </si>
  <si>
    <t>(411.6 &amp; 411.7) Gain or Loss From Sale of Plant Held for Future Use</t>
  </si>
  <si>
    <t>FERC Accounts 411.6 and 411.7</t>
  </si>
  <si>
    <t>Confirmed the amounts reported for Acct 451 on FERC Form 1; Page 300-301; Line 17; Col. b are not Transmission-related with an exception for</t>
  </si>
  <si>
    <t>Franchise Fees. Part of the Franchise Fees reported are Transmission-related, however, they are excluded in Statement AU because they are collected as a part of the</t>
  </si>
  <si>
    <t>BTRR in the BK Cost Statements.</t>
  </si>
  <si>
    <t>SAP</t>
  </si>
  <si>
    <t>(d)</t>
  </si>
  <si>
    <t>(e)</t>
  </si>
  <si>
    <t>(f)</t>
  </si>
  <si>
    <t>(g)</t>
  </si>
  <si>
    <t>(h)</t>
  </si>
  <si>
    <t>(i)</t>
  </si>
  <si>
    <t>(j)</t>
  </si>
  <si>
    <t>(k)</t>
  </si>
  <si>
    <t>(l)</t>
  </si>
  <si>
    <t>(m)</t>
  </si>
  <si>
    <t>Account #</t>
  </si>
  <si>
    <t>SAP Account Description</t>
  </si>
  <si>
    <t>No</t>
  </si>
  <si>
    <t>4371049</t>
  </si>
  <si>
    <t>4371050</t>
  </si>
  <si>
    <t>Rent - Electric Property</t>
  </si>
  <si>
    <r>
      <t xml:space="preserve">Total Rent from Electric Property </t>
    </r>
    <r>
      <rPr>
        <b/>
        <vertAlign val="superscript"/>
        <sz val="12"/>
        <rFont val="Times New Roman"/>
        <family val="1"/>
      </rPr>
      <t>1</t>
    </r>
  </si>
  <si>
    <t>4371016</t>
  </si>
  <si>
    <t>Generation Interconnection</t>
  </si>
  <si>
    <t>4371040</t>
  </si>
  <si>
    <t xml:space="preserve">Revenue Enhancement </t>
  </si>
  <si>
    <t>4371055</t>
  </si>
  <si>
    <t>Shared Asset Revenue</t>
  </si>
  <si>
    <t>4371058</t>
  </si>
  <si>
    <t>Elec Trans Joint Pole Activity</t>
  </si>
  <si>
    <t>4371061</t>
  </si>
  <si>
    <t>Excess Microwave Capacity - Elec Trans</t>
  </si>
  <si>
    <t>4371065</t>
  </si>
  <si>
    <t>Trans Revenue Trsfr to Gen</t>
  </si>
  <si>
    <t>4371067</t>
  </si>
  <si>
    <t>Trans Revenue Trsfr to Dist</t>
  </si>
  <si>
    <t>4371070</t>
  </si>
  <si>
    <t>Trans Revenue Trsfr from Dist</t>
  </si>
  <si>
    <t>4371076</t>
  </si>
  <si>
    <t>Environmental Lab - Elec Tran</t>
  </si>
  <si>
    <t>4371082</t>
  </si>
  <si>
    <t>Other Elec Rev-SDGE Gen</t>
  </si>
  <si>
    <t>4371806</t>
  </si>
  <si>
    <t>Elec-Trans Fees/Rev</t>
  </si>
  <si>
    <r>
      <t xml:space="preserve">Total Other Electric Revenues </t>
    </r>
    <r>
      <rPr>
        <b/>
        <vertAlign val="superscript"/>
        <sz val="12"/>
        <rFont val="Times New Roman"/>
        <family val="1"/>
      </rPr>
      <t>2</t>
    </r>
  </si>
  <si>
    <t>Various</t>
  </si>
  <si>
    <r>
      <t xml:space="preserve">Citizens Border-East Line </t>
    </r>
    <r>
      <rPr>
        <b/>
        <vertAlign val="superscript"/>
        <sz val="12"/>
        <rFont val="Times New Roman"/>
        <family val="1"/>
      </rPr>
      <t>3</t>
    </r>
  </si>
  <si>
    <r>
      <t xml:space="preserve">Citizens Sycamore-Penasquitos Line </t>
    </r>
    <r>
      <rPr>
        <b/>
        <vertAlign val="superscript"/>
        <sz val="12"/>
        <rFont val="Times New Roman"/>
        <family val="1"/>
      </rPr>
      <t>3</t>
    </r>
  </si>
  <si>
    <t>Total Miscellaneous Revenue</t>
  </si>
  <si>
    <t>The total Rent from Electric Property in FERC Form 1; Page 300-301; Line 19; Col. b includes both Distribution and Transmission rents. The Total Transmission-related Rents from Electric</t>
  </si>
  <si>
    <t>The total Other Electric Revenues in FERC Form 1; Page 300-301; Line 21; Col. b includes other revenues for both Distribution and Transmission. The Total Transmission-related piece of Other</t>
  </si>
  <si>
    <t>Revenues is reflected in Col. (m) of this schedule and ties to the footnotes on FERC Form 1; Page 300-301; Footnote Data (c).</t>
  </si>
  <si>
    <t>The Electric Transmission Revenue for Citizens in this statement is to provide ratepayers a credit for Citizens' share of Transmission-related Common and General Plant, Transmission-related</t>
  </si>
  <si>
    <t>Working Capital Revenue, and Franchise Fees.</t>
  </si>
  <si>
    <t>Statement AV</t>
  </si>
  <si>
    <t>Cost of Capital and Fair Rate of Return</t>
  </si>
  <si>
    <t>Long-Term Debt Component - Denominator:</t>
  </si>
  <si>
    <t>Bonds (Acct 221)</t>
  </si>
  <si>
    <t>112-113; 18; c</t>
  </si>
  <si>
    <t>Less: Reacquired Bonds (Acct 222)</t>
  </si>
  <si>
    <t>112-113; 19; c</t>
  </si>
  <si>
    <t>Other Long-Term Debt (Acct 224)</t>
  </si>
  <si>
    <t>112-113; 21; c</t>
  </si>
  <si>
    <t>Unamortized Premium on Long-Term Debt (Acct 225)</t>
  </si>
  <si>
    <t>112-113; 22; c</t>
  </si>
  <si>
    <t>Less: Unamortized Discount on Long-Term Debt-Debit (Acct 226)</t>
  </si>
  <si>
    <t>112-113; 23; c</t>
  </si>
  <si>
    <t xml:space="preserve">     LTD = Long Term Debt</t>
  </si>
  <si>
    <t>Long-Term Debt Component - Numerator:</t>
  </si>
  <si>
    <t>Interest on Long-Term Debt (Acct 427)</t>
  </si>
  <si>
    <t>114-117; 62; c</t>
  </si>
  <si>
    <t>Amort. of Debt Disc. and Expense (Acct 428)</t>
  </si>
  <si>
    <t>114-117; 63; c</t>
  </si>
  <si>
    <t>Amortization of Loss on Reacquired Debt (Acct 428.1)</t>
  </si>
  <si>
    <t>114-117; 64; c</t>
  </si>
  <si>
    <t>Less: Amort. of Premium on Debt-Credit (Acct 429)</t>
  </si>
  <si>
    <t>114-117; 65; c</t>
  </si>
  <si>
    <t>Less: Amortization of Gain on Reacquired Debt-Credit (Acct 429.1)</t>
  </si>
  <si>
    <t>114-117; 66; c</t>
  </si>
  <si>
    <t xml:space="preserve">     i = LTD interest</t>
  </si>
  <si>
    <t>Sum Lines 10 thru 14</t>
  </si>
  <si>
    <t>Cost of Long-Term Debt:</t>
  </si>
  <si>
    <t>Line 15 / Line 7</t>
  </si>
  <si>
    <t>Preferred Equity Component:</t>
  </si>
  <si>
    <t>PF = Preferred Stock (Acct 204)</t>
  </si>
  <si>
    <t>112-113; 3; c</t>
  </si>
  <si>
    <t>d(pf) = Total Dividends Declared-Preferred Stocks (Acct 437)</t>
  </si>
  <si>
    <t>118-119; 29; c</t>
  </si>
  <si>
    <t xml:space="preserve">     Cost of Preferred Equity</t>
  </si>
  <si>
    <t>Line 21 / Line 20</t>
  </si>
  <si>
    <t>Common Equity Component:</t>
  </si>
  <si>
    <t>Proprietary Capital</t>
  </si>
  <si>
    <t>112-113; 16; c</t>
  </si>
  <si>
    <t>Less: Preferred Stock (Acct 204)</t>
  </si>
  <si>
    <t>Negative of Line 20 Above</t>
  </si>
  <si>
    <t>Less: Unappropriated Undistributed Subsidiary Earnings (Acct 216.1)</t>
  </si>
  <si>
    <t>112-113; 12; c</t>
  </si>
  <si>
    <t>Accumulated Other Comprehensive Income (Acct 219)</t>
  </si>
  <si>
    <t>112-113; 15; c</t>
  </si>
  <si>
    <t xml:space="preserve">     CS = Common Stock</t>
  </si>
  <si>
    <t>(d) = (b) x (c)</t>
  </si>
  <si>
    <t>Cap. Struct.</t>
  </si>
  <si>
    <t>Cost of</t>
  </si>
  <si>
    <t>Weighted</t>
  </si>
  <si>
    <t>Weighted Cost of Capital:</t>
  </si>
  <si>
    <r>
      <t xml:space="preserve">Amounts </t>
    </r>
    <r>
      <rPr>
        <b/>
        <vertAlign val="superscript"/>
        <sz val="12"/>
        <rFont val="Times New Roman"/>
        <family val="1"/>
      </rPr>
      <t>1</t>
    </r>
  </si>
  <si>
    <t>Ratio</t>
  </si>
  <si>
    <t>Capital</t>
  </si>
  <si>
    <t>Cost of Capital</t>
  </si>
  <si>
    <t>Long-Term Debt</t>
  </si>
  <si>
    <t>Col. c = Line 17 Above</t>
  </si>
  <si>
    <t>Preferred Equity</t>
  </si>
  <si>
    <t>Col. c = Line 22 Above</t>
  </si>
  <si>
    <t>Common Equity</t>
  </si>
  <si>
    <t>Col. c = Line 32 Above</t>
  </si>
  <si>
    <t xml:space="preserve">     Total Capital</t>
  </si>
  <si>
    <t>Sum Lines 37 thru 39</t>
  </si>
  <si>
    <t>Line 38 + Line 39; Col. d</t>
  </si>
  <si>
    <t>Amount is based upon December 31 balances.</t>
  </si>
  <si>
    <t>Incentive Weighted Cost of Capital:</t>
  </si>
  <si>
    <t>A. Federal Income Tax Component:</t>
  </si>
  <si>
    <t>Where:</t>
  </si>
  <si>
    <t xml:space="preserve">     A = Sum of Preferred Stock and Return on Equity Component</t>
  </si>
  <si>
    <t xml:space="preserve">     B = Transmission Total Federal Tax Adjustments</t>
  </si>
  <si>
    <t>Negative of Statement AR; Line 9</t>
  </si>
  <si>
    <t xml:space="preserve">     C = Equity AFUDC Component of Transmission Depreciation Expense</t>
  </si>
  <si>
    <t xml:space="preserve">     D = Transmission Rate Base</t>
  </si>
  <si>
    <t>Statement BK-1; Page 3; Line 27</t>
  </si>
  <si>
    <t xml:space="preserve">     FT = Federal Income Tax Rate for Rate Effective Period</t>
  </si>
  <si>
    <t>21%</t>
  </si>
  <si>
    <t>Federal Income Tax Rate</t>
  </si>
  <si>
    <t>Federal Income Tax    =    (((A) + (C / D)) * FT) - (B / D)</t>
  </si>
  <si>
    <t>Federal Income Tax Expense</t>
  </si>
  <si>
    <t xml:space="preserve">                                                         (1 - FT)</t>
  </si>
  <si>
    <t>B. State Income Tax Component:</t>
  </si>
  <si>
    <t>Line 6 Above</t>
  </si>
  <si>
    <t xml:space="preserve">     B = Transmission Total State Tax Adjustments</t>
  </si>
  <si>
    <t>Negative of Statement AT; Line 9</t>
  </si>
  <si>
    <t>Line 8 Above</t>
  </si>
  <si>
    <t>Line 9 Above</t>
  </si>
  <si>
    <t xml:space="preserve">     FT = Federal Income Tax Expense</t>
  </si>
  <si>
    <t>Line 12 Above</t>
  </si>
  <si>
    <t xml:space="preserve">     ST = State Income Tax Rate for Rate Effective Period</t>
  </si>
  <si>
    <t>8.84%</t>
  </si>
  <si>
    <t>State Income Tax Rate</t>
  </si>
  <si>
    <t>State Income Tax    =    (((A) + (C / D) + Federal Income Tax) * (ST)) - (B / D)</t>
  </si>
  <si>
    <t>State Income Tax Expense</t>
  </si>
  <si>
    <t xml:space="preserve">                                                                     (1 - ST)</t>
  </si>
  <si>
    <t>Line 12 + Line 25</t>
  </si>
  <si>
    <t>Shall be Zero for Incentive ROE Projects</t>
  </si>
  <si>
    <t xml:space="preserve">     D = Total Incentive ROE Project Transmission Rate Base</t>
  </si>
  <si>
    <t>Statement BK-1; Page 3; Line 32</t>
  </si>
  <si>
    <t xml:space="preserve">Federal Income Tax    =    (((A) + (C / D)) * FT) - (B / D) </t>
  </si>
  <si>
    <t xml:space="preserve">Federal Income Tax Expense </t>
  </si>
  <si>
    <t>San Diego Gas &amp; Electric Company</t>
  </si>
  <si>
    <t>Non-Incentive Equity AFUDC Component of Transmission Depreciation Expense</t>
  </si>
  <si>
    <t>Non-Incentive Equity AFUDC</t>
  </si>
  <si>
    <t>Component of Transmission</t>
  </si>
  <si>
    <r>
      <t xml:space="preserve">Vintages of Plant </t>
    </r>
    <r>
      <rPr>
        <b/>
        <vertAlign val="superscript"/>
        <sz val="12"/>
        <rFont val="Times New Roman"/>
        <family val="1"/>
      </rPr>
      <t>1</t>
    </r>
  </si>
  <si>
    <t>Depn Exp.</t>
  </si>
  <si>
    <t>Citizens Sunrise Adjustment (see w/p AV-1B)</t>
  </si>
  <si>
    <t>Citizens SX-PQ Adjustment (see w/p AV-1B)</t>
  </si>
  <si>
    <t>AFUDC Equity Depreciation Expense - Net of AFUDC Equity Depreciation Expense on Assets Leased to Citizens Sunrise</t>
  </si>
  <si>
    <t xml:space="preserve">Reflects the years that were taken into consideration to develop the table. The table </t>
  </si>
  <si>
    <t>begins in 2001 because all the data needed was not available until 2001 in SAP</t>
  </si>
  <si>
    <t>(SDG&amp;E's general accounting system).</t>
  </si>
  <si>
    <t>Citizens' Calculation of Equity AFUDC Component of Transmission Depreciation Expenses</t>
  </si>
  <si>
    <t xml:space="preserve">AFUDC embedded in the Lease Payment on the Border-East Line </t>
  </si>
  <si>
    <r>
      <t xml:space="preserve">AFUDC Equity Percentage </t>
    </r>
    <r>
      <rPr>
        <sz val="12"/>
        <rFont val="Times New Roman"/>
        <family val="1"/>
      </rPr>
      <t>as of July 2012</t>
    </r>
  </si>
  <si>
    <t>AFUDC Equity Embedded in the Border-East Line</t>
  </si>
  <si>
    <t>Annual Depreciation Rate (30 year Lease)</t>
  </si>
  <si>
    <t>1 / 30 years</t>
  </si>
  <si>
    <t>Annual Book Depreciation on AFUDC Equity</t>
  </si>
  <si>
    <t>Line 5 x Line 7</t>
  </si>
  <si>
    <t xml:space="preserve">AFUDC embedded in the Lease Payment on the SX-PQ Line </t>
  </si>
  <si>
    <t>AFUDC Equity Percentage as of November 2018</t>
  </si>
  <si>
    <t>AFUDC Equity Embedded in the SX-PQ Line</t>
  </si>
  <si>
    <t>Line 19 x Line 21</t>
  </si>
  <si>
    <t xml:space="preserve">Miscellaneous Statement </t>
  </si>
  <si>
    <r>
      <t xml:space="preserve">Transmission Related Regulatory Debits/Credits </t>
    </r>
    <r>
      <rPr>
        <b/>
        <vertAlign val="superscript"/>
        <sz val="12"/>
        <rFont val="Times New Roman"/>
        <family val="1"/>
      </rPr>
      <t>1</t>
    </r>
  </si>
  <si>
    <r>
      <t xml:space="preserve">Transmission Plant Abandoned Project Cost </t>
    </r>
    <r>
      <rPr>
        <b/>
        <vertAlign val="superscript"/>
        <sz val="12"/>
        <rFont val="Times New Roman"/>
        <family val="1"/>
      </rPr>
      <t>1</t>
    </r>
  </si>
  <si>
    <r>
      <t xml:space="preserve">Other Regulatory Assets/Liabilities </t>
    </r>
    <r>
      <rPr>
        <b/>
        <vertAlign val="superscript"/>
        <sz val="12"/>
        <rFont val="Times New Roman"/>
        <family val="1"/>
      </rPr>
      <t>1</t>
    </r>
  </si>
  <si>
    <r>
      <t xml:space="preserve">Incentive Transmission Plant Abandoned Project Cost </t>
    </r>
    <r>
      <rPr>
        <b/>
        <vertAlign val="superscript"/>
        <sz val="12"/>
        <rFont val="Times New Roman"/>
        <family val="1"/>
      </rPr>
      <t>1</t>
    </r>
  </si>
  <si>
    <t>applicable data field will be filled.</t>
  </si>
  <si>
    <t>MISCELLANEOUS STATEMENT</t>
  </si>
  <si>
    <t>UNFUNDED RESERVES</t>
  </si>
  <si>
    <t>Misc.-1.1; Line 4</t>
  </si>
  <si>
    <t>Workers' Compensation</t>
  </si>
  <si>
    <t>Misc.-1.1; Line 9</t>
  </si>
  <si>
    <t>Supplemental Executive Retirement Plan (SERP)</t>
  </si>
  <si>
    <t>Misc.-1.1; Line 14</t>
  </si>
  <si>
    <t>Accrued Vacation</t>
  </si>
  <si>
    <t>Misc.-1.1; Line 19</t>
  </si>
  <si>
    <t xml:space="preserve">     Total Unfunded Reserves</t>
  </si>
  <si>
    <t>Sum Lines 1 thru 7</t>
  </si>
  <si>
    <r>
      <t xml:space="preserve">(a) </t>
    </r>
    <r>
      <rPr>
        <b/>
        <vertAlign val="superscript"/>
        <sz val="12"/>
        <rFont val="Times New Roman"/>
        <family val="1"/>
      </rPr>
      <t>1</t>
    </r>
  </si>
  <si>
    <t xml:space="preserve">   Allocation Factor</t>
  </si>
  <si>
    <t>Col. (b); AD-10; Line 6 x AI; Line 15</t>
  </si>
  <si>
    <t>Line 2 x Line 3</t>
  </si>
  <si>
    <t xml:space="preserve">   Workers' Compensation - Acct. 228</t>
  </si>
  <si>
    <t xml:space="preserve">     Total Workers' Compensation</t>
  </si>
  <si>
    <t xml:space="preserve">   SERP - Acct. 228 / Acct. 242 </t>
  </si>
  <si>
    <t xml:space="preserve">     Total SERP</t>
  </si>
  <si>
    <t>Line 12 x Line 13</t>
  </si>
  <si>
    <t xml:space="preserve">   Accrued Vacation - Acct. 232</t>
  </si>
  <si>
    <t xml:space="preserve">     Total Accrued Vacation</t>
  </si>
  <si>
    <r>
      <rPr>
        <b/>
        <vertAlign val="superscript"/>
        <sz val="12"/>
        <rFont val="Times New Roman"/>
        <family val="1"/>
      </rPr>
      <t>1</t>
    </r>
  </si>
  <si>
    <t>The Prior Year's Allocation Factor shown on lines 3, 8, 13 and 18 is derived as follows based on recorded data:</t>
  </si>
  <si>
    <t>a</t>
  </si>
  <si>
    <t>Electric Ratio</t>
  </si>
  <si>
    <t>b</t>
  </si>
  <si>
    <t>c</t>
  </si>
  <si>
    <t>Line a x Line b</t>
  </si>
  <si>
    <t>FERC Order 864 Worksheet - Order 864-1</t>
  </si>
  <si>
    <t>(Excess)/Deficient Accumulated Deferred Income Taxes ("ADIT")</t>
  </si>
  <si>
    <t>Year:</t>
  </si>
  <si>
    <t>Col. 1</t>
  </si>
  <si>
    <t>Col. 2</t>
  </si>
  <si>
    <t>Col. 3</t>
  </si>
  <si>
    <t>Col. 4</t>
  </si>
  <si>
    <t>Col. 5</t>
  </si>
  <si>
    <t>Col. 6</t>
  </si>
  <si>
    <t>Col. 7</t>
  </si>
  <si>
    <t>Col. 8</t>
  </si>
  <si>
    <t>Col. 9</t>
  </si>
  <si>
    <t>Col. 10</t>
  </si>
  <si>
    <t>Col. 11</t>
  </si>
  <si>
    <t>Col. 12</t>
  </si>
  <si>
    <t>Col. 13</t>
  </si>
  <si>
    <r>
      <rPr>
        <sz val="10"/>
        <rFont val="Calibri"/>
        <family val="2"/>
      </rPr>
      <t>Ʃ</t>
    </r>
    <r>
      <rPr>
        <sz val="10"/>
        <rFont val="Times New Roman"/>
        <family val="1"/>
      </rPr>
      <t xml:space="preserve"> Col. 3 thru Col. 8</t>
    </r>
  </si>
  <si>
    <t>= Order 864-2 Col. 8</t>
  </si>
  <si>
    <t>= Col. 10 + Col. 11</t>
  </si>
  <si>
    <t>Line No.</t>
  </si>
  <si>
    <t>Description (Note 1)</t>
  </si>
  <si>
    <t>FERC Acct</t>
  </si>
  <si>
    <t>Beginning Deficient ADIT - Acct 182.3</t>
  </si>
  <si>
    <t>Beginning (Excess) ADIT - Acct 254</t>
  </si>
  <si>
    <t>Return to Provision and Other Adjustments Acct 182.3</t>
  </si>
  <si>
    <t>Return to Provision and Other Adjustments Acct 254</t>
  </si>
  <si>
    <t>ADIT Amortization Acct 410.1</t>
  </si>
  <si>
    <t>ADIT Amortization Acct 411.1</t>
  </si>
  <si>
    <t>Cumulative Amortization of Excess/Deficient ADIT</t>
  </si>
  <si>
    <t>Net (Excess)/ Deficient ADIT at Current Tax Rate</t>
  </si>
  <si>
    <t>Adjustment for New Tax Rate - Acct 182.3 / 254</t>
  </si>
  <si>
    <t>Ending Deficient ADIT - Acct 182.3</t>
  </si>
  <si>
    <t>Ending (Excess) ADIT - Acct 254</t>
  </si>
  <si>
    <t>Unprotected - Non-Property Related - (Note 2)</t>
  </si>
  <si>
    <t xml:space="preserve">   Compensation Related Items:</t>
  </si>
  <si>
    <t xml:space="preserve">        Accrued Bonus</t>
  </si>
  <si>
    <t xml:space="preserve">        Accrued Vacation</t>
  </si>
  <si>
    <t xml:space="preserve">        Workers Compensation</t>
  </si>
  <si>
    <t xml:space="preserve">   Post Retirement Benefits:</t>
  </si>
  <si>
    <t xml:space="preserve">        SERP</t>
  </si>
  <si>
    <t xml:space="preserve">   Ad Valorem Taxes:</t>
  </si>
  <si>
    <t xml:space="preserve">        Property Tax: Calend Year - Book</t>
  </si>
  <si>
    <t xml:space="preserve">        Property Tax: Lien (Tax)</t>
  </si>
  <si>
    <t>Total Non-Property Related (Note 3)</t>
  </si>
  <si>
    <t>Sum Lines 2 thru 10</t>
  </si>
  <si>
    <t>Protected - Property Related - (Note 4)</t>
  </si>
  <si>
    <t xml:space="preserve">   Net Operating Loss</t>
  </si>
  <si>
    <t xml:space="preserve">   Accumulated Depreciation Timing Differences:</t>
  </si>
  <si>
    <t xml:space="preserve">        Depreciable Plant - Method/Life</t>
  </si>
  <si>
    <t xml:space="preserve">        Capitalized Interest</t>
  </si>
  <si>
    <t>Sub-Total</t>
  </si>
  <si>
    <t>Sum Lines 15 thru 18</t>
  </si>
  <si>
    <t>Unprotected - Property Related - (Note 4)</t>
  </si>
  <si>
    <t xml:space="preserve">  AFUDC Debt</t>
  </si>
  <si>
    <t xml:space="preserve">  Repairs</t>
  </si>
  <si>
    <t xml:space="preserve">  Other</t>
  </si>
  <si>
    <t>Sum Lines 22 thru 24</t>
  </si>
  <si>
    <t xml:space="preserve">  Cost of Removal - Book Accrual</t>
  </si>
  <si>
    <t>Total Property Related (Note 5)</t>
  </si>
  <si>
    <t>Line 19 + Line 25 + Line 28</t>
  </si>
  <si>
    <t>Grand Total (Note 6)</t>
  </si>
  <si>
    <t>Line 12 + Line 30</t>
  </si>
  <si>
    <t>Notes:</t>
  </si>
  <si>
    <t>1) In the event of future tax rate changes, transmission-related temporary differences can be added or removed to/from this worksheet without a Section 205 filing.</t>
  </si>
  <si>
    <t>3) Total company non-property, compensation and benefits related Accumulated Schedule M Adjustments are allocated to transmission using common account allocations, which are calculated using labor allocation ratios. In addition, a portion of total company property taxes</t>
  </si>
  <si>
    <t xml:space="preserve"> is allocated to transmission based on the proportion of the historical cost of electric transmission plant in service and CWIP to total system-wide taxable plant and CWIP.</t>
  </si>
  <si>
    <t>4) Amortized into rates under average rate assumption method (ARAM) over book life.</t>
  </si>
  <si>
    <t xml:space="preserve">5) FERC Account 282 ADIT balances shown above represent deferred taxes on electric transmission plant in service (excluding gross-up) that are largely driven by federal accelerated depreciation and computed in the tax depreciation software ("PowerTax"). The </t>
  </si>
  <si>
    <t>balances also include deferred taxes related to other adjustments such as repairs, capitalized interest, and AFUDC Debt, which are posted as basis adjustments in PowerTax and allocated to transmission in the system. In addition, like the non-plant ADIT,</t>
  </si>
  <si>
    <t>deferred taxes related to common plant such as computer hardware, facilities, and structures are allocated to transmission based on common plant allocation factors calculated using labor allocation ratios. The deficient ADIT related to the transmission Net Operating</t>
  </si>
  <si>
    <t>Loss in Account 190 is computed on a FERC transmission standalone basis.</t>
  </si>
  <si>
    <t>6) Balances reported in this worksheet do not include gross-up and the gross-up is not included in rate base. See below for demonstration of gross-up calculated on property and non-property related (excess)/deficient ADIT.</t>
  </si>
  <si>
    <t>g</t>
  </si>
  <si>
    <t>h</t>
  </si>
  <si>
    <t>i = f - 1</t>
  </si>
  <si>
    <t>j = g x i</t>
  </si>
  <si>
    <t>k = h x i</t>
  </si>
  <si>
    <t>Calculation of Gross-up Rate</t>
  </si>
  <si>
    <t>New Tax Rate</t>
  </si>
  <si>
    <t>Gross-up Rate</t>
  </si>
  <si>
    <t>Gross-up on Deficient Deferred Taxes - Acct 182.3</t>
  </si>
  <si>
    <t>Gross-up on (Excess) Deferred Taxes - Acct 254</t>
  </si>
  <si>
    <t>Federal Tax Rate</t>
  </si>
  <si>
    <t>Total Non-Property Related (Line No. 12)</t>
  </si>
  <si>
    <t>California Tax Rate</t>
  </si>
  <si>
    <t>Total Property Related (Line No. 30)</t>
  </si>
  <si>
    <t>Fed Offset of State Benefit</t>
  </si>
  <si>
    <t>c = -a x b</t>
  </si>
  <si>
    <t>Combined Statutory Tax Rate (net of state benefit)</t>
  </si>
  <si>
    <t>d = a+b+c</t>
  </si>
  <si>
    <t>Net of Tax Rate</t>
  </si>
  <si>
    <t>e = 1 - d</t>
  </si>
  <si>
    <t>f = 1/e</t>
  </si>
  <si>
    <t>FERC Order 864 Worksheet - Order 864-2</t>
  </si>
  <si>
    <t>New Tax Rate?</t>
  </si>
  <si>
    <t>New Rate ("NR"):</t>
  </si>
  <si>
    <t xml:space="preserve">New Tax Rate Adjustment Calculation </t>
  </si>
  <si>
    <t>= Col. 3 x (NR)</t>
  </si>
  <si>
    <t>= Col. 4 - Col. 5</t>
  </si>
  <si>
    <t>= Order 864-1 Col. 9</t>
  </si>
  <si>
    <t>= Col. 6 - Col. 7</t>
  </si>
  <si>
    <t>Gross Accumulated Schedule M Adjustments</t>
  </si>
  <si>
    <t>Ending ADIT Balances at Prior Tax Rate</t>
  </si>
  <si>
    <t>ADIT Balances at New Tax Rate</t>
  </si>
  <si>
    <t>Net (Excess)/ Deficient ADIT at New Tax Rate</t>
  </si>
  <si>
    <t>Net (Excess)/ Deficient ADIT at Prior Tax Rate</t>
  </si>
  <si>
    <t>Adjustment for New Tax Rate</t>
  </si>
  <si>
    <t>Instructions:</t>
  </si>
  <si>
    <r>
      <t xml:space="preserve">1) Populate this Schedule with inputs </t>
    </r>
    <r>
      <rPr>
        <u val="singleAccounting"/>
        <sz val="10"/>
        <rFont val="Times New Roman"/>
        <family val="1"/>
      </rPr>
      <t>only</t>
    </r>
    <r>
      <rPr>
        <sz val="10"/>
        <rFont val="Times New Roman"/>
        <family val="1"/>
      </rPr>
      <t xml:space="preserve"> in the event of a change in the Tax Rate from the previous year.</t>
    </r>
  </si>
  <si>
    <t>2) If no change in Tax Rate, enter "No" at top of Schedule (New Tax Rate Yes/No).</t>
  </si>
  <si>
    <t>FERC Order 864 Worksheet - Order 864-3</t>
  </si>
  <si>
    <t>Base Period &amp; True-Up Period Ending December 31, 2022</t>
  </si>
  <si>
    <t>= Order 864-4 Col. 8</t>
  </si>
  <si>
    <t>2) Non-plant related ADIT related to future tax rate changes was amortized into rates over one year. Non-plant related ADIT attributable to the 2017 Tax Cuts and Jobs Act was fully amortized on December 31, 2021.</t>
  </si>
  <si>
    <t>FERC Order 864 Worksheet - Order 864-4</t>
  </si>
  <si>
    <t>New Tax Rate Adjustment Calculation</t>
  </si>
  <si>
    <t>= Order 864-3 Col. 9</t>
  </si>
  <si>
    <t>Sum Lines 15 thru 19</t>
  </si>
  <si>
    <t>Sum Lines 23 thru 25</t>
  </si>
  <si>
    <t>Line 20 + Line 26 + Line 29</t>
  </si>
  <si>
    <t>Line 12 + Line 31</t>
  </si>
  <si>
    <r>
      <t xml:space="preserve">Total Prior Year Revenue Requirements Excluding FF&amp;U </t>
    </r>
    <r>
      <rPr>
        <b/>
        <vertAlign val="superscript"/>
        <sz val="12"/>
        <rFont val="Times New Roman"/>
        <family val="1"/>
      </rPr>
      <t>1</t>
    </r>
  </si>
  <si>
    <t>Franchise Fees</t>
  </si>
  <si>
    <t>Line 1 x Franchise Fee Rate</t>
  </si>
  <si>
    <t>Line 1 x Uncollectible Rate</t>
  </si>
  <si>
    <t>Total True-Up Cost of Service</t>
  </si>
  <si>
    <t>Calculations:</t>
  </si>
  <si>
    <t>= Line 4 / 12</t>
  </si>
  <si>
    <t>= Col. 4; Line 26 / 12</t>
  </si>
  <si>
    <t>= Sum Col. 3 thru Col. 5</t>
  </si>
  <si>
    <t>= Col. 2 - Col. 6</t>
  </si>
  <si>
    <t>See Footnote 6</t>
  </si>
  <si>
    <t>See Footnote 7</t>
  </si>
  <si>
    <t>= Col. 9 + Col. 10</t>
  </si>
  <si>
    <t>Cumulative</t>
  </si>
  <si>
    <t>Monthly</t>
  </si>
  <si>
    <t>Overcollection (-) or</t>
  </si>
  <si>
    <t>Prior</t>
  </si>
  <si>
    <t>Adjusted Monthly</t>
  </si>
  <si>
    <t>Undercollection (+)</t>
  </si>
  <si>
    <t>True-Up</t>
  </si>
  <si>
    <t>Prior Other</t>
  </si>
  <si>
    <t>Interest</t>
  </si>
  <si>
    <t>in Revenue</t>
  </si>
  <si>
    <t>Year</t>
  </si>
  <si>
    <t>Cost of Service</t>
  </si>
  <si>
    <r>
      <t>Revenues</t>
    </r>
    <r>
      <rPr>
        <b/>
        <sz val="12"/>
        <rFont val="Times New Roman"/>
        <family val="1"/>
      </rPr>
      <t xml:space="preserve"> </t>
    </r>
    <r>
      <rPr>
        <b/>
        <vertAlign val="superscript"/>
        <sz val="12"/>
        <rFont val="Times New Roman"/>
        <family val="1"/>
      </rPr>
      <t>2</t>
    </r>
  </si>
  <si>
    <r>
      <t>Adjustment</t>
    </r>
    <r>
      <rPr>
        <b/>
        <sz val="12"/>
        <rFont val="Times New Roman"/>
        <family val="1"/>
      </rPr>
      <t xml:space="preserve"> </t>
    </r>
    <r>
      <rPr>
        <b/>
        <vertAlign val="superscript"/>
        <sz val="12"/>
        <rFont val="Times New Roman"/>
        <family val="1"/>
      </rPr>
      <t>3</t>
    </r>
  </si>
  <si>
    <r>
      <t>BTRR Adjustments</t>
    </r>
    <r>
      <rPr>
        <b/>
        <sz val="12"/>
        <rFont val="Times New Roman"/>
        <family val="1"/>
      </rPr>
      <t xml:space="preserve"> </t>
    </r>
    <r>
      <rPr>
        <b/>
        <vertAlign val="superscript"/>
        <sz val="12"/>
        <rFont val="Times New Roman"/>
        <family val="1"/>
      </rPr>
      <t>4</t>
    </r>
  </si>
  <si>
    <t>Revenues</t>
  </si>
  <si>
    <r>
      <t>Rate</t>
    </r>
    <r>
      <rPr>
        <b/>
        <sz val="12"/>
        <rFont val="Times New Roman"/>
        <family val="1"/>
      </rPr>
      <t xml:space="preserve"> </t>
    </r>
    <r>
      <rPr>
        <b/>
        <vertAlign val="superscript"/>
        <sz val="12"/>
        <rFont val="Times New Roman"/>
        <family val="1"/>
      </rPr>
      <t>5</t>
    </r>
  </si>
  <si>
    <t>wo Interest</t>
  </si>
  <si>
    <t>with Interest</t>
  </si>
  <si>
    <t>January</t>
  </si>
  <si>
    <t>February</t>
  </si>
  <si>
    <t xml:space="preserve">March   </t>
  </si>
  <si>
    <t xml:space="preserve">April   </t>
  </si>
  <si>
    <t xml:space="preserve">May   </t>
  </si>
  <si>
    <t xml:space="preserve">June   </t>
  </si>
  <si>
    <t xml:space="preserve">July   </t>
  </si>
  <si>
    <t xml:space="preserve">August   </t>
  </si>
  <si>
    <t xml:space="preserve">September   </t>
  </si>
  <si>
    <t xml:space="preserve">October   </t>
  </si>
  <si>
    <t xml:space="preserve">November   </t>
  </si>
  <si>
    <t xml:space="preserve">December   </t>
  </si>
  <si>
    <t>The Total Prior Year Revenue Requirements ("PYRR") is for the 12-months ending Dec 31 for the applicable cycle filing base period and represents the actual cost of service for true-up purposes.</t>
  </si>
  <si>
    <t>SDG&amp;E's recorded Retail Transmission revenues, excluding TACBAA and TRBAA, during the true-up period.</t>
  </si>
  <si>
    <t>Adjustment to back-out the prior year true-up adjustment that is included in the recorded monthly true-up revenues in Column 3.</t>
  </si>
  <si>
    <t>Adjustment to back-out Other BTRR Adjustments from a prior year BK-1; Page 7, which is included in the recorded monthly true-up revenues in Column 3. Such adjustments include, but are not limited to, error adjustments and out-of-cycle recovery or refunds ordered by the</t>
  </si>
  <si>
    <t>Commission for a previous year. There is no "Other BTRR Adjustment" applicable in the instant true-up.</t>
  </si>
  <si>
    <t>Rates specified on the FERC website pursuant to Section 35.19a of the Commission regulation.</t>
  </si>
  <si>
    <t>Derived using the prior month balance in Column 11 plus the current month balance in Column 7.</t>
  </si>
  <si>
    <t>Interest is calculated using an average of beginning and ending balances: 1) in month 1, the average is 1/2 of balance in Column 7; and 2) in subsequent months is the average of prior month balance in Column 11 and the current month balance in Column 9.</t>
  </si>
  <si>
    <t xml:space="preserve">Amounts </t>
  </si>
  <si>
    <t xml:space="preserve">     End of Prior Year Revenues (PYRR EU) Excluding FF&amp;U</t>
  </si>
  <si>
    <t>Stmt AF Proration; Line 13; Col. 8</t>
  </si>
  <si>
    <t>Total Transmission Rate Base</t>
  </si>
  <si>
    <r>
      <t>B. Incentive Project Transmission Plant:</t>
    </r>
    <r>
      <rPr>
        <b/>
        <vertAlign val="superscript"/>
        <sz val="12"/>
        <rFont val="Times New Roman"/>
        <family val="1"/>
      </rPr>
      <t xml:space="preserve"> 1</t>
    </r>
  </si>
  <si>
    <t>The Incentive ROE Transmission Plant and depreciation reserve will be tracked and shown for each incentive project and lines 23 through 25 will be repeated for each project.</t>
  </si>
  <si>
    <t>Statement AF - Proration</t>
  </si>
  <si>
    <t>Col. 5 / Tot. Days</t>
  </si>
  <si>
    <t>= Col. 2 * Col. 6</t>
  </si>
  <si>
    <t>Mthly Deferred</t>
  </si>
  <si>
    <t xml:space="preserve">Deferred </t>
  </si>
  <si>
    <t>Number of Days</t>
  </si>
  <si>
    <t>Prorata</t>
  </si>
  <si>
    <t xml:space="preserve">Monthly </t>
  </si>
  <si>
    <t>Annual Accumulated</t>
  </si>
  <si>
    <t>Future Test Period</t>
  </si>
  <si>
    <r>
      <t>Tax Amount</t>
    </r>
    <r>
      <rPr>
        <b/>
        <vertAlign val="superscript"/>
        <sz val="12"/>
        <rFont val="Times New Roman"/>
        <family val="1"/>
      </rPr>
      <t xml:space="preserve"> 1</t>
    </r>
  </si>
  <si>
    <r>
      <t>Tax Balance</t>
    </r>
    <r>
      <rPr>
        <b/>
        <vertAlign val="superscript"/>
        <sz val="12"/>
        <rFont val="Times New Roman"/>
        <family val="1"/>
      </rPr>
      <t xml:space="preserve"> </t>
    </r>
    <r>
      <rPr>
        <vertAlign val="superscript"/>
        <sz val="12"/>
        <rFont val="Times New Roman"/>
        <family val="1"/>
      </rPr>
      <t>2</t>
    </r>
  </si>
  <si>
    <t>Days in Month</t>
  </si>
  <si>
    <t>Left in Period</t>
  </si>
  <si>
    <t>Percentages</t>
  </si>
  <si>
    <t>Prorata Amounts</t>
  </si>
  <si>
    <t>Prorata Calculation</t>
  </si>
  <si>
    <t>Beginning Balance (TO5 Stmt AF; Line 7; Col. a)</t>
  </si>
  <si>
    <t>March</t>
  </si>
  <si>
    <t>April</t>
  </si>
  <si>
    <t>June</t>
  </si>
  <si>
    <t>July</t>
  </si>
  <si>
    <t>August</t>
  </si>
  <si>
    <t>September</t>
  </si>
  <si>
    <t>October</t>
  </si>
  <si>
    <t>November</t>
  </si>
  <si>
    <t>December</t>
  </si>
  <si>
    <t>Ending Balance (TO5 Stmt AF; Line 7; Col. b)</t>
  </si>
  <si>
    <t>The monthly deferred tax amounts are equal to the ending ADIT balance minus the beginning ADIT balance, divided by 12 months.</t>
  </si>
  <si>
    <t>January through December equals previous month balance plus amount in Column 2.</t>
  </si>
  <si>
    <t xml:space="preserve"> Statement AV</t>
  </si>
  <si>
    <t>LTD = Long Term Debt</t>
  </si>
  <si>
    <t>i = LTD interest</t>
  </si>
  <si>
    <t>Cost of Preferred Equity</t>
  </si>
  <si>
    <t>CS = Common Stock</t>
  </si>
  <si>
    <t>Return on Common Equity:</t>
  </si>
  <si>
    <t>Total Capital</t>
  </si>
  <si>
    <t>SAN DIEGO GAS AND ELECTRIC COMPANY</t>
  </si>
  <si>
    <t>a. Federal Income Tax Component:</t>
  </si>
  <si>
    <t xml:space="preserve">     B = Trans. Amount of Other Federal Tax Adjustments</t>
  </si>
  <si>
    <t>TO5 True-Up BK-1; Page 3; Line 27</t>
  </si>
  <si>
    <t xml:space="preserve">     FT = Federal Income Tax Rate</t>
  </si>
  <si>
    <t xml:space="preserve">                                                               (1 - ST)</t>
  </si>
  <si>
    <t>TO5 True-Up BK-1; Page 3; Line 32</t>
  </si>
  <si>
    <t>See Footnote 2</t>
  </si>
  <si>
    <t>See Footnote 3</t>
  </si>
  <si>
    <t>See Footnote 4</t>
  </si>
  <si>
    <t>= Col. 4 + Col. 5</t>
  </si>
  <si>
    <t>Prior Cycle</t>
  </si>
  <si>
    <t>Cumulative Overcollection (-) or</t>
  </si>
  <si>
    <t>True Up</t>
  </si>
  <si>
    <t>Undercollection (+) in Revenue</t>
  </si>
  <si>
    <r>
      <t>Adjustment</t>
    </r>
    <r>
      <rPr>
        <b/>
        <sz val="12"/>
        <rFont val="Times New Roman"/>
        <family val="1"/>
      </rPr>
      <t xml:space="preserve"> </t>
    </r>
    <r>
      <rPr>
        <b/>
        <vertAlign val="superscript"/>
        <sz val="12"/>
        <rFont val="Times New Roman"/>
        <family val="1"/>
      </rPr>
      <t>1</t>
    </r>
  </si>
  <si>
    <t xml:space="preserve">June </t>
  </si>
  <si>
    <t>Represents the true-up adjustment from the previous annual cycle filing. SDG&amp;E accrues interest until the amount is fully collected/refunded in rates.</t>
  </si>
  <si>
    <t>The Cumulative Overcollection / Undercollection is: 1) the beginning balance in Column 2 for January; and 2) the previous month balance in Column 6 for all subsequent months.</t>
  </si>
  <si>
    <t>Interest is calculated using an average of beginning and ending balances: 1) January uses the entire balance from Column 4; and 2) subsequent months use the average of the prior month balance in</t>
  </si>
  <si>
    <t>Column 6 and the current month balance from Column 4.</t>
  </si>
  <si>
    <t>= - (Col. 4 + Col. 6)</t>
  </si>
  <si>
    <t>= Col. 2 x Col. 3</t>
  </si>
  <si>
    <t>= Col. 3 - Col. 5</t>
  </si>
  <si>
    <t>Beginning</t>
  </si>
  <si>
    <t>Ending</t>
  </si>
  <si>
    <r>
      <t>Rate</t>
    </r>
    <r>
      <rPr>
        <b/>
        <sz val="12"/>
        <rFont val="Times New Roman"/>
        <family val="1"/>
      </rPr>
      <t xml:space="preserve"> </t>
    </r>
    <r>
      <rPr>
        <b/>
        <vertAlign val="superscript"/>
        <sz val="12"/>
        <rFont val="Times New Roman"/>
        <family val="1"/>
      </rPr>
      <t>1</t>
    </r>
  </si>
  <si>
    <t>Amortization</t>
  </si>
  <si>
    <t>Principal</t>
  </si>
  <si>
    <t>True Up Adjustment</t>
  </si>
  <si>
    <t>Base Period True-Up Adjustment Calculation; Line 25; Col. 11</t>
  </si>
  <si>
    <t>Interest True Up Adjustment</t>
  </si>
  <si>
    <t>Interest True-Up Adjustment - Base Period; Line 19; Col. 5 + Interest True-Up Adjustment - Current Year; Line 19; Col. 6</t>
  </si>
  <si>
    <t>Rate is an average of the base period FERC Rates presented in the True-Up workpaper in Column 7 to derive a more accurate and consistent amortization amount (Column 4).</t>
  </si>
  <si>
    <t>The Beginning Balance  is: 1) the balance in Column 6; Line 18 from the Interest True-Up Base Period for January; and 2) the balance from previous month in Column 7 of this workpaper for all</t>
  </si>
  <si>
    <t>subsequent months.</t>
  </si>
  <si>
    <t>Amortization reduces the beginning balance to zero by the end of December and is derived as follows:</t>
  </si>
  <si>
    <t>Beginning Balance/{[(1+Rate)^12-1]/[Rate*(1+Rate)^12]}.</t>
  </si>
  <si>
    <t>SUMMARY OF HV - LV TRANSMISSION PLANT ALLOCATION STUDY</t>
  </si>
  <si>
    <t xml:space="preserve">(a) = (b) + (c) </t>
  </si>
  <si>
    <t xml:space="preserve">(c) </t>
  </si>
  <si>
    <t>$'s in TRANSMISSION</t>
  </si>
  <si>
    <t>LOW VOLTAGE</t>
  </si>
  <si>
    <t>HIGH VOLTAGE</t>
  </si>
  <si>
    <t>Substation</t>
  </si>
  <si>
    <t>&lt; 200 kv</t>
  </si>
  <si>
    <t>&gt; 200 kv</t>
  </si>
  <si>
    <t>TOTAL SUBSTATIONS</t>
  </si>
  <si>
    <r>
      <t xml:space="preserve">TRANSMISSION TOWERS and LAND </t>
    </r>
    <r>
      <rPr>
        <b/>
        <vertAlign val="superscript"/>
        <sz val="12"/>
        <rFont val="Times New Roman"/>
        <family val="1"/>
      </rPr>
      <t>2</t>
    </r>
  </si>
  <si>
    <t>NON-UNITIZED</t>
  </si>
  <si>
    <t>TOTAL TRANSMISSION PLANT</t>
  </si>
  <si>
    <t>PERCENTAGES</t>
  </si>
  <si>
    <t xml:space="preserve">Transmission Towers &amp; Land consists of: 1) Directly assigned assets identifiable as high or low based on the voltage of the transmission line, 2) Towers and land assets that have </t>
  </si>
  <si>
    <t>both high and low facilities are allocated 2/3rd high and 1/3rd low, and 3) The remaining transmission assets not identifiable as high or low are all assigned to low voltage.</t>
  </si>
  <si>
    <t>Summary of HV/LV Splits for Forecast Plant Additions</t>
  </si>
  <si>
    <t>(f) = (d) + (e)</t>
  </si>
  <si>
    <t>Gross</t>
  </si>
  <si>
    <t>Unweighted</t>
  </si>
  <si>
    <t>HV</t>
  </si>
  <si>
    <t>LV</t>
  </si>
  <si>
    <t>Wtd-HV</t>
  </si>
  <si>
    <t>Wtd-LV</t>
  </si>
  <si>
    <t>Non-Incentive Projects:</t>
  </si>
  <si>
    <t>Forecast Period - Transmission Plant Additions</t>
  </si>
  <si>
    <t>See Footnote 1</t>
  </si>
  <si>
    <t>Forecast Period - Transmission Related General; Common; and Electric Misc. Intangible Plant</t>
  </si>
  <si>
    <t xml:space="preserve">     Sub-Total Non-Incentive Projects Forecast Plant Additions</t>
  </si>
  <si>
    <t>Incentive Projects:</t>
  </si>
  <si>
    <t xml:space="preserve">Forecast Period - Incentive Transmission Plant Additions </t>
  </si>
  <si>
    <t>Forecast Period - Incentive Transmission CWIP for the period after the base period and before the effective period</t>
  </si>
  <si>
    <t>Forecast Period - Incentive Transmission CWIP for the period during the rate effective period</t>
  </si>
  <si>
    <t>See Footnote 5</t>
  </si>
  <si>
    <t xml:space="preserve">     Sub-Total Incentive Projects Forecast Plant Additions</t>
  </si>
  <si>
    <t>Sum Lines 8 thru 12</t>
  </si>
  <si>
    <t>Line 5 + Line 14</t>
  </si>
  <si>
    <t>HV = Line 16; Col. d / Line 16; Col. f</t>
  </si>
  <si>
    <t>HV/LV Ratio (Weighted Transmission Forecast Plant Additions)</t>
  </si>
  <si>
    <t>LV = Line 16; Col. e / Line 16; Col. f</t>
  </si>
  <si>
    <t>See Summary of Weighted Transmission Plant Additions Workpaper; Line 25.</t>
  </si>
  <si>
    <t>See Summary of Weighted Transmission Related Common, General and Electric Miscellaneous Intangible Plant Additions Workpaper; Line 25.</t>
  </si>
  <si>
    <t>See Summary of Weighted Incentive Transmission Plant Additions Workpaper; Line 25.</t>
  </si>
  <si>
    <t>See Summary of Weighted Incentive Transmission CWIP - A Workpaper; Line 25.</t>
  </si>
  <si>
    <t>See Summary of Weighted Incentive Transmission CWIP - B Workpaper; Line 25.</t>
  </si>
  <si>
    <t>Derivation of Weighted Plant Additions</t>
  </si>
  <si>
    <t>Summary of Weighted Transmission Plant Additions</t>
  </si>
  <si>
    <r>
      <t xml:space="preserve">Gross Forecast Plant Additions </t>
    </r>
    <r>
      <rPr>
        <b/>
        <vertAlign val="superscript"/>
        <sz val="12"/>
        <rFont val="Times New Roman"/>
        <family val="1"/>
      </rPr>
      <t>1</t>
    </r>
  </si>
  <si>
    <t>Retirements</t>
  </si>
  <si>
    <t>Net Forecast Plant Additions</t>
  </si>
  <si>
    <t>Weighting</t>
  </si>
  <si>
    <t>Weighted Net Forecast Plant Additions</t>
  </si>
  <si>
    <t>Date</t>
  </si>
  <si>
    <t>Factor</t>
  </si>
  <si>
    <t xml:space="preserve">Total Retirement </t>
  </si>
  <si>
    <t>Form 1; Page 204-207; Line 58; Col. d</t>
  </si>
  <si>
    <t>Total Gross Plant</t>
  </si>
  <si>
    <t>Form 1; Page 204-207; Line 58; Col. g</t>
  </si>
  <si>
    <t>Retirement Rate:</t>
  </si>
  <si>
    <t>Line 27 / Line 29</t>
  </si>
  <si>
    <t>Summary of Transmission Plant Additions:</t>
  </si>
  <si>
    <t>Net HV</t>
  </si>
  <si>
    <t>Net LV</t>
  </si>
  <si>
    <t>Wtd-Total</t>
  </si>
  <si>
    <t>Net - Electric Transmission Plant</t>
  </si>
  <si>
    <t xml:space="preserve">   Total</t>
  </si>
  <si>
    <t xml:space="preserve">Summary of Weighted Transmission Related Common, General and Electric Miscellaneous Intangible Plant Additions </t>
  </si>
  <si>
    <t>Summary of Transmission Related Common, General, &amp; Electric</t>
  </si>
  <si>
    <t>Intangible Plant Additions:</t>
  </si>
  <si>
    <t>Summary of Weighted Incentive Transmission Plant Additions</t>
  </si>
  <si>
    <t xml:space="preserve">Gross Forecast Plant Additions </t>
  </si>
  <si>
    <t>Summary of Weighted Incentive Transmission CWIP</t>
  </si>
  <si>
    <t>For the Period After the Base Period and Before the Effective Period</t>
  </si>
  <si>
    <t>For the Period During the Rate Effective Period</t>
  </si>
  <si>
    <t>√</t>
  </si>
  <si>
    <t>454</t>
  </si>
  <si>
    <t>Rent for Prop Use</t>
  </si>
  <si>
    <t>Elec Lnd Serv Row RE</t>
  </si>
  <si>
    <t>AU-1; Page 2; Line 6; Col. m</t>
  </si>
  <si>
    <t>AU-1; Page 2; Line 20; Col. m</t>
  </si>
  <si>
    <t>AU-1; Page 2; Line 25; Col. m</t>
  </si>
  <si>
    <t>BASE PERIOD / TRUE UP PERIOD - 12/31/2023 PER BOOK</t>
  </si>
  <si>
    <t>Jan-23</t>
  </si>
  <si>
    <t>Dec-23</t>
  </si>
  <si>
    <t>For Use During the 12-Months Period from January 1 to December 31, 2023</t>
  </si>
  <si>
    <t>2023 Form 1; Page 356; Accts 303 to 398</t>
  </si>
  <si>
    <t>2023 Form 1; Page 356; Electric</t>
  </si>
  <si>
    <t>Feb-23</t>
  </si>
  <si>
    <t>Mar-23</t>
  </si>
  <si>
    <t>Apr-23</t>
  </si>
  <si>
    <t>May-23</t>
  </si>
  <si>
    <t>Jun-23</t>
  </si>
  <si>
    <t>Jul-23</t>
  </si>
  <si>
    <t>Aug-23</t>
  </si>
  <si>
    <t>Sep-23</t>
  </si>
  <si>
    <t>Oct-23</t>
  </si>
  <si>
    <t>Nov-23</t>
  </si>
  <si>
    <t>For Completed Transmission Capital Projects from 2001 Through 2023</t>
  </si>
  <si>
    <t>Base Period &amp; True-Up Period Ending December 31, 2023</t>
  </si>
  <si>
    <t>For 12-Month True-Up Period January 1, 2023 Through December 31, 2023</t>
  </si>
  <si>
    <t>TRANSMISSION PLANT BALANCE AS OF DECEMBER 31, 2023</t>
  </si>
  <si>
    <t>24-Month Forecast Period (January 1, 2024 - December 31, 2025)</t>
  </si>
  <si>
    <t>2023 Form 1; Page 200-201; Footnote Data (b)</t>
  </si>
  <si>
    <t>Not Applicable to 2023 Base Period</t>
  </si>
  <si>
    <t xml:space="preserve">Property is reflected in Col. (m) of this schedule. </t>
  </si>
  <si>
    <t>2023 Form 1; Page 234; Footnote Data (d)</t>
  </si>
  <si>
    <t xml:space="preserve">2023 Form 1; Page 274-275; Footnote Data (b) </t>
  </si>
  <si>
    <t>2023 Form 1; Page 276-277; Footnote Data (b)</t>
  </si>
  <si>
    <t>Remeasured amount reported in column (a) includes ($135) million in state related deferred tax liabilities. Deficient reserve amount in column (b) and the Grand Total calculated on Order 864-3; Line 32; Col. 12 for federal taxes</t>
  </si>
  <si>
    <t xml:space="preserve">includes $11.8M related to Federal Benefit of State Taxes. </t>
  </si>
  <si>
    <t xml:space="preserve">2023 Form 1; Page 234; Footnote Data (c) </t>
  </si>
  <si>
    <t>2023 Form 1; Page 276-277; Footnote Data (a)</t>
  </si>
  <si>
    <t>Items in BOLD have changed compared to the original TO5 Cycle 6 filing per ER24-524 due to Six Cities protesting the inclusion of the Accrued Bonus DTA in ratebase.</t>
  </si>
  <si>
    <t xml:space="preserve">Remeasured amount reported in column (a) includes ($125.2) million in state related deferred tax liabilities.  Deficient reserve amount in column (b) and the Grand Total calculated on Order 864-1; Line 32; Col. 12 for federal taxes </t>
  </si>
  <si>
    <t>includes $12M related to Federal Benefit of State Taxes.</t>
  </si>
  <si>
    <t>The total year-end Account 190 electric balance reported on FERC Form 1; Page 234; Footnote Data (b) is $1,591,581. The amortization of Account 190 at $1,513K</t>
  </si>
  <si>
    <t>shown in line 7 excludes the portion of Account 190 attributable to Citizens in the amount of $78K which is recovered separately in the Appendix X Citizens Sunrise rate filing.</t>
  </si>
  <si>
    <t>2023 Common Rates</t>
  </si>
  <si>
    <t>Rates based on 12/31/2022 Plant Balances</t>
  </si>
  <si>
    <t>2023 General Rates</t>
  </si>
  <si>
    <t xml:space="preserve">The $15,802 in expense on FERC Form 1; Page 114-117; Line 9; Col. g, represents the annual amortization expense of the capitalized difference between CPUC &amp; FERC's recognized in-service dates for the Southwest Powerlink. The </t>
  </si>
  <si>
    <t>Duplicate Charges</t>
  </si>
  <si>
    <t>2022 FERC Form 1; Common Utility Plant and Expenses; Page 356</t>
  </si>
  <si>
    <t>Statement AI; Line 15; TO5-Cycle 6</t>
  </si>
  <si>
    <t>Ties to Statement AD Workpapers; AD-6, Line 13; Ratemaking. That is, Line 32; Col. a shown above ties to the ratemaking plant in service.</t>
  </si>
  <si>
    <t>Line 32; Col. b / Line 32; Col. a</t>
  </si>
  <si>
    <t>Line 32; Col. c / Line 32; Col. a</t>
  </si>
  <si>
    <t xml:space="preserve">Uncollectible Expense </t>
  </si>
  <si>
    <t>Property tax expense excludes Citizens property taxes as shown in FERC Form 1; Page 262-263; Footnote Data (e).</t>
  </si>
  <si>
    <t>Payroll tax expense excludes Citizens payroll taxes as shown in FERC Form 1; Page 262-263; Footnote Data (d).</t>
  </si>
  <si>
    <t>SDG&amp;E's TO5 Cycle 6 (ER24-524).</t>
  </si>
  <si>
    <t>Represents 2023 O&amp;M expenses for in-house fire brigade costs transferred to A&amp;G FERC account 923, Outside Services Employed per FERC Order in</t>
  </si>
  <si>
    <t>FERC Acct 926, Employee Pensions &amp; Benefits, includes approximately $265K for PBOP of which approximately $53K is Transmission related.</t>
  </si>
  <si>
    <t>2) Non-plant related ADIT related to future tax rate changes will be amortized into rates over one year. Non-plant related ADIT attributable to the 2017 Tax Cuts and Jobs Act was fully amortized by December 31, 2021.</t>
  </si>
  <si>
    <t>The balance in the Electric Plant Held for Future Use in the 2023 FERC Form 1 Page 214, Line 2 for Fallbrook 2.0 at $2,405,427 is for distribution use.</t>
  </si>
  <si>
    <t>BAY BOULEVARD</t>
  </si>
  <si>
    <t>ECO SUBSTATION</t>
  </si>
  <si>
    <t>ENCINA</t>
  </si>
  <si>
    <t>ESCONDIDO</t>
  </si>
  <si>
    <t>IMP VLY</t>
  </si>
  <si>
    <t>MIGUEL</t>
  </si>
  <si>
    <t>MISSION</t>
  </si>
  <si>
    <t>NO GILA</t>
  </si>
  <si>
    <t>NV-DESERT STAR EC</t>
  </si>
  <si>
    <t>NV-MERCHANT SWITCHARD</t>
  </si>
  <si>
    <t>OCOTILLO 500KV SWITCHYARD</t>
  </si>
  <si>
    <t>OLD TOWN</t>
  </si>
  <si>
    <t>OTAY MESA</t>
  </si>
  <si>
    <t>PALA</t>
  </si>
  <si>
    <t>PALO VERDE</t>
  </si>
  <si>
    <t>PALOMAR ENERGY</t>
  </si>
  <si>
    <t>PENASQUITOS</t>
  </si>
  <si>
    <t>SAN LUIS REY</t>
  </si>
  <si>
    <t>SAN ONOFRE</t>
  </si>
  <si>
    <t>SILVERGATE</t>
  </si>
  <si>
    <t>SUNCREST</t>
  </si>
  <si>
    <t>SYCAMORE CANYON</t>
  </si>
  <si>
    <t>TALEGA</t>
  </si>
  <si>
    <t>LV SUBSTATIONS</t>
  </si>
  <si>
    <t>Negative of AH-1; Line 33; Col. b</t>
  </si>
  <si>
    <t>Computer Hardware</t>
  </si>
  <si>
    <t>Computer Software</t>
  </si>
  <si>
    <t>Communication Equipment</t>
  </si>
  <si>
    <t>Adjusted Return and Associated Income Taxes</t>
  </si>
  <si>
    <t>Return and Associated Income Taxes</t>
  </si>
  <si>
    <t>Base Period &amp; True-Up Period 12 - Months Ending December 31, 2023</t>
  </si>
  <si>
    <t>Adjustments to Per Book Transmission O&amp;M Expense</t>
  </si>
  <si>
    <t xml:space="preserve"> 12 Months Ending December 31, 2023</t>
  </si>
  <si>
    <t>Other Cost Adjustments</t>
  </si>
  <si>
    <t>Sum Lines 2 thru 4</t>
  </si>
  <si>
    <t>Adjustments to Per Book A&amp;G Expense</t>
  </si>
  <si>
    <r>
      <t xml:space="preserve">CPUC Intervenor Funding Expense - Transmission </t>
    </r>
    <r>
      <rPr>
        <b/>
        <vertAlign val="superscript"/>
        <sz val="12"/>
        <rFont val="Times New Roman"/>
        <family val="1"/>
      </rPr>
      <t>1</t>
    </r>
  </si>
  <si>
    <t>Sum Lines 8 thru 11</t>
  </si>
  <si>
    <t>Statement AH; Line 5</t>
  </si>
  <si>
    <t>Negative of Statement AH; Line 10</t>
  </si>
  <si>
    <t>Sum Lines 9 thru 20</t>
  </si>
  <si>
    <t>Line 7 + Line 22</t>
  </si>
  <si>
    <t>BALANCES AS OF 12/31/2022</t>
  </si>
  <si>
    <t>BALANCES AS OF 12/31/2023</t>
  </si>
  <si>
    <t>Dec-22</t>
  </si>
  <si>
    <t>BASE PERIOD / TRUE UP PERIOD - 12/31/2023</t>
  </si>
  <si>
    <t>Sum Lines 10 thru 21</t>
  </si>
  <si>
    <t>Line 8 + Line 23</t>
  </si>
  <si>
    <t>The rates in these subaccounts will not change during the term of the TO6 Formula.</t>
  </si>
  <si>
    <t>TO6 - Annual Transmission Plant Depreciation Rates</t>
  </si>
  <si>
    <t>Cycle 1, For 12 - Months Ending December 31, 2023</t>
  </si>
  <si>
    <t>TO6 - Annual Intangible Plant Authorized Amortization Period</t>
  </si>
  <si>
    <t>TO6 - Annual General Plant Depreciation Rates</t>
  </si>
  <si>
    <t>TO6 - Annual Common Plant Depreciation Rates</t>
  </si>
  <si>
    <r>
      <t xml:space="preserve">Cost of Capital Rate </t>
    </r>
    <r>
      <rPr>
        <vertAlign val="subscript"/>
        <sz val="12"/>
        <rFont val="Times New Roman"/>
        <family val="1"/>
      </rPr>
      <t>(COCR)</t>
    </r>
  </si>
  <si>
    <t>12 Months Ending December 31, 2023</t>
  </si>
  <si>
    <t>Applicable to the 2023 TO6-Cycle 1 Base Period &amp; True-Up Period</t>
  </si>
  <si>
    <t>TO6-Cycle 1 Annual Transmission Formula Filing</t>
  </si>
  <si>
    <t>Other Unfunded Reserve</t>
  </si>
  <si>
    <t xml:space="preserve">     Total Other Unfunded Reserve</t>
  </si>
  <si>
    <t xml:space="preserve">   Other Unfunded Reserve - Acct. XXX</t>
  </si>
  <si>
    <t>None of the above items apply to SDG&amp;E's TO6 Cycle 1 filing. However, as one or more of these items apply, subject to FERC approval, the</t>
  </si>
  <si>
    <t>Incentive Cost of Equity Component (Preferred &amp; Common)</t>
  </si>
  <si>
    <t>Cost of Equity Component (Preferred &amp; Common)</t>
  </si>
  <si>
    <t>C. Total Federal &amp; State Income Tax Rate</t>
  </si>
  <si>
    <t>D. Total Weighted Cost of Capital</t>
  </si>
  <si>
    <t>D. Total Incentive Weighted Cost of Capital</t>
  </si>
  <si>
    <t xml:space="preserve">     Incentive Transmission Forecast CWIP Projects Revenue Requirements</t>
  </si>
  <si>
    <t>For the Base Period &amp; True-Up Period Ending December 31, 2023</t>
  </si>
  <si>
    <t>For the Rate Effective Period January 1, 2025 - December 31, 2025</t>
  </si>
  <si>
    <t>TO6-Cycle 1 Interest True-Up Adjustment</t>
  </si>
  <si>
    <t xml:space="preserve">    Federal Income Tax Expense</t>
  </si>
  <si>
    <t>Line 9 x Line 12</t>
  </si>
  <si>
    <t xml:space="preserve">    State Income Tax Expense</t>
  </si>
  <si>
    <t>Line 9 x Line 25</t>
  </si>
  <si>
    <t xml:space="preserve">       Total Federal &amp; State Income Tax Expense</t>
  </si>
  <si>
    <t>Line 9 x Line 34</t>
  </si>
  <si>
    <t>Line 25 x Line 27</t>
  </si>
  <si>
    <t>TO5 True-Up BK-1; Page 2; Line 39</t>
  </si>
  <si>
    <r>
      <t>Incentive Return on Common Equity:</t>
    </r>
    <r>
      <rPr>
        <sz val="12"/>
        <rFont val="Times New Roman"/>
        <family val="1"/>
      </rPr>
      <t xml:space="preserve"> </t>
    </r>
    <r>
      <rPr>
        <b/>
        <vertAlign val="superscript"/>
        <sz val="12"/>
        <rFont val="Times New Roman"/>
        <family val="1"/>
      </rPr>
      <t>2</t>
    </r>
  </si>
  <si>
    <t>True-Up Stmt AV; Page 3; Line 32</t>
  </si>
  <si>
    <t>ANNUAL FIXED CHARGES APPLICABLE TO INCENTIVE CAPITAL PROJECTS</t>
  </si>
  <si>
    <t xml:space="preserve">   Return on Rate Base</t>
  </si>
  <si>
    <t>TO5 Offer of Settlement; Section II.A.1.5.1</t>
  </si>
  <si>
    <t>Cost of Equity Component (Preferred &amp; Common):</t>
  </si>
  <si>
    <t>Shall be Zero for ROE Adder</t>
  </si>
  <si>
    <t>Col. c = Line 45 Above</t>
  </si>
  <si>
    <t>Sum Lines 50 thru 52</t>
  </si>
  <si>
    <t>Incentive Cost of Equity Component (Preferred &amp; Common):</t>
  </si>
  <si>
    <t>Line 52; Col. d</t>
  </si>
  <si>
    <r>
      <t>Incentive Return on Common Equity:</t>
    </r>
    <r>
      <rPr>
        <sz val="12"/>
        <rFont val="Times New Roman"/>
        <family val="1"/>
      </rPr>
      <t xml:space="preserve"> </t>
    </r>
    <r>
      <rPr>
        <b/>
        <vertAlign val="superscript"/>
        <sz val="12"/>
        <rFont val="Times New Roman"/>
        <family val="1"/>
      </rPr>
      <t>1</t>
    </r>
  </si>
  <si>
    <r>
      <t xml:space="preserve">Amounts </t>
    </r>
    <r>
      <rPr>
        <b/>
        <vertAlign val="superscript"/>
        <sz val="12"/>
        <rFont val="Times New Roman"/>
        <family val="1"/>
      </rPr>
      <t>2</t>
    </r>
  </si>
  <si>
    <t>Col. c = Page 1, Line 17</t>
  </si>
  <si>
    <t>Col. c = Page 1, Line 22</t>
  </si>
  <si>
    <t>Col. c = Line 1 Above</t>
  </si>
  <si>
    <t>Sum Lines 6 thru 8</t>
  </si>
  <si>
    <t>Line 7 + Line 8; Col. d</t>
  </si>
  <si>
    <r>
      <t>CAISO Participation ROE Adder:</t>
    </r>
    <r>
      <rPr>
        <sz val="12"/>
        <rFont val="Times New Roman"/>
        <family val="1"/>
      </rPr>
      <t xml:space="preserve"> </t>
    </r>
  </si>
  <si>
    <t>Order No. 679, 116 FERC ¶ 61,057 at P 326</t>
  </si>
  <si>
    <t>Col. c = Line 14 Above</t>
  </si>
  <si>
    <t>Cost of Common Equity Component (CAISO Participation ROE Adder):</t>
  </si>
  <si>
    <t>Line 21; Col. d</t>
  </si>
  <si>
    <t>The Incentive Return on Common Equity will be tracked and shown separately for each project. As a result, lines 1 through 24 will be repeated for each project.</t>
  </si>
  <si>
    <r>
      <t xml:space="preserve">Cost of Capital Rate </t>
    </r>
    <r>
      <rPr>
        <u/>
        <vertAlign val="subscript"/>
        <sz val="12"/>
        <rFont val="Times New Roman"/>
        <family val="1"/>
      </rPr>
      <t>(COCR)</t>
    </r>
    <r>
      <rPr>
        <u/>
        <sz val="12"/>
        <rFont val="Times New Roman"/>
        <family val="1"/>
      </rPr>
      <t xml:space="preserve"> Calculation - Base ROE:</t>
    </r>
  </si>
  <si>
    <t>Page 1; Line 42</t>
  </si>
  <si>
    <t>C. Total Federal &amp; State Income Tax Rate:</t>
  </si>
  <si>
    <t>D. Total Weighted Cost of Capital:</t>
  </si>
  <si>
    <t>Page 1; Line 40</t>
  </si>
  <si>
    <r>
      <t xml:space="preserve">E. Cost of Capital Rate </t>
    </r>
    <r>
      <rPr>
        <u/>
        <vertAlign val="subscript"/>
        <sz val="12"/>
        <rFont val="Times New Roman"/>
        <family val="1"/>
      </rPr>
      <t>(COCR)</t>
    </r>
    <r>
      <rPr>
        <u/>
        <sz val="12"/>
        <rFont val="Times New Roman"/>
        <family val="1"/>
      </rPr>
      <t xml:space="preserve"> - Base ROE:</t>
    </r>
  </si>
  <si>
    <t>Line 28 + Line 30</t>
  </si>
  <si>
    <r>
      <t xml:space="preserve">Cost of Capital Rate </t>
    </r>
    <r>
      <rPr>
        <u/>
        <vertAlign val="subscript"/>
        <sz val="12"/>
        <rFont val="Times New Roman"/>
        <family val="1"/>
      </rPr>
      <t>(COCR)</t>
    </r>
    <r>
      <rPr>
        <u/>
        <sz val="12"/>
        <rFont val="Times New Roman"/>
        <family val="1"/>
      </rPr>
      <t xml:space="preserve"> Calculation - CAISO Participation ROE Adder:</t>
    </r>
  </si>
  <si>
    <t xml:space="preserve">     A = Cost of Common Equity Component - CAISO Participation ROE Adder</t>
  </si>
  <si>
    <t>Page 1; Line 55</t>
  </si>
  <si>
    <t>Line 40 Above</t>
  </si>
  <si>
    <t>Line 42 Above</t>
  </si>
  <si>
    <t>Line 43 Above</t>
  </si>
  <si>
    <t>Line 46 Above</t>
  </si>
  <si>
    <t>Line 46 + Line 59</t>
  </si>
  <si>
    <t>D. Total Weighted Cost of Common Equity - CAISO Participation ROE Adder:</t>
  </si>
  <si>
    <t>Page 1; Line 53</t>
  </si>
  <si>
    <r>
      <t xml:space="preserve">E. Cost of Capital Rate </t>
    </r>
    <r>
      <rPr>
        <u/>
        <vertAlign val="subscript"/>
        <sz val="12"/>
        <rFont val="Times New Roman"/>
        <family val="1"/>
      </rPr>
      <t>(COCR)</t>
    </r>
    <r>
      <rPr>
        <u/>
        <sz val="12"/>
        <rFont val="Times New Roman"/>
        <family val="1"/>
      </rPr>
      <t xml:space="preserve"> - CAISO Participation ROE Adder:</t>
    </r>
  </si>
  <si>
    <t>Line 62 + Line 64</t>
  </si>
  <si>
    <r>
      <t xml:space="preserve">Incentive Cost of Capital Rate </t>
    </r>
    <r>
      <rPr>
        <u/>
        <vertAlign val="subscript"/>
        <sz val="12"/>
        <rFont val="Times New Roman"/>
        <family val="1"/>
      </rPr>
      <t>(ICOCR)</t>
    </r>
    <r>
      <rPr>
        <u/>
        <sz val="12"/>
        <rFont val="Times New Roman"/>
        <family val="1"/>
      </rPr>
      <t xml:space="preserve"> Calculation - Base ROE:</t>
    </r>
    <r>
      <rPr>
        <sz val="12"/>
        <rFont val="Times New Roman"/>
        <family val="1"/>
      </rPr>
      <t xml:space="preserve"> </t>
    </r>
    <r>
      <rPr>
        <b/>
        <vertAlign val="superscript"/>
        <sz val="12"/>
        <rFont val="Times New Roman"/>
        <family val="1"/>
      </rPr>
      <t>1</t>
    </r>
  </si>
  <si>
    <t>Page 2; Line 11</t>
  </si>
  <si>
    <t>Page 3; Line 10</t>
  </si>
  <si>
    <t>Page 3; Line 23</t>
  </si>
  <si>
    <t>D. Total Incentive Weighted Cost of Capital:</t>
  </si>
  <si>
    <t>Page 2; Line 9</t>
  </si>
  <si>
    <r>
      <t xml:space="preserve">E. Incentive Cost of Capital Rate </t>
    </r>
    <r>
      <rPr>
        <u/>
        <vertAlign val="subscript"/>
        <sz val="12"/>
        <rFont val="Times New Roman"/>
        <family val="1"/>
      </rPr>
      <t>(ICOCR)</t>
    </r>
    <r>
      <rPr>
        <u/>
        <sz val="12"/>
        <rFont val="Times New Roman"/>
        <family val="1"/>
      </rPr>
      <t xml:space="preserve"> - Base ROE:</t>
    </r>
  </si>
  <si>
    <t>Page 2; Line 24</t>
  </si>
  <si>
    <t>Page 3; Line 44</t>
  </si>
  <si>
    <t>Page 3; Line 57</t>
  </si>
  <si>
    <t>Page 2; Line 22</t>
  </si>
  <si>
    <t>The Incentive Cost of Capital Rate calculation will be tracked and shown separately for each project. As a result, lines 1 through 66 will be repeated for each project.</t>
  </si>
  <si>
    <r>
      <t xml:space="preserve">Cost of Capital Rate </t>
    </r>
    <r>
      <rPr>
        <vertAlign val="subscript"/>
        <sz val="12"/>
        <rFont val="Times New Roman"/>
        <family val="1"/>
      </rPr>
      <t>(COCR)</t>
    </r>
    <r>
      <rPr>
        <sz val="12"/>
        <rFont val="Times New Roman"/>
        <family val="1"/>
      </rPr>
      <t xml:space="preserve"> - Base ROE</t>
    </r>
  </si>
  <si>
    <t xml:space="preserve">     Return and Associated Income Taxes - Base ROE</t>
  </si>
  <si>
    <r>
      <t xml:space="preserve">Cost of Capital Rate </t>
    </r>
    <r>
      <rPr>
        <vertAlign val="subscript"/>
        <sz val="12"/>
        <rFont val="Times New Roman"/>
        <family val="1"/>
      </rPr>
      <t>(COCR)</t>
    </r>
    <r>
      <rPr>
        <sz val="12"/>
        <rFont val="Times New Roman"/>
        <family val="1"/>
      </rPr>
      <t xml:space="preserve"> - CAISO Participation ROE Adder</t>
    </r>
  </si>
  <si>
    <t>True-Up Stmt AV; Page 3; Line 66</t>
  </si>
  <si>
    <t>Page 3; Line 27 - Line 10</t>
  </si>
  <si>
    <t xml:space="preserve">     Return and Associated Income Taxes - CAISO Participation ROE Adder</t>
  </si>
  <si>
    <t>Line 21 x Line 22</t>
  </si>
  <si>
    <r>
      <t xml:space="preserve">Incentive Cost of Capital Rate </t>
    </r>
    <r>
      <rPr>
        <vertAlign val="subscript"/>
        <sz val="12"/>
        <rFont val="Times New Roman"/>
        <family val="1"/>
      </rPr>
      <t>(ICOCR)</t>
    </r>
    <r>
      <rPr>
        <sz val="12"/>
        <rFont val="Times New Roman"/>
        <family val="1"/>
      </rPr>
      <t xml:space="preserve"> - Base ROE</t>
    </r>
  </si>
  <si>
    <t>True-Up Stmt AV; Page 4; Line 32</t>
  </si>
  <si>
    <t>Total Incentive ROE Project Transmission Rate Base</t>
  </si>
  <si>
    <t>Page 3; Line 32</t>
  </si>
  <si>
    <t xml:space="preserve">     Incentive ROE Project Return and Associated Income Taxes - Base ROE</t>
  </si>
  <si>
    <t>Line 3 x Line 4</t>
  </si>
  <si>
    <t>True-Up Stmt AV; Page 4; Line 66</t>
  </si>
  <si>
    <t>Line 1 + Line 5 + Line 9</t>
  </si>
  <si>
    <t xml:space="preserve">     Incentive Trans. Plant Aband. Proj. Return &amp; Assoc. Inc. Taxes - Base ROE</t>
  </si>
  <si>
    <t>Line 16 x Line 17</t>
  </si>
  <si>
    <t xml:space="preserve">     Incentive Trans. Plant Aband. Proj. Return &amp; Assoc. Inc. Taxes - CAISO Participation ROE Adder</t>
  </si>
  <si>
    <t>Line 20 x Line 21</t>
  </si>
  <si>
    <t>Line 14 + Line 18 + Line 22</t>
  </si>
  <si>
    <t xml:space="preserve">     Incentive CWIP Return and Associated Income Taxes - Base ROE</t>
  </si>
  <si>
    <t>Line 27 x Line 28</t>
  </si>
  <si>
    <t xml:space="preserve">     Incentive CWIP Return and Associated Income Taxes - CAISO Participation ROE Adder</t>
  </si>
  <si>
    <t>Line 31 x Line 32</t>
  </si>
  <si>
    <t>Line 29 + Line 33</t>
  </si>
  <si>
    <t>Sum Lines 11, 24, 35</t>
  </si>
  <si>
    <t>Line 15 + Line 19 + Line 23 + (Sum Lines 25 thru 28)</t>
  </si>
  <si>
    <t>Line 2 - Line 9</t>
  </si>
  <si>
    <t>Line 3 - Line 10</t>
  </si>
  <si>
    <t>Line 4 - Line 11</t>
  </si>
  <si>
    <t>Line 5 - Line 12</t>
  </si>
  <si>
    <t>Line 23 - Line 24</t>
  </si>
  <si>
    <t>Summary of HV/LV Plant Allocation Study; Line 34; Col. c and b</t>
  </si>
  <si>
    <t>AJ-1; Line 15</t>
  </si>
  <si>
    <t>AJ-5; Line 15</t>
  </si>
  <si>
    <t>Page 1; Line 30 + Line 37</t>
  </si>
  <si>
    <t>The HV/LV Gross Forecast Plant Additions from January 2024 through December 2025 comes from the Forecast Transmission Capital Additions Work Papers.</t>
  </si>
  <si>
    <t>The HV/LV Gross Forecast Plant Additions information from January 2024 through December 2025 comes from the Summary of Monthly Common, General, and Electric Intangible Forecast Plant Additions Work Papers.</t>
  </si>
  <si>
    <t>BASE PERIOD 12 MONTHS ENDING DECEMBER 31, 2023</t>
  </si>
  <si>
    <t>BASE PERIOD 12 MONTHS ENDING DECEMBER 31, 2022</t>
  </si>
  <si>
    <r>
      <t xml:space="preserve">Total Property Taxes Expense </t>
    </r>
    <r>
      <rPr>
        <b/>
        <vertAlign val="superscript"/>
        <sz val="12"/>
        <rFont val="Times New Roman"/>
        <family val="1"/>
      </rPr>
      <t>1</t>
    </r>
  </si>
  <si>
    <t>Line 8 x Line 10</t>
  </si>
  <si>
    <r>
      <t xml:space="preserve">Total Payroll Taxes Expense </t>
    </r>
    <r>
      <rPr>
        <b/>
        <vertAlign val="superscript"/>
        <sz val="12"/>
        <rFont val="Times New Roman"/>
        <family val="1"/>
      </rPr>
      <t>2</t>
    </r>
  </si>
  <si>
    <t>Line 28 + Line 34</t>
  </si>
  <si>
    <t>Line 26 x Line 28</t>
  </si>
  <si>
    <t>Negative of Statement AL; Line 30</t>
  </si>
  <si>
    <t>Add back ADIT</t>
  </si>
  <si>
    <t>STATEMENT AF</t>
  </si>
  <si>
    <r>
      <t xml:space="preserve">FERC Account 282 - Property Related </t>
    </r>
    <r>
      <rPr>
        <b/>
        <vertAlign val="superscript"/>
        <sz val="12"/>
        <rFont val="Times New Roman"/>
        <family val="1"/>
      </rPr>
      <t>1</t>
    </r>
  </si>
  <si>
    <t>2001 - 2010</t>
  </si>
  <si>
    <t>2011 - 2020</t>
  </si>
  <si>
    <t>AV-1A; Line 17</t>
  </si>
  <si>
    <t xml:space="preserve">Less ADIT Adjustment </t>
  </si>
  <si>
    <t>ADIT Revenue Requirements Adjustment</t>
  </si>
  <si>
    <t>Line 4 x Line 6</t>
  </si>
  <si>
    <t>Line 8 - Line 9</t>
  </si>
  <si>
    <t>Line 10 Above</t>
  </si>
  <si>
    <t>Sum Lines 12 thru 18</t>
  </si>
  <si>
    <t>Line 19 / Line 21</t>
  </si>
  <si>
    <t>Line 25 - Line 28</t>
  </si>
  <si>
    <t>Line 23 x Line 30</t>
  </si>
  <si>
    <t>Page 5; Line 27</t>
  </si>
  <si>
    <t>Line 35 x Line 37</t>
  </si>
  <si>
    <t>AV-1A; Line17</t>
  </si>
  <si>
    <t>Page 5; Line 32</t>
  </si>
  <si>
    <t>Page 6; Line 32</t>
  </si>
  <si>
    <t>Placeholder for New Unfunded Reserve</t>
  </si>
  <si>
    <t>TO6-Cycle 1 True-Up Adjustment</t>
  </si>
  <si>
    <t>AF-4; Line 1; Col. c</t>
  </si>
  <si>
    <t>ADIT Adjustment - Annual Fixed Charge Rate (AFCR)</t>
  </si>
  <si>
    <t>Statement AF; Line 15</t>
  </si>
  <si>
    <r>
      <t xml:space="preserve">In-house fire brigade costs </t>
    </r>
    <r>
      <rPr>
        <b/>
        <vertAlign val="superscript"/>
        <sz val="12"/>
        <rFont val="Times New Roman"/>
        <family val="1"/>
      </rPr>
      <t>1</t>
    </r>
  </si>
  <si>
    <r>
      <t xml:space="preserve">In-house fire brigade costs </t>
    </r>
    <r>
      <rPr>
        <b/>
        <vertAlign val="superscript"/>
        <sz val="12"/>
        <rFont val="Times New Roman"/>
        <family val="1"/>
      </rPr>
      <t>2</t>
    </r>
  </si>
  <si>
    <t>Represents the current Franchise Fees and Uncollectible (FF&amp;U) expense rates that will be updated once SDG&amp;E's General Rate Case (GRC) is approved.</t>
  </si>
  <si>
    <t>Represents the current Franchise Fees expense rates that will be updated once SDG&amp;E's General Rate Case (GRC) is approved.</t>
  </si>
  <si>
    <r>
      <t xml:space="preserve">E. Total (PYRR </t>
    </r>
    <r>
      <rPr>
        <b/>
        <u/>
        <vertAlign val="subscript"/>
        <sz val="12"/>
        <rFont val="Times New Roman"/>
        <family val="1"/>
      </rPr>
      <t>EU</t>
    </r>
    <r>
      <rPr>
        <b/>
        <u/>
        <sz val="12"/>
        <rFont val="Times New Roman"/>
        <family val="1"/>
      </rPr>
      <t>) Excluding FF&amp;U</t>
    </r>
    <r>
      <rPr>
        <b/>
        <sz val="12"/>
        <rFont val="Times New Roman"/>
        <family val="1"/>
      </rPr>
      <t xml:space="preserve"> </t>
    </r>
    <r>
      <rPr>
        <b/>
        <vertAlign val="superscript"/>
        <sz val="12"/>
        <rFont val="Times New Roman"/>
        <family val="1"/>
      </rPr>
      <t>4</t>
    </r>
  </si>
  <si>
    <r>
      <t xml:space="preserve">Cost of Capital Rate </t>
    </r>
    <r>
      <rPr>
        <vertAlign val="subscript"/>
        <sz val="12"/>
        <rFont val="Times New Roman"/>
        <family val="1"/>
      </rPr>
      <t>(COCR)</t>
    </r>
    <r>
      <rPr>
        <sz val="12"/>
        <rFont val="Times New Roman"/>
        <family val="1"/>
      </rPr>
      <t xml:space="preserve"> </t>
    </r>
    <r>
      <rPr>
        <b/>
        <vertAlign val="superscript"/>
        <sz val="12"/>
        <rFont val="Times New Roman"/>
        <family val="1"/>
      </rPr>
      <t>1</t>
    </r>
  </si>
  <si>
    <r>
      <t xml:space="preserve">Incentive Annual Fix Charge Rate (AFCR </t>
    </r>
    <r>
      <rPr>
        <vertAlign val="subscript"/>
        <sz val="12"/>
        <rFont val="Times New Roman"/>
        <family val="1"/>
      </rPr>
      <t>EU-IR-ROE</t>
    </r>
    <r>
      <rPr>
        <sz val="12"/>
        <rFont val="Times New Roman"/>
        <family val="1"/>
      </rPr>
      <t xml:space="preserve">) </t>
    </r>
    <r>
      <rPr>
        <b/>
        <vertAlign val="superscript"/>
        <sz val="12"/>
        <rFont val="Times New Roman"/>
        <family val="1"/>
      </rPr>
      <t>2</t>
    </r>
  </si>
  <si>
    <t xml:space="preserve">Transmission Rate Base Excluding ADIT Adjustment </t>
  </si>
  <si>
    <t>Transmission Rate Base Excluding ADIT Adjustment</t>
  </si>
  <si>
    <r>
      <t xml:space="preserve">E. Total Wholesale BTRR </t>
    </r>
    <r>
      <rPr>
        <b/>
        <u/>
        <vertAlign val="subscript"/>
        <sz val="12"/>
        <rFont val="Times New Roman"/>
        <family val="1"/>
      </rPr>
      <t>CAISO</t>
    </r>
    <r>
      <rPr>
        <b/>
        <u/>
        <sz val="12"/>
        <rFont val="Times New Roman"/>
        <family val="1"/>
      </rPr>
      <t xml:space="preserve"> With Franchise Fees </t>
    </r>
    <r>
      <rPr>
        <b/>
        <u/>
        <vertAlign val="superscript"/>
        <sz val="12"/>
        <rFont val="Times New Roman"/>
        <family val="1"/>
      </rPr>
      <t>4</t>
    </r>
  </si>
  <si>
    <t>Statement AK; Line 12</t>
  </si>
  <si>
    <t xml:space="preserve">Represents 2023 O&amp;M expenses for in-house fire brigade costs transferred to A&amp;G FERC account 923, Outside Services Employed per FERC Order in SDG&amp;E's TO5 Cycle 6 </t>
  </si>
  <si>
    <t>(ER24-524).</t>
  </si>
  <si>
    <t>Negative of AH-2; Line 16; Col. B + AH-2; Line 28; Col. A</t>
  </si>
  <si>
    <t>Negative of AH-2; Line 28; Col. a</t>
  </si>
  <si>
    <t>Statement AK; Line 5</t>
  </si>
  <si>
    <t>The revenues attributed to Transmission Plant Abandoned Projects and Transmission Construction  Work in Progress (CWIP) incentives are derived using the regular Cost of Capital Rate.</t>
  </si>
  <si>
    <t>For the Forecast Period January 1, 2024 - December 31, 2025</t>
  </si>
  <si>
    <t xml:space="preserve">ADIT attributed to Excess or Deficient reserves from the remeasurement of ADIT from a tax rate change and Deferred Tax Liabilities from Bonus Depreciation are excluded from the derivation of the </t>
  </si>
  <si>
    <t xml:space="preserve">Annual Fixed Charge Rate ("AFCR") since they are not pertinent to future transmission plant additions. </t>
  </si>
  <si>
    <r>
      <t xml:space="preserve">E. Cost of Capital Rate </t>
    </r>
    <r>
      <rPr>
        <u/>
        <vertAlign val="subscript"/>
        <sz val="12"/>
        <rFont val="Times New Roman"/>
        <family val="1"/>
      </rPr>
      <t xml:space="preserve">(COCR) - </t>
    </r>
    <r>
      <rPr>
        <u/>
        <sz val="12"/>
        <rFont val="Times New Roman"/>
        <family val="1"/>
      </rPr>
      <t>Base ROE:</t>
    </r>
  </si>
  <si>
    <t>Line 48 Above</t>
  </si>
  <si>
    <t>Line 49 Above</t>
  </si>
  <si>
    <t>Line 52 Above</t>
  </si>
  <si>
    <t>Line 52 + Line 65</t>
  </si>
  <si>
    <t>Line 49 x Line 52</t>
  </si>
  <si>
    <t>Line 49 x Line 65</t>
  </si>
  <si>
    <t>Line 70 + Line 71</t>
  </si>
  <si>
    <t>Line 68 + Line 74</t>
  </si>
  <si>
    <r>
      <t xml:space="preserve">Incentive Cost of Capital Rate </t>
    </r>
    <r>
      <rPr>
        <u/>
        <vertAlign val="subscript"/>
        <sz val="12"/>
        <rFont val="Times New Roman"/>
        <family val="1"/>
      </rPr>
      <t>(ICOCR)</t>
    </r>
    <r>
      <rPr>
        <u/>
        <sz val="12"/>
        <rFont val="Times New Roman"/>
        <family val="1"/>
      </rPr>
      <t xml:space="preserve"> Calculation  - Base ROE: </t>
    </r>
    <r>
      <rPr>
        <b/>
        <u/>
        <vertAlign val="superscript"/>
        <sz val="12"/>
        <rFont val="Times New Roman"/>
        <family val="1"/>
      </rPr>
      <t>1</t>
    </r>
  </si>
  <si>
    <t>Page 3; Line 50</t>
  </si>
  <si>
    <t>Page 3; Line 63</t>
  </si>
  <si>
    <t>Line 49 x Line 74</t>
  </si>
  <si>
    <t>Statement AV; Page 3; Line 38</t>
  </si>
  <si>
    <t>Line 52+ Line 65</t>
  </si>
  <si>
    <t>Statement AV; Page 3; Line 78</t>
  </si>
  <si>
    <t>Line 15  + Line 19+ Line 23 + (Sum Lines 25 thru 28)</t>
  </si>
  <si>
    <t>Statement AV; Page 4; Line 38</t>
  </si>
  <si>
    <t>Line 1 + Line 5 +Line 9</t>
  </si>
  <si>
    <r>
      <t xml:space="preserve">Cost of Capital Rate </t>
    </r>
    <r>
      <rPr>
        <vertAlign val="subscript"/>
        <sz val="12"/>
        <rFont val="Times New Roman"/>
        <family val="1"/>
      </rPr>
      <t>(COCR)</t>
    </r>
    <r>
      <rPr>
        <sz val="12"/>
        <rFont val="Times New Roman"/>
        <family val="1"/>
      </rPr>
      <t xml:space="preserve"> </t>
    </r>
    <r>
      <rPr>
        <b/>
        <vertAlign val="superscript"/>
        <sz val="12"/>
        <rFont val="Times New Roman"/>
        <family val="1"/>
      </rPr>
      <t>3</t>
    </r>
    <r>
      <rPr>
        <sz val="12"/>
        <rFont val="Times New Roman"/>
        <family val="1"/>
      </rPr>
      <t xml:space="preserve"> - Base ROE</t>
    </r>
  </si>
  <si>
    <t>Page 1; Line 19 + Line 23</t>
  </si>
  <si>
    <t>The regular Cost of Capital Rate is used for calculation purposes.</t>
  </si>
  <si>
    <t xml:space="preserve">     Incentive Transmission Forecast CWIP Projects Revenue Requirements - CAISO Participation ROE Adder</t>
  </si>
  <si>
    <t xml:space="preserve">     Total Incentive Transmission Forecast CWIP Projects Revenue Requirements</t>
  </si>
  <si>
    <t>Line 41 x Line 43</t>
  </si>
  <si>
    <t>Line 39 + Line 45</t>
  </si>
  <si>
    <t>Line 26 x Line 32</t>
  </si>
  <si>
    <t>Statement AV; Page 4; Line 78</t>
  </si>
  <si>
    <t>The Incentive Cost of Capital Rate calculation will be tracked and shown separately for each project. As a result, lines 1 through 78 will be repeated for each project.</t>
  </si>
  <si>
    <t>Page 1; Line 30</t>
  </si>
  <si>
    <t>Page 2; Line 37</t>
  </si>
  <si>
    <t>Page 6; Line 47</t>
  </si>
  <si>
    <t>ANNUAL FIXED CHARGE RATE - ADIT ADJUSTMENT</t>
  </si>
  <si>
    <r>
      <t xml:space="preserve">E. Cost of Capital Rate </t>
    </r>
    <r>
      <rPr>
        <u/>
        <vertAlign val="subscript"/>
        <sz val="12"/>
        <rFont val="Times New Roman"/>
        <family val="1"/>
      </rPr>
      <t>(COCR)</t>
    </r>
    <r>
      <rPr>
        <u/>
        <sz val="12"/>
        <rFont val="Times New Roman"/>
        <family val="1"/>
      </rPr>
      <t xml:space="preserve"> - CAISO Participation ROE Adder</t>
    </r>
  </si>
  <si>
    <t>D. Total Weighted Cost of Common Equity - CAISO Participation ROE Adder</t>
  </si>
  <si>
    <t>Page 2; Line 9; Col. d</t>
  </si>
  <si>
    <t>Positive of Page 3; Line 16</t>
  </si>
  <si>
    <t xml:space="preserve">Page 4; Line 20 </t>
  </si>
  <si>
    <t>Negative of Page 1; Line 25</t>
  </si>
  <si>
    <t>Negative of Page 1; Line 28</t>
  </si>
  <si>
    <t>Page 1; Line 30 + Page 2; Line 11</t>
  </si>
  <si>
    <r>
      <t xml:space="preserve">   Others (TBD) </t>
    </r>
    <r>
      <rPr>
        <b/>
        <vertAlign val="superscript"/>
        <sz val="12"/>
        <rFont val="Times New Roman"/>
        <family val="1"/>
      </rPr>
      <t>5</t>
    </r>
  </si>
  <si>
    <t>TBD</t>
  </si>
  <si>
    <t>SDG&amp;E will adjust the supporting workpaper for any future events that impacts ADIT.</t>
  </si>
  <si>
    <t>rates shown on line 33 pursuant to Term 54 in Appendix VIII.</t>
  </si>
  <si>
    <t xml:space="preserve">Page 3; Line 27 </t>
  </si>
  <si>
    <t>Sum Lines 25 thru 28</t>
  </si>
  <si>
    <t>State Wildfire Fund Total Contributions (after-tax)</t>
  </si>
  <si>
    <t>2007 WEMA Write-off (after-tax)</t>
  </si>
  <si>
    <t>Less: Injuries and Damages (Due to different allocation factor)</t>
  </si>
  <si>
    <t>Negative of AH-2; Line 6; Col. c</t>
  </si>
  <si>
    <t>Line 15 x Line 16</t>
  </si>
  <si>
    <t xml:space="preserve">Injuries &amp; Damages -  Cost Recovery </t>
  </si>
  <si>
    <t>Sum Lines 17 thru 19</t>
  </si>
  <si>
    <t>Statement AH; Line 20</t>
  </si>
  <si>
    <t>Statement AH; Line 39</t>
  </si>
  <si>
    <t>Page 1; Line 42; Col. d</t>
  </si>
  <si>
    <t>Sum Lines 52 thru 54</t>
  </si>
  <si>
    <t>Sum Lines 25 thru 30</t>
  </si>
  <si>
    <t>Line 40 + Line 41; Col. d</t>
  </si>
  <si>
    <t>Col. c = Line 34 Above</t>
  </si>
  <si>
    <t>Sum Lines 39 thru 41</t>
  </si>
  <si>
    <t>Col. c = Line 47 Above</t>
  </si>
  <si>
    <t>Line 54; Col. d</t>
  </si>
  <si>
    <t>Page 1; Line 44</t>
  </si>
  <si>
    <t>Page 1; Line 57</t>
  </si>
  <si>
    <t>Page 1; Line 55; Col. d</t>
  </si>
  <si>
    <t>Sum Lines 23 thru 26</t>
  </si>
  <si>
    <t>Line 23 Above</t>
  </si>
  <si>
    <t>Sum Lines 29 thru 36</t>
  </si>
  <si>
    <t>Line 27 / Line 37</t>
  </si>
  <si>
    <r>
      <t xml:space="preserve">     CPUC Intervenor Funding Expense Revenue Adj. - Base ROE </t>
    </r>
    <r>
      <rPr>
        <b/>
        <vertAlign val="superscript"/>
        <sz val="12"/>
        <rFont val="Times New Roman"/>
        <family val="1"/>
      </rPr>
      <t>2</t>
    </r>
  </si>
  <si>
    <r>
      <t xml:space="preserve">     CPUC Intervenor Funding Expense Revenue Adj. - CAISO Participation ROE Adder </t>
    </r>
    <r>
      <rPr>
        <b/>
        <vertAlign val="superscript"/>
        <sz val="12"/>
        <rFont val="Times New Roman"/>
        <family val="1"/>
      </rPr>
      <t>2</t>
    </r>
  </si>
  <si>
    <t>Less: CPUC Intervenor Funding Expense Revenue Adjustment - Base ROE</t>
  </si>
  <si>
    <t>Less: CPUC Intervenor Funding Expense Revenue Adjustment - CAISO Participation ROE Adder</t>
  </si>
  <si>
    <t>Negative of Statement AL; Line 34</t>
  </si>
  <si>
    <t>Col. a = Line 13 - Line 23</t>
  </si>
  <si>
    <t>Col. b and c = Line 18 x (Line 19; Col. a)</t>
  </si>
  <si>
    <t>Col. b and c = Line 22 x (Line 23; Col. a)</t>
  </si>
  <si>
    <t>Line 19 + Line 23</t>
  </si>
  <si>
    <t>Line 27 x Franchise Fee Rate</t>
  </si>
  <si>
    <t>Line 27 + Line 28</t>
  </si>
  <si>
    <t>Col. b and c = Line 18 x (Line 31; Col. a)</t>
  </si>
  <si>
    <t>Line 29 + Line 31</t>
  </si>
  <si>
    <t>Adjustments to Per Book Transmission O&amp;M Expense:</t>
  </si>
  <si>
    <r>
      <rPr>
        <sz val="12"/>
        <color rgb="FFFF0000"/>
        <rFont val="Times New Roman"/>
        <family val="1"/>
      </rPr>
      <t xml:space="preserve">   </t>
    </r>
    <r>
      <rPr>
        <sz val="12"/>
        <rFont val="Times New Roman"/>
        <family val="1"/>
      </rPr>
      <t>Scheduling, System Control &amp; Dispatch Services</t>
    </r>
  </si>
  <si>
    <t>Negative of AH-1; Line 38; Col. b</t>
  </si>
  <si>
    <r>
      <rPr>
        <sz val="12"/>
        <color rgb="FFFF0000"/>
        <rFont val="Times New Roman"/>
        <family val="1"/>
      </rPr>
      <t xml:space="preserve">   </t>
    </r>
    <r>
      <rPr>
        <sz val="12"/>
        <rFont val="Times New Roman"/>
        <family val="1"/>
      </rPr>
      <t>Reliability, Planning &amp; Standards Development</t>
    </r>
  </si>
  <si>
    <t>Negative of AH-1; Line 39; Col. b</t>
  </si>
  <si>
    <r>
      <rPr>
        <sz val="12"/>
        <color rgb="FFFF0000"/>
        <rFont val="Times New Roman"/>
        <family val="1"/>
      </rPr>
      <t xml:space="preserve">   </t>
    </r>
    <r>
      <rPr>
        <sz val="12"/>
        <rFont val="Times New Roman"/>
        <family val="1"/>
      </rPr>
      <t>Transmission of Electricity by Others</t>
    </r>
  </si>
  <si>
    <t>Negative of AH-1; Line 40; Col. b</t>
  </si>
  <si>
    <r>
      <rPr>
        <sz val="12"/>
        <color rgb="FFFF0000"/>
        <rFont val="Times New Roman"/>
        <family val="1"/>
      </rPr>
      <t xml:space="preserve">   </t>
    </r>
    <r>
      <rPr>
        <sz val="12"/>
        <rFont val="Times New Roman"/>
        <family val="1"/>
      </rPr>
      <t xml:space="preserve">Miscellaneous Transmission Expense </t>
    </r>
  </si>
  <si>
    <t>Negative of AH-1; Line 46; Col. b</t>
  </si>
  <si>
    <t xml:space="preserve">   Other Transmission O&amp;M Exclusion Adjustments </t>
  </si>
  <si>
    <t>Negative of AH-1; Line 37; Col. b</t>
  </si>
  <si>
    <t>Sum Lines 2 thru 8</t>
  </si>
  <si>
    <t>Adjustments to Per Book A&amp;G Expense:</t>
  </si>
  <si>
    <t xml:space="preserve"> Abandoned Projects</t>
  </si>
  <si>
    <t xml:space="preserve">   CPUC energy efficiency programs</t>
  </si>
  <si>
    <r>
      <t xml:space="preserve">   CPUC Intervenor Funding Expense - Transmission </t>
    </r>
    <r>
      <rPr>
        <b/>
        <vertAlign val="superscript"/>
        <sz val="12"/>
        <rFont val="Times New Roman"/>
        <family val="1"/>
      </rPr>
      <t>1</t>
    </r>
  </si>
  <si>
    <t xml:space="preserve">   CPUC Intervenor Funding Expense - Distribution</t>
  </si>
  <si>
    <t xml:space="preserve">   CPUC reimbursement fees</t>
  </si>
  <si>
    <t xml:space="preserve">   Injuries &amp; Damages</t>
  </si>
  <si>
    <t xml:space="preserve">   General Advertising Expenses </t>
  </si>
  <si>
    <t xml:space="preserve">   Franchise Requirements</t>
  </si>
  <si>
    <t xml:space="preserve">   Hazardous substances - Hazardous Substance Cleanup Cost Account</t>
  </si>
  <si>
    <t xml:space="preserve">   Litigation expenses - Litigation Cost Memorandum Account (LCMA)</t>
  </si>
  <si>
    <t xml:space="preserve">   Other A&amp;G Exclusion Adjustments</t>
  </si>
  <si>
    <t>Sum Lines 12 thru 24</t>
  </si>
  <si>
    <t>Line 25 + Line 26</t>
  </si>
  <si>
    <t>Negative of Line 26 x Line 50</t>
  </si>
  <si>
    <t>Line 29 + Line 30</t>
  </si>
  <si>
    <t>Sum Lines 34 thru 37</t>
  </si>
  <si>
    <t>Line 34 Above</t>
  </si>
  <si>
    <t>Sum Lines 40 thru 47</t>
  </si>
  <si>
    <t>Line 38 / Line 48</t>
  </si>
  <si>
    <t>Electric Power Research Institute (EPRI) Dues</t>
  </si>
  <si>
    <r>
      <t xml:space="preserve">In-house fire brigade costs </t>
    </r>
    <r>
      <rPr>
        <vertAlign val="superscript"/>
        <sz val="12"/>
        <rFont val="Times New Roman"/>
        <family val="1"/>
      </rPr>
      <t>2</t>
    </r>
  </si>
  <si>
    <t>True-Up AH-2; Line 16; Col. a</t>
  </si>
  <si>
    <t>Negative of True-Up AH-2; Line 33; Col. a</t>
  </si>
  <si>
    <t>Negative of True-Up AH-2; Sum Lines (22, 28); Col. a ; and Line 24; Col. b</t>
  </si>
  <si>
    <t>Negative of True-Up AH-2; Line 29; Col. a</t>
  </si>
  <si>
    <t>Negative of True-Up AH-2; Line 30; Col. a</t>
  </si>
  <si>
    <t>Negative of True-Up AH-2; Line 26; Col. a</t>
  </si>
  <si>
    <t>Negative of True-Up AH-2; Line 32; Col. b</t>
  </si>
  <si>
    <t>Negative of True-Up AH-2; Line 25; Col. b</t>
  </si>
  <si>
    <t>Negative of True-Up AH-2; Line 35; Col. b</t>
  </si>
  <si>
    <t>Negative of True-Up AH-2; Line 27; Col. a</t>
  </si>
  <si>
    <t>Negative of True-Up AH-2; Sum Lines (23, 34); Col. a; and Sum Lines (20, 21, 31); Col. b</t>
  </si>
  <si>
    <t>Negative of True-Up AH-2; Line 5; Col. c</t>
  </si>
  <si>
    <r>
      <t xml:space="preserve">Cost of Capital Rate </t>
    </r>
    <r>
      <rPr>
        <vertAlign val="subscript"/>
        <sz val="12"/>
        <rFont val="Times New Roman"/>
        <family val="1"/>
      </rPr>
      <t>(COCR)</t>
    </r>
    <r>
      <rPr>
        <sz val="12"/>
        <rFont val="Times New Roman"/>
        <family val="1"/>
      </rPr>
      <t xml:space="preserve"> - Base ROE:</t>
    </r>
  </si>
  <si>
    <r>
      <t xml:space="preserve">     CPUC Intervenor Funding Expense Revenue Adj. - Base ROE </t>
    </r>
    <r>
      <rPr>
        <vertAlign val="superscript"/>
        <sz val="12"/>
        <rFont val="Times New Roman"/>
        <family val="1"/>
      </rPr>
      <t>2</t>
    </r>
  </si>
  <si>
    <r>
      <t xml:space="preserve">Cost of Capital Rate </t>
    </r>
    <r>
      <rPr>
        <vertAlign val="subscript"/>
        <sz val="12"/>
        <rFont val="Times New Roman"/>
        <family val="1"/>
      </rPr>
      <t>(COCR)</t>
    </r>
    <r>
      <rPr>
        <sz val="12"/>
        <rFont val="Times New Roman"/>
        <family val="1"/>
      </rPr>
      <t xml:space="preserve"> - CAISO Participation ROE Adder:</t>
    </r>
  </si>
  <si>
    <r>
      <t xml:space="preserve">     CPUC Intervenor Funding Expense Revenue Adj. - CAISO Participation ROE Adder </t>
    </r>
    <r>
      <rPr>
        <vertAlign val="superscript"/>
        <sz val="12"/>
        <rFont val="Times New Roman"/>
        <family val="1"/>
      </rPr>
      <t>2</t>
    </r>
  </si>
  <si>
    <t>True-Up Stmt AH; Line 9</t>
  </si>
  <si>
    <t>True-Up Stmt AH; Line 31</t>
  </si>
  <si>
    <t>True-Up Negative of Stmt AH; Line 16</t>
  </si>
  <si>
    <t>True-Up Stmt AL; Line 5</t>
  </si>
  <si>
    <t>True-Up Stmt AL; Line 9</t>
  </si>
  <si>
    <t>True-Up Stmt AL; Line 19</t>
  </si>
  <si>
    <t>Base Period 12 Months Ending December 31, 2023</t>
  </si>
  <si>
    <t>Injuries and Damages</t>
  </si>
  <si>
    <t xml:space="preserve">   Injuries and Damages - Acct. 228</t>
  </si>
  <si>
    <t xml:space="preserve">     Total Injuries and Damages</t>
  </si>
  <si>
    <t>True-Up Misc.-1.1; Line 4</t>
  </si>
  <si>
    <t>True-Up Misc.-1.1; Line 9</t>
  </si>
  <si>
    <t>True-Up Misc.-1.1; Line 14</t>
  </si>
  <si>
    <t>True-Up Misc.-1.1; Line 19</t>
  </si>
  <si>
    <t>True-Up Misc.-1; Line 9; Col. c</t>
  </si>
  <si>
    <t>True-Up Stmt Misc; Line 5</t>
  </si>
  <si>
    <t>True-Up Stmt Misc; Line 7</t>
  </si>
  <si>
    <t>Negative of True-Up Stmt AH; Line 16</t>
  </si>
  <si>
    <t>Negative of Line 13 x Line 39</t>
  </si>
  <si>
    <t>Transmission Wages and Plant Blended Allocation Factor</t>
  </si>
  <si>
    <t xml:space="preserve"> ((Line 16 x 0.5) + (Stmt AD; Line 35 x 0.5))</t>
  </si>
  <si>
    <t>Negative of Line 14 x Line 41</t>
  </si>
  <si>
    <t>Misc.-1; Line 11; Col. c</t>
  </si>
  <si>
    <t>Line 22 x Line 23</t>
  </si>
  <si>
    <t>Misc.-1.1; Line 23</t>
  </si>
  <si>
    <t>Sum Lines 1 thru 9</t>
  </si>
  <si>
    <t>Less: Electric Power Research Institute (EPRI) Dues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</si>
</sst>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2">
    <numFmt numFmtId="5" formatCode="&quot;$&quot;#,##0_);\(&quot;$&quot;#,##0\)"/>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409]d\-mmm\-yy;@"/>
    <numFmt numFmtId="165" formatCode="_(&quot;$&quot;* #,##0_);_(&quot;$&quot;* \(#,##0\);_(&quot;$&quot;* &quot;-&quot;??_);_(@_)"/>
    <numFmt numFmtId="166" formatCode="_(* #,##0_);_(* \(#,##0\);_(* &quot;-&quot;??_);_(@_)"/>
    <numFmt numFmtId="167" formatCode="0.0000%"/>
    <numFmt numFmtId="168" formatCode="_(* #,##0.0_);_(* \(#,##0.0\);_(* &quot;-&quot;??_);_(@_)"/>
    <numFmt numFmtId="169" formatCode="0.000%"/>
    <numFmt numFmtId="170" formatCode="0.0"/>
    <numFmt numFmtId="171" formatCode="_(* #,##0.000_);_(* \(#,##0.000\);_(* &quot;-&quot;??_);_(@_)"/>
    <numFmt numFmtId="172" formatCode="mmmm\-yy"/>
    <numFmt numFmtId="173" formatCode="_(&quot;$&quot;* #,##0.0_);_(&quot;$&quot;* \(#,##0.0\);_(&quot;$&quot;* &quot;-&quot;??_);_(@_)"/>
    <numFmt numFmtId="174" formatCode="#,##0.0_);\(#,##0.0\)"/>
    <numFmt numFmtId="175" formatCode="[$-409]mmmm\-yy;@"/>
    <numFmt numFmtId="176" formatCode="_(* #,##0.0000_);_(* \(#,##0.0000\);_(* &quot;-&quot;??_);_(@_)"/>
    <numFmt numFmtId="177" formatCode="0.00000"/>
    <numFmt numFmtId="178" formatCode="0.0000"/>
    <numFmt numFmtId="179" formatCode="0\ \ "/>
    <numFmt numFmtId="180" formatCode="#,##0\ \ \ \ \ \ \ "/>
    <numFmt numFmtId="181" formatCode="[$-409]mmm\-yy;@"/>
    <numFmt numFmtId="182" formatCode="0.000000"/>
    <numFmt numFmtId="183" formatCode="0_);\(0\)"/>
    <numFmt numFmtId="184" formatCode="&quot;$&quot;#,##0"/>
    <numFmt numFmtId="185" formatCode="0.0%"/>
    <numFmt numFmtId="186" formatCode="&quot;$&quot;#,##0,_);[Red]\(&quot;$&quot;#,##0,\)"/>
    <numFmt numFmtId="187" formatCode="_(&quot;$&quot;* #,##0,_);_(&quot;$&quot;* \(#,##0,\);_(&quot;$&quot;* &quot;-&quot;??_);_(@_)"/>
    <numFmt numFmtId="188" formatCode="_(&quot;$&quot;* #,##0.0000000_);_(&quot;$&quot;* \(#,##0.0000000\);_(&quot;$&quot;* &quot;-&quot;??_);_(@_)"/>
    <numFmt numFmtId="189" formatCode="#,##0.0000_);\(#,##0.0000\)"/>
    <numFmt numFmtId="190" formatCode="&quot;$&quot;#,##0.00"/>
    <numFmt numFmtId="191" formatCode="0.00000000000000000%"/>
    <numFmt numFmtId="192" formatCode="_(* #,##0.0000000_);_(* \(#,##0.0000000\);_(* &quot;-&quot;???????_);_(@_)"/>
    <numFmt numFmtId="193" formatCode="0.000"/>
    <numFmt numFmtId="194" formatCode="_(* #,##0.0000_);_(* \(#,##0.0000\);_(* &quot;-&quot;_);_(@_)"/>
    <numFmt numFmtId="195" formatCode="0.0000000000"/>
    <numFmt numFmtId="196" formatCode="0.000000000000000%"/>
    <numFmt numFmtId="197" formatCode="&quot;$&quot;#,##0.000,_);[Red]\(&quot;$&quot;#,##0.000,\)"/>
    <numFmt numFmtId="198" formatCode="00000"/>
    <numFmt numFmtId="199" formatCode="0.00000000%"/>
  </numFmts>
  <fonts count="63" x14ac:knownFonts="1">
    <font>
      <sz val="11"/>
      <color theme="1"/>
      <name val="Calibri"/>
      <family val="2"/>
      <scheme val="minor"/>
    </font>
    <font>
      <b/>
      <sz val="11"/>
      <color theme="1"/>
      <name val="Calibri"/>
      <family val="2"/>
      <scheme val="minor"/>
    </font>
    <font>
      <sz val="12"/>
      <name val="Times New Roman"/>
      <family val="1"/>
    </font>
    <font>
      <b/>
      <sz val="12"/>
      <name val="Times New Roman"/>
      <family val="1"/>
    </font>
    <font>
      <b/>
      <sz val="12"/>
      <color rgb="FFFF0000"/>
      <name val="Times New Roman"/>
      <family val="1"/>
    </font>
    <font>
      <u/>
      <sz val="12"/>
      <name val="Times New Roman"/>
      <family val="1"/>
    </font>
    <font>
      <b/>
      <vertAlign val="superscript"/>
      <sz val="12"/>
      <name val="Times New Roman"/>
      <family val="1"/>
    </font>
    <font>
      <b/>
      <sz val="12"/>
      <name val="Calibri"/>
      <family val="2"/>
    </font>
    <font>
      <b/>
      <u/>
      <sz val="12"/>
      <name val="Times New Roman"/>
      <family val="1"/>
    </font>
    <font>
      <sz val="12"/>
      <color indexed="12"/>
      <name val="Times New Roman"/>
      <family val="1"/>
    </font>
    <font>
      <vertAlign val="superscript"/>
      <sz val="12"/>
      <name val="Times New Roman"/>
      <family val="1"/>
    </font>
    <font>
      <sz val="10"/>
      <name val="Times New Roman"/>
      <family val="1"/>
    </font>
    <font>
      <sz val="12"/>
      <color indexed="10"/>
      <name val="Times New Roman"/>
      <family val="1"/>
    </font>
    <font>
      <b/>
      <i/>
      <u/>
      <sz val="12"/>
      <name val="Times New Roman"/>
      <family val="1"/>
    </font>
    <font>
      <i/>
      <sz val="12"/>
      <name val="Times New Roman"/>
      <family val="1"/>
    </font>
    <font>
      <vertAlign val="subscript"/>
      <sz val="12"/>
      <name val="Times New Roman"/>
      <family val="1"/>
    </font>
    <font>
      <sz val="12"/>
      <color theme="1"/>
      <name val="Times New Roman"/>
      <family val="1"/>
    </font>
    <font>
      <u/>
      <vertAlign val="subscript"/>
      <sz val="12"/>
      <name val="Times New Roman"/>
      <family val="1"/>
    </font>
    <font>
      <b/>
      <sz val="12"/>
      <color theme="1"/>
      <name val="Times New Roman"/>
      <family val="1"/>
    </font>
    <font>
      <b/>
      <vertAlign val="superscript"/>
      <sz val="12"/>
      <color theme="1"/>
      <name val="Times New Roman"/>
      <family val="1"/>
    </font>
    <font>
      <b/>
      <vertAlign val="subscript"/>
      <sz val="12"/>
      <name val="Times New Roman"/>
      <family val="1"/>
    </font>
    <font>
      <b/>
      <u/>
      <vertAlign val="subscript"/>
      <sz val="12"/>
      <name val="Times New Roman"/>
      <family val="1"/>
    </font>
    <font>
      <sz val="12"/>
      <color rgb="FFFF0000"/>
      <name val="Times New Roman"/>
      <family val="1"/>
    </font>
    <font>
      <strike/>
      <sz val="12"/>
      <color rgb="FFFF0000"/>
      <name val="Times New Roman"/>
      <family val="1"/>
    </font>
    <font>
      <b/>
      <i/>
      <sz val="12"/>
      <name val="Times New Roman"/>
      <family val="1"/>
    </font>
    <font>
      <strike/>
      <sz val="12"/>
      <name val="Times New Roman"/>
      <family val="1"/>
    </font>
    <font>
      <i/>
      <sz val="10"/>
      <name val="Times New Roman"/>
      <family val="1"/>
    </font>
    <font>
      <sz val="12"/>
      <color rgb="FFFF00FF"/>
      <name val="Times New Roman"/>
      <family val="1"/>
    </font>
    <font>
      <b/>
      <u/>
      <sz val="12"/>
      <color theme="1"/>
      <name val="Times New Roman"/>
      <family val="1"/>
    </font>
    <font>
      <sz val="12"/>
      <color theme="0"/>
      <name val="Times New Roman"/>
      <family val="1"/>
    </font>
    <font>
      <b/>
      <strike/>
      <sz val="12"/>
      <name val="Times New Roman"/>
      <family val="1"/>
    </font>
    <font>
      <b/>
      <sz val="12"/>
      <color rgb="FFFF00FF"/>
      <name val="Times New Roman"/>
      <family val="1"/>
    </font>
    <font>
      <sz val="12"/>
      <color rgb="FF222222"/>
      <name val="Times New Roman"/>
      <family val="1"/>
    </font>
    <font>
      <sz val="12"/>
      <color rgb="FF0070C0"/>
      <name val="Times New Roman"/>
      <family val="1"/>
    </font>
    <font>
      <sz val="11"/>
      <color theme="1"/>
      <name val="Times New Roman"/>
      <family val="1"/>
    </font>
    <font>
      <b/>
      <u/>
      <vertAlign val="superscript"/>
      <sz val="12"/>
      <name val="Times New Roman"/>
      <family val="1"/>
    </font>
    <font>
      <sz val="11"/>
      <name val="Calibri"/>
      <family val="2"/>
      <scheme val="minor"/>
    </font>
    <font>
      <b/>
      <sz val="12"/>
      <color rgb="FFFF0000"/>
      <name val="Calibri"/>
      <family val="2"/>
      <scheme val="minor"/>
    </font>
    <font>
      <b/>
      <sz val="10"/>
      <color theme="1"/>
      <name val="Times New Roman"/>
      <family val="1"/>
    </font>
    <font>
      <sz val="10"/>
      <color theme="1"/>
      <name val="Calibri"/>
      <family val="2"/>
      <scheme val="minor"/>
    </font>
    <font>
      <b/>
      <sz val="10"/>
      <name val="Times New Roman"/>
      <family val="1"/>
    </font>
    <font>
      <sz val="10"/>
      <color theme="1"/>
      <name val="Times New Roman"/>
      <family val="1"/>
    </font>
    <font>
      <b/>
      <u/>
      <sz val="10"/>
      <color theme="1"/>
      <name val="Times New Roman"/>
      <family val="1"/>
    </font>
    <font>
      <b/>
      <i/>
      <u/>
      <sz val="10"/>
      <color theme="1"/>
      <name val="Times New Roman"/>
      <family val="1"/>
    </font>
    <font>
      <u/>
      <sz val="10"/>
      <name val="Times New Roman"/>
      <family val="1"/>
    </font>
    <font>
      <b/>
      <i/>
      <sz val="12"/>
      <color rgb="FFFF0000"/>
      <name val="Times New Roman"/>
      <family val="1"/>
    </font>
    <font>
      <b/>
      <i/>
      <u/>
      <sz val="10"/>
      <name val="Times New Roman"/>
      <family val="1"/>
    </font>
    <font>
      <sz val="11"/>
      <name val="Times New Roman"/>
      <family val="1"/>
    </font>
    <font>
      <u val="singleAccounting"/>
      <sz val="10"/>
      <name val="Times New Roman"/>
      <family val="1"/>
    </font>
    <font>
      <b/>
      <sz val="12"/>
      <name val="Calibri"/>
      <family val="2"/>
      <scheme val="minor"/>
    </font>
    <font>
      <sz val="10"/>
      <name val="Calibri"/>
      <family val="2"/>
      <scheme val="minor"/>
    </font>
    <font>
      <b/>
      <sz val="10"/>
      <name val="Calibri"/>
      <family val="2"/>
      <scheme val="minor"/>
    </font>
    <font>
      <b/>
      <sz val="11"/>
      <name val="Calibri"/>
      <family val="2"/>
      <scheme val="minor"/>
    </font>
    <font>
      <b/>
      <u/>
      <sz val="10"/>
      <name val="Times New Roman"/>
      <family val="1"/>
    </font>
    <font>
      <sz val="10"/>
      <name val="Times New Roman"/>
      <family val="2"/>
    </font>
    <font>
      <sz val="10"/>
      <name val="Calibri"/>
      <family val="2"/>
    </font>
    <font>
      <sz val="8"/>
      <name val="Calibri"/>
      <family val="2"/>
      <scheme val="minor"/>
    </font>
    <font>
      <sz val="10"/>
      <color rgb="FF0000FF"/>
      <name val="Times New Roman"/>
      <family val="1"/>
    </font>
    <font>
      <sz val="11"/>
      <color theme="1"/>
      <name val="Calibri"/>
      <family val="2"/>
      <scheme val="minor"/>
    </font>
    <font>
      <sz val="10"/>
      <name val="Arial"/>
      <family val="2"/>
    </font>
    <font>
      <sz val="12"/>
      <color rgb="FF7030A0"/>
      <name val="Times New Roman"/>
      <family val="1"/>
    </font>
    <font>
      <sz val="8"/>
      <color theme="1"/>
      <name val="Times New Roman"/>
      <family val="1"/>
    </font>
    <font>
      <sz val="11"/>
      <name val="Aptos"/>
      <family val="2"/>
    </font>
  </fonts>
  <fills count="6">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
      <patternFill patternType="solid">
        <fgColor rgb="FFCCFFCC"/>
        <bgColor indexed="64"/>
      </patternFill>
    </fill>
  </fills>
  <borders count="82">
    <border>
      <left/>
      <right/>
      <top/>
      <bottom/>
      <diagonal/>
    </border>
    <border>
      <left/>
      <right/>
      <top/>
      <bottom style="double">
        <color auto="1"/>
      </bottom>
      <diagonal/>
    </border>
    <border>
      <left style="thin">
        <color auto="1"/>
      </left>
      <right/>
      <top style="thin">
        <color auto="1"/>
      </top>
      <bottom/>
      <diagonal/>
    </border>
    <border>
      <left style="thin">
        <color auto="1"/>
      </left>
      <right/>
      <top/>
      <bottom/>
      <diagonal/>
    </border>
    <border>
      <left/>
      <right style="thin">
        <color auto="1"/>
      </right>
      <top style="thin">
        <color auto="1"/>
      </top>
      <bottom/>
      <diagonal/>
    </border>
    <border>
      <left/>
      <right style="thin">
        <color auto="1"/>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diagonal/>
    </border>
    <border>
      <left style="thin">
        <color auto="1"/>
      </left>
      <right style="thin">
        <color auto="1"/>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style="thin">
        <color auto="1"/>
      </right>
      <top/>
      <bottom style="medium">
        <color auto="1"/>
      </bottom>
      <diagonal/>
    </border>
    <border>
      <left/>
      <right style="thin">
        <color auto="1"/>
      </right>
      <top/>
      <bottom style="double">
        <color auto="1"/>
      </bottom>
      <diagonal/>
    </border>
    <border>
      <left/>
      <right/>
      <top style="thin">
        <color auto="1"/>
      </top>
      <bottom style="double">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thin">
        <color auto="1"/>
      </left>
      <right/>
      <top style="medium">
        <color auto="1"/>
      </top>
      <bottom/>
      <diagonal/>
    </border>
    <border>
      <left/>
      <right style="thin">
        <color auto="1"/>
      </right>
      <top style="medium">
        <color auto="1"/>
      </top>
      <bottom/>
      <diagonal/>
    </border>
    <border>
      <left style="thin">
        <color auto="1"/>
      </left>
      <right style="thin">
        <color auto="1"/>
      </right>
      <top style="double">
        <color auto="1"/>
      </top>
      <bottom style="medium">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top style="double">
        <color auto="1"/>
      </top>
      <bottom style="medium">
        <color auto="1"/>
      </bottom>
      <diagonal/>
    </border>
    <border>
      <left style="medium">
        <color auto="1"/>
      </left>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right style="thin">
        <color auto="1"/>
      </right>
      <top style="medium">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double">
        <color indexed="64"/>
      </bottom>
      <diagonal/>
    </border>
    <border>
      <left style="medium">
        <color indexed="64"/>
      </left>
      <right style="medium">
        <color auto="1"/>
      </right>
      <top style="thin">
        <color indexed="64"/>
      </top>
      <bottom style="medium">
        <color auto="1"/>
      </bottom>
      <diagonal/>
    </border>
    <border>
      <left style="medium">
        <color indexed="64"/>
      </left>
      <right style="medium">
        <color indexed="64"/>
      </right>
      <top style="double">
        <color indexed="64"/>
      </top>
      <bottom style="medium">
        <color indexed="64"/>
      </bottom>
      <diagonal/>
    </border>
    <border>
      <left style="medium">
        <color auto="1"/>
      </left>
      <right/>
      <top style="medium">
        <color auto="1"/>
      </top>
      <bottom style="thin">
        <color indexed="64"/>
      </bottom>
      <diagonal/>
    </border>
    <border>
      <left/>
      <right/>
      <top style="medium">
        <color auto="1"/>
      </top>
      <bottom style="thin">
        <color indexed="64"/>
      </bottom>
      <diagonal/>
    </border>
    <border>
      <left/>
      <right style="medium">
        <color auto="1"/>
      </right>
      <top style="medium">
        <color auto="1"/>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medium">
        <color auto="1"/>
      </right>
      <top/>
      <bottom style="medium">
        <color indexed="64"/>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style="double">
        <color auto="1"/>
      </bottom>
      <diagonal/>
    </border>
    <border>
      <left style="medium">
        <color auto="1"/>
      </left>
      <right style="medium">
        <color auto="1"/>
      </right>
      <top style="medium">
        <color auto="1"/>
      </top>
      <bottom style="double">
        <color auto="1"/>
      </bottom>
      <diagonal/>
    </border>
    <border>
      <left/>
      <right style="medium">
        <color auto="1"/>
      </right>
      <top style="medium">
        <color auto="1"/>
      </top>
      <bottom style="double">
        <color auto="1"/>
      </bottom>
      <diagonal/>
    </border>
    <border>
      <left style="medium">
        <color auto="1"/>
      </left>
      <right style="thin">
        <color auto="1"/>
      </right>
      <top style="medium">
        <color indexed="64"/>
      </top>
      <bottom style="double">
        <color auto="1"/>
      </bottom>
      <diagonal/>
    </border>
    <border>
      <left style="thin">
        <color auto="1"/>
      </left>
      <right style="thin">
        <color auto="1"/>
      </right>
      <top style="medium">
        <color indexed="64"/>
      </top>
      <bottom style="double">
        <color auto="1"/>
      </bottom>
      <diagonal/>
    </border>
    <border>
      <left/>
      <right style="medium">
        <color auto="1"/>
      </right>
      <top/>
      <bottom style="double">
        <color auto="1"/>
      </bottom>
      <diagonal/>
    </border>
    <border>
      <left style="medium">
        <color auto="1"/>
      </left>
      <right style="thin">
        <color auto="1"/>
      </right>
      <top/>
      <bottom style="double">
        <color auto="1"/>
      </bottom>
      <diagonal/>
    </border>
    <border>
      <left style="medium">
        <color auto="1"/>
      </left>
      <right style="medium">
        <color auto="1"/>
      </right>
      <top/>
      <bottom style="medium">
        <color auto="1"/>
      </bottom>
      <diagonal/>
    </border>
    <border>
      <left style="medium">
        <color indexed="64"/>
      </left>
      <right style="thin">
        <color auto="1"/>
      </right>
      <top/>
      <bottom style="medium">
        <color indexed="64"/>
      </bottom>
      <diagonal/>
    </border>
    <border>
      <left style="medium">
        <color indexed="64"/>
      </left>
      <right style="thin">
        <color auto="1"/>
      </right>
      <top/>
      <bottom style="thin">
        <color auto="1"/>
      </bottom>
      <diagonal/>
    </border>
    <border>
      <left/>
      <right style="medium">
        <color indexed="64"/>
      </right>
      <top/>
      <bottom style="thin">
        <color indexed="64"/>
      </bottom>
      <diagonal/>
    </border>
    <border>
      <left style="medium">
        <color indexed="64"/>
      </left>
      <right/>
      <top/>
      <bottom style="medium">
        <color indexed="64"/>
      </bottom>
      <diagonal/>
    </border>
    <border>
      <left style="thin">
        <color auto="1"/>
      </left>
      <right style="medium">
        <color indexed="64"/>
      </right>
      <top/>
      <bottom style="thin">
        <color auto="1"/>
      </bottom>
      <diagonal/>
    </border>
    <border>
      <left style="thin">
        <color auto="1"/>
      </left>
      <right style="medium">
        <color indexed="64"/>
      </right>
      <top style="double">
        <color auto="1"/>
      </top>
      <bottom style="medium">
        <color indexed="64"/>
      </bottom>
      <diagonal/>
    </border>
    <border>
      <left style="thin">
        <color auto="1"/>
      </left>
      <right style="medium">
        <color indexed="64"/>
      </right>
      <top/>
      <bottom style="double">
        <color auto="1"/>
      </bottom>
      <diagonal/>
    </border>
    <border>
      <left/>
      <right style="medium">
        <color indexed="64"/>
      </right>
      <top/>
      <bottom style="medium">
        <color indexed="64"/>
      </bottom>
      <diagonal/>
    </border>
    <border>
      <left style="thin">
        <color auto="1"/>
      </left>
      <right/>
      <top style="thin">
        <color auto="1"/>
      </top>
      <bottom style="medium">
        <color auto="1"/>
      </bottom>
      <diagonal/>
    </border>
    <border>
      <left style="thin">
        <color auto="1"/>
      </left>
      <right/>
      <top/>
      <bottom style="medium">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diagonal/>
    </border>
    <border>
      <left/>
      <right/>
      <top style="medium">
        <color indexed="64"/>
      </top>
      <bottom style="medium">
        <color indexed="64"/>
      </bottom>
      <diagonal/>
    </border>
    <border>
      <left/>
      <right/>
      <top/>
      <bottom style="medium">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style="double">
        <color indexed="64"/>
      </top>
      <bottom/>
      <diagonal/>
    </border>
  </borders>
  <cellStyleXfs count="10">
    <xf numFmtId="0" fontId="0" fillId="0" borderId="0"/>
    <xf numFmtId="44" fontId="58" fillId="0" borderId="0" applyFont="0" applyFill="0" applyBorder="0" applyAlignment="0" applyProtection="0"/>
    <xf numFmtId="9" fontId="58" fillId="0" borderId="0" applyFont="0" applyFill="0" applyBorder="0" applyAlignment="0" applyProtection="0"/>
    <xf numFmtId="0" fontId="59" fillId="0" borderId="0"/>
    <xf numFmtId="43" fontId="59" fillId="0" borderId="0" applyFont="0" applyFill="0" applyBorder="0" applyAlignment="0" applyProtection="0"/>
    <xf numFmtId="43" fontId="58" fillId="0" borderId="0" applyFont="0" applyFill="0" applyBorder="0" applyAlignment="0" applyProtection="0"/>
    <xf numFmtId="0" fontId="59" fillId="0" borderId="0"/>
    <xf numFmtId="9" fontId="59" fillId="0" borderId="0" applyFont="0" applyFill="0" applyBorder="0" applyAlignment="0" applyProtection="0"/>
    <xf numFmtId="0" fontId="58" fillId="0" borderId="0"/>
    <xf numFmtId="0" fontId="59" fillId="0" borderId="0"/>
  </cellStyleXfs>
  <cellXfs count="1270">
    <xf numFmtId="0" fontId="0" fillId="0" borderId="0" xfId="0"/>
    <xf numFmtId="0" fontId="3" fillId="0" borderId="0" xfId="0" applyFont="1" applyAlignment="1">
      <alignment vertical="center"/>
    </xf>
    <xf numFmtId="43" fontId="2" fillId="0" borderId="0" xfId="0" applyNumberFormat="1" applyFont="1" applyAlignment="1">
      <alignment vertical="center"/>
    </xf>
    <xf numFmtId="43" fontId="3" fillId="0" borderId="0" xfId="0" applyNumberFormat="1" applyFont="1" applyAlignment="1">
      <alignment vertical="center"/>
    </xf>
    <xf numFmtId="0" fontId="2" fillId="0" borderId="0" xfId="0" applyFont="1" applyAlignment="1">
      <alignment horizontal="center" vertical="center"/>
    </xf>
    <xf numFmtId="0" fontId="16" fillId="0" borderId="0" xfId="0" applyFont="1" applyAlignment="1">
      <alignment vertical="center"/>
    </xf>
    <xf numFmtId="166" fontId="2" fillId="0" borderId="0" xfId="0" applyNumberFormat="1" applyFont="1" applyAlignment="1">
      <alignment vertical="center"/>
    </xf>
    <xf numFmtId="165" fontId="2" fillId="2" borderId="0" xfId="0" applyNumberFormat="1" applyFont="1" applyFill="1" applyAlignment="1">
      <alignment horizontal="right" vertical="center"/>
    </xf>
    <xf numFmtId="166" fontId="2" fillId="0" borderId="0" xfId="0" applyNumberFormat="1" applyFont="1" applyAlignment="1">
      <alignment horizontal="right" vertical="center"/>
    </xf>
    <xf numFmtId="166" fontId="2" fillId="2" borderId="0" xfId="0" applyNumberFormat="1" applyFont="1" applyFill="1" applyAlignment="1">
      <alignment horizontal="right" vertical="center"/>
    </xf>
    <xf numFmtId="165" fontId="2" fillId="0" borderId="0" xfId="0" applyNumberFormat="1" applyFont="1" applyAlignment="1">
      <alignment horizontal="right" vertical="center"/>
    </xf>
    <xf numFmtId="166" fontId="2" fillId="0" borderId="0" xfId="0" applyNumberFormat="1" applyFont="1" applyAlignment="1">
      <alignment horizontal="center" vertical="center"/>
    </xf>
    <xf numFmtId="166" fontId="2" fillId="2" borderId="0" xfId="0" applyNumberFormat="1" applyFont="1" applyFill="1" applyAlignment="1">
      <alignment vertical="center"/>
    </xf>
    <xf numFmtId="6" fontId="2" fillId="0" borderId="0" xfId="0" applyNumberFormat="1" applyFont="1" applyAlignment="1">
      <alignment horizontal="right" vertical="center"/>
    </xf>
    <xf numFmtId="165" fontId="2" fillId="0" borderId="1" xfId="0" quotePrefix="1" applyNumberFormat="1" applyFont="1" applyBorder="1" applyAlignment="1">
      <alignment horizontal="right" vertical="center"/>
    </xf>
    <xf numFmtId="165" fontId="2" fillId="0" borderId="0" xfId="0" quotePrefix="1" applyNumberFormat="1" applyFont="1" applyAlignment="1">
      <alignment horizontal="right" vertical="center"/>
    </xf>
    <xf numFmtId="165" fontId="2" fillId="2" borderId="0" xfId="0" quotePrefix="1" applyNumberFormat="1" applyFont="1" applyFill="1" applyAlignment="1">
      <alignment horizontal="right" vertical="center"/>
    </xf>
    <xf numFmtId="165" fontId="2" fillId="0" borderId="16" xfId="0" applyNumberFormat="1" applyFont="1" applyBorder="1" applyAlignment="1">
      <alignment horizontal="right" vertical="center"/>
    </xf>
    <xf numFmtId="43" fontId="2" fillId="0" borderId="0" xfId="0" applyNumberFormat="1" applyFont="1" applyAlignment="1">
      <alignment horizontal="right" vertical="center"/>
    </xf>
    <xf numFmtId="165" fontId="3" fillId="0" borderId="0" xfId="0" quotePrefix="1" applyNumberFormat="1" applyFont="1" applyAlignment="1">
      <alignment horizontal="right" vertical="center"/>
    </xf>
    <xf numFmtId="165" fontId="2" fillId="2" borderId="0" xfId="0" applyNumberFormat="1" applyFont="1" applyFill="1" applyAlignment="1" applyProtection="1">
      <alignment horizontal="right" vertical="center"/>
      <protection locked="0"/>
    </xf>
    <xf numFmtId="166" fontId="2" fillId="2" borderId="0" xfId="0" applyNumberFormat="1" applyFont="1" applyFill="1" applyAlignment="1" applyProtection="1">
      <alignment horizontal="right" vertical="center"/>
      <protection locked="0"/>
    </xf>
    <xf numFmtId="165" fontId="2" fillId="2" borderId="0" xfId="0" applyNumberFormat="1" applyFont="1" applyFill="1" applyAlignment="1">
      <alignment horizontal="center" vertical="center"/>
    </xf>
    <xf numFmtId="166" fontId="2" fillId="2" borderId="0" xfId="0" applyNumberFormat="1" applyFont="1" applyFill="1" applyAlignment="1">
      <alignment horizontal="center" vertical="center"/>
    </xf>
    <xf numFmtId="165" fontId="2" fillId="0" borderId="1" xfId="0" applyNumberFormat="1" applyFont="1" applyBorder="1" applyAlignment="1">
      <alignment horizontal="right" vertical="center"/>
    </xf>
    <xf numFmtId="174" fontId="2" fillId="0" borderId="0" xfId="0" applyNumberFormat="1" applyFont="1" applyAlignment="1">
      <alignment horizontal="center" vertical="center"/>
    </xf>
    <xf numFmtId="167" fontId="2" fillId="0" borderId="0" xfId="0" applyNumberFormat="1" applyFont="1" applyAlignment="1">
      <alignment horizontal="right" vertical="center"/>
    </xf>
    <xf numFmtId="10" fontId="2" fillId="0" borderId="0" xfId="0" applyNumberFormat="1" applyFont="1" applyAlignment="1">
      <alignment horizontal="right" vertical="center"/>
    </xf>
    <xf numFmtId="165" fontId="2" fillId="2" borderId="0" xfId="0" applyNumberFormat="1" applyFont="1" applyFill="1" applyAlignment="1">
      <alignment vertical="center"/>
    </xf>
    <xf numFmtId="0" fontId="2" fillId="0" borderId="0" xfId="0" applyFont="1" applyAlignment="1">
      <alignment horizontal="right" vertical="center"/>
    </xf>
    <xf numFmtId="6" fontId="3" fillId="0" borderId="0" xfId="0" applyNumberFormat="1" applyFont="1" applyAlignment="1">
      <alignment vertical="center"/>
    </xf>
    <xf numFmtId="167" fontId="2" fillId="3" borderId="0" xfId="0" applyNumberFormat="1" applyFont="1" applyFill="1" applyAlignment="1">
      <alignment vertical="center"/>
    </xf>
    <xf numFmtId="0" fontId="2" fillId="0" borderId="0" xfId="0" applyFont="1" applyAlignment="1">
      <alignment vertical="center"/>
    </xf>
    <xf numFmtId="0" fontId="2" fillId="0" borderId="0" xfId="0" applyFont="1" applyAlignment="1">
      <alignment horizontal="left" vertical="center"/>
    </xf>
    <xf numFmtId="0" fontId="8" fillId="0" borderId="0" xfId="0" applyFont="1" applyAlignment="1">
      <alignment vertical="center"/>
    </xf>
    <xf numFmtId="0" fontId="2" fillId="0" borderId="0" xfId="0" quotePrefix="1" applyFont="1" applyAlignment="1">
      <alignment horizontal="center" vertical="center"/>
    </xf>
    <xf numFmtId="165" fontId="2" fillId="0" borderId="0" xfId="0" applyNumberFormat="1" applyFont="1" applyAlignment="1">
      <alignment vertical="center"/>
    </xf>
    <xf numFmtId="0" fontId="0" fillId="0" borderId="0" xfId="0" applyAlignment="1">
      <alignment vertical="center"/>
    </xf>
    <xf numFmtId="165" fontId="2" fillId="0" borderId="1" xfId="0" applyNumberFormat="1" applyFont="1" applyBorder="1" applyAlignment="1">
      <alignment vertical="center"/>
    </xf>
    <xf numFmtId="166" fontId="2" fillId="0" borderId="0" xfId="0" applyNumberFormat="1" applyFont="1" applyAlignment="1" applyProtection="1">
      <alignment vertical="center"/>
      <protection locked="0"/>
    </xf>
    <xf numFmtId="166" fontId="2" fillId="0" borderId="0" xfId="0" applyNumberFormat="1" applyFont="1" applyAlignment="1" applyProtection="1">
      <alignment horizontal="center" vertical="center"/>
      <protection locked="0"/>
    </xf>
    <xf numFmtId="165" fontId="2" fillId="3" borderId="0" xfId="0" applyNumberFormat="1" applyFont="1" applyFill="1" applyAlignment="1" applyProtection="1">
      <alignment vertical="center"/>
      <protection locked="0"/>
    </xf>
    <xf numFmtId="5" fontId="2" fillId="0" borderId="0" xfId="0" applyNumberFormat="1" applyFont="1" applyAlignment="1" applyProtection="1">
      <alignment horizontal="center" vertical="center"/>
      <protection locked="0"/>
    </xf>
    <xf numFmtId="166" fontId="2" fillId="3" borderId="0" xfId="0" applyNumberFormat="1" applyFont="1" applyFill="1" applyAlignment="1" applyProtection="1">
      <alignment vertical="center"/>
      <protection locked="0"/>
    </xf>
    <xf numFmtId="165" fontId="3" fillId="0" borderId="0" xfId="0" applyNumberFormat="1" applyFont="1" applyAlignment="1">
      <alignment vertical="center"/>
    </xf>
    <xf numFmtId="165" fontId="2" fillId="0" borderId="0" xfId="0" applyNumberFormat="1" applyFont="1" applyAlignment="1">
      <alignment horizontal="center" vertical="center"/>
    </xf>
    <xf numFmtId="5" fontId="2" fillId="0" borderId="0" xfId="0" applyNumberFormat="1" applyFont="1" applyAlignment="1">
      <alignment vertical="center"/>
    </xf>
    <xf numFmtId="5" fontId="2" fillId="0" borderId="0" xfId="0" applyNumberFormat="1" applyFont="1" applyAlignment="1">
      <alignment horizontal="center" vertical="center"/>
    </xf>
    <xf numFmtId="10" fontId="2" fillId="0" borderId="0" xfId="0" applyNumberFormat="1" applyFont="1" applyAlignment="1">
      <alignment vertical="center"/>
    </xf>
    <xf numFmtId="165" fontId="2" fillId="0" borderId="0" xfId="0" applyNumberFormat="1" applyFont="1" applyAlignment="1" applyProtection="1">
      <alignment vertical="center"/>
      <protection locked="0"/>
    </xf>
    <xf numFmtId="5" fontId="2" fillId="0" borderId="0" xfId="0" applyNumberFormat="1" applyFont="1" applyAlignment="1">
      <alignment horizontal="right" vertical="center"/>
    </xf>
    <xf numFmtId="10" fontId="2" fillId="0" borderId="0" xfId="0" applyNumberFormat="1" applyFont="1" applyAlignment="1">
      <alignment horizontal="center" vertical="center"/>
    </xf>
    <xf numFmtId="10" fontId="2" fillId="0" borderId="1" xfId="0" applyNumberFormat="1" applyFont="1" applyBorder="1" applyAlignment="1">
      <alignment horizontal="right" vertical="center"/>
    </xf>
    <xf numFmtId="166" fontId="2" fillId="0" borderId="5" xfId="0" applyNumberFormat="1" applyFont="1" applyBorder="1" applyAlignment="1">
      <alignment vertical="center"/>
    </xf>
    <xf numFmtId="166" fontId="2" fillId="0" borderId="53" xfId="0" applyNumberFormat="1" applyFont="1" applyBorder="1" applyAlignment="1">
      <alignment vertical="center"/>
    </xf>
    <xf numFmtId="0" fontId="3" fillId="0" borderId="4" xfId="0" applyFont="1" applyBorder="1" applyAlignment="1">
      <alignment vertical="center"/>
    </xf>
    <xf numFmtId="165" fontId="3" fillId="0" borderId="5" xfId="0" applyNumberFormat="1" applyFont="1" applyBorder="1" applyAlignment="1">
      <alignment vertical="center"/>
    </xf>
    <xf numFmtId="165" fontId="3" fillId="0" borderId="53" xfId="0" applyNumberFormat="1" applyFont="1" applyBorder="1" applyAlignment="1">
      <alignment vertical="center"/>
    </xf>
    <xf numFmtId="0" fontId="3" fillId="0" borderId="5" xfId="0" applyFont="1" applyBorder="1" applyAlignment="1">
      <alignment vertical="center"/>
    </xf>
    <xf numFmtId="165" fontId="2" fillId="0" borderId="5" xfId="0" applyNumberFormat="1" applyFont="1" applyBorder="1" applyAlignment="1">
      <alignment vertical="center"/>
    </xf>
    <xf numFmtId="166" fontId="3" fillId="0" borderId="4" xfId="0" applyNumberFormat="1" applyFont="1" applyBorder="1" applyAlignment="1">
      <alignment vertical="center"/>
    </xf>
    <xf numFmtId="166" fontId="3" fillId="0" borderId="5" xfId="0" applyNumberFormat="1" applyFont="1" applyBorder="1" applyAlignment="1">
      <alignment vertical="center"/>
    </xf>
    <xf numFmtId="166" fontId="3" fillId="0" borderId="53" xfId="0" applyNumberFormat="1" applyFont="1" applyBorder="1" applyAlignment="1">
      <alignment vertical="center"/>
    </xf>
    <xf numFmtId="0" fontId="2" fillId="0" borderId="5" xfId="0" applyFont="1" applyBorder="1" applyAlignment="1">
      <alignment vertical="center"/>
    </xf>
    <xf numFmtId="165" fontId="3" fillId="0" borderId="6" xfId="0" applyNumberFormat="1" applyFont="1" applyBorder="1" applyAlignment="1">
      <alignment horizontal="center" vertical="center"/>
    </xf>
    <xf numFmtId="165" fontId="2" fillId="0" borderId="5" xfId="0" applyNumberFormat="1" applyFont="1" applyBorder="1" applyAlignment="1">
      <alignment horizontal="center" vertical="center"/>
    </xf>
    <xf numFmtId="166" fontId="2" fillId="0" borderId="5" xfId="0" applyNumberFormat="1" applyFont="1" applyBorder="1" applyAlignment="1">
      <alignment horizontal="center" vertical="center"/>
    </xf>
    <xf numFmtId="3" fontId="3" fillId="0" borderId="51" xfId="0" applyNumberFormat="1" applyFont="1" applyBorder="1" applyAlignment="1">
      <alignment vertical="center"/>
    </xf>
    <xf numFmtId="165" fontId="3" fillId="0" borderId="51" xfId="0" applyNumberFormat="1" applyFont="1" applyBorder="1" applyAlignment="1">
      <alignment vertical="center"/>
    </xf>
    <xf numFmtId="166" fontId="2" fillId="0" borderId="51" xfId="0" applyNumberFormat="1" applyFont="1" applyBorder="1" applyAlignment="1">
      <alignment horizontal="center" vertical="center"/>
    </xf>
    <xf numFmtId="165" fontId="2" fillId="0" borderId="0" xfId="0" applyNumberFormat="1" applyFont="1" applyAlignment="1" applyProtection="1">
      <alignment horizontal="center" vertical="center"/>
      <protection locked="0"/>
    </xf>
    <xf numFmtId="5" fontId="2" fillId="0" borderId="0" xfId="0" applyNumberFormat="1" applyFont="1" applyAlignment="1" applyProtection="1">
      <alignment vertical="center"/>
      <protection locked="0"/>
    </xf>
    <xf numFmtId="5" fontId="3" fillId="0" borderId="0" xfId="0" applyNumberFormat="1" applyFont="1" applyAlignment="1" applyProtection="1">
      <alignment horizontal="center" vertical="center"/>
      <protection locked="0"/>
    </xf>
    <xf numFmtId="10" fontId="2" fillId="0" borderId="0" xfId="0" applyNumberFormat="1" applyFont="1" applyAlignment="1" applyProtection="1">
      <alignment vertical="center"/>
      <protection locked="0"/>
    </xf>
    <xf numFmtId="10" fontId="2" fillId="0" borderId="0" xfId="0" applyNumberFormat="1" applyFont="1" applyAlignment="1" applyProtection="1">
      <alignment horizontal="center" vertical="center"/>
      <protection locked="0"/>
    </xf>
    <xf numFmtId="5" fontId="2" fillId="0" borderId="0" xfId="0" applyNumberFormat="1" applyFont="1" applyAlignment="1" applyProtection="1">
      <alignment horizontal="right" vertical="center"/>
      <protection locked="0"/>
    </xf>
    <xf numFmtId="165" fontId="2" fillId="0" borderId="0" xfId="0" applyNumberFormat="1" applyFont="1" applyAlignment="1" applyProtection="1">
      <alignment horizontal="right" vertical="center"/>
      <protection locked="0"/>
    </xf>
    <xf numFmtId="166" fontId="2" fillId="0" borderId="0" xfId="0" applyNumberFormat="1" applyFont="1" applyAlignment="1" applyProtection="1">
      <alignment horizontal="right" vertical="center"/>
      <protection locked="0"/>
    </xf>
    <xf numFmtId="165" fontId="2" fillId="0" borderId="1" xfId="0" applyNumberFormat="1" applyFont="1" applyBorder="1" applyAlignment="1" applyProtection="1">
      <alignment horizontal="right" vertical="center"/>
      <protection locked="0"/>
    </xf>
    <xf numFmtId="165" fontId="2" fillId="3" borderId="1" xfId="0" applyNumberFormat="1" applyFont="1" applyFill="1" applyBorder="1" applyAlignment="1" applyProtection="1">
      <alignment vertical="center"/>
      <protection locked="0"/>
    </xf>
    <xf numFmtId="37" fontId="3" fillId="0" borderId="5" xfId="0" applyNumberFormat="1" applyFont="1" applyBorder="1" applyAlignment="1">
      <alignment vertical="center"/>
    </xf>
    <xf numFmtId="171" fontId="2" fillId="0" borderId="5" xfId="0" applyNumberFormat="1" applyFont="1" applyBorder="1" applyAlignment="1">
      <alignment vertical="center"/>
    </xf>
    <xf numFmtId="3" fontId="2" fillId="0" borderId="51" xfId="0" applyNumberFormat="1" applyFont="1" applyBorder="1" applyAlignment="1">
      <alignment vertical="center"/>
    </xf>
    <xf numFmtId="3" fontId="3" fillId="0" borderId="51" xfId="0" applyNumberFormat="1" applyFont="1" applyBorder="1" applyAlignment="1">
      <alignment horizontal="right" vertical="center"/>
    </xf>
    <xf numFmtId="165" fontId="2" fillId="3" borderId="0" xfId="0" applyNumberFormat="1" applyFont="1" applyFill="1" applyAlignment="1">
      <alignment vertical="center"/>
    </xf>
    <xf numFmtId="41" fontId="2" fillId="3" borderId="0" xfId="0" applyNumberFormat="1" applyFont="1" applyFill="1" applyAlignment="1">
      <alignment vertical="center"/>
    </xf>
    <xf numFmtId="41" fontId="2" fillId="0" borderId="0" xfId="0" applyNumberFormat="1" applyFont="1" applyAlignment="1">
      <alignment vertical="center"/>
    </xf>
    <xf numFmtId="165" fontId="6" fillId="0" borderId="0" xfId="0" applyNumberFormat="1" applyFont="1" applyAlignment="1">
      <alignment horizontal="center" vertical="center"/>
    </xf>
    <xf numFmtId="166" fontId="3" fillId="0" borderId="0" xfId="0" applyNumberFormat="1" applyFont="1" applyAlignment="1">
      <alignment vertical="center"/>
    </xf>
    <xf numFmtId="188" fontId="2" fillId="0" borderId="0" xfId="0" applyNumberFormat="1" applyFont="1" applyAlignment="1">
      <alignment vertical="center"/>
    </xf>
    <xf numFmtId="165" fontId="3" fillId="0" borderId="16" xfId="0" applyNumberFormat="1" applyFont="1" applyBorder="1" applyAlignment="1">
      <alignment vertical="center"/>
    </xf>
    <xf numFmtId="14" fontId="2" fillId="0" borderId="0" xfId="0" applyNumberFormat="1" applyFont="1" applyAlignment="1">
      <alignment horizontal="center" vertical="center"/>
    </xf>
    <xf numFmtId="0" fontId="2" fillId="0" borderId="0" xfId="0" applyFont="1" applyAlignment="1">
      <alignment horizontal="center" vertical="center" wrapText="1"/>
    </xf>
    <xf numFmtId="165" fontId="2" fillId="3" borderId="1" xfId="0" applyNumberFormat="1" applyFont="1" applyFill="1" applyBorder="1" applyAlignment="1">
      <alignment vertical="center"/>
    </xf>
    <xf numFmtId="166" fontId="3" fillId="0" borderId="51" xfId="0" applyNumberFormat="1" applyFont="1" applyBorder="1" applyAlignment="1">
      <alignment vertical="center"/>
    </xf>
    <xf numFmtId="166" fontId="2" fillId="0" borderId="51" xfId="0" applyNumberFormat="1" applyFont="1" applyBorder="1" applyAlignment="1">
      <alignment vertical="center"/>
    </xf>
    <xf numFmtId="166" fontId="2" fillId="4" borderId="0" xfId="0" applyNumberFormat="1" applyFont="1" applyFill="1" applyAlignment="1">
      <alignment horizontal="right" vertical="center"/>
    </xf>
    <xf numFmtId="165" fontId="2" fillId="0" borderId="16" xfId="0" applyNumberFormat="1" applyFont="1" applyBorder="1" applyAlignment="1">
      <alignment vertical="center"/>
    </xf>
    <xf numFmtId="165" fontId="2" fillId="0" borderId="49" xfId="0" applyNumberFormat="1" applyFont="1" applyBorder="1" applyAlignment="1">
      <alignment vertical="center"/>
    </xf>
    <xf numFmtId="173" fontId="2" fillId="0" borderId="0" xfId="0" applyNumberFormat="1" applyFont="1" applyAlignment="1">
      <alignment vertical="center"/>
    </xf>
    <xf numFmtId="165" fontId="3" fillId="0" borderId="55" xfId="0" applyNumberFormat="1" applyFont="1" applyBorder="1" applyAlignment="1">
      <alignment vertical="center"/>
    </xf>
    <xf numFmtId="173" fontId="2" fillId="0" borderId="49" xfId="0" applyNumberFormat="1" applyFont="1" applyBorder="1" applyAlignment="1">
      <alignment vertical="center"/>
    </xf>
    <xf numFmtId="173" fontId="3" fillId="0" borderId="0" xfId="0" applyNumberFormat="1" applyFont="1" applyAlignment="1">
      <alignment vertical="center"/>
    </xf>
    <xf numFmtId="165" fontId="3" fillId="0" borderId="1" xfId="0" applyNumberFormat="1" applyFont="1" applyBorder="1" applyAlignment="1">
      <alignment vertical="center"/>
    </xf>
    <xf numFmtId="165" fontId="3" fillId="0" borderId="15" xfId="0" applyNumberFormat="1" applyFont="1" applyBorder="1" applyAlignment="1">
      <alignment vertical="center"/>
    </xf>
    <xf numFmtId="37" fontId="2" fillId="0" borderId="49" xfId="0" applyNumberFormat="1" applyFont="1" applyBorder="1" applyAlignment="1">
      <alignment vertical="center"/>
    </xf>
    <xf numFmtId="0" fontId="3" fillId="0" borderId="22" xfId="0" applyFont="1" applyBorder="1" applyAlignment="1">
      <alignment horizontal="center" vertical="center"/>
    </xf>
    <xf numFmtId="37" fontId="2" fillId="0" borderId="0" xfId="0" applyNumberFormat="1" applyFont="1" applyAlignment="1">
      <alignment vertical="center"/>
    </xf>
    <xf numFmtId="37" fontId="2" fillId="0" borderId="0" xfId="0" applyNumberFormat="1" applyFont="1" applyAlignment="1">
      <alignment horizontal="center" vertical="center"/>
    </xf>
    <xf numFmtId="0" fontId="4" fillId="0" borderId="0" xfId="0" applyFont="1" applyAlignment="1">
      <alignment horizontal="left" vertical="center"/>
    </xf>
    <xf numFmtId="10" fontId="2" fillId="0" borderId="1" xfId="0" applyNumberFormat="1" applyFont="1" applyBorder="1" applyAlignment="1" applyProtection="1">
      <alignment horizontal="right" vertical="center"/>
      <protection locked="0"/>
    </xf>
    <xf numFmtId="165" fontId="2" fillId="3" borderId="0" xfId="0" applyNumberFormat="1" applyFont="1" applyFill="1" applyAlignment="1">
      <alignment horizontal="center" vertical="center"/>
    </xf>
    <xf numFmtId="166" fontId="3" fillId="0" borderId="0" xfId="0" applyNumberFormat="1" applyFont="1" applyAlignment="1" applyProtection="1">
      <alignment vertical="center"/>
      <protection locked="0"/>
    </xf>
    <xf numFmtId="166" fontId="2" fillId="3" borderId="0" xfId="0" applyNumberFormat="1" applyFont="1" applyFill="1" applyAlignment="1">
      <alignment vertical="center"/>
    </xf>
    <xf numFmtId="10" fontId="2" fillId="0" borderId="0" xfId="0" applyNumberFormat="1" applyFont="1" applyAlignment="1" applyProtection="1">
      <alignment horizontal="right" vertical="center"/>
      <protection locked="0"/>
    </xf>
    <xf numFmtId="165" fontId="3" fillId="0" borderId="0" xfId="0" applyNumberFormat="1" applyFont="1" applyAlignment="1" applyProtection="1">
      <alignment vertical="center"/>
      <protection locked="0"/>
    </xf>
    <xf numFmtId="0" fontId="2" fillId="0" borderId="53" xfId="0" applyFont="1" applyBorder="1" applyAlignment="1">
      <alignment vertical="center"/>
    </xf>
    <xf numFmtId="10" fontId="2" fillId="0" borderId="7" xfId="0" applyNumberFormat="1" applyFont="1" applyBorder="1" applyAlignment="1">
      <alignment horizontal="center" vertical="center"/>
    </xf>
    <xf numFmtId="10" fontId="3" fillId="3" borderId="7" xfId="0" applyNumberFormat="1" applyFont="1" applyFill="1" applyBorder="1" applyAlignment="1">
      <alignment horizontal="center" vertical="center"/>
    </xf>
    <xf numFmtId="166" fontId="16" fillId="0" borderId="0" xfId="0" applyNumberFormat="1" applyFont="1" applyAlignment="1">
      <alignment vertical="center"/>
    </xf>
    <xf numFmtId="0" fontId="3" fillId="0" borderId="51" xfId="0" applyFont="1" applyBorder="1" applyAlignment="1">
      <alignment vertical="center"/>
    </xf>
    <xf numFmtId="165" fontId="2" fillId="2" borderId="0" xfId="0" applyNumberFormat="1" applyFont="1" applyFill="1" applyAlignment="1" applyProtection="1">
      <alignment vertical="center"/>
      <protection locked="0"/>
    </xf>
    <xf numFmtId="165" fontId="2" fillId="0" borderId="1" xfId="0" applyNumberFormat="1" applyFont="1" applyBorder="1" applyAlignment="1" applyProtection="1">
      <alignment vertical="center"/>
      <protection locked="0"/>
    </xf>
    <xf numFmtId="165" fontId="2" fillId="0" borderId="3" xfId="0" applyNumberFormat="1" applyFont="1" applyBorder="1" applyAlignment="1">
      <alignment vertical="center"/>
    </xf>
    <xf numFmtId="166" fontId="2" fillId="0" borderId="67" xfId="0" applyNumberFormat="1" applyFont="1" applyBorder="1" applyAlignment="1">
      <alignment vertical="center"/>
    </xf>
    <xf numFmtId="166" fontId="3" fillId="0" borderId="65" xfId="0" applyNumberFormat="1" applyFont="1" applyBorder="1" applyAlignment="1">
      <alignment vertical="center"/>
    </xf>
    <xf numFmtId="166" fontId="2" fillId="0" borderId="20" xfId="0" applyNumberFormat="1" applyFont="1" applyBorder="1" applyAlignment="1">
      <alignment vertical="center"/>
    </xf>
    <xf numFmtId="166" fontId="2" fillId="0" borderId="18" xfId="0" applyNumberFormat="1" applyFont="1" applyBorder="1" applyAlignment="1">
      <alignment vertical="center"/>
    </xf>
    <xf numFmtId="166" fontId="2" fillId="0" borderId="3" xfId="0" applyNumberFormat="1" applyFont="1" applyBorder="1" applyAlignment="1">
      <alignment vertical="center"/>
    </xf>
    <xf numFmtId="166" fontId="3" fillId="0" borderId="67" xfId="0" applyNumberFormat="1" applyFont="1" applyBorder="1" applyAlignment="1">
      <alignment vertical="center"/>
    </xf>
    <xf numFmtId="165" fontId="3" fillId="0" borderId="69" xfId="0" applyNumberFormat="1" applyFont="1" applyBorder="1" applyAlignment="1">
      <alignment vertical="center"/>
    </xf>
    <xf numFmtId="166" fontId="2" fillId="0" borderId="13" xfId="0" applyNumberFormat="1" applyFont="1" applyBorder="1" applyAlignment="1">
      <alignment vertical="center"/>
    </xf>
    <xf numFmtId="166" fontId="2" fillId="0" borderId="9" xfId="0" applyNumberFormat="1" applyFont="1" applyBorder="1" applyAlignment="1">
      <alignment vertical="center"/>
    </xf>
    <xf numFmtId="0" fontId="3" fillId="0" borderId="25" xfId="0" applyFont="1" applyBorder="1" applyAlignment="1">
      <alignment horizontal="center" vertical="center"/>
    </xf>
    <xf numFmtId="166" fontId="2" fillId="0" borderId="68" xfId="0" applyNumberFormat="1" applyFont="1" applyBorder="1" applyAlignment="1">
      <alignment vertical="center"/>
    </xf>
    <xf numFmtId="10" fontId="2" fillId="3" borderId="1" xfId="0" applyNumberFormat="1" applyFont="1" applyFill="1" applyBorder="1" applyAlignment="1">
      <alignment vertical="center"/>
    </xf>
    <xf numFmtId="10" fontId="2" fillId="2" borderId="0" xfId="0" applyNumberFormat="1" applyFont="1" applyFill="1" applyAlignment="1">
      <alignment horizontal="right" vertical="center"/>
    </xf>
    <xf numFmtId="182" fontId="2" fillId="0" borderId="0" xfId="0" applyNumberFormat="1" applyFont="1" applyAlignment="1">
      <alignment horizontal="center" vertical="center"/>
    </xf>
    <xf numFmtId="9" fontId="2" fillId="0" borderId="0" xfId="0" applyNumberFormat="1" applyFont="1" applyAlignment="1">
      <alignment horizontal="right" vertical="center"/>
    </xf>
    <xf numFmtId="165" fontId="2" fillId="4" borderId="0" xfId="0" applyNumberFormat="1" applyFont="1" applyFill="1" applyAlignment="1">
      <alignment horizontal="right" vertical="center"/>
    </xf>
    <xf numFmtId="165" fontId="18" fillId="0" borderId="69" xfId="0" applyNumberFormat="1" applyFont="1" applyBorder="1" applyAlignment="1">
      <alignment vertical="center"/>
    </xf>
    <xf numFmtId="10" fontId="16" fillId="0" borderId="51" xfId="0" applyNumberFormat="1" applyFont="1" applyBorder="1" applyAlignment="1">
      <alignment vertical="center"/>
    </xf>
    <xf numFmtId="165" fontId="16" fillId="0" borderId="55" xfId="0" applyNumberFormat="1" applyFont="1" applyBorder="1" applyAlignment="1">
      <alignment vertical="center"/>
    </xf>
    <xf numFmtId="165" fontId="16" fillId="2" borderId="0" xfId="0" applyNumberFormat="1" applyFont="1" applyFill="1" applyAlignment="1">
      <alignment vertical="center"/>
    </xf>
    <xf numFmtId="165" fontId="16" fillId="0" borderId="0" xfId="0" applyNumberFormat="1" applyFont="1" applyAlignment="1">
      <alignment horizontal="right" vertical="center"/>
    </xf>
    <xf numFmtId="165" fontId="16" fillId="0" borderId="0" xfId="0" applyNumberFormat="1" applyFont="1" applyAlignment="1">
      <alignment vertical="center"/>
    </xf>
    <xf numFmtId="10" fontId="16" fillId="3" borderId="0" xfId="0" applyNumberFormat="1" applyFont="1" applyFill="1" applyAlignment="1">
      <alignment horizontal="center" vertical="center"/>
    </xf>
    <xf numFmtId="165" fontId="16" fillId="0" borderId="0" xfId="0" applyNumberFormat="1" applyFont="1" applyAlignment="1">
      <alignment horizontal="center" vertical="center"/>
    </xf>
    <xf numFmtId="166" fontId="16" fillId="0" borderId="0" xfId="0" applyNumberFormat="1" applyFont="1" applyAlignment="1">
      <alignment horizontal="right" vertical="center"/>
    </xf>
    <xf numFmtId="166" fontId="16" fillId="0" borderId="0" xfId="0" applyNumberFormat="1" applyFont="1" applyAlignment="1">
      <alignment horizontal="center" vertical="center"/>
    </xf>
    <xf numFmtId="165" fontId="16" fillId="0" borderId="16" xfId="0" applyNumberFormat="1" applyFont="1" applyBorder="1" applyAlignment="1">
      <alignment vertical="center"/>
    </xf>
    <xf numFmtId="165" fontId="16" fillId="3" borderId="16" xfId="0" applyNumberFormat="1" applyFont="1" applyFill="1" applyBorder="1" applyAlignment="1">
      <alignment vertical="center"/>
    </xf>
    <xf numFmtId="187" fontId="16" fillId="0" borderId="16" xfId="0" applyNumberFormat="1" applyFont="1" applyBorder="1" applyAlignment="1">
      <alignment vertical="center"/>
    </xf>
    <xf numFmtId="187" fontId="16" fillId="0" borderId="0" xfId="0" applyNumberFormat="1" applyFont="1" applyAlignment="1">
      <alignment vertical="center"/>
    </xf>
    <xf numFmtId="165" fontId="2" fillId="3" borderId="0" xfId="0" applyNumberFormat="1" applyFont="1" applyFill="1" applyAlignment="1">
      <alignment horizontal="right" vertical="center"/>
    </xf>
    <xf numFmtId="10" fontId="16" fillId="2" borderId="0" xfId="0" applyNumberFormat="1" applyFont="1" applyFill="1" applyAlignment="1">
      <alignment vertical="center"/>
    </xf>
    <xf numFmtId="184" fontId="2" fillId="0" borderId="0" xfId="0" applyNumberFormat="1" applyFont="1" applyAlignment="1">
      <alignment horizontal="right" vertical="center"/>
    </xf>
    <xf numFmtId="10" fontId="16" fillId="0" borderId="0" xfId="0" applyNumberFormat="1" applyFont="1" applyAlignment="1">
      <alignment vertical="center"/>
    </xf>
    <xf numFmtId="186" fontId="16" fillId="0" borderId="0" xfId="0" applyNumberFormat="1" applyFont="1" applyAlignment="1">
      <alignment horizontal="right" vertical="center"/>
    </xf>
    <xf numFmtId="165" fontId="16" fillId="0" borderId="16" xfId="0" applyNumberFormat="1" applyFont="1" applyBorder="1" applyAlignment="1">
      <alignment horizontal="right" vertical="center"/>
    </xf>
    <xf numFmtId="165" fontId="16" fillId="2" borderId="0" xfId="0" applyNumberFormat="1" applyFont="1" applyFill="1" applyAlignment="1">
      <alignment horizontal="right" vertical="center"/>
    </xf>
    <xf numFmtId="165" fontId="2" fillId="0" borderId="0" xfId="0" quotePrefix="1" applyNumberFormat="1" applyFont="1" applyAlignment="1">
      <alignment horizontal="center" vertical="center"/>
    </xf>
    <xf numFmtId="166" fontId="2" fillId="0" borderId="0" xfId="0" quotePrefix="1" applyNumberFormat="1" applyFont="1" applyAlignment="1">
      <alignment horizontal="center" vertical="center"/>
    </xf>
    <xf numFmtId="184" fontId="16" fillId="0" borderId="0" xfId="0" quotePrefix="1" applyNumberFormat="1" applyFont="1" applyAlignment="1">
      <alignment horizontal="center" vertical="center"/>
    </xf>
    <xf numFmtId="186" fontId="16" fillId="0" borderId="0" xfId="0" quotePrefix="1" applyNumberFormat="1" applyFont="1" applyAlignment="1">
      <alignment horizontal="center" vertical="center"/>
    </xf>
    <xf numFmtId="186" fontId="16" fillId="0" borderId="0" xfId="0" applyNumberFormat="1" applyFont="1" applyAlignment="1">
      <alignment vertical="center"/>
    </xf>
    <xf numFmtId="165" fontId="2" fillId="0" borderId="12" xfId="0" applyNumberFormat="1" applyFont="1" applyBorder="1" applyAlignment="1">
      <alignment vertical="center"/>
    </xf>
    <xf numFmtId="166" fontId="2" fillId="0" borderId="31" xfId="0" applyNumberFormat="1" applyFont="1" applyBorder="1" applyAlignment="1">
      <alignment vertical="center"/>
    </xf>
    <xf numFmtId="166" fontId="3" fillId="0" borderId="62" xfId="0" applyNumberFormat="1" applyFont="1" applyBorder="1" applyAlignment="1">
      <alignment vertical="center"/>
    </xf>
    <xf numFmtId="165" fontId="3" fillId="0" borderId="31" xfId="0" applyNumberFormat="1" applyFont="1" applyBorder="1" applyAlignment="1">
      <alignment vertical="center"/>
    </xf>
    <xf numFmtId="39" fontId="3" fillId="0" borderId="31" xfId="0" applyNumberFormat="1" applyFont="1" applyBorder="1" applyAlignment="1">
      <alignment vertical="center"/>
    </xf>
    <xf numFmtId="39" fontId="3" fillId="0" borderId="0" xfId="0" applyNumberFormat="1" applyFont="1" applyAlignment="1">
      <alignment vertical="center"/>
    </xf>
    <xf numFmtId="39" fontId="3" fillId="0" borderId="13" xfId="0" applyNumberFormat="1" applyFont="1" applyBorder="1" applyAlignment="1">
      <alignment vertical="center"/>
    </xf>
    <xf numFmtId="10" fontId="3" fillId="0" borderId="31" xfId="0" applyNumberFormat="1" applyFont="1" applyBorder="1" applyAlignment="1">
      <alignment vertical="center"/>
    </xf>
    <xf numFmtId="10" fontId="3" fillId="0" borderId="13" xfId="0" applyNumberFormat="1" applyFont="1" applyBorder="1" applyAlignment="1">
      <alignment vertical="center"/>
    </xf>
    <xf numFmtId="165" fontId="2" fillId="0" borderId="51" xfId="0" applyNumberFormat="1" applyFont="1" applyBorder="1" applyAlignment="1">
      <alignment vertical="center"/>
    </xf>
    <xf numFmtId="165" fontId="2" fillId="0" borderId="55" xfId="0" applyNumberFormat="1" applyFont="1" applyBorder="1" applyAlignment="1">
      <alignment vertical="center"/>
    </xf>
    <xf numFmtId="10" fontId="2" fillId="0" borderId="55" xfId="0" applyNumberFormat="1" applyFont="1" applyBorder="1" applyAlignment="1">
      <alignment vertical="center"/>
    </xf>
    <xf numFmtId="165" fontId="2" fillId="3" borderId="19" xfId="0" applyNumberFormat="1" applyFont="1" applyFill="1" applyBorder="1" applyAlignment="1">
      <alignment vertical="center"/>
    </xf>
    <xf numFmtId="165" fontId="2" fillId="0" borderId="19" xfId="0" applyNumberFormat="1" applyFont="1" applyBorder="1" applyAlignment="1">
      <alignment vertical="center"/>
    </xf>
    <xf numFmtId="166" fontId="2" fillId="3" borderId="19" xfId="0" applyNumberFormat="1" applyFont="1" applyFill="1" applyBorder="1" applyAlignment="1">
      <alignment vertical="center"/>
    </xf>
    <xf numFmtId="166" fontId="2" fillId="0" borderId="19" xfId="0" applyNumberFormat="1" applyFont="1" applyBorder="1" applyAlignment="1">
      <alignment vertical="center"/>
    </xf>
    <xf numFmtId="166" fontId="2" fillId="3" borderId="63" xfId="0" applyNumberFormat="1" applyFont="1" applyFill="1" applyBorder="1" applyAlignment="1">
      <alignment vertical="center"/>
    </xf>
    <xf numFmtId="166" fontId="2" fillId="0" borderId="72" xfId="0" applyNumberFormat="1" applyFont="1" applyBorder="1" applyAlignment="1">
      <alignment vertical="center"/>
    </xf>
    <xf numFmtId="166" fontId="2" fillId="0" borderId="63" xfId="0" applyNumberFormat="1" applyFont="1" applyBorder="1" applyAlignment="1">
      <alignment vertical="center"/>
    </xf>
    <xf numFmtId="166" fontId="2" fillId="0" borderId="49" xfId="0" applyNumberFormat="1" applyFont="1" applyBorder="1" applyAlignment="1">
      <alignment vertical="center"/>
    </xf>
    <xf numFmtId="166" fontId="2" fillId="0" borderId="52" xfId="0" applyNumberFormat="1" applyFont="1" applyBorder="1" applyAlignment="1">
      <alignment vertical="center"/>
    </xf>
    <xf numFmtId="166" fontId="2" fillId="0" borderId="14" xfId="0" applyNumberFormat="1" applyFont="1" applyBorder="1" applyAlignment="1">
      <alignment vertical="center"/>
    </xf>
    <xf numFmtId="166" fontId="2" fillId="3" borderId="9" xfId="0" applyNumberFormat="1" applyFont="1" applyFill="1" applyBorder="1" applyAlignment="1">
      <alignment vertical="center"/>
    </xf>
    <xf numFmtId="166" fontId="2" fillId="0" borderId="17" xfId="0" applyNumberFormat="1" applyFont="1" applyBorder="1" applyAlignment="1">
      <alignment vertical="center"/>
    </xf>
    <xf numFmtId="166" fontId="2" fillId="0" borderId="21" xfId="0" applyNumberFormat="1" applyFont="1" applyBorder="1" applyAlignment="1">
      <alignment vertical="center"/>
    </xf>
    <xf numFmtId="165" fontId="3" fillId="0" borderId="39" xfId="0" applyNumberFormat="1" applyFont="1" applyBorder="1" applyAlignment="1">
      <alignment vertical="center"/>
    </xf>
    <xf numFmtId="165" fontId="3" fillId="0" borderId="28" xfId="0" applyNumberFormat="1" applyFont="1" applyBorder="1" applyAlignment="1">
      <alignment vertical="center"/>
    </xf>
    <xf numFmtId="165" fontId="3" fillId="0" borderId="27" xfId="0" applyNumberFormat="1" applyFont="1" applyBorder="1" applyAlignment="1">
      <alignment vertical="center"/>
    </xf>
    <xf numFmtId="165" fontId="3" fillId="0" borderId="29" xfId="0" applyNumberFormat="1" applyFont="1" applyBorder="1" applyAlignment="1">
      <alignment vertical="center"/>
    </xf>
    <xf numFmtId="165" fontId="3" fillId="0" borderId="38" xfId="0" applyNumberFormat="1" applyFont="1" applyBorder="1" applyAlignment="1">
      <alignment vertical="center"/>
    </xf>
    <xf numFmtId="165" fontId="3" fillId="0" borderId="37" xfId="0" applyNumberFormat="1" applyFont="1" applyBorder="1" applyAlignment="1">
      <alignment vertical="center"/>
    </xf>
    <xf numFmtId="0" fontId="25" fillId="0" borderId="0" xfId="0" applyFont="1" applyAlignment="1">
      <alignment vertical="center"/>
    </xf>
    <xf numFmtId="169" fontId="3" fillId="0" borderId="37" xfId="0" applyNumberFormat="1" applyFont="1" applyBorder="1" applyAlignment="1">
      <alignment vertical="center"/>
    </xf>
    <xf numFmtId="0" fontId="2" fillId="0" borderId="70" xfId="0" applyFont="1" applyBorder="1" applyAlignment="1">
      <alignment vertical="center"/>
    </xf>
    <xf numFmtId="165" fontId="3" fillId="0" borderId="56" xfId="0" applyNumberFormat="1" applyFont="1" applyBorder="1" applyAlignment="1">
      <alignment vertical="center"/>
    </xf>
    <xf numFmtId="165" fontId="3" fillId="0" borderId="57" xfId="0" applyNumberFormat="1" applyFont="1" applyBorder="1" applyAlignment="1">
      <alignment vertical="center"/>
    </xf>
    <xf numFmtId="165" fontId="3" fillId="0" borderId="58" xfId="0" applyNumberFormat="1" applyFont="1" applyBorder="1" applyAlignment="1">
      <alignment vertical="center"/>
    </xf>
    <xf numFmtId="165" fontId="3" fillId="0" borderId="59" xfId="0" applyNumberFormat="1" applyFont="1" applyBorder="1" applyAlignment="1">
      <alignment vertical="center"/>
    </xf>
    <xf numFmtId="10" fontId="3" fillId="0" borderId="41" xfId="0" applyNumberFormat="1" applyFont="1" applyBorder="1" applyAlignment="1">
      <alignment vertical="center"/>
    </xf>
    <xf numFmtId="10" fontId="3" fillId="0" borderId="60" xfId="0" applyNumberFormat="1" applyFont="1" applyBorder="1" applyAlignment="1">
      <alignment vertical="center"/>
    </xf>
    <xf numFmtId="10" fontId="3" fillId="0" borderId="61" xfId="0" applyNumberFormat="1" applyFont="1" applyBorder="1" applyAlignment="1">
      <alignment vertical="center"/>
    </xf>
    <xf numFmtId="10" fontId="3" fillId="0" borderId="55" xfId="0" applyNumberFormat="1" applyFont="1" applyBorder="1" applyAlignment="1">
      <alignment vertical="center"/>
    </xf>
    <xf numFmtId="0" fontId="2" fillId="0" borderId="62" xfId="0" applyFont="1" applyBorder="1" applyAlignment="1">
      <alignment vertical="center"/>
    </xf>
    <xf numFmtId="0" fontId="2" fillId="0" borderId="63" xfId="0" applyFont="1" applyBorder="1" applyAlignment="1">
      <alignment vertical="center"/>
    </xf>
    <xf numFmtId="0" fontId="2" fillId="0" borderId="49" xfId="0" applyFont="1" applyBorder="1" applyAlignment="1">
      <alignment vertical="center"/>
    </xf>
    <xf numFmtId="166" fontId="2" fillId="3" borderId="49" xfId="0" applyNumberFormat="1" applyFont="1" applyFill="1" applyBorder="1" applyAlignment="1">
      <alignment vertical="center"/>
    </xf>
    <xf numFmtId="166" fontId="2" fillId="3" borderId="17" xfId="0" applyNumberFormat="1" applyFont="1" applyFill="1" applyBorder="1" applyAlignment="1">
      <alignment vertical="center"/>
    </xf>
    <xf numFmtId="166" fontId="2" fillId="3" borderId="12" xfId="0" applyNumberFormat="1" applyFont="1" applyFill="1" applyBorder="1" applyAlignment="1">
      <alignment vertical="center"/>
    </xf>
    <xf numFmtId="166" fontId="2" fillId="0" borderId="12" xfId="0" applyNumberFormat="1" applyFont="1" applyBorder="1" applyAlignment="1">
      <alignment vertical="center"/>
    </xf>
    <xf numFmtId="166" fontId="2" fillId="3" borderId="66" xfId="0" applyNumberFormat="1" applyFont="1" applyFill="1" applyBorder="1" applyAlignment="1">
      <alignment vertical="center"/>
    </xf>
    <xf numFmtId="166" fontId="2" fillId="0" borderId="70" xfId="0" applyNumberFormat="1" applyFont="1" applyBorder="1" applyAlignment="1">
      <alignment vertical="center"/>
    </xf>
    <xf numFmtId="166" fontId="2" fillId="0" borderId="66" xfId="0" applyNumberFormat="1" applyFont="1" applyBorder="1" applyAlignment="1">
      <alignment vertical="center"/>
    </xf>
    <xf numFmtId="177" fontId="3" fillId="0" borderId="37" xfId="0" applyNumberFormat="1" applyFont="1" applyBorder="1" applyAlignment="1">
      <alignment vertical="center"/>
    </xf>
    <xf numFmtId="165" fontId="3" fillId="0" borderId="0" xfId="0" applyNumberFormat="1" applyFont="1" applyAlignment="1">
      <alignment horizontal="center" vertical="center"/>
    </xf>
    <xf numFmtId="166" fontId="3" fillId="0" borderId="31" xfId="0" applyNumberFormat="1" applyFont="1" applyBorder="1" applyAlignment="1">
      <alignment vertical="center"/>
    </xf>
    <xf numFmtId="0" fontId="3" fillId="0" borderId="0" xfId="0" applyFont="1" applyAlignment="1">
      <alignment horizontal="center" vertical="center"/>
    </xf>
    <xf numFmtId="165" fontId="2" fillId="3" borderId="5" xfId="0" applyNumberFormat="1" applyFont="1" applyFill="1" applyBorder="1" applyAlignment="1">
      <alignment vertical="center"/>
    </xf>
    <xf numFmtId="165" fontId="2" fillId="0" borderId="13" xfId="0" applyNumberFormat="1" applyFont="1" applyBorder="1" applyAlignment="1">
      <alignment vertical="center"/>
    </xf>
    <xf numFmtId="166" fontId="2" fillId="3" borderId="5" xfId="0" applyNumberFormat="1" applyFont="1" applyFill="1" applyBorder="1" applyAlignment="1">
      <alignment vertical="center"/>
    </xf>
    <xf numFmtId="166" fontId="2" fillId="3" borderId="14" xfId="0" applyNumberFormat="1" applyFont="1" applyFill="1" applyBorder="1" applyAlignment="1">
      <alignment vertical="center"/>
    </xf>
    <xf numFmtId="166" fontId="2" fillId="3" borderId="21" xfId="0" applyNumberFormat="1" applyFont="1" applyFill="1" applyBorder="1" applyAlignment="1">
      <alignment vertical="center"/>
    </xf>
    <xf numFmtId="166" fontId="2" fillId="0" borderId="11" xfId="0" applyNumberFormat="1" applyFont="1" applyBorder="1" applyAlignment="1">
      <alignment vertical="center"/>
    </xf>
    <xf numFmtId="167" fontId="16" fillId="3" borderId="0" xfId="0" applyNumberFormat="1" applyFont="1" applyFill="1" applyAlignment="1">
      <alignment vertical="center"/>
    </xf>
    <xf numFmtId="0" fontId="3" fillId="0" borderId="33" xfId="0" applyFont="1" applyBorder="1" applyAlignment="1">
      <alignment horizontal="centerContinuous" vertical="center"/>
    </xf>
    <xf numFmtId="0" fontId="3" fillId="0" borderId="23" xfId="0" applyFont="1" applyBorder="1" applyAlignment="1">
      <alignment horizontal="centerContinuous" vertical="center"/>
    </xf>
    <xf numFmtId="0" fontId="3" fillId="0" borderId="34" xfId="0" applyFont="1" applyBorder="1" applyAlignment="1">
      <alignment horizontal="centerContinuous" vertical="center"/>
    </xf>
    <xf numFmtId="0" fontId="3" fillId="0" borderId="32" xfId="0" applyFont="1" applyBorder="1" applyAlignment="1">
      <alignment horizontal="centerContinuous" vertical="center"/>
    </xf>
    <xf numFmtId="0" fontId="3" fillId="0" borderId="24" xfId="0" applyFont="1" applyBorder="1" applyAlignment="1">
      <alignment horizontal="centerContinuous" vertical="center"/>
    </xf>
    <xf numFmtId="0" fontId="3" fillId="0" borderId="30" xfId="0" applyFont="1" applyBorder="1" applyAlignment="1">
      <alignment horizontal="center" vertical="center"/>
    </xf>
    <xf numFmtId="165" fontId="2" fillId="0" borderId="50" xfId="0" applyNumberFormat="1" applyFont="1" applyBorder="1" applyAlignment="1">
      <alignment vertical="center"/>
    </xf>
    <xf numFmtId="166" fontId="2" fillId="0" borderId="50" xfId="0" applyNumberFormat="1" applyFont="1" applyBorder="1" applyAlignment="1">
      <alignment vertical="center"/>
    </xf>
    <xf numFmtId="0" fontId="2" fillId="0" borderId="50" xfId="0" applyFont="1" applyBorder="1" applyAlignment="1">
      <alignment vertical="center"/>
    </xf>
    <xf numFmtId="171" fontId="2" fillId="0" borderId="50" xfId="0" applyNumberFormat="1" applyFont="1" applyBorder="1" applyAlignment="1">
      <alignment vertical="center"/>
    </xf>
    <xf numFmtId="165" fontId="3" fillId="0" borderId="6" xfId="0" applyNumberFormat="1" applyFont="1" applyBorder="1" applyAlignment="1">
      <alignment vertical="center"/>
    </xf>
    <xf numFmtId="166" fontId="16" fillId="0" borderId="67" xfId="0" applyNumberFormat="1" applyFont="1" applyBorder="1" applyAlignment="1">
      <alignment vertical="center"/>
    </xf>
    <xf numFmtId="166" fontId="16" fillId="0" borderId="75" xfId="0" applyNumberFormat="1" applyFont="1" applyBorder="1" applyAlignment="1">
      <alignment vertical="center"/>
    </xf>
    <xf numFmtId="165" fontId="18" fillId="0" borderId="75" xfId="0" applyNumberFormat="1" applyFont="1" applyBorder="1" applyAlignment="1">
      <alignment vertical="center"/>
    </xf>
    <xf numFmtId="0" fontId="16" fillId="0" borderId="52" xfId="0" applyFont="1" applyBorder="1" applyAlignment="1">
      <alignment vertical="center"/>
    </xf>
    <xf numFmtId="177" fontId="2" fillId="3" borderId="31" xfId="0" applyNumberFormat="1" applyFont="1" applyFill="1" applyBorder="1" applyAlignment="1">
      <alignment horizontal="center" vertical="center"/>
    </xf>
    <xf numFmtId="177" fontId="2" fillId="2" borderId="31" xfId="0" applyNumberFormat="1" applyFont="1" applyFill="1" applyBorder="1" applyAlignment="1">
      <alignment horizontal="center" vertical="center"/>
    </xf>
    <xf numFmtId="177" fontId="2" fillId="2" borderId="62" xfId="0" applyNumberFormat="1" applyFont="1" applyFill="1" applyBorder="1" applyAlignment="1">
      <alignment horizontal="center" vertical="center"/>
    </xf>
    <xf numFmtId="177" fontId="2" fillId="2" borderId="30" xfId="0" applyNumberFormat="1" applyFont="1" applyFill="1" applyBorder="1" applyAlignment="1">
      <alignment horizontal="center" vertical="center"/>
    </xf>
    <xf numFmtId="177" fontId="2" fillId="3" borderId="62" xfId="0" applyNumberFormat="1" applyFont="1" applyFill="1" applyBorder="1" applyAlignment="1">
      <alignment horizontal="center" vertical="center"/>
    </xf>
    <xf numFmtId="177" fontId="2" fillId="3" borderId="30" xfId="0" applyNumberFormat="1" applyFont="1" applyFill="1" applyBorder="1" applyAlignment="1">
      <alignment horizontal="center" vertical="center"/>
    </xf>
    <xf numFmtId="10" fontId="2" fillId="0" borderId="51" xfId="0" applyNumberFormat="1" applyFont="1" applyBorder="1" applyAlignment="1">
      <alignment horizontal="right" vertical="center"/>
    </xf>
    <xf numFmtId="0" fontId="8" fillId="0" borderId="0" xfId="0" applyFont="1" applyAlignment="1">
      <alignment horizontal="left" vertical="center"/>
    </xf>
    <xf numFmtId="0" fontId="2" fillId="0" borderId="0" xfId="0" quotePrefix="1" applyFont="1" applyAlignment="1">
      <alignment vertical="center"/>
    </xf>
    <xf numFmtId="0" fontId="5" fillId="0" borderId="0" xfId="0" applyFont="1" applyAlignment="1">
      <alignment horizontal="left" vertical="center"/>
    </xf>
    <xf numFmtId="0" fontId="5" fillId="0" borderId="0" xfId="0" applyFont="1" applyAlignment="1">
      <alignment vertical="center"/>
    </xf>
    <xf numFmtId="6" fontId="2" fillId="0" borderId="0" xfId="0" applyNumberFormat="1" applyFont="1" applyAlignment="1">
      <alignment vertical="center"/>
    </xf>
    <xf numFmtId="0" fontId="6" fillId="0" borderId="0" xfId="0" quotePrefix="1" applyFont="1" applyAlignment="1">
      <alignment horizontal="center" vertical="center"/>
    </xf>
    <xf numFmtId="0" fontId="8" fillId="0" borderId="0" xfId="0" applyFont="1" applyAlignment="1">
      <alignment horizontal="center" vertical="center"/>
    </xf>
    <xf numFmtId="0" fontId="22" fillId="0" borderId="0" xfId="0" applyFont="1" applyAlignment="1">
      <alignment vertical="center"/>
    </xf>
    <xf numFmtId="0" fontId="2" fillId="0" borderId="0" xfId="0" applyFont="1" applyAlignment="1">
      <alignment vertical="center" wrapText="1"/>
    </xf>
    <xf numFmtId="0" fontId="7" fillId="0" borderId="0" xfId="0" applyFont="1" applyAlignment="1">
      <alignment horizontal="center" vertical="center"/>
    </xf>
    <xf numFmtId="3" fontId="2" fillId="0" borderId="0" xfId="0" applyNumberFormat="1" applyFont="1" applyAlignment="1">
      <alignment vertical="center"/>
    </xf>
    <xf numFmtId="0" fontId="14" fillId="0" borderId="0" xfId="0" applyFont="1" applyAlignment="1">
      <alignment vertical="center"/>
    </xf>
    <xf numFmtId="0" fontId="2" fillId="0" borderId="0" xfId="0" applyFont="1" applyAlignment="1" applyProtection="1">
      <alignment horizontal="center" vertical="center"/>
      <protection locked="0"/>
    </xf>
    <xf numFmtId="5" fontId="2" fillId="0" borderId="0" xfId="0" quotePrefix="1" applyNumberFormat="1" applyFont="1" applyAlignment="1">
      <alignment horizontal="center" vertical="center"/>
    </xf>
    <xf numFmtId="0" fontId="3" fillId="0" borderId="0" xfId="0" quotePrefix="1" applyFont="1" applyAlignment="1">
      <alignment horizontal="center" vertical="center"/>
    </xf>
    <xf numFmtId="0" fontId="5" fillId="0" borderId="0" xfId="0" applyFont="1" applyAlignment="1">
      <alignment horizontal="center" vertical="center"/>
    </xf>
    <xf numFmtId="5" fontId="22" fillId="0" borderId="0" xfId="0" applyNumberFormat="1" applyFont="1" applyAlignment="1" applyProtection="1">
      <alignment horizontal="center" vertical="center"/>
      <protection locked="0"/>
    </xf>
    <xf numFmtId="165" fontId="22" fillId="0" borderId="0" xfId="0" applyNumberFormat="1" applyFont="1" applyAlignment="1">
      <alignment horizontal="left" vertical="center"/>
    </xf>
    <xf numFmtId="0" fontId="6" fillId="0" borderId="0" xfId="0" applyFont="1" applyAlignment="1">
      <alignment horizontal="center" vertical="center"/>
    </xf>
    <xf numFmtId="0" fontId="3" fillId="0" borderId="0" xfId="0" applyFont="1" applyAlignment="1">
      <alignment horizontal="centerContinuous" vertical="center"/>
    </xf>
    <xf numFmtId="166" fontId="3" fillId="0" borderId="0" xfId="0" applyNumberFormat="1" applyFont="1" applyAlignment="1">
      <alignment horizontal="centerContinuous" vertical="center"/>
    </xf>
    <xf numFmtId="0" fontId="3" fillId="0" borderId="4" xfId="0" quotePrefix="1" applyFont="1" applyBorder="1" applyAlignment="1">
      <alignment horizontal="center" vertical="center"/>
    </xf>
    <xf numFmtId="0" fontId="3" fillId="0" borderId="50" xfId="0" applyFont="1" applyBorder="1" applyAlignment="1">
      <alignment horizontal="center" vertical="center"/>
    </xf>
    <xf numFmtId="0" fontId="3" fillId="0" borderId="5" xfId="0" quotePrefix="1" applyFont="1" applyBorder="1" applyAlignment="1">
      <alignment horizontal="center" vertical="center"/>
    </xf>
    <xf numFmtId="0" fontId="2" fillId="0" borderId="0" xfId="0" applyFont="1" applyAlignment="1">
      <alignment horizontal="centerContinuous" vertical="center"/>
    </xf>
    <xf numFmtId="0" fontId="3" fillId="0" borderId="50" xfId="0" applyFont="1" applyBorder="1" applyAlignment="1">
      <alignment horizontal="left" vertical="center"/>
    </xf>
    <xf numFmtId="0" fontId="3" fillId="0" borderId="5" xfId="0" applyFont="1" applyBorder="1" applyAlignment="1">
      <alignment horizontal="center" vertical="center"/>
    </xf>
    <xf numFmtId="0" fontId="3" fillId="0" borderId="51" xfId="0" applyFont="1" applyBorder="1" applyAlignment="1">
      <alignment horizontal="center" vertical="center"/>
    </xf>
    <xf numFmtId="0" fontId="3" fillId="0" borderId="53" xfId="0" applyFont="1" applyBorder="1" applyAlignment="1">
      <alignment horizontal="center" vertical="center"/>
    </xf>
    <xf numFmtId="0" fontId="4" fillId="0" borderId="0" xfId="0" applyFont="1" applyAlignment="1">
      <alignment vertical="center"/>
    </xf>
    <xf numFmtId="0" fontId="3" fillId="0" borderId="50" xfId="0" applyFont="1" applyBorder="1" applyAlignment="1">
      <alignment vertical="center"/>
    </xf>
    <xf numFmtId="37" fontId="3" fillId="0" borderId="53" xfId="0" applyNumberFormat="1" applyFont="1" applyBorder="1" applyAlignment="1">
      <alignment vertical="center"/>
    </xf>
    <xf numFmtId="37" fontId="3" fillId="0" borderId="0" xfId="0" applyNumberFormat="1" applyFont="1" applyAlignment="1">
      <alignment vertical="center"/>
    </xf>
    <xf numFmtId="168" fontId="3" fillId="0" borderId="0" xfId="0" applyNumberFormat="1" applyFont="1" applyAlignment="1">
      <alignment vertical="center"/>
    </xf>
    <xf numFmtId="168" fontId="2" fillId="0" borderId="0" xfId="0" applyNumberFormat="1" applyFont="1" applyAlignment="1">
      <alignment vertical="center"/>
    </xf>
    <xf numFmtId="168" fontId="3" fillId="0" borderId="51" xfId="0" applyNumberFormat="1" applyFont="1" applyBorder="1" applyAlignment="1">
      <alignment vertical="center"/>
    </xf>
    <xf numFmtId="0" fontId="2" fillId="0" borderId="51" xfId="0" applyFont="1" applyBorder="1" applyAlignment="1">
      <alignment horizontal="centerContinuous" vertical="center"/>
    </xf>
    <xf numFmtId="0" fontId="2" fillId="0" borderId="51" xfId="0" applyFont="1" applyBorder="1" applyAlignment="1">
      <alignment vertical="center"/>
    </xf>
    <xf numFmtId="44" fontId="1" fillId="0" borderId="0" xfId="0" applyNumberFormat="1" applyFont="1" applyAlignment="1">
      <alignment vertical="center"/>
    </xf>
    <xf numFmtId="0" fontId="3" fillId="0" borderId="50" xfId="0" applyFont="1" applyBorder="1" applyAlignment="1">
      <alignment horizontal="right" vertical="center"/>
    </xf>
    <xf numFmtId="0" fontId="3" fillId="0" borderId="4" xfId="0" applyFont="1" applyBorder="1" applyAlignment="1">
      <alignment horizontal="center" vertical="center"/>
    </xf>
    <xf numFmtId="17" fontId="3" fillId="0" borderId="51" xfId="0" applyNumberFormat="1" applyFont="1" applyBorder="1" applyAlignment="1">
      <alignment horizontal="left" vertical="center"/>
    </xf>
    <xf numFmtId="3" fontId="3" fillId="0" borderId="51" xfId="0" applyNumberFormat="1" applyFont="1" applyBorder="1" applyAlignment="1">
      <alignment horizontal="centerContinuous" vertical="center"/>
    </xf>
    <xf numFmtId="3" fontId="2" fillId="0" borderId="51" xfId="0" applyNumberFormat="1" applyFont="1" applyBorder="1" applyAlignment="1">
      <alignment horizontal="centerContinuous" vertical="center"/>
    </xf>
    <xf numFmtId="37" fontId="3" fillId="0" borderId="51" xfId="0" applyNumberFormat="1" applyFont="1" applyBorder="1" applyAlignment="1">
      <alignment vertical="center"/>
    </xf>
    <xf numFmtId="0" fontId="2" fillId="0" borderId="0" xfId="0" quotePrefix="1" applyFont="1" applyAlignment="1">
      <alignment horizontal="left" vertical="center"/>
    </xf>
    <xf numFmtId="166" fontId="2" fillId="0" borderId="0" xfId="0" applyNumberFormat="1" applyFont="1" applyAlignment="1">
      <alignment horizontal="centerContinuous" vertical="center"/>
    </xf>
    <xf numFmtId="166" fontId="3" fillId="0" borderId="50" xfId="0" applyNumberFormat="1" applyFont="1" applyBorder="1" applyAlignment="1">
      <alignment horizontal="center" vertical="center"/>
    </xf>
    <xf numFmtId="166" fontId="3" fillId="0" borderId="3" xfId="0" applyNumberFormat="1" applyFont="1" applyBorder="1" applyAlignment="1">
      <alignment horizontal="center" vertical="center"/>
    </xf>
    <xf numFmtId="0" fontId="2" fillId="0" borderId="3" xfId="0" applyFont="1" applyBorder="1" applyAlignment="1">
      <alignment horizontal="center" vertical="center"/>
    </xf>
    <xf numFmtId="0" fontId="3" fillId="0" borderId="3" xfId="0" applyFont="1" applyBorder="1" applyAlignment="1">
      <alignment horizontal="center" vertical="center"/>
    </xf>
    <xf numFmtId="166" fontId="3" fillId="0" borderId="5" xfId="0" applyNumberFormat="1" applyFont="1" applyBorder="1" applyAlignment="1">
      <alignment horizontal="center" vertical="center"/>
    </xf>
    <xf numFmtId="166" fontId="3" fillId="0" borderId="0" xfId="0" applyNumberFormat="1" applyFont="1" applyAlignment="1">
      <alignment horizontal="center" vertical="center"/>
    </xf>
    <xf numFmtId="166" fontId="3" fillId="0" borderId="51" xfId="0" applyNumberFormat="1" applyFont="1" applyBorder="1" applyAlignment="1">
      <alignment horizontal="center" vertical="center"/>
    </xf>
    <xf numFmtId="0" fontId="2" fillId="0" borderId="6" xfId="0" applyFont="1" applyBorder="1" applyAlignment="1">
      <alignment horizontal="center" vertical="center"/>
    </xf>
    <xf numFmtId="0" fontId="3" fillId="0" borderId="7" xfId="0" applyFont="1" applyBorder="1" applyAlignment="1">
      <alignment horizontal="left" vertical="center"/>
    </xf>
    <xf numFmtId="166" fontId="3" fillId="0" borderId="50" xfId="0" applyNumberFormat="1" applyFont="1" applyBorder="1" applyAlignment="1">
      <alignment horizontal="centerContinuous" vertical="center"/>
    </xf>
    <xf numFmtId="166" fontId="3" fillId="0" borderId="3" xfId="0" applyNumberFormat="1" applyFont="1" applyBorder="1" applyAlignment="1">
      <alignment horizontal="centerContinuous" vertical="center"/>
    </xf>
    <xf numFmtId="0" fontId="3" fillId="0" borderId="54" xfId="0" applyFont="1" applyBorder="1" applyAlignment="1">
      <alignment horizontal="center" vertical="center"/>
    </xf>
    <xf numFmtId="166" fontId="3" fillId="0" borderId="53" xfId="0" applyNumberFormat="1" applyFont="1" applyBorder="1" applyAlignment="1">
      <alignment horizontal="center" vertical="center"/>
    </xf>
    <xf numFmtId="166" fontId="3" fillId="0" borderId="51" xfId="0" applyNumberFormat="1" applyFont="1" applyBorder="1" applyAlignment="1">
      <alignment horizontal="centerContinuous" vertical="center"/>
    </xf>
    <xf numFmtId="0" fontId="3" fillId="0" borderId="51" xfId="0" applyFont="1" applyBorder="1" applyAlignment="1">
      <alignment horizontal="centerContinuous" vertical="center"/>
    </xf>
    <xf numFmtId="168" fontId="2" fillId="0" borderId="51" xfId="0" applyNumberFormat="1" applyFont="1" applyBorder="1" applyAlignment="1">
      <alignment vertical="center"/>
    </xf>
    <xf numFmtId="0" fontId="3" fillId="0" borderId="2" xfId="0" applyFont="1" applyBorder="1" applyAlignment="1">
      <alignment vertical="center"/>
    </xf>
    <xf numFmtId="0" fontId="3" fillId="0" borderId="4" xfId="0" quotePrefix="1" applyFont="1" applyBorder="1" applyAlignment="1">
      <alignment vertical="center"/>
    </xf>
    <xf numFmtId="0" fontId="3" fillId="0" borderId="5" xfId="0" applyFont="1" applyBorder="1" applyAlignment="1">
      <alignment horizontal="centerContinuous" vertical="center"/>
    </xf>
    <xf numFmtId="0" fontId="3" fillId="0" borderId="3" xfId="0" applyFont="1" applyBorder="1" applyAlignment="1">
      <alignment horizontal="left" vertical="center"/>
    </xf>
    <xf numFmtId="3" fontId="3" fillId="0" borderId="5" xfId="0" applyNumberFormat="1" applyFont="1" applyBorder="1" applyAlignment="1">
      <alignment vertical="center"/>
    </xf>
    <xf numFmtId="3" fontId="2" fillId="0" borderId="5" xfId="0" applyNumberFormat="1" applyFont="1" applyBorder="1" applyAlignment="1">
      <alignment horizontal="centerContinuous" vertical="center"/>
    </xf>
    <xf numFmtId="15" fontId="2" fillId="0" borderId="3" xfId="0" applyNumberFormat="1" applyFont="1" applyBorder="1" applyAlignment="1">
      <alignment vertical="center"/>
    </xf>
    <xf numFmtId="3" fontId="2" fillId="0" borderId="5" xfId="0" applyNumberFormat="1" applyFont="1" applyBorder="1" applyAlignment="1">
      <alignment vertical="center"/>
    </xf>
    <xf numFmtId="0" fontId="3" fillId="0" borderId="3" xfId="0" applyFont="1" applyBorder="1" applyAlignment="1">
      <alignment vertical="center"/>
    </xf>
    <xf numFmtId="3" fontId="3" fillId="0" borderId="53" xfId="0" applyNumberFormat="1" applyFont="1" applyBorder="1" applyAlignment="1">
      <alignment vertical="center"/>
    </xf>
    <xf numFmtId="0" fontId="3" fillId="0" borderId="2" xfId="0" applyFont="1" applyBorder="1" applyAlignment="1">
      <alignment horizontal="left" vertical="center"/>
    </xf>
    <xf numFmtId="0" fontId="3" fillId="0" borderId="2" xfId="0" applyFont="1" applyBorder="1" applyAlignment="1">
      <alignment horizontal="center" vertical="center"/>
    </xf>
    <xf numFmtId="0" fontId="3" fillId="0" borderId="48" xfId="0" applyFont="1" applyBorder="1" applyAlignment="1">
      <alignment horizontal="centerContinuous" vertical="center"/>
    </xf>
    <xf numFmtId="0" fontId="2" fillId="0" borderId="3" xfId="0" applyFont="1" applyBorder="1" applyAlignment="1">
      <alignment horizontal="right" vertical="center"/>
    </xf>
    <xf numFmtId="0" fontId="2" fillId="0" borderId="48" xfId="0" applyFont="1" applyBorder="1" applyAlignment="1">
      <alignment horizontal="center" vertical="center"/>
    </xf>
    <xf numFmtId="17" fontId="2" fillId="0" borderId="3" xfId="0" applyNumberFormat="1" applyFont="1" applyBorder="1" applyAlignment="1">
      <alignment horizontal="left" vertical="center"/>
    </xf>
    <xf numFmtId="17" fontId="2" fillId="0" borderId="54" xfId="0" applyNumberFormat="1" applyFont="1" applyBorder="1" applyAlignment="1">
      <alignment horizontal="left" vertical="center"/>
    </xf>
    <xf numFmtId="0" fontId="3" fillId="0" borderId="54" xfId="0" applyFont="1" applyBorder="1" applyAlignment="1">
      <alignment vertical="center"/>
    </xf>
    <xf numFmtId="0" fontId="16" fillId="0" borderId="0" xfId="0" applyFont="1" applyAlignment="1">
      <alignment vertical="center" wrapText="1"/>
    </xf>
    <xf numFmtId="5" fontId="22" fillId="0" borderId="0" xfId="0" applyNumberFormat="1" applyFont="1" applyAlignment="1">
      <alignment horizontal="center" vertical="center"/>
    </xf>
    <xf numFmtId="44" fontId="0" fillId="0" borderId="0" xfId="0" applyNumberFormat="1" applyAlignment="1">
      <alignment vertical="center"/>
    </xf>
    <xf numFmtId="0" fontId="2" fillId="0" borderId="3" xfId="0" applyFont="1" applyBorder="1" applyAlignment="1">
      <alignment vertical="center"/>
    </xf>
    <xf numFmtId="0" fontId="3" fillId="0" borderId="7" xfId="0" applyFont="1" applyBorder="1" applyAlignment="1">
      <alignment vertical="center"/>
    </xf>
    <xf numFmtId="171" fontId="2" fillId="0" borderId="0" xfId="0" applyNumberFormat="1" applyFont="1" applyAlignment="1">
      <alignment vertical="center"/>
    </xf>
    <xf numFmtId="166" fontId="3" fillId="0" borderId="4" xfId="0" quotePrefix="1" applyNumberFormat="1" applyFont="1" applyBorder="1" applyAlignment="1">
      <alignment horizontal="center" vertical="center"/>
    </xf>
    <xf numFmtId="165" fontId="2" fillId="0" borderId="3" xfId="0" applyNumberFormat="1" applyFont="1" applyBorder="1" applyAlignment="1">
      <alignment horizontal="left" vertical="center"/>
    </xf>
    <xf numFmtId="0" fontId="3" fillId="0" borderId="0" xfId="0" quotePrefix="1" applyFont="1" applyAlignment="1">
      <alignment horizontal="centerContinuous" vertical="center"/>
    </xf>
    <xf numFmtId="0" fontId="23" fillId="0" borderId="0" xfId="0" applyFont="1" applyAlignment="1">
      <alignment horizontal="center" vertical="center"/>
    </xf>
    <xf numFmtId="164" fontId="2" fillId="0" borderId="0" xfId="0" applyNumberFormat="1" applyFont="1" applyAlignment="1">
      <alignment horizontal="center" vertical="center"/>
    </xf>
    <xf numFmtId="0" fontId="3" fillId="0" borderId="0" xfId="0" applyFont="1" applyAlignment="1">
      <alignment horizontal="left" vertical="center"/>
    </xf>
    <xf numFmtId="0" fontId="16" fillId="0" borderId="0" xfId="0" applyFont="1" applyAlignment="1">
      <alignment horizontal="center" vertical="center"/>
    </xf>
    <xf numFmtId="0" fontId="16" fillId="0" borderId="0" xfId="0" applyFont="1" applyAlignment="1">
      <alignment horizontal="left" vertical="center"/>
    </xf>
    <xf numFmtId="14" fontId="16" fillId="0" borderId="0" xfId="0" applyNumberFormat="1" applyFont="1" applyAlignment="1">
      <alignment vertical="center"/>
    </xf>
    <xf numFmtId="0" fontId="23" fillId="0" borderId="0" xfId="0" quotePrefix="1" applyFont="1" applyAlignment="1">
      <alignment horizontal="center" vertical="center"/>
    </xf>
    <xf numFmtId="172" fontId="2" fillId="0" borderId="0" xfId="0" applyNumberFormat="1" applyFont="1" applyAlignment="1">
      <alignment horizontal="left" vertical="center"/>
    </xf>
    <xf numFmtId="3" fontId="3" fillId="0" borderId="0" xfId="0" applyNumberFormat="1" applyFont="1" applyAlignment="1">
      <alignment horizontal="right" vertical="center"/>
    </xf>
    <xf numFmtId="3" fontId="3" fillId="0" borderId="0" xfId="0" applyNumberFormat="1" applyFont="1" applyAlignment="1">
      <alignment vertical="center"/>
    </xf>
    <xf numFmtId="17" fontId="4" fillId="0" borderId="0" xfId="0" applyNumberFormat="1" applyFont="1" applyAlignment="1">
      <alignment horizontal="left" vertical="center"/>
    </xf>
    <xf numFmtId="17" fontId="3" fillId="0" borderId="0" xfId="0" applyNumberFormat="1" applyFont="1" applyAlignment="1">
      <alignment horizontal="left" vertical="center"/>
    </xf>
    <xf numFmtId="165" fontId="4" fillId="0" borderId="0" xfId="0" applyNumberFormat="1" applyFont="1" applyAlignment="1">
      <alignment vertical="center"/>
    </xf>
    <xf numFmtId="3" fontId="3" fillId="0" borderId="0" xfId="0" applyNumberFormat="1" applyFont="1" applyAlignment="1">
      <alignment horizontal="centerContinuous" vertical="center"/>
    </xf>
    <xf numFmtId="15" fontId="3" fillId="0" borderId="0" xfId="0" applyNumberFormat="1" applyFont="1" applyAlignment="1">
      <alignment vertical="center"/>
    </xf>
    <xf numFmtId="166" fontId="4" fillId="0" borderId="0" xfId="0" applyNumberFormat="1" applyFont="1" applyAlignment="1">
      <alignment vertical="center"/>
    </xf>
    <xf numFmtId="166" fontId="3" fillId="0" borderId="50" xfId="0" applyNumberFormat="1" applyFont="1" applyBorder="1" applyAlignment="1">
      <alignment vertical="center"/>
    </xf>
    <xf numFmtId="0" fontId="32" fillId="0" borderId="0" xfId="0" applyFont="1" applyAlignment="1">
      <alignment vertical="center"/>
    </xf>
    <xf numFmtId="168" fontId="2" fillId="0" borderId="0" xfId="0" applyNumberFormat="1" applyFont="1" applyAlignment="1">
      <alignment vertical="center" wrapText="1"/>
    </xf>
    <xf numFmtId="15" fontId="2" fillId="0" borderId="0" xfId="0" applyNumberFormat="1" applyFont="1" applyAlignment="1">
      <alignment horizontal="center" vertical="center"/>
    </xf>
    <xf numFmtId="0" fontId="22" fillId="0" borderId="0" xfId="0" applyFont="1" applyAlignment="1">
      <alignment horizontal="center" vertical="center"/>
    </xf>
    <xf numFmtId="0" fontId="22" fillId="0" borderId="0" xfId="0" applyFont="1" applyAlignment="1">
      <alignment horizontal="left" vertical="center"/>
    </xf>
    <xf numFmtId="49" fontId="2" fillId="0" borderId="0" xfId="0" applyNumberFormat="1" applyFont="1" applyAlignment="1">
      <alignment vertical="center"/>
    </xf>
    <xf numFmtId="49" fontId="2" fillId="0" borderId="0" xfId="0" applyNumberFormat="1" applyFont="1" applyAlignment="1">
      <alignment horizontal="centerContinuous" vertical="center"/>
    </xf>
    <xf numFmtId="166" fontId="2" fillId="0" borderId="0" xfId="0" quotePrefix="1" applyNumberFormat="1" applyFont="1" applyAlignment="1">
      <alignment horizontal="centerContinuous" vertical="center"/>
    </xf>
    <xf numFmtId="49" fontId="3" fillId="0" borderId="17" xfId="0" applyNumberFormat="1" applyFont="1" applyBorder="1" applyAlignment="1">
      <alignment vertical="center"/>
    </xf>
    <xf numFmtId="0" fontId="3" fillId="0" borderId="10" xfId="0" applyFont="1" applyBorder="1" applyAlignment="1">
      <alignment vertical="center"/>
    </xf>
    <xf numFmtId="0" fontId="3" fillId="0" borderId="9" xfId="0" quotePrefix="1" applyFont="1" applyBorder="1" applyAlignment="1">
      <alignment horizontal="center" vertical="center"/>
    </xf>
    <xf numFmtId="166" fontId="3" fillId="0" borderId="9" xfId="0" quotePrefix="1" applyNumberFormat="1" applyFont="1" applyBorder="1" applyAlignment="1">
      <alignment horizontal="center" vertical="center"/>
    </xf>
    <xf numFmtId="0" fontId="3" fillId="0" borderId="11" xfId="0" applyFont="1" applyBorder="1" applyAlignment="1">
      <alignment vertical="center"/>
    </xf>
    <xf numFmtId="49" fontId="3" fillId="0" borderId="19" xfId="0" applyNumberFormat="1" applyFont="1" applyBorder="1" applyAlignment="1">
      <alignment horizontal="center" vertical="center"/>
    </xf>
    <xf numFmtId="0" fontId="2" fillId="0" borderId="13" xfId="0" applyFont="1" applyBorder="1" applyAlignment="1">
      <alignment horizontal="center" vertical="center"/>
    </xf>
    <xf numFmtId="49" fontId="3" fillId="0" borderId="64" xfId="0" applyNumberFormat="1" applyFont="1" applyBorder="1" applyAlignment="1">
      <alignment horizontal="center" vertical="center"/>
    </xf>
    <xf numFmtId="0" fontId="3" fillId="0" borderId="65" xfId="0" applyFont="1" applyBorder="1" applyAlignment="1">
      <alignment horizontal="center" vertical="center"/>
    </xf>
    <xf numFmtId="49" fontId="2" fillId="0" borderId="19" xfId="0" applyNumberFormat="1" applyFont="1" applyBorder="1" applyAlignment="1">
      <alignment vertical="center"/>
    </xf>
    <xf numFmtId="0" fontId="13" fillId="0" borderId="0" xfId="0" applyFont="1" applyAlignment="1">
      <alignment vertical="center"/>
    </xf>
    <xf numFmtId="38" fontId="3" fillId="0" borderId="13" xfId="0" applyNumberFormat="1" applyFont="1" applyBorder="1" applyAlignment="1">
      <alignment vertical="center"/>
    </xf>
    <xf numFmtId="0" fontId="2" fillId="0" borderId="19" xfId="0" applyFont="1" applyBorder="1" applyAlignment="1">
      <alignment horizontal="center" vertical="center"/>
    </xf>
    <xf numFmtId="38" fontId="2" fillId="0" borderId="13" xfId="0" applyNumberFormat="1" applyFont="1" applyBorder="1" applyAlignment="1">
      <alignment horizontal="center" vertical="center"/>
    </xf>
    <xf numFmtId="49" fontId="2" fillId="0" borderId="63" xfId="0" applyNumberFormat="1" applyFont="1" applyBorder="1" applyAlignment="1">
      <alignment vertical="center"/>
    </xf>
    <xf numFmtId="49" fontId="2" fillId="0" borderId="19" xfId="0" applyNumberFormat="1" applyFont="1" applyBorder="1" applyAlignment="1">
      <alignment horizontal="center" vertical="center"/>
    </xf>
    <xf numFmtId="49" fontId="2" fillId="0" borderId="63" xfId="0" applyNumberFormat="1" applyFont="1" applyBorder="1" applyAlignment="1">
      <alignment horizontal="center" vertical="center"/>
    </xf>
    <xf numFmtId="49" fontId="2" fillId="0" borderId="12" xfId="0" applyNumberFormat="1" applyFont="1" applyBorder="1" applyAlignment="1">
      <alignment horizontal="center" vertical="center"/>
    </xf>
    <xf numFmtId="0" fontId="2" fillId="0" borderId="13" xfId="0" applyFont="1" applyBorder="1" applyAlignment="1">
      <alignment vertical="center"/>
    </xf>
    <xf numFmtId="49" fontId="8" fillId="0" borderId="12" xfId="0" applyNumberFormat="1" applyFont="1" applyBorder="1" applyAlignment="1">
      <alignment vertical="center"/>
    </xf>
    <xf numFmtId="0" fontId="3" fillId="0" borderId="12" xfId="0" applyFont="1" applyBorder="1" applyAlignment="1">
      <alignment horizontal="left" vertical="center"/>
    </xf>
    <xf numFmtId="49" fontId="2" fillId="0" borderId="66" xfId="0" applyNumberFormat="1" applyFont="1" applyBorder="1" applyAlignment="1">
      <alignment horizontal="center" vertical="center"/>
    </xf>
    <xf numFmtId="49" fontId="2" fillId="0" borderId="0" xfId="0" applyNumberFormat="1" applyFont="1" applyAlignment="1">
      <alignment horizontal="center" vertical="center"/>
    </xf>
    <xf numFmtId="37" fontId="3" fillId="0" borderId="0" xfId="0" applyNumberFormat="1" applyFont="1" applyAlignment="1">
      <alignment horizontal="center" vertical="center"/>
    </xf>
    <xf numFmtId="37" fontId="3" fillId="0" borderId="17" xfId="0" applyNumberFormat="1" applyFont="1" applyBorder="1" applyAlignment="1">
      <alignment horizontal="center" vertical="center"/>
    </xf>
    <xf numFmtId="37" fontId="3" fillId="0" borderId="10" xfId="0" applyNumberFormat="1" applyFont="1" applyBorder="1" applyAlignment="1">
      <alignment vertical="center"/>
    </xf>
    <xf numFmtId="37" fontId="3" fillId="0" borderId="9" xfId="0" quotePrefix="1" applyNumberFormat="1" applyFont="1" applyBorder="1" applyAlignment="1">
      <alignment horizontal="center" vertical="center"/>
    </xf>
    <xf numFmtId="37" fontId="3" fillId="0" borderId="10" xfId="0" quotePrefix="1" applyNumberFormat="1" applyFont="1" applyBorder="1" applyAlignment="1">
      <alignment horizontal="center" vertical="center"/>
    </xf>
    <xf numFmtId="37" fontId="3" fillId="0" borderId="11" xfId="0" quotePrefix="1" applyNumberFormat="1" applyFont="1" applyBorder="1" applyAlignment="1">
      <alignment horizontal="center" vertical="center"/>
    </xf>
    <xf numFmtId="37" fontId="3" fillId="0" borderId="19" xfId="0" applyNumberFormat="1" applyFont="1" applyBorder="1" applyAlignment="1">
      <alignment horizontal="center" vertical="center"/>
    </xf>
    <xf numFmtId="37" fontId="3" fillId="0" borderId="13" xfId="0" quotePrefix="1" applyNumberFormat="1" applyFont="1" applyBorder="1" applyAlignment="1">
      <alignment horizontal="center" vertical="center"/>
    </xf>
    <xf numFmtId="37" fontId="3" fillId="0" borderId="63" xfId="0" applyNumberFormat="1" applyFont="1" applyBorder="1" applyAlignment="1">
      <alignment horizontal="center" vertical="center"/>
    </xf>
    <xf numFmtId="37" fontId="3" fillId="0" borderId="49" xfId="0" applyNumberFormat="1" applyFont="1" applyBorder="1" applyAlignment="1">
      <alignment horizontal="center" vertical="center"/>
    </xf>
    <xf numFmtId="37" fontId="2" fillId="0" borderId="19" xfId="0" applyNumberFormat="1" applyFont="1" applyBorder="1" applyAlignment="1">
      <alignment horizontal="center" vertical="center"/>
    </xf>
    <xf numFmtId="37" fontId="13" fillId="0" borderId="0" xfId="0" applyNumberFormat="1" applyFont="1" applyAlignment="1">
      <alignment vertical="center"/>
    </xf>
    <xf numFmtId="37" fontId="2" fillId="0" borderId="0" xfId="0" applyNumberFormat="1" applyFont="1" applyAlignment="1">
      <alignment horizontal="left" vertical="center"/>
    </xf>
    <xf numFmtId="39" fontId="2" fillId="0" borderId="0" xfId="0" applyNumberFormat="1" applyFont="1" applyAlignment="1">
      <alignment vertical="center"/>
    </xf>
    <xf numFmtId="174" fontId="2" fillId="0" borderId="19" xfId="0" applyNumberFormat="1" applyFont="1" applyBorder="1" applyAlignment="1">
      <alignment horizontal="center" vertical="center"/>
    </xf>
    <xf numFmtId="37" fontId="2" fillId="0" borderId="13" xfId="0" applyNumberFormat="1" applyFont="1" applyBorder="1" applyAlignment="1">
      <alignment vertical="center"/>
    </xf>
    <xf numFmtId="37" fontId="2" fillId="0" borderId="13" xfId="0" applyNumberFormat="1" applyFont="1" applyBorder="1" applyAlignment="1">
      <alignment horizontal="center" vertical="center"/>
    </xf>
    <xf numFmtId="37" fontId="2" fillId="0" borderId="63" xfId="0" applyNumberFormat="1" applyFont="1" applyBorder="1" applyAlignment="1">
      <alignment vertical="center"/>
    </xf>
    <xf numFmtId="37" fontId="2" fillId="0" borderId="12" xfId="0" applyNumberFormat="1" applyFont="1" applyBorder="1" applyAlignment="1">
      <alignment vertical="center"/>
    </xf>
    <xf numFmtId="37" fontId="8" fillId="0" borderId="12" xfId="0" applyNumberFormat="1" applyFont="1" applyBorder="1" applyAlignment="1">
      <alignment horizontal="left" vertical="center"/>
    </xf>
    <xf numFmtId="0" fontId="6" fillId="0" borderId="12" xfId="0" applyFont="1" applyBorder="1" applyAlignment="1">
      <alignment horizontal="center" vertical="center"/>
    </xf>
    <xf numFmtId="37" fontId="2" fillId="0" borderId="66" xfId="0" applyNumberFormat="1" applyFont="1" applyBorder="1" applyAlignment="1">
      <alignment vertical="center"/>
    </xf>
    <xf numFmtId="174" fontId="2" fillId="0" borderId="0" xfId="0" applyNumberFormat="1" applyFont="1" applyAlignment="1">
      <alignment vertical="center"/>
    </xf>
    <xf numFmtId="37" fontId="6" fillId="0" borderId="0" xfId="0" applyNumberFormat="1" applyFont="1" applyAlignment="1">
      <alignment horizontal="center" vertical="center"/>
    </xf>
    <xf numFmtId="37" fontId="3" fillId="0" borderId="0" xfId="0" applyNumberFormat="1" applyFont="1" applyAlignment="1" applyProtection="1">
      <alignment horizontal="center" vertical="center"/>
      <protection locked="0"/>
    </xf>
    <xf numFmtId="5" fontId="12" fillId="0" borderId="0" xfId="0" applyNumberFormat="1" applyFont="1" applyAlignment="1" applyProtection="1">
      <alignment vertical="center"/>
      <protection locked="0"/>
    </xf>
    <xf numFmtId="5" fontId="12" fillId="0" borderId="0" xfId="0" applyNumberFormat="1" applyFont="1" applyAlignment="1" applyProtection="1">
      <alignment horizontal="center" vertical="center"/>
      <protection locked="0"/>
    </xf>
    <xf numFmtId="5" fontId="23" fillId="0" borderId="0" xfId="0" applyNumberFormat="1" applyFont="1" applyAlignment="1">
      <alignment horizontal="center" vertical="center"/>
    </xf>
    <xf numFmtId="0" fontId="23" fillId="0" borderId="0" xfId="0" applyFont="1" applyAlignment="1">
      <alignment vertical="center"/>
    </xf>
    <xf numFmtId="0" fontId="4" fillId="0" borderId="0" xfId="0" applyFont="1" applyAlignment="1">
      <alignment horizontal="center" vertical="center"/>
    </xf>
    <xf numFmtId="165" fontId="22" fillId="0" borderId="0" xfId="0" applyNumberFormat="1" applyFont="1" applyAlignment="1" applyProtection="1">
      <alignment vertical="center"/>
      <protection locked="0"/>
    </xf>
    <xf numFmtId="5" fontId="3" fillId="0" borderId="0" xfId="0" applyNumberFormat="1" applyFont="1" applyAlignment="1">
      <alignment horizontal="center" vertical="center"/>
    </xf>
    <xf numFmtId="183" fontId="3" fillId="0" borderId="4" xfId="0" quotePrefix="1" applyNumberFormat="1" applyFont="1" applyBorder="1" applyAlignment="1">
      <alignment horizontal="center" vertical="center"/>
    </xf>
    <xf numFmtId="0" fontId="2" fillId="0" borderId="51" xfId="0" applyFont="1" applyBorder="1" applyAlignment="1">
      <alignment horizontal="center" vertical="center"/>
    </xf>
    <xf numFmtId="0" fontId="3" fillId="0" borderId="53" xfId="0" applyFont="1" applyBorder="1" applyAlignment="1">
      <alignment vertical="center"/>
    </xf>
    <xf numFmtId="5" fontId="2" fillId="0" borderId="0" xfId="0" applyNumberFormat="1" applyFont="1" applyAlignment="1">
      <alignment horizontal="center" vertical="center" wrapText="1"/>
    </xf>
    <xf numFmtId="166" fontId="3" fillId="0" borderId="4" xfId="0" quotePrefix="1" applyNumberFormat="1" applyFont="1" applyBorder="1" applyAlignment="1">
      <alignment horizontal="centerContinuous" vertical="center"/>
    </xf>
    <xf numFmtId="166" fontId="3" fillId="0" borderId="5" xfId="0" applyNumberFormat="1" applyFont="1" applyBorder="1" applyAlignment="1">
      <alignment horizontal="centerContinuous" vertical="center"/>
    </xf>
    <xf numFmtId="166" fontId="3" fillId="0" borderId="5" xfId="0" quotePrefix="1" applyNumberFormat="1" applyFont="1" applyBorder="1" applyAlignment="1">
      <alignment horizontal="center" vertical="center"/>
    </xf>
    <xf numFmtId="49" fontId="3" fillId="0" borderId="0" xfId="0" applyNumberFormat="1" applyFont="1" applyAlignment="1">
      <alignment horizontal="center" vertical="center"/>
    </xf>
    <xf numFmtId="49" fontId="3" fillId="0" borderId="50" xfId="0" applyNumberFormat="1" applyFont="1" applyBorder="1" applyAlignment="1">
      <alignment horizontal="center" vertical="center"/>
    </xf>
    <xf numFmtId="176" fontId="16" fillId="0" borderId="0" xfId="0" applyNumberFormat="1" applyFont="1" applyAlignment="1">
      <alignment vertical="center"/>
    </xf>
    <xf numFmtId="177" fontId="2" fillId="0" borderId="0" xfId="0" applyNumberFormat="1" applyFont="1" applyAlignment="1">
      <alignment vertical="center"/>
    </xf>
    <xf numFmtId="178" fontId="2" fillId="0" borderId="0" xfId="0" applyNumberFormat="1" applyFont="1" applyAlignment="1">
      <alignment vertical="center"/>
    </xf>
    <xf numFmtId="166" fontId="2" fillId="0" borderId="6" xfId="0" applyNumberFormat="1" applyFont="1" applyBorder="1" applyAlignment="1">
      <alignment vertical="center"/>
    </xf>
    <xf numFmtId="43" fontId="16" fillId="0" borderId="0" xfId="0" applyNumberFormat="1" applyFont="1" applyAlignment="1">
      <alignment vertical="center"/>
    </xf>
    <xf numFmtId="0" fontId="2" fillId="0" borderId="5" xfId="0" applyFont="1" applyBorder="1" applyAlignment="1">
      <alignment horizontal="center" vertical="center"/>
    </xf>
    <xf numFmtId="0" fontId="3" fillId="0" borderId="2" xfId="0" quotePrefix="1" applyFont="1" applyBorder="1" applyAlignment="1">
      <alignment horizontal="center" vertical="center"/>
    </xf>
    <xf numFmtId="0" fontId="3" fillId="0" borderId="6" xfId="0" applyFont="1" applyBorder="1" applyAlignment="1">
      <alignment horizontal="left" vertical="center"/>
    </xf>
    <xf numFmtId="0" fontId="2" fillId="0" borderId="6" xfId="0" applyFont="1" applyBorder="1" applyAlignment="1">
      <alignment horizontal="left" vertical="center"/>
    </xf>
    <xf numFmtId="169" fontId="2" fillId="0" borderId="0" xfId="0" applyNumberFormat="1" applyFont="1" applyAlignment="1">
      <alignment horizontal="center" vertical="center"/>
    </xf>
    <xf numFmtId="0" fontId="3" fillId="0" borderId="51" xfId="0" applyFont="1" applyBorder="1" applyAlignment="1">
      <alignment horizontal="center" vertical="center" wrapText="1"/>
    </xf>
    <xf numFmtId="0" fontId="2" fillId="0" borderId="51" xfId="0" applyFont="1" applyBorder="1" applyAlignment="1" applyProtection="1">
      <alignment horizontal="center" vertical="center"/>
      <protection locked="0"/>
    </xf>
    <xf numFmtId="0" fontId="18" fillId="0" borderId="0" xfId="0" applyFont="1" applyAlignment="1">
      <alignment vertical="center"/>
    </xf>
    <xf numFmtId="0" fontId="18" fillId="0" borderId="0" xfId="0" applyFont="1" applyAlignment="1">
      <alignment horizontal="centerContinuous" vertical="center"/>
    </xf>
    <xf numFmtId="0" fontId="18" fillId="0" borderId="51" xfId="0" applyFont="1" applyBorder="1" applyAlignment="1">
      <alignment horizontal="center" vertical="center"/>
    </xf>
    <xf numFmtId="178" fontId="3" fillId="0" borderId="0" xfId="0" applyNumberFormat="1" applyFont="1" applyAlignment="1">
      <alignment vertical="center"/>
    </xf>
    <xf numFmtId="41" fontId="3" fillId="0" borderId="51" xfId="0" applyNumberFormat="1" applyFont="1" applyBorder="1" applyAlignment="1">
      <alignment vertical="center"/>
    </xf>
    <xf numFmtId="5" fontId="25" fillId="0" borderId="0" xfId="0" applyNumberFormat="1" applyFont="1" applyAlignment="1">
      <alignment horizontal="center" vertical="center"/>
    </xf>
    <xf numFmtId="0" fontId="23" fillId="0" borderId="0" xfId="0" applyFont="1" applyAlignment="1">
      <alignment horizontal="center" vertical="center" wrapText="1"/>
    </xf>
    <xf numFmtId="0" fontId="22" fillId="0" borderId="0" xfId="0" applyFont="1" applyAlignment="1">
      <alignment horizontal="right" vertical="center"/>
    </xf>
    <xf numFmtId="0" fontId="22" fillId="0" borderId="0" xfId="0" applyFont="1" applyAlignment="1">
      <alignment horizontal="center" vertical="center" wrapText="1"/>
    </xf>
    <xf numFmtId="6" fontId="3" fillId="0" borderId="0" xfId="0" quotePrefix="1" applyNumberFormat="1" applyFont="1" applyAlignment="1">
      <alignment horizontal="centerContinuous" vertical="center"/>
    </xf>
    <xf numFmtId="179" fontId="2" fillId="0" borderId="0" xfId="0" applyNumberFormat="1" applyFont="1" applyAlignment="1">
      <alignment horizontal="center" vertical="center"/>
    </xf>
    <xf numFmtId="1" fontId="2" fillId="0" borderId="0" xfId="0" applyNumberFormat="1" applyFont="1" applyAlignment="1">
      <alignment vertical="center"/>
    </xf>
    <xf numFmtId="165" fontId="2" fillId="0" borderId="51" xfId="0" applyNumberFormat="1" applyFont="1" applyBorder="1" applyAlignment="1">
      <alignment horizontal="center" vertical="center"/>
    </xf>
    <xf numFmtId="6" fontId="3" fillId="0" borderId="0" xfId="0" quotePrefix="1" applyNumberFormat="1" applyFont="1" applyAlignment="1">
      <alignment horizontal="center" vertical="center"/>
    </xf>
    <xf numFmtId="180" fontId="2" fillId="0" borderId="0" xfId="0" applyNumberFormat="1" applyFont="1" applyAlignment="1">
      <alignment vertical="center"/>
    </xf>
    <xf numFmtId="17" fontId="3" fillId="0" borderId="50" xfId="0" applyNumberFormat="1" applyFont="1" applyBorder="1" applyAlignment="1">
      <alignment horizontal="left" vertical="center"/>
    </xf>
    <xf numFmtId="0" fontId="3" fillId="0" borderId="17" xfId="0" applyFont="1" applyBorder="1" applyAlignment="1">
      <alignment horizontal="center" vertical="center"/>
    </xf>
    <xf numFmtId="0" fontId="3" fillId="0" borderId="10" xfId="0" applyFont="1" applyBorder="1" applyAlignment="1">
      <alignment horizontal="center" vertical="center"/>
    </xf>
    <xf numFmtId="0" fontId="3" fillId="0" borderId="9" xfId="0" applyFont="1" applyBorder="1" applyAlignment="1">
      <alignment vertical="center"/>
    </xf>
    <xf numFmtId="0" fontId="3" fillId="0" borderId="9" xfId="0" applyFont="1" applyBorder="1" applyAlignment="1">
      <alignment horizontal="center" vertical="center"/>
    </xf>
    <xf numFmtId="0" fontId="3" fillId="0" borderId="18" xfId="0" applyFont="1" applyBorder="1" applyAlignment="1">
      <alignment horizontal="center" vertical="center"/>
    </xf>
    <xf numFmtId="17" fontId="3" fillId="0" borderId="11" xfId="0" applyNumberFormat="1" applyFont="1" applyBorder="1" applyAlignment="1">
      <alignment horizontal="center" vertical="center"/>
    </xf>
    <xf numFmtId="17" fontId="2" fillId="0" borderId="19" xfId="0" applyNumberFormat="1" applyFont="1" applyBorder="1" applyAlignment="1">
      <alignment vertical="center"/>
    </xf>
    <xf numFmtId="0" fontId="2" fillId="0" borderId="9" xfId="0" applyFont="1" applyBorder="1" applyAlignment="1">
      <alignment vertical="center"/>
    </xf>
    <xf numFmtId="0" fontId="25" fillId="0" borderId="0" xfId="0" applyFont="1" applyAlignment="1">
      <alignment horizontal="center" vertical="center" wrapText="1"/>
    </xf>
    <xf numFmtId="182" fontId="2" fillId="0" borderId="0" xfId="0" applyNumberFormat="1" applyFont="1" applyAlignment="1">
      <alignment horizontal="center" vertical="center" wrapText="1"/>
    </xf>
    <xf numFmtId="1" fontId="3" fillId="0" borderId="0" xfId="0" applyNumberFormat="1" applyFont="1" applyAlignment="1">
      <alignment horizontal="center" vertical="center"/>
    </xf>
    <xf numFmtId="167" fontId="3" fillId="0" borderId="0" xfId="0" applyNumberFormat="1" applyFont="1" applyAlignment="1">
      <alignment vertical="center"/>
    </xf>
    <xf numFmtId="182" fontId="3" fillId="0" borderId="0" xfId="0" applyNumberFormat="1" applyFont="1" applyAlignment="1">
      <alignment horizontal="center" vertical="center" wrapText="1"/>
    </xf>
    <xf numFmtId="182" fontId="3" fillId="0" borderId="0" xfId="0" applyNumberFormat="1" applyFont="1" applyAlignment="1">
      <alignment horizontal="center" vertical="center"/>
    </xf>
    <xf numFmtId="0" fontId="3" fillId="0" borderId="0" xfId="0" applyFont="1" applyAlignment="1">
      <alignment horizontal="center" vertical="center" wrapText="1"/>
    </xf>
    <xf numFmtId="167" fontId="3" fillId="0" borderId="0" xfId="0" applyNumberFormat="1" applyFont="1" applyAlignment="1">
      <alignment horizontal="center" vertical="center"/>
    </xf>
    <xf numFmtId="167" fontId="3" fillId="0" borderId="0" xfId="0" applyNumberFormat="1" applyFont="1" applyAlignment="1">
      <alignment horizontal="right" vertical="center"/>
    </xf>
    <xf numFmtId="0" fontId="3" fillId="0" borderId="0" xfId="0" applyFont="1" applyAlignment="1">
      <alignment horizontal="right" vertical="center"/>
    </xf>
    <xf numFmtId="0" fontId="2" fillId="0" borderId="0" xfId="0" applyFont="1" applyAlignment="1">
      <alignment horizontal="right" vertical="center" wrapText="1"/>
    </xf>
    <xf numFmtId="0" fontId="16" fillId="0" borderId="0" xfId="0" applyFont="1" applyAlignment="1">
      <alignment horizontal="center" vertical="center" wrapText="1"/>
    </xf>
    <xf numFmtId="0" fontId="3" fillId="0" borderId="12" xfId="0" applyFont="1" applyBorder="1" applyAlignment="1">
      <alignment horizontal="center" vertical="center" wrapText="1"/>
    </xf>
    <xf numFmtId="0" fontId="3" fillId="0" borderId="18" xfId="0" applyFont="1" applyBorder="1" applyAlignment="1">
      <alignment horizontal="center" vertical="center" wrapText="1"/>
    </xf>
    <xf numFmtId="0" fontId="16" fillId="0" borderId="12" xfId="0" applyFont="1" applyBorder="1" applyAlignment="1">
      <alignment horizontal="left" vertical="center"/>
    </xf>
    <xf numFmtId="0" fontId="16" fillId="0" borderId="12" xfId="0" applyFont="1" applyBorder="1" applyAlignment="1">
      <alignment horizontal="left" vertical="center" wrapText="1"/>
    </xf>
    <xf numFmtId="0" fontId="19" fillId="0" borderId="0" xfId="0" applyFont="1" applyAlignment="1">
      <alignment horizontal="center" vertical="center"/>
    </xf>
    <xf numFmtId="0" fontId="16" fillId="0" borderId="8" xfId="0" applyFont="1" applyBorder="1" applyAlignment="1">
      <alignment vertical="center"/>
    </xf>
    <xf numFmtId="0" fontId="18" fillId="0" borderId="9" xfId="0" applyFont="1" applyBorder="1" applyAlignment="1">
      <alignment horizontal="center" vertical="center"/>
    </xf>
    <xf numFmtId="0" fontId="16" fillId="0" borderId="18" xfId="0" applyFont="1" applyBorder="1" applyAlignment="1">
      <alignment vertical="center"/>
    </xf>
    <xf numFmtId="0" fontId="18" fillId="0" borderId="0" xfId="0" applyFont="1" applyAlignment="1">
      <alignment horizontal="center" vertical="center"/>
    </xf>
    <xf numFmtId="0" fontId="18" fillId="0" borderId="12" xfId="0" applyFont="1" applyBorder="1" applyAlignment="1">
      <alignment horizontal="center" vertical="center"/>
    </xf>
    <xf numFmtId="0" fontId="16" fillId="0" borderId="12" xfId="0" applyFont="1" applyBorder="1" applyAlignment="1">
      <alignment vertical="center"/>
    </xf>
    <xf numFmtId="0" fontId="16" fillId="0" borderId="13" xfId="0" applyFont="1" applyBorder="1" applyAlignment="1">
      <alignment vertical="center"/>
    </xf>
    <xf numFmtId="0" fontId="16" fillId="0" borderId="13" xfId="0" applyFont="1" applyBorder="1" applyAlignment="1">
      <alignment horizontal="center" vertical="center"/>
    </xf>
    <xf numFmtId="184" fontId="16" fillId="0" borderId="0" xfId="0" applyNumberFormat="1" applyFont="1" applyAlignment="1">
      <alignment vertical="center"/>
    </xf>
    <xf numFmtId="169" fontId="16" fillId="0" borderId="0" xfId="0" applyNumberFormat="1" applyFont="1" applyAlignment="1">
      <alignment vertical="center"/>
    </xf>
    <xf numFmtId="0" fontId="8" fillId="0" borderId="0" xfId="0" quotePrefix="1" applyFont="1" applyAlignment="1">
      <alignment horizontal="center" vertical="center"/>
    </xf>
    <xf numFmtId="1" fontId="2" fillId="0" borderId="0" xfId="0" applyNumberFormat="1" applyFont="1" applyAlignment="1">
      <alignment horizontal="center" vertical="center"/>
    </xf>
    <xf numFmtId="185" fontId="16" fillId="0" borderId="0" xfId="0" applyNumberFormat="1" applyFont="1" applyAlignment="1">
      <alignment vertical="center"/>
    </xf>
    <xf numFmtId="8" fontId="16" fillId="0" borderId="0" xfId="0" applyNumberFormat="1" applyFont="1" applyAlignment="1">
      <alignment vertical="center"/>
    </xf>
    <xf numFmtId="184" fontId="16" fillId="0" borderId="0" xfId="0" applyNumberFormat="1" applyFont="1" applyAlignment="1">
      <alignment horizontal="right" vertical="center"/>
    </xf>
    <xf numFmtId="184" fontId="18" fillId="0" borderId="0" xfId="0" quotePrefix="1" applyNumberFormat="1" applyFont="1" applyAlignment="1">
      <alignment horizontal="center" vertical="center"/>
    </xf>
    <xf numFmtId="184" fontId="3" fillId="0" borderId="0" xfId="0" applyNumberFormat="1" applyFont="1" applyAlignment="1">
      <alignment horizontal="right" vertical="center"/>
    </xf>
    <xf numFmtId="184" fontId="18" fillId="0" borderId="0" xfId="0" applyNumberFormat="1" applyFont="1" applyAlignment="1">
      <alignment vertical="center"/>
    </xf>
    <xf numFmtId="10" fontId="18" fillId="0" borderId="0" xfId="0" applyNumberFormat="1" applyFont="1" applyAlignment="1">
      <alignment vertical="center"/>
    </xf>
    <xf numFmtId="184" fontId="18" fillId="0" borderId="0" xfId="0" applyNumberFormat="1" applyFont="1" applyAlignment="1">
      <alignment horizontal="right" vertical="center"/>
    </xf>
    <xf numFmtId="184" fontId="18" fillId="0" borderId="0" xfId="0" applyNumberFormat="1" applyFont="1" applyAlignment="1">
      <alignment horizontal="center" vertical="center"/>
    </xf>
    <xf numFmtId="184" fontId="28" fillId="0" borderId="0" xfId="0" applyNumberFormat="1" applyFont="1" applyAlignment="1">
      <alignment horizontal="center" vertical="center"/>
    </xf>
    <xf numFmtId="0" fontId="28" fillId="0" borderId="0" xfId="0" applyFont="1" applyAlignment="1">
      <alignment horizontal="center" vertical="center"/>
    </xf>
    <xf numFmtId="0" fontId="34" fillId="0" borderId="0" xfId="0" applyFont="1" applyAlignment="1">
      <alignment vertical="center"/>
    </xf>
    <xf numFmtId="186" fontId="29" fillId="0" borderId="0" xfId="0" applyNumberFormat="1" applyFont="1" applyAlignment="1">
      <alignment vertical="center"/>
    </xf>
    <xf numFmtId="0" fontId="34" fillId="0" borderId="0" xfId="0" applyFont="1" applyAlignment="1">
      <alignment horizontal="left" vertical="center"/>
    </xf>
    <xf numFmtId="0" fontId="2" fillId="0" borderId="0" xfId="0" applyFont="1" applyAlignment="1">
      <alignment horizontal="fill" vertical="center"/>
    </xf>
    <xf numFmtId="170" fontId="3" fillId="0" borderId="0" xfId="0" applyNumberFormat="1" applyFont="1" applyAlignment="1">
      <alignment horizontal="center" vertical="center"/>
    </xf>
    <xf numFmtId="0" fontId="3" fillId="0" borderId="8" xfId="0" applyFont="1" applyBorder="1" applyAlignment="1">
      <alignment horizontal="center" vertical="center"/>
    </xf>
    <xf numFmtId="43" fontId="3" fillId="0" borderId="30" xfId="0" applyNumberFormat="1" applyFont="1" applyBorder="1" applyAlignment="1">
      <alignment horizontal="center" vertical="center" wrapText="1"/>
    </xf>
    <xf numFmtId="0" fontId="3" fillId="0" borderId="10"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66" xfId="0" applyFont="1" applyBorder="1" applyAlignment="1">
      <alignment horizontal="center" vertical="center"/>
    </xf>
    <xf numFmtId="39" fontId="3" fillId="0" borderId="62" xfId="0" applyNumberFormat="1" applyFont="1" applyBorder="1" applyAlignment="1">
      <alignment horizontal="center" vertical="center"/>
    </xf>
    <xf numFmtId="39" fontId="3" fillId="0" borderId="62" xfId="0" quotePrefix="1" applyNumberFormat="1" applyFont="1" applyBorder="1" applyAlignment="1">
      <alignment horizontal="center" vertical="center"/>
    </xf>
    <xf numFmtId="0" fontId="3" fillId="0" borderId="12" xfId="0" applyFont="1" applyBorder="1" applyAlignment="1">
      <alignment vertical="center"/>
    </xf>
    <xf numFmtId="0" fontId="2" fillId="0" borderId="12" xfId="0" applyFont="1" applyBorder="1" applyAlignment="1">
      <alignment vertical="center"/>
    </xf>
    <xf numFmtId="0" fontId="2" fillId="0" borderId="12" xfId="0" quotePrefix="1" applyFont="1" applyBorder="1" applyAlignment="1">
      <alignment horizontal="left" vertical="center"/>
    </xf>
    <xf numFmtId="0" fontId="3" fillId="0" borderId="0" xfId="0" quotePrefix="1" applyFont="1" applyAlignment="1">
      <alignment horizontal="left" vertical="center"/>
    </xf>
    <xf numFmtId="0" fontId="2" fillId="0" borderId="12" xfId="0" applyFont="1" applyBorder="1" applyAlignment="1">
      <alignment horizontal="left" vertical="center"/>
    </xf>
    <xf numFmtId="0" fontId="3" fillId="0" borderId="66" xfId="0" applyFont="1" applyBorder="1" applyAlignment="1">
      <alignment vertical="center"/>
    </xf>
    <xf numFmtId="39" fontId="3" fillId="0" borderId="62" xfId="0" applyNumberFormat="1" applyFont="1" applyBorder="1" applyAlignment="1">
      <alignment vertical="center"/>
    </xf>
    <xf numFmtId="39" fontId="3" fillId="0" borderId="70" xfId="0" applyNumberFormat="1" applyFont="1" applyBorder="1" applyAlignment="1">
      <alignment vertical="center"/>
    </xf>
    <xf numFmtId="189" fontId="3" fillId="0" borderId="0" xfId="0" applyNumberFormat="1" applyFont="1" applyAlignment="1">
      <alignment vertical="center"/>
    </xf>
    <xf numFmtId="0" fontId="27" fillId="0" borderId="0" xfId="0" applyFont="1" applyAlignment="1">
      <alignment vertical="center"/>
    </xf>
    <xf numFmtId="0" fontId="8" fillId="0" borderId="51" xfId="0" applyFont="1" applyBorder="1" applyAlignment="1">
      <alignment vertical="center"/>
    </xf>
    <xf numFmtId="0" fontId="8" fillId="0" borderId="3" xfId="0" applyFont="1" applyBorder="1" applyAlignment="1">
      <alignment vertical="center" wrapText="1"/>
    </xf>
    <xf numFmtId="0" fontId="2" fillId="0" borderId="3" xfId="0" applyFont="1" applyBorder="1" applyAlignment="1">
      <alignment vertical="center" wrapText="1"/>
    </xf>
    <xf numFmtId="0" fontId="2" fillId="0" borderId="3" xfId="0" applyFont="1" applyBorder="1" applyAlignment="1">
      <alignment horizontal="left" vertical="center" wrapText="1"/>
    </xf>
    <xf numFmtId="0" fontId="2" fillId="0" borderId="54" xfId="0" applyFont="1" applyBorder="1" applyAlignment="1">
      <alignment vertical="center"/>
    </xf>
    <xf numFmtId="0" fontId="3" fillId="0" borderId="42" xfId="0" applyFont="1" applyBorder="1" applyAlignment="1">
      <alignment horizontal="center" vertical="center"/>
    </xf>
    <xf numFmtId="0" fontId="3" fillId="0" borderId="35" xfId="0" applyFont="1" applyBorder="1" applyAlignment="1">
      <alignment horizontal="center" vertical="center"/>
    </xf>
    <xf numFmtId="0" fontId="3" fillId="0" borderId="73" xfId="0" applyFont="1" applyBorder="1" applyAlignment="1">
      <alignment horizontal="center" vertical="center"/>
    </xf>
    <xf numFmtId="0" fontId="3" fillId="0" borderId="71" xfId="0" applyFont="1" applyBorder="1" applyAlignment="1">
      <alignment horizontal="center" vertical="center"/>
    </xf>
    <xf numFmtId="0" fontId="3" fillId="0" borderId="36" xfId="0" applyFont="1" applyBorder="1" applyAlignment="1">
      <alignment horizontal="center" vertical="center"/>
    </xf>
    <xf numFmtId="0" fontId="3" fillId="0" borderId="74" xfId="0" applyFont="1" applyBorder="1" applyAlignment="1">
      <alignment horizontal="center" vertical="center"/>
    </xf>
    <xf numFmtId="0" fontId="3" fillId="0" borderId="31" xfId="0" applyFont="1" applyBorder="1" applyAlignment="1">
      <alignment horizontal="center" vertical="center"/>
    </xf>
    <xf numFmtId="0" fontId="3" fillId="0" borderId="19"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17" fontId="2" fillId="0" borderId="31" xfId="0" applyNumberFormat="1" applyFont="1" applyBorder="1" applyAlignment="1">
      <alignment horizontal="center" vertical="center"/>
    </xf>
    <xf numFmtId="17" fontId="2" fillId="0" borderId="62" xfId="0" applyNumberFormat="1" applyFont="1" applyBorder="1" applyAlignment="1">
      <alignment horizontal="center" vertical="center"/>
    </xf>
    <xf numFmtId="17" fontId="3" fillId="0" borderId="37" xfId="0" applyNumberFormat="1" applyFont="1" applyBorder="1" applyAlignment="1">
      <alignment horizontal="center" vertical="center"/>
    </xf>
    <xf numFmtId="166" fontId="33" fillId="0" borderId="0" xfId="0" applyNumberFormat="1" applyFont="1" applyAlignment="1">
      <alignment vertical="center"/>
    </xf>
    <xf numFmtId="0" fontId="23" fillId="0" borderId="12" xfId="0" applyFont="1" applyBorder="1" applyAlignment="1">
      <alignment vertical="center"/>
    </xf>
    <xf numFmtId="0" fontId="30" fillId="0" borderId="0" xfId="0" applyFont="1" applyAlignment="1">
      <alignment vertical="center"/>
    </xf>
    <xf numFmtId="0" fontId="23" fillId="0" borderId="13" xfId="0" applyFont="1" applyBorder="1" applyAlignment="1">
      <alignment vertical="center"/>
    </xf>
    <xf numFmtId="0" fontId="2" fillId="0" borderId="66" xfId="0" applyFont="1" applyBorder="1" applyAlignment="1">
      <alignment vertical="center"/>
    </xf>
    <xf numFmtId="10" fontId="2" fillId="0" borderId="13" xfId="0" applyNumberFormat="1" applyFont="1" applyBorder="1" applyAlignment="1">
      <alignment vertical="center"/>
    </xf>
    <xf numFmtId="0" fontId="5" fillId="0" borderId="12" xfId="0" applyFont="1" applyBorder="1" applyAlignment="1">
      <alignment vertical="center"/>
    </xf>
    <xf numFmtId="0" fontId="3" fillId="0" borderId="26" xfId="0" applyFont="1" applyBorder="1" applyAlignment="1">
      <alignment vertical="center"/>
    </xf>
    <xf numFmtId="166" fontId="3" fillId="0" borderId="37" xfId="0" applyNumberFormat="1" applyFont="1" applyBorder="1" applyAlignment="1">
      <alignment horizontal="center" vertical="center"/>
    </xf>
    <xf numFmtId="0" fontId="3" fillId="0" borderId="37" xfId="0" applyFont="1" applyBorder="1" applyAlignment="1">
      <alignment horizontal="center" vertical="center"/>
    </xf>
    <xf numFmtId="0" fontId="3" fillId="0" borderId="40" xfId="0" applyFont="1" applyBorder="1" applyAlignment="1">
      <alignment horizontal="center" vertical="center"/>
    </xf>
    <xf numFmtId="166" fontId="3" fillId="0" borderId="39" xfId="0" applyNumberFormat="1" applyFont="1" applyBorder="1" applyAlignment="1">
      <alignment horizontal="center" vertical="center"/>
    </xf>
    <xf numFmtId="166" fontId="3" fillId="0" borderId="28" xfId="0" applyNumberFormat="1" applyFont="1" applyBorder="1" applyAlignment="1">
      <alignment horizontal="center" vertical="center"/>
    </xf>
    <xf numFmtId="166" fontId="3" fillId="0" borderId="40" xfId="0" applyNumberFormat="1" applyFont="1" applyBorder="1" applyAlignment="1">
      <alignment horizontal="center" vertical="center"/>
    </xf>
    <xf numFmtId="0" fontId="3" fillId="0" borderId="8" xfId="0" applyFont="1" applyBorder="1" applyAlignment="1">
      <alignment vertical="center"/>
    </xf>
    <xf numFmtId="0" fontId="3" fillId="0" borderId="10" xfId="0" applyFont="1" applyBorder="1" applyAlignment="1">
      <alignment horizontal="right" vertical="center"/>
    </xf>
    <xf numFmtId="0" fontId="3" fillId="0" borderId="31" xfId="0" applyFont="1" applyBorder="1" applyAlignment="1">
      <alignment horizontal="center" vertical="center" wrapText="1"/>
    </xf>
    <xf numFmtId="166" fontId="9" fillId="0" borderId="0" xfId="0" applyNumberFormat="1" applyFont="1" applyAlignment="1">
      <alignment vertical="center"/>
    </xf>
    <xf numFmtId="0" fontId="2" fillId="0" borderId="8" xfId="0" applyFont="1" applyBorder="1" applyAlignment="1">
      <alignment vertical="center"/>
    </xf>
    <xf numFmtId="0" fontId="2" fillId="0" borderId="10" xfId="0" applyFont="1" applyBorder="1" applyAlignment="1">
      <alignment vertical="center"/>
    </xf>
    <xf numFmtId="0" fontId="2" fillId="0" borderId="10" xfId="0" applyFont="1" applyBorder="1" applyAlignment="1">
      <alignment horizontal="center" vertical="center"/>
    </xf>
    <xf numFmtId="0" fontId="2" fillId="0" borderId="11" xfId="0" applyFont="1" applyBorder="1" applyAlignment="1">
      <alignment vertical="center"/>
    </xf>
    <xf numFmtId="0" fontId="2" fillId="0" borderId="43" xfId="0" applyFont="1" applyBorder="1" applyAlignment="1">
      <alignment vertical="center"/>
    </xf>
    <xf numFmtId="17" fontId="2" fillId="0" borderId="0" xfId="0" applyNumberFormat="1" applyFont="1" applyAlignment="1">
      <alignment horizontal="center" vertical="center"/>
    </xf>
    <xf numFmtId="0" fontId="3" fillId="0" borderId="45" xfId="0" applyFont="1" applyBorder="1" applyAlignment="1">
      <alignment horizontal="centerContinuous" vertical="center"/>
    </xf>
    <xf numFmtId="165" fontId="22" fillId="0" borderId="0" xfId="0" applyNumberFormat="1" applyFont="1" applyAlignment="1">
      <alignment vertical="center"/>
    </xf>
    <xf numFmtId="3" fontId="2" fillId="0" borderId="5" xfId="0" applyNumberFormat="1" applyFont="1" applyBorder="1" applyAlignment="1">
      <alignment horizontal="center" vertical="center"/>
    </xf>
    <xf numFmtId="165" fontId="2" fillId="0" borderId="50" xfId="0" applyNumberFormat="1" applyFont="1" applyBorder="1" applyAlignment="1">
      <alignment horizontal="center" vertical="center"/>
    </xf>
    <xf numFmtId="0" fontId="2" fillId="0" borderId="75" xfId="0" applyFont="1" applyBorder="1" applyAlignment="1">
      <alignment horizontal="center" vertical="center"/>
    </xf>
    <xf numFmtId="10" fontId="2" fillId="0" borderId="51" xfId="0" applyNumberFormat="1" applyFont="1" applyBorder="1" applyAlignment="1">
      <alignment vertical="center"/>
    </xf>
    <xf numFmtId="43" fontId="2" fillId="0" borderId="75" xfId="0" applyNumberFormat="1" applyFont="1" applyBorder="1" applyAlignment="1">
      <alignment vertical="center"/>
    </xf>
    <xf numFmtId="166" fontId="2" fillId="0" borderId="75" xfId="0" applyNumberFormat="1" applyFont="1" applyBorder="1" applyAlignment="1">
      <alignment vertical="center"/>
    </xf>
    <xf numFmtId="166" fontId="2" fillId="3" borderId="51" xfId="0" applyNumberFormat="1" applyFont="1" applyFill="1" applyBorder="1" applyAlignment="1">
      <alignment vertical="center"/>
    </xf>
    <xf numFmtId="165" fontId="3" fillId="0" borderId="47" xfId="0" applyNumberFormat="1" applyFont="1" applyBorder="1" applyAlignment="1">
      <alignment horizontal="center" vertical="center"/>
    </xf>
    <xf numFmtId="5" fontId="18" fillId="0" borderId="0" xfId="0" quotePrefix="1" applyNumberFormat="1" applyFont="1" applyAlignment="1">
      <alignment horizontal="center" vertical="center"/>
    </xf>
    <xf numFmtId="165" fontId="2" fillId="0" borderId="48" xfId="0" applyNumberFormat="1" applyFont="1" applyBorder="1" applyAlignment="1">
      <alignment horizontal="center" vertical="center"/>
    </xf>
    <xf numFmtId="165" fontId="2" fillId="0" borderId="48" xfId="0" applyNumberFormat="1" applyFont="1" applyBorder="1" applyAlignment="1">
      <alignment vertical="center"/>
    </xf>
    <xf numFmtId="168" fontId="3" fillId="0" borderId="0" xfId="0" applyNumberFormat="1" applyFont="1" applyAlignment="1">
      <alignment horizontal="center" vertical="center"/>
    </xf>
    <xf numFmtId="44" fontId="1" fillId="0" borderId="0" xfId="0" applyNumberFormat="1" applyFont="1" applyAlignment="1">
      <alignment horizontal="center" vertical="center"/>
    </xf>
    <xf numFmtId="168" fontId="2" fillId="0" borderId="0" xfId="0" applyNumberFormat="1" applyFont="1" applyAlignment="1">
      <alignment horizontal="center" vertical="center"/>
    </xf>
    <xf numFmtId="184" fontId="16" fillId="0" borderId="0" xfId="0" applyNumberFormat="1" applyFont="1" applyAlignment="1">
      <alignment horizontal="center" vertical="center"/>
    </xf>
    <xf numFmtId="0" fontId="3" fillId="0" borderId="66" xfId="0" applyFont="1" applyBorder="1" applyAlignment="1">
      <alignment horizontal="center" vertical="center" wrapText="1"/>
    </xf>
    <xf numFmtId="0" fontId="3" fillId="0" borderId="52" xfId="0" applyFont="1" applyBorder="1" applyAlignment="1">
      <alignment horizontal="center" vertical="center" wrapText="1"/>
    </xf>
    <xf numFmtId="5" fontId="3" fillId="0" borderId="8" xfId="0" applyNumberFormat="1" applyFont="1" applyBorder="1" applyAlignment="1">
      <alignment horizontal="center" vertical="center"/>
    </xf>
    <xf numFmtId="5" fontId="2" fillId="0" borderId="12" xfId="0" applyNumberFormat="1" applyFont="1" applyBorder="1" applyAlignment="1">
      <alignment vertical="center"/>
    </xf>
    <xf numFmtId="5" fontId="3" fillId="0" borderId="18" xfId="0" applyNumberFormat="1" applyFont="1" applyBorder="1" applyAlignment="1">
      <alignment horizontal="center" vertical="center"/>
    </xf>
    <xf numFmtId="5" fontId="3" fillId="0" borderId="75" xfId="0" applyNumberFormat="1" applyFont="1" applyBorder="1" applyAlignment="1">
      <alignment horizontal="center" vertical="center"/>
    </xf>
    <xf numFmtId="168" fontId="2" fillId="0" borderId="51" xfId="0" applyNumberFormat="1" applyFont="1" applyBorder="1" applyAlignment="1">
      <alignment horizontal="center" vertical="center"/>
    </xf>
    <xf numFmtId="3" fontId="2" fillId="0" borderId="51" xfId="0" applyNumberFormat="1" applyFont="1" applyBorder="1" applyAlignment="1">
      <alignment horizontal="center" vertical="center"/>
    </xf>
    <xf numFmtId="43" fontId="2" fillId="0" borderId="51" xfId="0" applyNumberFormat="1" applyFont="1" applyBorder="1" applyAlignment="1">
      <alignment horizontal="center" vertical="center"/>
    </xf>
    <xf numFmtId="165" fontId="2" fillId="0" borderId="75" xfId="0" applyNumberFormat="1" applyFont="1" applyBorder="1" applyAlignment="1">
      <alignment vertical="center"/>
    </xf>
    <xf numFmtId="166" fontId="3" fillId="0" borderId="3" xfId="0" applyNumberFormat="1" applyFont="1" applyBorder="1" applyAlignment="1">
      <alignment vertical="center"/>
    </xf>
    <xf numFmtId="0" fontId="2" fillId="0" borderId="3" xfId="0" applyFont="1" applyBorder="1" applyAlignment="1">
      <alignment horizontal="left" vertical="center"/>
    </xf>
    <xf numFmtId="0" fontId="3" fillId="0" borderId="63" xfId="0" applyFont="1" applyBorder="1" applyAlignment="1">
      <alignment horizontal="center" vertical="center"/>
    </xf>
    <xf numFmtId="0" fontId="3" fillId="0" borderId="49" xfId="0" applyFont="1" applyBorder="1" applyAlignment="1">
      <alignment horizontal="center" vertical="center"/>
    </xf>
    <xf numFmtId="0" fontId="2" fillId="0" borderId="52" xfId="0" applyFont="1" applyBorder="1" applyAlignment="1">
      <alignment vertical="center"/>
    </xf>
    <xf numFmtId="175" fontId="3" fillId="0" borderId="70" xfId="0" applyNumberFormat="1" applyFont="1" applyBorder="1" applyAlignment="1">
      <alignment horizontal="center" vertical="center" wrapText="1"/>
    </xf>
    <xf numFmtId="166" fontId="3" fillId="0" borderId="54" xfId="0" applyNumberFormat="1" applyFont="1" applyBorder="1" applyAlignment="1">
      <alignment vertical="center"/>
    </xf>
    <xf numFmtId="167" fontId="2" fillId="0" borderId="0" xfId="0" applyNumberFormat="1" applyFont="1" applyAlignment="1">
      <alignment vertical="center"/>
    </xf>
    <xf numFmtId="0" fontId="2" fillId="0" borderId="0" xfId="0" quotePrefix="1" applyFont="1" applyAlignment="1">
      <alignment horizontal="center" vertical="center" wrapText="1"/>
    </xf>
    <xf numFmtId="0" fontId="8" fillId="0" borderId="0" xfId="0" quotePrefix="1" applyFont="1" applyAlignment="1">
      <alignment horizontal="center"/>
    </xf>
    <xf numFmtId="0" fontId="2" fillId="0" borderId="0" xfId="0" applyFont="1"/>
    <xf numFmtId="184" fontId="3" fillId="0" borderId="0" xfId="0" applyNumberFormat="1" applyFont="1" applyAlignment="1">
      <alignment horizontal="center"/>
    </xf>
    <xf numFmtId="184" fontId="2" fillId="0" borderId="0" xfId="0" applyNumberFormat="1" applyFont="1"/>
    <xf numFmtId="184" fontId="2" fillId="0" borderId="0" xfId="0" applyNumberFormat="1" applyFont="1" applyAlignment="1">
      <alignment horizontal="left" indent="1"/>
    </xf>
    <xf numFmtId="0" fontId="2" fillId="0" borderId="0" xfId="0" applyFont="1" applyAlignment="1">
      <alignment horizontal="left" indent="1"/>
    </xf>
    <xf numFmtId="0" fontId="8" fillId="0" borderId="0" xfId="0" applyFont="1" applyAlignment="1">
      <alignment horizontal="center"/>
    </xf>
    <xf numFmtId="0" fontId="3" fillId="0" borderId="0" xfId="0" applyFont="1" applyAlignment="1">
      <alignment horizontal="center"/>
    </xf>
    <xf numFmtId="184" fontId="8" fillId="0" borderId="0" xfId="0" applyNumberFormat="1" applyFont="1" applyAlignment="1">
      <alignment horizontal="center"/>
    </xf>
    <xf numFmtId="0" fontId="2" fillId="0" borderId="0" xfId="0" applyFont="1" applyAlignment="1">
      <alignment wrapText="1"/>
    </xf>
    <xf numFmtId="190" fontId="2" fillId="0" borderId="0" xfId="0" applyNumberFormat="1" applyFont="1" applyAlignment="1">
      <alignment horizontal="left" indent="1"/>
    </xf>
    <xf numFmtId="3" fontId="2" fillId="0" borderId="0" xfId="0" applyNumberFormat="1" applyFont="1"/>
    <xf numFmtId="10" fontId="2" fillId="0" borderId="0" xfId="0" applyNumberFormat="1" applyFont="1"/>
    <xf numFmtId="184" fontId="16" fillId="0" borderId="0" xfId="0" applyNumberFormat="1" applyFont="1" applyAlignment="1">
      <alignment horizontal="right"/>
    </xf>
    <xf numFmtId="0" fontId="16" fillId="0" borderId="0" xfId="0" applyFont="1"/>
    <xf numFmtId="184" fontId="2" fillId="0" borderId="0" xfId="0" applyNumberFormat="1" applyFont="1" applyAlignment="1">
      <alignment horizontal="center"/>
    </xf>
    <xf numFmtId="0" fontId="2" fillId="0" borderId="0" xfId="0" quotePrefix="1" applyFont="1" applyAlignment="1">
      <alignment horizontal="left" indent="1"/>
    </xf>
    <xf numFmtId="0" fontId="16" fillId="3" borderId="0" xfId="0" applyFont="1" applyFill="1" applyAlignment="1">
      <alignment wrapText="1"/>
    </xf>
    <xf numFmtId="3" fontId="16" fillId="0" borderId="0" xfId="0" applyNumberFormat="1" applyFont="1" applyAlignment="1">
      <alignment wrapText="1"/>
    </xf>
    <xf numFmtId="0" fontId="36" fillId="0" borderId="0" xfId="0" applyFont="1" applyAlignment="1">
      <alignment vertical="center"/>
    </xf>
    <xf numFmtId="0" fontId="25" fillId="0" borderId="0" xfId="0" applyFont="1" applyAlignment="1">
      <alignment horizontal="center" vertical="center"/>
    </xf>
    <xf numFmtId="14" fontId="2" fillId="0" borderId="0" xfId="0" applyNumberFormat="1" applyFont="1" applyAlignment="1">
      <alignment vertical="center"/>
    </xf>
    <xf numFmtId="3" fontId="2" fillId="0" borderId="0" xfId="0" applyNumberFormat="1" applyFont="1" applyAlignment="1">
      <alignment horizontal="centerContinuous" vertical="center"/>
    </xf>
    <xf numFmtId="0" fontId="2" fillId="0" borderId="0" xfId="0" applyFont="1" applyAlignment="1">
      <alignment horizontal="center"/>
    </xf>
    <xf numFmtId="10" fontId="2" fillId="0" borderId="16" xfId="0" applyNumberFormat="1" applyFont="1" applyBorder="1" applyAlignment="1">
      <alignment vertical="center"/>
    </xf>
    <xf numFmtId="166" fontId="2" fillId="0" borderId="53" xfId="0" applyNumberFormat="1" applyFont="1" applyBorder="1" applyAlignment="1">
      <alignment horizontal="center" vertical="center"/>
    </xf>
    <xf numFmtId="17" fontId="2" fillId="0" borderId="3" xfId="0" quotePrefix="1" applyNumberFormat="1" applyFont="1" applyBorder="1" applyAlignment="1">
      <alignment horizontal="left" vertical="center"/>
    </xf>
    <xf numFmtId="17" fontId="2" fillId="0" borderId="51" xfId="0" quotePrefix="1" applyNumberFormat="1" applyFont="1" applyBorder="1" applyAlignment="1">
      <alignment horizontal="left" vertical="center"/>
    </xf>
    <xf numFmtId="37" fontId="2" fillId="0" borderId="12" xfId="0" applyNumberFormat="1" applyFont="1" applyBorder="1" applyAlignment="1">
      <alignment horizontal="center"/>
    </xf>
    <xf numFmtId="174" fontId="2" fillId="0" borderId="12" xfId="0" applyNumberFormat="1" applyFont="1" applyBorder="1" applyAlignment="1">
      <alignment horizontal="center" wrapText="1"/>
    </xf>
    <xf numFmtId="37" fontId="2" fillId="0" borderId="12" xfId="0" applyNumberFormat="1" applyFont="1" applyBorder="1" applyAlignment="1">
      <alignment horizontal="center" vertical="center"/>
    </xf>
    <xf numFmtId="37" fontId="2" fillId="0" borderId="70" xfId="0" applyNumberFormat="1" applyFont="1" applyBorder="1" applyAlignment="1">
      <alignment vertical="center"/>
    </xf>
    <xf numFmtId="0" fontId="18" fillId="0" borderId="51" xfId="0" applyFont="1" applyBorder="1" applyAlignment="1">
      <alignment horizontal="center" vertical="center" wrapText="1"/>
    </xf>
    <xf numFmtId="10" fontId="16" fillId="3" borderId="51" xfId="0" applyNumberFormat="1" applyFont="1" applyFill="1" applyBorder="1" applyAlignment="1">
      <alignment horizontal="center" vertical="center"/>
    </xf>
    <xf numFmtId="181" fontId="3" fillId="0" borderId="49" xfId="0" quotePrefix="1" applyNumberFormat="1" applyFont="1" applyBorder="1" applyAlignment="1">
      <alignment horizontal="center" vertical="center"/>
    </xf>
    <xf numFmtId="181" fontId="3" fillId="0" borderId="52" xfId="0" quotePrefix="1" applyNumberFormat="1" applyFont="1" applyBorder="1" applyAlignment="1">
      <alignment horizontal="center" vertical="center"/>
    </xf>
    <xf numFmtId="43" fontId="2" fillId="0" borderId="13" xfId="0" applyNumberFormat="1" applyFont="1" applyBorder="1" applyAlignment="1">
      <alignment vertical="center"/>
    </xf>
    <xf numFmtId="43" fontId="2" fillId="0" borderId="19" xfId="0" applyNumberFormat="1" applyFont="1" applyBorder="1" applyAlignment="1">
      <alignment horizontal="center" vertical="center"/>
    </xf>
    <xf numFmtId="43" fontId="2" fillId="0" borderId="63" xfId="0" applyNumberFormat="1" applyFont="1" applyBorder="1" applyAlignment="1">
      <alignment horizontal="center" vertical="center"/>
    </xf>
    <xf numFmtId="43" fontId="2" fillId="0" borderId="49" xfId="0" applyNumberFormat="1" applyFont="1" applyBorder="1" applyAlignment="1">
      <alignment horizontal="left" vertical="center"/>
    </xf>
    <xf numFmtId="43" fontId="2" fillId="0" borderId="17" xfId="0" applyNumberFormat="1" applyFont="1" applyBorder="1" applyAlignment="1">
      <alignment horizontal="center" vertical="center"/>
    </xf>
    <xf numFmtId="43" fontId="2" fillId="0" borderId="19" xfId="0" quotePrefix="1" applyNumberFormat="1" applyFont="1" applyBorder="1" applyAlignment="1">
      <alignment horizontal="center" vertical="center"/>
    </xf>
    <xf numFmtId="43" fontId="2" fillId="0" borderId="3" xfId="0" applyNumberFormat="1" applyFont="1" applyBorder="1" applyAlignment="1">
      <alignment horizontal="left" vertical="center"/>
    </xf>
    <xf numFmtId="43" fontId="2" fillId="0" borderId="0" xfId="0" applyNumberFormat="1" applyFont="1" applyAlignment="1">
      <alignment horizontal="left" vertical="center"/>
    </xf>
    <xf numFmtId="43" fontId="2" fillId="0" borderId="5" xfId="0" applyNumberFormat="1" applyFont="1" applyBorder="1" applyAlignment="1">
      <alignment horizontal="left" vertical="center"/>
    </xf>
    <xf numFmtId="166" fontId="3" fillId="0" borderId="75" xfId="0" applyNumberFormat="1" applyFont="1" applyBorder="1" applyAlignment="1">
      <alignment vertical="center"/>
    </xf>
    <xf numFmtId="43" fontId="2" fillId="0" borderId="63" xfId="0" quotePrefix="1" applyNumberFormat="1" applyFont="1" applyBorder="1" applyAlignment="1">
      <alignment horizontal="center" vertical="center"/>
    </xf>
    <xf numFmtId="49" fontId="2" fillId="0" borderId="49" xfId="0" applyNumberFormat="1" applyFont="1" applyBorder="1" applyAlignment="1">
      <alignment horizontal="center" vertical="center"/>
    </xf>
    <xf numFmtId="43" fontId="2" fillId="0" borderId="12" xfId="0" quotePrefix="1" applyNumberFormat="1" applyFont="1" applyBorder="1" applyAlignment="1">
      <alignment horizontal="center" vertical="center"/>
    </xf>
    <xf numFmtId="43" fontId="2" fillId="0" borderId="12" xfId="0" applyNumberFormat="1" applyFont="1" applyBorder="1" applyAlignment="1">
      <alignment horizontal="center" vertical="center"/>
    </xf>
    <xf numFmtId="43" fontId="2" fillId="0" borderId="12" xfId="0" applyNumberFormat="1" applyFont="1" applyBorder="1" applyAlignment="1">
      <alignment vertical="center"/>
    </xf>
    <xf numFmtId="43" fontId="3" fillId="0" borderId="5" xfId="0" applyNumberFormat="1" applyFont="1" applyBorder="1" applyAlignment="1">
      <alignment vertical="center"/>
    </xf>
    <xf numFmtId="43" fontId="2" fillId="0" borderId="5" xfId="0" applyNumberFormat="1" applyFont="1" applyBorder="1" applyAlignment="1">
      <alignment vertical="center"/>
    </xf>
    <xf numFmtId="43" fontId="2" fillId="0" borderId="19" xfId="0" applyNumberFormat="1" applyFont="1" applyBorder="1" applyAlignment="1">
      <alignment vertical="center"/>
    </xf>
    <xf numFmtId="43" fontId="2" fillId="0" borderId="0" xfId="0" applyNumberFormat="1" applyFont="1" applyAlignment="1">
      <alignment horizontal="center" vertical="center"/>
    </xf>
    <xf numFmtId="166" fontId="3" fillId="0" borderId="13" xfId="0" applyNumberFormat="1" applyFont="1" applyBorder="1" applyAlignment="1">
      <alignment vertical="center"/>
    </xf>
    <xf numFmtId="43" fontId="3" fillId="0" borderId="19" xfId="0" applyNumberFormat="1" applyFont="1" applyBorder="1" applyAlignment="1">
      <alignment horizontal="left" vertical="center"/>
    </xf>
    <xf numFmtId="0" fontId="16" fillId="0" borderId="66" xfId="0" applyFont="1" applyBorder="1" applyAlignment="1">
      <alignment horizontal="left" vertical="center"/>
    </xf>
    <xf numFmtId="0" fontId="16" fillId="0" borderId="66" xfId="0" applyFont="1" applyBorder="1" applyAlignment="1">
      <alignment vertical="center"/>
    </xf>
    <xf numFmtId="0" fontId="18" fillId="0" borderId="66" xfId="0" applyFont="1" applyBorder="1" applyAlignment="1">
      <alignment horizontal="center" vertical="center"/>
    </xf>
    <xf numFmtId="0" fontId="18" fillId="0" borderId="49" xfId="0" applyFont="1" applyBorder="1" applyAlignment="1">
      <alignment horizontal="center" vertical="center"/>
    </xf>
    <xf numFmtId="0" fontId="18" fillId="0" borderId="52" xfId="0" applyFont="1" applyBorder="1" applyAlignment="1">
      <alignment horizontal="center" vertical="center"/>
    </xf>
    <xf numFmtId="0" fontId="18" fillId="0" borderId="75" xfId="0" applyFont="1" applyBorder="1" applyAlignment="1">
      <alignment vertical="center"/>
    </xf>
    <xf numFmtId="0" fontId="16" fillId="0" borderId="49" xfId="0" applyFont="1" applyBorder="1" applyAlignment="1">
      <alignment vertical="center"/>
    </xf>
    <xf numFmtId="0" fontId="16" fillId="0" borderId="70" xfId="0" applyFont="1" applyBorder="1" applyAlignment="1">
      <alignment vertical="center"/>
    </xf>
    <xf numFmtId="37" fontId="3" fillId="0" borderId="50" xfId="0" applyNumberFormat="1" applyFont="1" applyBorder="1" applyAlignment="1">
      <alignment horizontal="center" vertical="center"/>
    </xf>
    <xf numFmtId="37" fontId="3" fillId="0" borderId="70" xfId="0" applyNumberFormat="1" applyFont="1" applyBorder="1" applyAlignment="1">
      <alignment horizontal="center" vertical="center"/>
    </xf>
    <xf numFmtId="37" fontId="4" fillId="0" borderId="50" xfId="0" applyNumberFormat="1" applyFont="1" applyBorder="1" applyAlignment="1">
      <alignment horizontal="left" vertical="center"/>
    </xf>
    <xf numFmtId="37" fontId="2" fillId="0" borderId="50" xfId="0" applyNumberFormat="1" applyFont="1" applyBorder="1" applyAlignment="1">
      <alignment horizontal="center" vertical="center"/>
    </xf>
    <xf numFmtId="37" fontId="2" fillId="0" borderId="50" xfId="0" applyNumberFormat="1" applyFont="1" applyBorder="1" applyAlignment="1">
      <alignment vertical="center"/>
    </xf>
    <xf numFmtId="165" fontId="2" fillId="0" borderId="31" xfId="0" applyNumberFormat="1" applyFont="1" applyBorder="1" applyAlignment="1">
      <alignment vertical="center"/>
    </xf>
    <xf numFmtId="165" fontId="2" fillId="3" borderId="50" xfId="0" applyNumberFormat="1" applyFont="1" applyFill="1" applyBorder="1" applyAlignment="1">
      <alignment vertical="center"/>
    </xf>
    <xf numFmtId="166" fontId="2" fillId="3" borderId="50" xfId="0" applyNumberFormat="1" applyFont="1" applyFill="1" applyBorder="1" applyAlignment="1">
      <alignment vertical="center"/>
    </xf>
    <xf numFmtId="17" fontId="2" fillId="0" borderId="30" xfId="0" quotePrefix="1" applyNumberFormat="1" applyFont="1" applyBorder="1" applyAlignment="1">
      <alignment horizontal="center" vertical="center"/>
    </xf>
    <xf numFmtId="17" fontId="2" fillId="0" borderId="31" xfId="0" quotePrefix="1" applyNumberFormat="1" applyFont="1" applyBorder="1" applyAlignment="1">
      <alignment horizontal="center" vertical="center"/>
    </xf>
    <xf numFmtId="17" fontId="2" fillId="0" borderId="62" xfId="0" quotePrefix="1" applyNumberFormat="1" applyFont="1" applyBorder="1" applyAlignment="1">
      <alignment horizontal="center" vertical="center"/>
    </xf>
    <xf numFmtId="165" fontId="2" fillId="3" borderId="78" xfId="0" applyNumberFormat="1" applyFont="1" applyFill="1" applyBorder="1" applyAlignment="1">
      <alignment vertical="center"/>
    </xf>
    <xf numFmtId="191" fontId="16" fillId="0" borderId="0" xfId="0" applyNumberFormat="1" applyFont="1" applyAlignment="1">
      <alignment vertical="center"/>
    </xf>
    <xf numFmtId="192" fontId="2" fillId="0" borderId="0" xfId="0" applyNumberFormat="1" applyFont="1" applyAlignment="1">
      <alignment vertical="center"/>
    </xf>
    <xf numFmtId="166" fontId="2" fillId="0" borderId="1" xfId="0" applyNumberFormat="1" applyFont="1" applyBorder="1" applyAlignment="1">
      <alignment vertical="center"/>
    </xf>
    <xf numFmtId="187" fontId="2" fillId="0" borderId="0" xfId="0" applyNumberFormat="1" applyFont="1" applyAlignment="1">
      <alignment vertical="center"/>
    </xf>
    <xf numFmtId="186" fontId="2" fillId="0" borderId="0" xfId="0" applyNumberFormat="1" applyFont="1" applyAlignment="1">
      <alignment vertical="center"/>
    </xf>
    <xf numFmtId="0" fontId="37" fillId="0" borderId="0" xfId="0" applyFont="1"/>
    <xf numFmtId="0" fontId="38" fillId="0" borderId="0" xfId="0" applyFont="1" applyAlignment="1">
      <alignment horizontal="centerContinuous"/>
    </xf>
    <xf numFmtId="0" fontId="39" fillId="0" borderId="0" xfId="0" applyFont="1" applyAlignment="1">
      <alignment horizontal="centerContinuous"/>
    </xf>
    <xf numFmtId="0" fontId="39" fillId="0" borderId="0" xfId="0" applyFont="1"/>
    <xf numFmtId="166" fontId="41" fillId="0" borderId="0" xfId="0" applyNumberFormat="1" applyFont="1"/>
    <xf numFmtId="166" fontId="38" fillId="0" borderId="0" xfId="0" applyNumberFormat="1" applyFont="1"/>
    <xf numFmtId="166" fontId="41" fillId="0" borderId="0" xfId="0" quotePrefix="1" applyNumberFormat="1" applyFont="1" applyAlignment="1">
      <alignment horizontal="right"/>
    </xf>
    <xf numFmtId="166" fontId="41" fillId="0" borderId="0" xfId="0" applyNumberFormat="1" applyFont="1" applyAlignment="1">
      <alignment horizontal="center"/>
    </xf>
    <xf numFmtId="166" fontId="42" fillId="0" borderId="0" xfId="0" quotePrefix="1" applyNumberFormat="1" applyFont="1" applyAlignment="1">
      <alignment horizontal="center"/>
    </xf>
    <xf numFmtId="166" fontId="41" fillId="0" borderId="77" xfId="0" applyNumberFormat="1" applyFont="1" applyBorder="1" applyAlignment="1">
      <alignment horizontal="center" wrapText="1"/>
    </xf>
    <xf numFmtId="166" fontId="41" fillId="0" borderId="77" xfId="0" applyNumberFormat="1" applyFont="1" applyBorder="1" applyAlignment="1">
      <alignment horizontal="center"/>
    </xf>
    <xf numFmtId="166" fontId="41" fillId="0" borderId="37" xfId="0" applyNumberFormat="1" applyFont="1" applyBorder="1" applyAlignment="1">
      <alignment horizontal="center" wrapText="1"/>
    </xf>
    <xf numFmtId="0" fontId="41" fillId="0" borderId="0" xfId="0" applyFont="1" applyAlignment="1">
      <alignment horizontal="center"/>
    </xf>
    <xf numFmtId="0" fontId="43" fillId="0" borderId="0" xfId="0" applyFont="1"/>
    <xf numFmtId="166" fontId="34" fillId="0" borderId="0" xfId="0" applyNumberFormat="1" applyFont="1"/>
    <xf numFmtId="41" fontId="41" fillId="0" borderId="0" xfId="0" applyNumberFormat="1" applyFont="1"/>
    <xf numFmtId="166" fontId="44" fillId="0" borderId="0" xfId="0" applyNumberFormat="1" applyFont="1"/>
    <xf numFmtId="166" fontId="41" fillId="0" borderId="0" xfId="0" applyNumberFormat="1" applyFont="1" applyAlignment="1">
      <alignment horizontal="left" indent="1"/>
    </xf>
    <xf numFmtId="166" fontId="41" fillId="0" borderId="0" xfId="0" applyNumberFormat="1" applyFont="1" applyAlignment="1">
      <alignment horizontal="right"/>
    </xf>
    <xf numFmtId="183" fontId="41" fillId="0" borderId="0" xfId="0" applyNumberFormat="1" applyFont="1" applyAlignment="1">
      <alignment horizontal="right"/>
    </xf>
    <xf numFmtId="0" fontId="40" fillId="0" borderId="0" xfId="0" quotePrefix="1" applyFont="1" applyAlignment="1">
      <alignment vertical="center"/>
    </xf>
    <xf numFmtId="166" fontId="38" fillId="0" borderId="0" xfId="0" quotePrefix="1" applyNumberFormat="1" applyFont="1" applyAlignment="1">
      <alignment horizontal="center"/>
    </xf>
    <xf numFmtId="166" fontId="38" fillId="0" borderId="0" xfId="0" applyNumberFormat="1" applyFont="1" applyAlignment="1">
      <alignment horizontal="center"/>
    </xf>
    <xf numFmtId="166" fontId="38" fillId="0" borderId="0" xfId="0" applyNumberFormat="1" applyFont="1" applyAlignment="1">
      <alignment horizontal="right"/>
    </xf>
    <xf numFmtId="166" fontId="41" fillId="0" borderId="0" xfId="0" applyNumberFormat="1" applyFont="1" applyAlignment="1">
      <alignment horizontal="center" wrapText="1"/>
    </xf>
    <xf numFmtId="0" fontId="41" fillId="0" borderId="0" xfId="0" applyFont="1"/>
    <xf numFmtId="166" fontId="11" fillId="0" borderId="79" xfId="0" applyNumberFormat="1" applyFont="1" applyBorder="1" applyAlignment="1">
      <alignment horizontal="center" vertical="center" wrapText="1"/>
    </xf>
    <xf numFmtId="166" fontId="11" fillId="0" borderId="1" xfId="0" applyNumberFormat="1" applyFont="1" applyBorder="1"/>
    <xf numFmtId="166" fontId="40" fillId="0" borderId="0" xfId="0" applyNumberFormat="1" applyFont="1" applyAlignment="1">
      <alignment horizontal="center" vertical="center" wrapText="1"/>
    </xf>
    <xf numFmtId="166" fontId="11" fillId="0" borderId="0" xfId="0" applyNumberFormat="1" applyFont="1"/>
    <xf numFmtId="166" fontId="41" fillId="3" borderId="0" xfId="0" applyNumberFormat="1" applyFont="1" applyFill="1"/>
    <xf numFmtId="183" fontId="41" fillId="3" borderId="0" xfId="0" quotePrefix="1" applyNumberFormat="1" applyFont="1" applyFill="1" applyAlignment="1">
      <alignment horizontal="center"/>
    </xf>
    <xf numFmtId="166" fontId="41" fillId="3" borderId="0" xfId="0" quotePrefix="1" applyNumberFormat="1" applyFont="1" applyFill="1" applyAlignment="1">
      <alignment horizontal="center"/>
    </xf>
    <xf numFmtId="10" fontId="41" fillId="3" borderId="0" xfId="0" applyNumberFormat="1" applyFont="1" applyFill="1" applyAlignment="1">
      <alignment horizontal="center"/>
    </xf>
    <xf numFmtId="166" fontId="11" fillId="3" borderId="0" xfId="0" applyNumberFormat="1" applyFont="1" applyFill="1"/>
    <xf numFmtId="0" fontId="38" fillId="3" borderId="0" xfId="0" applyFont="1" applyFill="1" applyAlignment="1">
      <alignment horizontal="centerContinuous"/>
    </xf>
    <xf numFmtId="0" fontId="39" fillId="3" borderId="0" xfId="0" applyFont="1" applyFill="1" applyAlignment="1">
      <alignment horizontal="centerContinuous"/>
    </xf>
    <xf numFmtId="166" fontId="11" fillId="0" borderId="80" xfId="0" applyNumberFormat="1" applyFont="1" applyBorder="1"/>
    <xf numFmtId="0" fontId="40" fillId="0" borderId="0" xfId="0" quotePrefix="1" applyFont="1" applyAlignment="1">
      <alignment horizontal="center" vertical="center"/>
    </xf>
    <xf numFmtId="0" fontId="2" fillId="0" borderId="0" xfId="0" applyFont="1" applyAlignment="1">
      <alignment horizontal="left" vertical="center" wrapText="1"/>
    </xf>
    <xf numFmtId="166" fontId="40" fillId="0" borderId="0" xfId="0" quotePrefix="1" applyNumberFormat="1" applyFont="1" applyAlignment="1">
      <alignment horizontal="centerContinuous"/>
    </xf>
    <xf numFmtId="0" fontId="45" fillId="0" borderId="0" xfId="0" applyFont="1" applyAlignment="1">
      <alignment vertical="center"/>
    </xf>
    <xf numFmtId="6" fontId="2" fillId="0" borderId="0" xfId="0" applyNumberFormat="1" applyFont="1" applyAlignment="1">
      <alignment horizontal="left" vertical="center"/>
    </xf>
    <xf numFmtId="164" fontId="3" fillId="0" borderId="78" xfId="0" applyNumberFormat="1" applyFont="1" applyBorder="1" applyAlignment="1">
      <alignment horizontal="center" vertical="center"/>
    </xf>
    <xf numFmtId="0" fontId="11" fillId="0" borderId="0" xfId="0" applyFont="1" applyAlignment="1">
      <alignment horizontal="center"/>
    </xf>
    <xf numFmtId="166" fontId="11" fillId="0" borderId="0" xfId="0" applyNumberFormat="1" applyFont="1" applyAlignment="1">
      <alignment horizontal="center"/>
    </xf>
    <xf numFmtId="0" fontId="11" fillId="0" borderId="0" xfId="0" applyFont="1"/>
    <xf numFmtId="41" fontId="11" fillId="0" borderId="79" xfId="0" applyNumberFormat="1" applyFont="1" applyBorder="1"/>
    <xf numFmtId="43" fontId="11" fillId="0" borderId="1" xfId="0" applyNumberFormat="1" applyFont="1" applyBorder="1"/>
    <xf numFmtId="41" fontId="11" fillId="0" borderId="0" xfId="0" applyNumberFormat="1" applyFont="1"/>
    <xf numFmtId="166" fontId="46" fillId="0" borderId="0" xfId="0" applyNumberFormat="1" applyFont="1"/>
    <xf numFmtId="0" fontId="46" fillId="0" borderId="0" xfId="0" applyFont="1"/>
    <xf numFmtId="0" fontId="11" fillId="0" borderId="0" xfId="0" quotePrefix="1" applyFont="1" applyAlignment="1">
      <alignment horizontal="center"/>
    </xf>
    <xf numFmtId="0" fontId="11" fillId="0" borderId="79" xfId="0" applyFont="1" applyBorder="1"/>
    <xf numFmtId="166" fontId="11" fillId="0" borderId="81" xfId="0" applyNumberFormat="1" applyFont="1" applyBorder="1"/>
    <xf numFmtId="166" fontId="26" fillId="0" borderId="0" xfId="0" applyNumberFormat="1" applyFont="1"/>
    <xf numFmtId="166" fontId="47" fillId="0" borderId="0" xfId="0" applyNumberFormat="1" applyFont="1"/>
    <xf numFmtId="166" fontId="11" fillId="0" borderId="0" xfId="0" applyNumberFormat="1" applyFont="1" applyAlignment="1">
      <alignment horizontal="left" indent="1"/>
    </xf>
    <xf numFmtId="0" fontId="47" fillId="0" borderId="0" xfId="0" applyFont="1"/>
    <xf numFmtId="166" fontId="11" fillId="0" borderId="0" xfId="0" applyNumberFormat="1" applyFont="1" applyAlignment="1">
      <alignment horizontal="center" wrapText="1"/>
    </xf>
    <xf numFmtId="166" fontId="40" fillId="0" borderId="0" xfId="0" applyNumberFormat="1" applyFont="1" applyAlignment="1">
      <alignment horizontal="center"/>
    </xf>
    <xf numFmtId="166" fontId="40" fillId="0" borderId="0" xfId="0" applyNumberFormat="1" applyFont="1" applyAlignment="1">
      <alignment horizontal="center" wrapText="1"/>
    </xf>
    <xf numFmtId="166" fontId="11" fillId="3" borderId="78" xfId="0" applyNumberFormat="1" applyFont="1" applyFill="1" applyBorder="1"/>
    <xf numFmtId="166" fontId="11" fillId="0" borderId="78" xfId="0" applyNumberFormat="1" applyFont="1" applyBorder="1"/>
    <xf numFmtId="166" fontId="36" fillId="0" borderId="0" xfId="0" applyNumberFormat="1" applyFont="1"/>
    <xf numFmtId="0" fontId="36" fillId="0" borderId="0" xfId="0" applyFont="1"/>
    <xf numFmtId="166" fontId="11" fillId="0" borderId="0" xfId="0" applyNumberFormat="1" applyFont="1" applyAlignment="1">
      <alignment horizontal="right"/>
    </xf>
    <xf numFmtId="166" fontId="11" fillId="0" borderId="0" xfId="0" quotePrefix="1" applyNumberFormat="1" applyFont="1" applyAlignment="1">
      <alignment horizontal="right"/>
    </xf>
    <xf numFmtId="0" fontId="49" fillId="0" borderId="0" xfId="0" applyFont="1"/>
    <xf numFmtId="0" fontId="40" fillId="0" borderId="0" xfId="0" applyFont="1" applyAlignment="1">
      <alignment horizontal="centerContinuous"/>
    </xf>
    <xf numFmtId="0" fontId="50" fillId="0" borderId="0" xfId="0" applyFont="1" applyAlignment="1">
      <alignment horizontal="centerContinuous"/>
    </xf>
    <xf numFmtId="0" fontId="50" fillId="0" borderId="0" xfId="0" applyFont="1"/>
    <xf numFmtId="166" fontId="40" fillId="0" borderId="0" xfId="0" quotePrefix="1" applyNumberFormat="1" applyFont="1"/>
    <xf numFmtId="166" fontId="40" fillId="3" borderId="0" xfId="0" quotePrefix="1" applyNumberFormat="1" applyFont="1" applyFill="1" applyAlignment="1">
      <alignment horizontal="centerContinuous"/>
    </xf>
    <xf numFmtId="166" fontId="40" fillId="3" borderId="0" xfId="0" applyNumberFormat="1" applyFont="1" applyFill="1" applyAlignment="1">
      <alignment horizontal="centerContinuous"/>
    </xf>
    <xf numFmtId="166" fontId="51" fillId="3" borderId="0" xfId="0" applyNumberFormat="1" applyFont="1" applyFill="1" applyAlignment="1">
      <alignment horizontal="centerContinuous"/>
    </xf>
    <xf numFmtId="166" fontId="52" fillId="0" borderId="0" xfId="0" applyNumberFormat="1" applyFont="1"/>
    <xf numFmtId="166" fontId="40" fillId="0" borderId="0" xfId="0" applyNumberFormat="1" applyFont="1"/>
    <xf numFmtId="0" fontId="40" fillId="0" borderId="0" xfId="0" applyFont="1"/>
    <xf numFmtId="183" fontId="11" fillId="3" borderId="0" xfId="0" quotePrefix="1" applyNumberFormat="1" applyFont="1" applyFill="1" applyAlignment="1">
      <alignment horizontal="center"/>
    </xf>
    <xf numFmtId="166" fontId="50" fillId="0" borderId="0" xfId="0" applyNumberFormat="1" applyFont="1"/>
    <xf numFmtId="166" fontId="53" fillId="0" borderId="0" xfId="0" quotePrefix="1" applyNumberFormat="1" applyFont="1" applyAlignment="1">
      <alignment horizontal="center"/>
    </xf>
    <xf numFmtId="166" fontId="50" fillId="0" borderId="0" xfId="0" applyNumberFormat="1" applyFont="1" applyAlignment="1">
      <alignment horizontal="center"/>
    </xf>
    <xf numFmtId="166" fontId="36" fillId="0" borderId="0" xfId="0" applyNumberFormat="1" applyFont="1" applyAlignment="1">
      <alignment horizontal="center"/>
    </xf>
    <xf numFmtId="166" fontId="11" fillId="0" borderId="37" xfId="0" applyNumberFormat="1" applyFont="1" applyBorder="1" applyAlignment="1">
      <alignment horizontal="center" vertical="center"/>
    </xf>
    <xf numFmtId="166" fontId="11" fillId="0" borderId="37" xfId="0" quotePrefix="1" applyNumberFormat="1" applyFont="1" applyBorder="1" applyAlignment="1">
      <alignment horizontal="center" vertical="center"/>
    </xf>
    <xf numFmtId="166" fontId="11" fillId="0" borderId="77" xfId="0" applyNumberFormat="1" applyFont="1" applyBorder="1" applyAlignment="1">
      <alignment horizontal="center" wrapText="1"/>
    </xf>
    <xf numFmtId="166" fontId="11" fillId="0" borderId="37" xfId="0" applyNumberFormat="1" applyFont="1" applyBorder="1" applyAlignment="1">
      <alignment horizontal="center" wrapText="1"/>
    </xf>
    <xf numFmtId="166" fontId="11" fillId="0" borderId="37" xfId="0" applyNumberFormat="1" applyFont="1" applyBorder="1" applyAlignment="1">
      <alignment horizontal="center" vertical="center" wrapText="1"/>
    </xf>
    <xf numFmtId="166" fontId="11" fillId="0" borderId="76" xfId="0" applyNumberFormat="1" applyFont="1" applyBorder="1" applyAlignment="1">
      <alignment horizontal="center" vertical="center" wrapText="1"/>
    </xf>
    <xf numFmtId="166" fontId="36" fillId="0" borderId="0" xfId="0" applyNumberFormat="1" applyFont="1" applyAlignment="1">
      <alignment horizontal="center" vertical="center" wrapText="1"/>
    </xf>
    <xf numFmtId="0" fontId="40" fillId="0" borderId="0" xfId="0" applyFont="1" applyAlignment="1">
      <alignment horizontal="center"/>
    </xf>
    <xf numFmtId="183" fontId="11" fillId="0" borderId="0" xfId="0" applyNumberFormat="1" applyFont="1" applyAlignment="1">
      <alignment horizontal="right"/>
    </xf>
    <xf numFmtId="166" fontId="40" fillId="0" borderId="0" xfId="0" applyNumberFormat="1" applyFont="1" applyAlignment="1">
      <alignment horizontal="centerContinuous"/>
    </xf>
    <xf numFmtId="166" fontId="51" fillId="0" borderId="0" xfId="0" applyNumberFormat="1" applyFont="1" applyAlignment="1">
      <alignment horizontal="centerContinuous"/>
    </xf>
    <xf numFmtId="166" fontId="11" fillId="0" borderId="0" xfId="0" quotePrefix="1" applyNumberFormat="1" applyFont="1"/>
    <xf numFmtId="166" fontId="11" fillId="0" borderId="79" xfId="0" applyNumberFormat="1" applyFont="1" applyBorder="1"/>
    <xf numFmtId="41" fontId="11" fillId="3" borderId="78" xfId="0" applyNumberFormat="1" applyFont="1" applyFill="1" applyBorder="1"/>
    <xf numFmtId="166" fontId="11" fillId="0" borderId="0" xfId="0" quotePrefix="1" applyNumberFormat="1" applyFont="1" applyAlignment="1">
      <alignment horizontal="left"/>
    </xf>
    <xf numFmtId="0" fontId="40" fillId="3" borderId="0" xfId="0" applyFont="1" applyFill="1" applyAlignment="1">
      <alignment horizontal="centerContinuous"/>
    </xf>
    <xf numFmtId="0" fontId="50" fillId="3" borderId="0" xfId="0" applyFont="1" applyFill="1" applyAlignment="1">
      <alignment horizontal="centerContinuous"/>
    </xf>
    <xf numFmtId="166" fontId="51" fillId="0" borderId="0" xfId="0" applyNumberFormat="1" applyFont="1"/>
    <xf numFmtId="166" fontId="11" fillId="0" borderId="0" xfId="0" quotePrefix="1" applyNumberFormat="1" applyFont="1" applyAlignment="1">
      <alignment horizontal="center"/>
    </xf>
    <xf numFmtId="166" fontId="11" fillId="3" borderId="0" xfId="0" quotePrefix="1" applyNumberFormat="1" applyFont="1" applyFill="1" applyAlignment="1">
      <alignment horizontal="center"/>
    </xf>
    <xf numFmtId="10" fontId="11" fillId="3" borderId="0" xfId="0" applyNumberFormat="1" applyFont="1" applyFill="1" applyAlignment="1">
      <alignment horizontal="center"/>
    </xf>
    <xf numFmtId="166" fontId="11" fillId="0" borderId="37" xfId="0" quotePrefix="1" applyNumberFormat="1" applyFont="1" applyBorder="1" applyAlignment="1">
      <alignment horizontal="center"/>
    </xf>
    <xf numFmtId="166" fontId="11" fillId="0" borderId="77" xfId="0" quotePrefix="1" applyNumberFormat="1" applyFont="1" applyBorder="1" applyAlignment="1">
      <alignment horizontal="center"/>
    </xf>
    <xf numFmtId="41" fontId="11" fillId="3" borderId="0" xfId="0" applyNumberFormat="1" applyFont="1" applyFill="1"/>
    <xf numFmtId="43" fontId="11" fillId="3" borderId="78" xfId="0" applyNumberFormat="1" applyFont="1" applyFill="1" applyBorder="1"/>
    <xf numFmtId="43" fontId="11" fillId="0" borderId="78" xfId="0" applyNumberFormat="1" applyFont="1" applyBorder="1"/>
    <xf numFmtId="166" fontId="54" fillId="0" borderId="37" xfId="0" quotePrefix="1" applyNumberFormat="1" applyFont="1" applyBorder="1" applyAlignment="1">
      <alignment horizontal="center" vertical="center" wrapText="1"/>
    </xf>
    <xf numFmtId="166" fontId="54" fillId="0" borderId="37" xfId="0" quotePrefix="1" applyNumberFormat="1" applyFont="1" applyBorder="1" applyAlignment="1">
      <alignment horizontal="center" vertical="center"/>
    </xf>
    <xf numFmtId="166" fontId="11" fillId="0" borderId="77" xfId="0" applyNumberFormat="1" applyFont="1" applyBorder="1" applyAlignment="1">
      <alignment horizontal="center"/>
    </xf>
    <xf numFmtId="0" fontId="11" fillId="0" borderId="0" xfId="0" applyFont="1" applyAlignment="1">
      <alignment horizontal="center" vertical="center" wrapText="1"/>
    </xf>
    <xf numFmtId="171" fontId="36" fillId="0" borderId="0" xfId="0" applyNumberFormat="1" applyFont="1"/>
    <xf numFmtId="176" fontId="36" fillId="0" borderId="0" xfId="0" applyNumberFormat="1" applyFont="1"/>
    <xf numFmtId="166" fontId="41" fillId="0" borderId="62" xfId="0" applyNumberFormat="1" applyFont="1" applyBorder="1" applyAlignment="1">
      <alignment horizontal="center"/>
    </xf>
    <xf numFmtId="166" fontId="41" fillId="0" borderId="37" xfId="0" quotePrefix="1" applyNumberFormat="1" applyFont="1" applyBorder="1" applyAlignment="1">
      <alignment horizontal="center"/>
    </xf>
    <xf numFmtId="166" fontId="41" fillId="0" borderId="77" xfId="0" quotePrefix="1" applyNumberFormat="1" applyFont="1" applyBorder="1" applyAlignment="1">
      <alignment horizontal="center"/>
    </xf>
    <xf numFmtId="166" fontId="41" fillId="0" borderId="37" xfId="0" applyNumberFormat="1" applyFont="1" applyBorder="1" applyAlignment="1">
      <alignment horizontal="center" vertical="center" wrapText="1"/>
    </xf>
    <xf numFmtId="166" fontId="11" fillId="0" borderId="37" xfId="0" quotePrefix="1" applyNumberFormat="1" applyFont="1" applyBorder="1" applyAlignment="1">
      <alignment horizontal="center" vertical="center" wrapText="1"/>
    </xf>
    <xf numFmtId="166" fontId="11" fillId="0" borderId="0" xfId="0" applyNumberFormat="1" applyFont="1" applyAlignment="1">
      <alignment horizontal="left"/>
    </xf>
    <xf numFmtId="165" fontId="22" fillId="0" borderId="0" xfId="0" applyNumberFormat="1" applyFont="1" applyAlignment="1">
      <alignment horizontal="center" vertical="center"/>
    </xf>
    <xf numFmtId="193" fontId="2" fillId="0" borderId="0" xfId="0" applyNumberFormat="1" applyFont="1" applyAlignment="1">
      <alignment vertical="center"/>
    </xf>
    <xf numFmtId="165" fontId="23" fillId="0" borderId="0" xfId="0" applyNumberFormat="1" applyFont="1" applyAlignment="1">
      <alignment horizontal="center" vertical="center"/>
    </xf>
    <xf numFmtId="0" fontId="25" fillId="0" borderId="0" xfId="0" applyFont="1" applyAlignment="1">
      <alignment horizontal="left" vertical="center"/>
    </xf>
    <xf numFmtId="0" fontId="25" fillId="0" borderId="0" xfId="0" applyFont="1" applyAlignment="1">
      <alignment horizontal="center"/>
    </xf>
    <xf numFmtId="49" fontId="11" fillId="0" borderId="0" xfId="0" applyNumberFormat="1" applyFont="1" applyAlignment="1">
      <alignment horizontal="left" indent="1"/>
    </xf>
    <xf numFmtId="166" fontId="11" fillId="0" borderId="78" xfId="0" applyNumberFormat="1" applyFont="1" applyBorder="1" applyAlignment="1">
      <alignment horizontal="center"/>
    </xf>
    <xf numFmtId="0" fontId="11" fillId="0" borderId="78" xfId="0" applyFont="1" applyBorder="1" applyAlignment="1">
      <alignment horizontal="center"/>
    </xf>
    <xf numFmtId="0" fontId="11" fillId="0" borderId="78" xfId="0" applyFont="1" applyBorder="1" applyAlignment="1">
      <alignment horizontal="center" wrapText="1"/>
    </xf>
    <xf numFmtId="0" fontId="40" fillId="0" borderId="0" xfId="0" applyFont="1" applyAlignment="1">
      <alignment horizontal="right"/>
    </xf>
    <xf numFmtId="10" fontId="11" fillId="5" borderId="0" xfId="0" applyNumberFormat="1" applyFont="1" applyFill="1"/>
    <xf numFmtId="10" fontId="11" fillId="0" borderId="0" xfId="0" applyNumberFormat="1" applyFont="1"/>
    <xf numFmtId="178" fontId="11" fillId="0" borderId="0" xfId="0" applyNumberFormat="1" applyFont="1"/>
    <xf numFmtId="167" fontId="11" fillId="0" borderId="0" xfId="0" applyNumberFormat="1" applyFont="1"/>
    <xf numFmtId="10" fontId="57" fillId="0" borderId="78" xfId="0" applyNumberFormat="1" applyFont="1" applyBorder="1"/>
    <xf numFmtId="167" fontId="57" fillId="0" borderId="0" xfId="0" applyNumberFormat="1" applyFont="1"/>
    <xf numFmtId="178" fontId="57" fillId="0" borderId="0" xfId="0" applyNumberFormat="1" applyFont="1"/>
    <xf numFmtId="0" fontId="6" fillId="0" borderId="0" xfId="3" quotePrefix="1" applyFont="1" applyAlignment="1">
      <alignment horizontal="center" vertical="center"/>
    </xf>
    <xf numFmtId="0" fontId="2" fillId="0" borderId="0" xfId="3" applyFont="1" applyAlignment="1">
      <alignment vertical="center"/>
    </xf>
    <xf numFmtId="49" fontId="2" fillId="0" borderId="50" xfId="4" applyNumberFormat="1" applyFont="1" applyBorder="1" applyAlignment="1">
      <alignment horizontal="center" vertical="center"/>
    </xf>
    <xf numFmtId="0" fontId="2" fillId="0" borderId="3" xfId="4" applyNumberFormat="1" applyFont="1" applyFill="1" applyBorder="1" applyAlignment="1">
      <alignment horizontal="left" vertical="center"/>
    </xf>
    <xf numFmtId="0" fontId="16" fillId="0" borderId="19" xfId="0" applyFont="1" applyBorder="1" applyAlignment="1">
      <alignment horizontal="left" vertical="center"/>
    </xf>
    <xf numFmtId="166" fontId="16" fillId="0" borderId="13" xfId="0" applyNumberFormat="1" applyFont="1" applyBorder="1" applyAlignment="1">
      <alignment vertical="center"/>
    </xf>
    <xf numFmtId="0" fontId="18" fillId="0" borderId="50" xfId="0" applyFont="1" applyBorder="1" applyAlignment="1">
      <alignment horizontal="center" vertical="center"/>
    </xf>
    <xf numFmtId="165" fontId="2" fillId="0" borderId="50" xfId="1" applyNumberFormat="1" applyFont="1" applyFill="1" applyBorder="1" applyAlignment="1">
      <alignment vertical="center"/>
    </xf>
    <xf numFmtId="10" fontId="16" fillId="0" borderId="50" xfId="0" applyNumberFormat="1" applyFont="1" applyBorder="1" applyAlignment="1">
      <alignment vertical="center"/>
    </xf>
    <xf numFmtId="165" fontId="16" fillId="0" borderId="50" xfId="1" applyNumberFormat="1" applyFont="1" applyBorder="1" applyAlignment="1">
      <alignment vertical="center"/>
    </xf>
    <xf numFmtId="6" fontId="16" fillId="0" borderId="50" xfId="0" applyNumberFormat="1" applyFont="1" applyBorder="1" applyAlignment="1">
      <alignment vertical="center"/>
    </xf>
    <xf numFmtId="10" fontId="16" fillId="0" borderId="51" xfId="2" applyNumberFormat="1" applyFont="1" applyBorder="1" applyAlignment="1">
      <alignment vertical="center"/>
    </xf>
    <xf numFmtId="10" fontId="16" fillId="0" borderId="50" xfId="2" applyNumberFormat="1" applyFont="1" applyBorder="1" applyAlignment="1">
      <alignment vertical="center"/>
    </xf>
    <xf numFmtId="165" fontId="16" fillId="0" borderId="55" xfId="1" applyNumberFormat="1" applyFont="1" applyBorder="1" applyAlignment="1">
      <alignment vertical="center"/>
    </xf>
    <xf numFmtId="0" fontId="2" fillId="0" borderId="0" xfId="6" applyFont="1" applyAlignment="1">
      <alignment vertical="center"/>
    </xf>
    <xf numFmtId="0" fontId="2" fillId="0" borderId="0" xfId="6" applyFont="1" applyAlignment="1">
      <alignment horizontal="center" vertical="center"/>
    </xf>
    <xf numFmtId="0" fontId="2" fillId="0" borderId="0" xfId="6" applyFont="1" applyAlignment="1">
      <alignment horizontal="left" vertical="center"/>
    </xf>
    <xf numFmtId="0" fontId="2" fillId="0" borderId="0" xfId="6" quotePrefix="1" applyFont="1" applyAlignment="1">
      <alignment vertical="center"/>
    </xf>
    <xf numFmtId="166" fontId="2" fillId="2" borderId="78" xfId="0" applyNumberFormat="1" applyFont="1" applyFill="1" applyBorder="1" applyAlignment="1">
      <alignment horizontal="right" vertical="center"/>
    </xf>
    <xf numFmtId="0" fontId="8" fillId="0" borderId="0" xfId="6" applyFont="1" applyAlignment="1">
      <alignment horizontal="left" vertical="center"/>
    </xf>
    <xf numFmtId="165" fontId="2" fillId="2" borderId="78" xfId="0" applyNumberFormat="1" applyFont="1" applyFill="1" applyBorder="1" applyAlignment="1">
      <alignment horizontal="right" vertical="center"/>
    </xf>
    <xf numFmtId="0" fontId="8" fillId="0" borderId="0" xfId="6" applyFont="1" applyAlignment="1">
      <alignment vertical="center"/>
    </xf>
    <xf numFmtId="0" fontId="6" fillId="0" borderId="0" xfId="6" quotePrefix="1" applyFont="1" applyAlignment="1">
      <alignment horizontal="center" vertical="center"/>
    </xf>
    <xf numFmtId="44" fontId="2" fillId="2" borderId="0" xfId="1" applyFont="1" applyFill="1" applyBorder="1" applyAlignment="1" applyProtection="1">
      <alignment horizontal="center" vertical="center"/>
    </xf>
    <xf numFmtId="166" fontId="16" fillId="2" borderId="0" xfId="5" applyNumberFormat="1" applyFont="1" applyFill="1" applyAlignment="1">
      <alignment vertical="center"/>
    </xf>
    <xf numFmtId="0" fontId="2" fillId="0" borderId="78" xfId="0" applyFont="1" applyBorder="1" applyAlignment="1">
      <alignment horizontal="center" vertical="center"/>
    </xf>
    <xf numFmtId="15" fontId="2" fillId="0" borderId="78" xfId="0" applyNumberFormat="1" applyFont="1" applyBorder="1" applyAlignment="1">
      <alignment horizontal="center" vertical="center"/>
    </xf>
    <xf numFmtId="0" fontId="2" fillId="0" borderId="78" xfId="0" applyFont="1" applyBorder="1" applyAlignment="1">
      <alignment horizontal="center" vertical="center" wrapText="1"/>
    </xf>
    <xf numFmtId="10" fontId="2" fillId="3" borderId="1" xfId="2" applyNumberFormat="1" applyFont="1" applyFill="1" applyBorder="1" applyAlignment="1">
      <alignment vertical="center"/>
    </xf>
    <xf numFmtId="165" fontId="2" fillId="0" borderId="0" xfId="1" applyNumberFormat="1" applyFont="1" applyFill="1" applyAlignment="1">
      <alignment vertical="center"/>
    </xf>
    <xf numFmtId="10" fontId="2" fillId="0" borderId="0" xfId="2" applyNumberFormat="1" applyFont="1" applyFill="1" applyAlignment="1">
      <alignment horizontal="right" vertical="center"/>
    </xf>
    <xf numFmtId="10" fontId="2" fillId="0" borderId="0" xfId="2" applyNumberFormat="1" applyFont="1" applyAlignment="1">
      <alignment horizontal="right" vertical="center"/>
    </xf>
    <xf numFmtId="166" fontId="2" fillId="0" borderId="0" xfId="5" applyNumberFormat="1" applyFont="1" applyFill="1" applyAlignment="1">
      <alignment vertical="center"/>
    </xf>
    <xf numFmtId="10" fontId="2" fillId="0" borderId="78" xfId="2" applyNumberFormat="1" applyFont="1" applyFill="1" applyBorder="1" applyAlignment="1">
      <alignment horizontal="right" vertical="center"/>
    </xf>
    <xf numFmtId="10" fontId="2" fillId="0" borderId="78" xfId="2" applyNumberFormat="1" applyFont="1" applyBorder="1" applyAlignment="1">
      <alignment horizontal="right" vertical="center"/>
    </xf>
    <xf numFmtId="10" fontId="2" fillId="0" borderId="0" xfId="2" applyNumberFormat="1" applyFont="1" applyBorder="1" applyAlignment="1">
      <alignment horizontal="right" vertical="center"/>
    </xf>
    <xf numFmtId="10" fontId="2" fillId="0" borderId="1" xfId="2" applyNumberFormat="1" applyFont="1" applyFill="1" applyBorder="1" applyAlignment="1">
      <alignment horizontal="right" vertical="center"/>
    </xf>
    <xf numFmtId="10" fontId="2" fillId="0" borderId="1" xfId="2" applyNumberFormat="1" applyFont="1" applyBorder="1" applyAlignment="1">
      <alignment horizontal="right" vertical="center"/>
    </xf>
    <xf numFmtId="0" fontId="2" fillId="0" borderId="77" xfId="0" applyFont="1" applyBorder="1" applyAlignment="1">
      <alignment horizontal="center" vertical="center"/>
    </xf>
    <xf numFmtId="0" fontId="2" fillId="0" borderId="77" xfId="0" applyFont="1" applyBorder="1" applyAlignment="1">
      <alignment vertical="center"/>
    </xf>
    <xf numFmtId="0" fontId="2" fillId="0" borderId="77" xfId="0" applyFont="1" applyBorder="1" applyAlignment="1">
      <alignment horizontal="center" vertical="center" wrapText="1"/>
    </xf>
    <xf numFmtId="10" fontId="2" fillId="0" borderId="0" xfId="2" applyNumberFormat="1" applyFont="1" applyFill="1" applyBorder="1" applyAlignment="1">
      <alignment horizontal="right" vertical="center"/>
    </xf>
    <xf numFmtId="10" fontId="2" fillId="0" borderId="0" xfId="2" applyNumberFormat="1" applyFont="1" applyAlignment="1">
      <alignment vertical="center"/>
    </xf>
    <xf numFmtId="165" fontId="2" fillId="0" borderId="0" xfId="1" applyNumberFormat="1" applyFont="1" applyFill="1" applyAlignment="1">
      <alignment horizontal="right" vertical="center"/>
    </xf>
    <xf numFmtId="167" fontId="2" fillId="2" borderId="78" xfId="0" applyNumberFormat="1" applyFont="1" applyFill="1" applyBorder="1" applyAlignment="1">
      <alignment horizontal="right" vertical="center"/>
    </xf>
    <xf numFmtId="165" fontId="24" fillId="0" borderId="0" xfId="0" applyNumberFormat="1" applyFont="1" applyAlignment="1">
      <alignment vertical="center"/>
    </xf>
    <xf numFmtId="166" fontId="2" fillId="3" borderId="0" xfId="4" applyNumberFormat="1" applyFont="1" applyFill="1" applyBorder="1"/>
    <xf numFmtId="3" fontId="2" fillId="0" borderId="50" xfId="3" applyNumberFormat="1" applyFont="1" applyBorder="1" applyAlignment="1">
      <alignment horizontal="centerContinuous" vertical="center"/>
    </xf>
    <xf numFmtId="0" fontId="6" fillId="0" borderId="0" xfId="3" applyFont="1" applyAlignment="1">
      <alignment horizontal="center" vertical="center"/>
    </xf>
    <xf numFmtId="0" fontId="3" fillId="0" borderId="0" xfId="3" applyFont="1" applyAlignment="1">
      <alignment horizontal="center" vertical="center"/>
    </xf>
    <xf numFmtId="166" fontId="2" fillId="0" borderId="0" xfId="5" applyNumberFormat="1" applyFont="1" applyAlignment="1">
      <alignment vertical="center"/>
    </xf>
    <xf numFmtId="194" fontId="2" fillId="0" borderId="0" xfId="0" applyNumberFormat="1" applyFont="1" applyAlignment="1">
      <alignment vertical="center"/>
    </xf>
    <xf numFmtId="43" fontId="2" fillId="0" borderId="50" xfId="0" applyNumberFormat="1" applyFont="1" applyBorder="1" applyAlignment="1">
      <alignment horizontal="left" vertical="center"/>
    </xf>
    <xf numFmtId="37" fontId="3" fillId="0" borderId="77" xfId="0" applyNumberFormat="1" applyFont="1" applyBorder="1" applyAlignment="1">
      <alignment horizontal="center" vertical="center"/>
    </xf>
    <xf numFmtId="166" fontId="2" fillId="0" borderId="78" xfId="0" applyNumberFormat="1" applyFont="1" applyBorder="1" applyAlignment="1">
      <alignment vertical="center"/>
    </xf>
    <xf numFmtId="37" fontId="2" fillId="0" borderId="77" xfId="0" applyNumberFormat="1" applyFont="1" applyBorder="1" applyAlignment="1">
      <alignment vertical="center"/>
    </xf>
    <xf numFmtId="174" fontId="2" fillId="0" borderId="12" xfId="3" applyNumberFormat="1" applyFont="1" applyBorder="1" applyAlignment="1">
      <alignment horizontal="center" wrapText="1"/>
    </xf>
    <xf numFmtId="37" fontId="2" fillId="0" borderId="77" xfId="0" applyNumberFormat="1" applyFont="1" applyBorder="1" applyAlignment="1">
      <alignment horizontal="left" vertical="center"/>
    </xf>
    <xf numFmtId="0" fontId="2" fillId="0" borderId="0" xfId="0" applyFont="1" applyAlignment="1">
      <alignment vertical="top"/>
    </xf>
    <xf numFmtId="171" fontId="11" fillId="0" borderId="0" xfId="0" applyNumberFormat="1" applyFont="1"/>
    <xf numFmtId="166" fontId="16" fillId="0" borderId="0" xfId="5" applyNumberFormat="1" applyFont="1" applyAlignment="1">
      <alignment vertical="center"/>
    </xf>
    <xf numFmtId="166" fontId="6" fillId="0" borderId="0" xfId="5" applyNumberFormat="1" applyFont="1" applyFill="1" applyAlignment="1">
      <alignment horizontal="center" vertical="center"/>
    </xf>
    <xf numFmtId="193" fontId="22" fillId="0" borderId="0" xfId="0" applyNumberFormat="1" applyFont="1" applyAlignment="1">
      <alignment horizontal="center" vertical="center"/>
    </xf>
    <xf numFmtId="195" fontId="22" fillId="0" borderId="0" xfId="0" applyNumberFormat="1" applyFont="1" applyAlignment="1">
      <alignment horizontal="center" vertical="center"/>
    </xf>
    <xf numFmtId="196" fontId="2" fillId="0" borderId="0" xfId="0" applyNumberFormat="1" applyFont="1" applyAlignment="1">
      <alignment vertical="center"/>
    </xf>
    <xf numFmtId="166" fontId="2" fillId="0" borderId="0" xfId="5" applyNumberFormat="1" applyFont="1" applyAlignment="1">
      <alignment horizontal="center" vertical="center"/>
    </xf>
    <xf numFmtId="44" fontId="2" fillId="0" borderId="0" xfId="1" applyFont="1" applyFill="1" applyAlignment="1">
      <alignment horizontal="right" vertical="center"/>
    </xf>
    <xf numFmtId="197" fontId="16" fillId="0" borderId="0" xfId="0" applyNumberFormat="1" applyFont="1" applyAlignment="1">
      <alignment vertical="center"/>
    </xf>
    <xf numFmtId="0" fontId="3" fillId="0" borderId="77" xfId="0" applyFont="1" applyBorder="1" applyAlignment="1">
      <alignment horizontal="center" vertical="center"/>
    </xf>
    <xf numFmtId="43" fontId="2" fillId="0" borderId="50" xfId="0" applyNumberFormat="1" applyFont="1" applyBorder="1" applyAlignment="1">
      <alignment vertical="center"/>
    </xf>
    <xf numFmtId="49" fontId="2" fillId="0" borderId="77" xfId="0" applyNumberFormat="1" applyFont="1" applyBorder="1" applyAlignment="1">
      <alignment horizontal="center" vertical="center"/>
    </xf>
    <xf numFmtId="166" fontId="2" fillId="0" borderId="77" xfId="0" applyNumberFormat="1" applyFont="1" applyBorder="1" applyAlignment="1">
      <alignment vertical="center"/>
    </xf>
    <xf numFmtId="49" fontId="2" fillId="0" borderId="50" xfId="0" applyNumberFormat="1" applyFont="1" applyBorder="1" applyAlignment="1">
      <alignment horizontal="center" vertical="center"/>
    </xf>
    <xf numFmtId="43" fontId="2" fillId="0" borderId="50" xfId="0" applyNumberFormat="1" applyFont="1" applyBorder="1" applyAlignment="1">
      <alignment horizontal="center" vertical="center"/>
    </xf>
    <xf numFmtId="43" fontId="3" fillId="0" borderId="50" xfId="0" applyNumberFormat="1" applyFont="1" applyBorder="1" applyAlignment="1">
      <alignment vertical="center"/>
    </xf>
    <xf numFmtId="0" fontId="4" fillId="0" borderId="0" xfId="0" quotePrefix="1" applyFont="1" applyAlignment="1">
      <alignment horizontal="center" vertical="center"/>
    </xf>
    <xf numFmtId="166" fontId="2" fillId="0" borderId="0" xfId="5" quotePrefix="1" applyNumberFormat="1" applyFont="1" applyAlignment="1">
      <alignment horizontal="center" vertical="center"/>
    </xf>
    <xf numFmtId="166" fontId="2" fillId="0" borderId="54" xfId="0" applyNumberFormat="1" applyFont="1" applyBorder="1" applyAlignment="1">
      <alignment vertical="center"/>
    </xf>
    <xf numFmtId="166" fontId="2" fillId="0" borderId="3" xfId="0" applyNumberFormat="1" applyFont="1" applyBorder="1" applyAlignment="1">
      <alignment vertical="center" wrapText="1"/>
    </xf>
    <xf numFmtId="0" fontId="22" fillId="0" borderId="0" xfId="0" applyFont="1"/>
    <xf numFmtId="166" fontId="2" fillId="0" borderId="50" xfId="0" applyNumberFormat="1" applyFont="1" applyBorder="1" applyAlignment="1">
      <alignment horizontal="right" vertical="center"/>
    </xf>
    <xf numFmtId="37" fontId="22" fillId="0" borderId="0" xfId="0" applyNumberFormat="1" applyFont="1" applyAlignment="1">
      <alignment vertical="center"/>
    </xf>
    <xf numFmtId="166" fontId="2" fillId="0" borderId="0" xfId="5" applyNumberFormat="1" applyFont="1" applyFill="1" applyBorder="1" applyAlignment="1">
      <alignment horizontal="center" vertical="center"/>
    </xf>
    <xf numFmtId="166" fontId="2" fillId="0" borderId="78" xfId="5" applyNumberFormat="1" applyFont="1" applyFill="1" applyBorder="1" applyAlignment="1">
      <alignment horizontal="center" vertical="center"/>
    </xf>
    <xf numFmtId="3" fontId="2" fillId="0" borderId="0" xfId="3" applyNumberFormat="1" applyFont="1" applyAlignment="1">
      <alignment horizontal="centerContinuous" vertical="center"/>
    </xf>
    <xf numFmtId="166" fontId="2" fillId="3" borderId="78" xfId="0" applyNumberFormat="1" applyFont="1" applyFill="1" applyBorder="1" applyAlignment="1" applyProtection="1">
      <alignment vertical="center"/>
      <protection locked="0"/>
    </xf>
    <xf numFmtId="43" fontId="2" fillId="0" borderId="0" xfId="5" applyFont="1" applyFill="1" applyBorder="1" applyAlignment="1">
      <alignment vertical="center"/>
    </xf>
    <xf numFmtId="5" fontId="2" fillId="0" borderId="78" xfId="0" applyNumberFormat="1" applyFont="1" applyBorder="1" applyAlignment="1">
      <alignment horizontal="center" vertical="center"/>
    </xf>
    <xf numFmtId="165" fontId="2" fillId="0" borderId="79" xfId="0" applyNumberFormat="1" applyFont="1" applyBorder="1" applyAlignment="1">
      <alignment horizontal="right" vertical="center"/>
    </xf>
    <xf numFmtId="166" fontId="2" fillId="2" borderId="78" xfId="0" applyNumberFormat="1" applyFont="1" applyFill="1" applyBorder="1" applyAlignment="1" applyProtection="1">
      <alignment horizontal="right" vertical="center"/>
      <protection locked="0"/>
    </xf>
    <xf numFmtId="165" fontId="2" fillId="0" borderId="80" xfId="0" applyNumberFormat="1" applyFont="1" applyBorder="1" applyAlignment="1">
      <alignment horizontal="right" vertical="center"/>
    </xf>
    <xf numFmtId="166" fontId="2" fillId="0" borderId="78" xfId="0" applyNumberFormat="1" applyFont="1" applyBorder="1" applyAlignment="1">
      <alignment horizontal="right" vertical="center"/>
    </xf>
    <xf numFmtId="165" fontId="2" fillId="2" borderId="78" xfId="0" applyNumberFormat="1" applyFont="1" applyFill="1" applyBorder="1" applyAlignment="1">
      <alignment vertical="center"/>
    </xf>
    <xf numFmtId="10" fontId="2" fillId="3" borderId="78" xfId="0" applyNumberFormat="1" applyFont="1" applyFill="1" applyBorder="1" applyAlignment="1">
      <alignment vertical="center"/>
    </xf>
    <xf numFmtId="165" fontId="2" fillId="0" borderId="78" xfId="0" applyNumberFormat="1" applyFont="1" applyBorder="1" applyAlignment="1">
      <alignment vertical="center"/>
    </xf>
    <xf numFmtId="10" fontId="2" fillId="2" borderId="78" xfId="0" applyNumberFormat="1" applyFont="1" applyFill="1" applyBorder="1" applyAlignment="1">
      <alignment vertical="center"/>
    </xf>
    <xf numFmtId="165" fontId="2" fillId="0" borderId="78" xfId="0" applyNumberFormat="1" applyFont="1" applyBorder="1" applyAlignment="1">
      <alignment horizontal="center" vertical="center"/>
    </xf>
    <xf numFmtId="0" fontId="2" fillId="0" borderId="78" xfId="0" applyFont="1" applyBorder="1" applyAlignment="1">
      <alignment vertical="center"/>
    </xf>
    <xf numFmtId="165" fontId="2" fillId="2" borderId="79" xfId="0" applyNumberFormat="1" applyFont="1" applyFill="1" applyBorder="1" applyAlignment="1">
      <alignment horizontal="right" vertical="center"/>
    </xf>
    <xf numFmtId="166" fontId="2" fillId="3" borderId="78" xfId="0" applyNumberFormat="1" applyFont="1" applyFill="1" applyBorder="1" applyAlignment="1">
      <alignment vertical="center"/>
    </xf>
    <xf numFmtId="166" fontId="2" fillId="0" borderId="78" xfId="0" applyNumberFormat="1" applyFont="1" applyBorder="1" applyAlignment="1">
      <alignment horizontal="left" vertical="center"/>
    </xf>
    <xf numFmtId="164" fontId="2" fillId="3" borderId="78" xfId="0" applyNumberFormat="1" applyFont="1" applyFill="1" applyBorder="1" applyAlignment="1">
      <alignment horizontal="center" vertical="center"/>
    </xf>
    <xf numFmtId="15" fontId="2" fillId="3" borderId="78" xfId="0" applyNumberFormat="1" applyFont="1" applyFill="1" applyBorder="1" applyAlignment="1">
      <alignment horizontal="center" vertical="center"/>
    </xf>
    <xf numFmtId="166" fontId="2" fillId="0" borderId="78" xfId="0" applyNumberFormat="1" applyFont="1" applyBorder="1" applyAlignment="1" applyProtection="1">
      <alignment vertical="center"/>
      <protection locked="0"/>
    </xf>
    <xf numFmtId="10" fontId="2" fillId="2" borderId="78" xfId="0" applyNumberFormat="1" applyFont="1" applyFill="1" applyBorder="1" applyAlignment="1">
      <alignment horizontal="right" vertical="center"/>
    </xf>
    <xf numFmtId="0" fontId="3" fillId="0" borderId="48" xfId="0" applyFont="1" applyBorder="1" applyAlignment="1">
      <alignment vertical="center"/>
    </xf>
    <xf numFmtId="0" fontId="3" fillId="0" borderId="48" xfId="0" quotePrefix="1" applyFont="1" applyBorder="1" applyAlignment="1">
      <alignment horizontal="center" vertical="center"/>
    </xf>
    <xf numFmtId="0" fontId="3" fillId="0" borderId="50" xfId="0" applyFont="1" applyBorder="1" applyAlignment="1">
      <alignment horizontal="centerContinuous" vertical="center"/>
    </xf>
    <xf numFmtId="0" fontId="3" fillId="0" borderId="78" xfId="0" applyFont="1" applyBorder="1" applyAlignment="1">
      <alignment horizontal="center" vertical="center"/>
    </xf>
    <xf numFmtId="17" fontId="2" fillId="0" borderId="50" xfId="0" quotePrefix="1" applyNumberFormat="1" applyFont="1" applyBorder="1" applyAlignment="1">
      <alignment horizontal="left" vertical="center"/>
    </xf>
    <xf numFmtId="0" fontId="2" fillId="0" borderId="50" xfId="0" applyFont="1" applyBorder="1" applyAlignment="1">
      <alignment horizontal="centerContinuous" vertical="center"/>
    </xf>
    <xf numFmtId="0" fontId="25" fillId="0" borderId="50" xfId="0" applyFont="1" applyBorder="1" applyAlignment="1">
      <alignment horizontal="centerContinuous" vertical="center"/>
    </xf>
    <xf numFmtId="17" fontId="2" fillId="0" borderId="50" xfId="0" applyNumberFormat="1" applyFont="1" applyBorder="1" applyAlignment="1">
      <alignment horizontal="left" vertical="center"/>
    </xf>
    <xf numFmtId="0" fontId="2" fillId="0" borderId="50" xfId="0" applyFont="1" applyBorder="1" applyAlignment="1">
      <alignment horizontal="center" vertical="center"/>
    </xf>
    <xf numFmtId="166" fontId="2" fillId="0" borderId="50" xfId="0" applyNumberFormat="1" applyFont="1" applyBorder="1" applyAlignment="1">
      <alignment horizontal="center" vertical="center"/>
    </xf>
    <xf numFmtId="168" fontId="2" fillId="0" borderId="50" xfId="0" applyNumberFormat="1" applyFont="1" applyBorder="1" applyAlignment="1">
      <alignment horizontal="center" vertical="center"/>
    </xf>
    <xf numFmtId="166" fontId="2" fillId="0" borderId="50" xfId="0" applyNumberFormat="1" applyFont="1" applyBorder="1" applyAlignment="1">
      <alignment horizontal="centerContinuous" vertical="center"/>
    </xf>
    <xf numFmtId="168" fontId="3" fillId="0" borderId="48" xfId="0" applyNumberFormat="1" applyFont="1" applyBorder="1" applyAlignment="1">
      <alignment vertical="center"/>
    </xf>
    <xf numFmtId="168" fontId="3" fillId="0" borderId="50" xfId="0" applyNumberFormat="1" applyFont="1" applyBorder="1" applyAlignment="1">
      <alignment vertical="center"/>
    </xf>
    <xf numFmtId="3" fontId="2" fillId="0" borderId="50" xfId="0" applyNumberFormat="1" applyFont="1" applyBorder="1" applyAlignment="1">
      <alignment horizontal="centerContinuous" vertical="center"/>
    </xf>
    <xf numFmtId="3" fontId="2" fillId="0" borderId="50" xfId="0" applyNumberFormat="1" applyFont="1" applyBorder="1" applyAlignment="1">
      <alignment horizontal="center" vertical="center"/>
    </xf>
    <xf numFmtId="3" fontId="25" fillId="0" borderId="50" xfId="0" applyNumberFormat="1" applyFont="1" applyBorder="1" applyAlignment="1">
      <alignment horizontal="centerContinuous" vertical="center"/>
    </xf>
    <xf numFmtId="0" fontId="2" fillId="0" borderId="48" xfId="0" applyFont="1" applyBorder="1" applyAlignment="1">
      <alignment vertical="center"/>
    </xf>
    <xf numFmtId="3" fontId="2" fillId="0" borderId="50" xfId="0" applyNumberFormat="1" applyFont="1" applyBorder="1" applyAlignment="1">
      <alignment vertical="center"/>
    </xf>
    <xf numFmtId="0" fontId="3" fillId="0" borderId="48" xfId="0" applyFont="1" applyBorder="1" applyAlignment="1">
      <alignment horizontal="center" vertical="center"/>
    </xf>
    <xf numFmtId="166" fontId="3" fillId="0" borderId="48" xfId="0" quotePrefix="1" applyNumberFormat="1" applyFont="1" applyBorder="1" applyAlignment="1">
      <alignment horizontal="center" vertical="center"/>
    </xf>
    <xf numFmtId="0" fontId="3" fillId="0" borderId="50" xfId="0" quotePrefix="1" applyFont="1" applyBorder="1" applyAlignment="1">
      <alignment horizontal="center" vertical="center"/>
    </xf>
    <xf numFmtId="166" fontId="3" fillId="0" borderId="78" xfId="0" applyNumberFormat="1" applyFont="1" applyBorder="1" applyAlignment="1">
      <alignment horizontal="center" vertical="center"/>
    </xf>
    <xf numFmtId="170" fontId="2" fillId="0" borderId="50" xfId="0" applyNumberFormat="1" applyFont="1" applyBorder="1" applyAlignment="1">
      <alignment horizontal="center" vertical="center"/>
    </xf>
    <xf numFmtId="0" fontId="2" fillId="0" borderId="50" xfId="0" quotePrefix="1" applyFont="1" applyBorder="1" applyAlignment="1">
      <alignment horizontal="left" vertical="center"/>
    </xf>
    <xf numFmtId="0" fontId="3" fillId="0" borderId="47" xfId="0" applyFont="1" applyBorder="1" applyAlignment="1">
      <alignment horizontal="center" vertical="center"/>
    </xf>
    <xf numFmtId="0" fontId="3" fillId="0" borderId="47" xfId="0" applyFont="1" applyBorder="1" applyAlignment="1">
      <alignment vertical="center"/>
    </xf>
    <xf numFmtId="165" fontId="3" fillId="0" borderId="47" xfId="0" applyNumberFormat="1" applyFont="1" applyBorder="1" applyAlignment="1">
      <alignment vertical="center"/>
    </xf>
    <xf numFmtId="0" fontId="2" fillId="0" borderId="47" xfId="0" applyFont="1" applyBorder="1" applyAlignment="1">
      <alignment horizontal="center" vertical="center"/>
    </xf>
    <xf numFmtId="165" fontId="16" fillId="0" borderId="50" xfId="0" applyNumberFormat="1" applyFont="1" applyBorder="1" applyAlignment="1">
      <alignment vertical="center"/>
    </xf>
    <xf numFmtId="166" fontId="16" fillId="0" borderId="50" xfId="0" applyNumberFormat="1" applyFont="1" applyBorder="1" applyAlignment="1">
      <alignment vertical="center"/>
    </xf>
    <xf numFmtId="170" fontId="3" fillId="0" borderId="47" xfId="0" applyNumberFormat="1" applyFont="1" applyBorder="1" applyAlignment="1">
      <alignment horizontal="center" vertical="center"/>
    </xf>
    <xf numFmtId="170" fontId="2" fillId="0" borderId="47" xfId="0" applyNumberFormat="1" applyFont="1" applyBorder="1" applyAlignment="1">
      <alignment horizontal="center" vertical="center"/>
    </xf>
    <xf numFmtId="0" fontId="3" fillId="0" borderId="80" xfId="0" applyFont="1" applyBorder="1" applyAlignment="1">
      <alignment horizontal="center" vertical="center"/>
    </xf>
    <xf numFmtId="166" fontId="3" fillId="0" borderId="48" xfId="0" quotePrefix="1" applyNumberFormat="1" applyFont="1" applyBorder="1" applyAlignment="1">
      <alignment horizontal="centerContinuous" vertical="center"/>
    </xf>
    <xf numFmtId="168" fontId="2" fillId="0" borderId="50" xfId="0" applyNumberFormat="1" applyFont="1" applyBorder="1" applyAlignment="1">
      <alignment vertical="center"/>
    </xf>
    <xf numFmtId="3" fontId="3" fillId="0" borderId="50" xfId="0" applyNumberFormat="1" applyFont="1" applyBorder="1" applyAlignment="1">
      <alignment horizontal="right" vertical="center"/>
    </xf>
    <xf numFmtId="165" fontId="3" fillId="0" borderId="50" xfId="0" applyNumberFormat="1" applyFont="1" applyBorder="1" applyAlignment="1">
      <alignment vertical="center"/>
    </xf>
    <xf numFmtId="0" fontId="3" fillId="0" borderId="48" xfId="0" quotePrefix="1" applyFont="1" applyBorder="1" applyAlignment="1">
      <alignment vertical="center"/>
    </xf>
    <xf numFmtId="3" fontId="3" fillId="0" borderId="50" xfId="0" applyNumberFormat="1" applyFont="1" applyBorder="1" applyAlignment="1">
      <alignment vertical="center"/>
    </xf>
    <xf numFmtId="10" fontId="2" fillId="0" borderId="50" xfId="0" applyNumberFormat="1" applyFont="1" applyBorder="1" applyAlignment="1">
      <alignment horizontal="center" vertical="center"/>
    </xf>
    <xf numFmtId="165" fontId="2" fillId="0" borderId="50" xfId="0" applyNumberFormat="1" applyFont="1" applyBorder="1" applyAlignment="1">
      <alignment horizontal="right" vertical="center"/>
    </xf>
    <xf numFmtId="0" fontId="3" fillId="0" borderId="78" xfId="0" applyFont="1" applyBorder="1" applyAlignment="1">
      <alignment vertical="center"/>
    </xf>
    <xf numFmtId="15" fontId="2" fillId="2" borderId="78" xfId="0" applyNumberFormat="1" applyFont="1" applyFill="1" applyBorder="1" applyAlignment="1">
      <alignment horizontal="center" vertical="center"/>
    </xf>
    <xf numFmtId="10" fontId="2" fillId="2" borderId="78" xfId="0" applyNumberFormat="1" applyFont="1" applyFill="1" applyBorder="1" applyAlignment="1" applyProtection="1">
      <alignment horizontal="right" vertical="center"/>
      <protection locked="0"/>
    </xf>
    <xf numFmtId="166" fontId="2" fillId="0" borderId="78" xfId="0" applyNumberFormat="1" applyFont="1" applyBorder="1" applyAlignment="1" applyProtection="1">
      <alignment horizontal="right" vertical="center"/>
      <protection locked="0"/>
    </xf>
    <xf numFmtId="0" fontId="3" fillId="0" borderId="50" xfId="0" quotePrefix="1" applyFont="1" applyBorder="1" applyAlignment="1">
      <alignment vertical="center"/>
    </xf>
    <xf numFmtId="170" fontId="2" fillId="0" borderId="50" xfId="0" applyNumberFormat="1" applyFont="1" applyBorder="1" applyAlignment="1">
      <alignment vertical="center"/>
    </xf>
    <xf numFmtId="0" fontId="3" fillId="0" borderId="48" xfId="0" quotePrefix="1" applyFont="1" applyBorder="1" applyAlignment="1">
      <alignment horizontal="centerContinuous" vertical="center"/>
    </xf>
    <xf numFmtId="41" fontId="2" fillId="0" borderId="78" xfId="0" applyNumberFormat="1" applyFont="1" applyBorder="1" applyAlignment="1">
      <alignment vertical="center"/>
    </xf>
    <xf numFmtId="14" fontId="3" fillId="0" borderId="78" xfId="0" applyNumberFormat="1" applyFont="1" applyBorder="1" applyAlignment="1">
      <alignment vertical="center"/>
    </xf>
    <xf numFmtId="14" fontId="3" fillId="0" borderId="78" xfId="0" applyNumberFormat="1" applyFont="1" applyBorder="1" applyAlignment="1">
      <alignment horizontal="center" vertical="center"/>
    </xf>
    <xf numFmtId="37" fontId="3" fillId="0" borderId="48" xfId="0" applyNumberFormat="1" applyFont="1" applyBorder="1" applyAlignment="1">
      <alignment horizontal="center" vertical="center"/>
    </xf>
    <xf numFmtId="165" fontId="3" fillId="0" borderId="48" xfId="0" applyNumberFormat="1" applyFont="1" applyBorder="1" applyAlignment="1">
      <alignment vertical="center"/>
    </xf>
    <xf numFmtId="0" fontId="3" fillId="0" borderId="79" xfId="0" applyFont="1" applyBorder="1" applyAlignment="1">
      <alignment horizontal="center" vertical="center"/>
    </xf>
    <xf numFmtId="17" fontId="2" fillId="0" borderId="48" xfId="0" applyNumberFormat="1" applyFont="1" applyBorder="1" applyAlignment="1">
      <alignment horizontal="left" vertical="center"/>
    </xf>
    <xf numFmtId="166" fontId="2" fillId="2" borderId="78" xfId="0" applyNumberFormat="1" applyFont="1" applyFill="1" applyBorder="1" applyAlignment="1">
      <alignment vertical="center"/>
    </xf>
    <xf numFmtId="38" fontId="3" fillId="0" borderId="50" xfId="0" applyNumberFormat="1" applyFont="1" applyBorder="1" applyAlignment="1">
      <alignment vertical="center"/>
    </xf>
    <xf numFmtId="38" fontId="2" fillId="0" borderId="75" xfId="0" applyNumberFormat="1" applyFont="1" applyBorder="1" applyAlignment="1">
      <alignment horizontal="center" vertical="center"/>
    </xf>
    <xf numFmtId="0" fontId="14" fillId="0" borderId="77" xfId="0" applyFont="1" applyBorder="1" applyAlignment="1">
      <alignment vertical="center"/>
    </xf>
    <xf numFmtId="165" fontId="2" fillId="0" borderId="77" xfId="0" applyNumberFormat="1" applyFont="1" applyBorder="1" applyAlignment="1">
      <alignment vertical="center"/>
    </xf>
    <xf numFmtId="38" fontId="2" fillId="0" borderId="70" xfId="0" applyNumberFormat="1" applyFont="1" applyBorder="1" applyAlignment="1">
      <alignment horizontal="center" vertical="center"/>
    </xf>
    <xf numFmtId="173" fontId="2" fillId="0" borderId="50" xfId="0" applyNumberFormat="1" applyFont="1" applyBorder="1" applyAlignment="1">
      <alignment vertical="center"/>
    </xf>
    <xf numFmtId="166" fontId="2" fillId="0" borderId="48" xfId="0" applyNumberFormat="1" applyFont="1" applyBorder="1" applyAlignment="1">
      <alignment vertical="center"/>
    </xf>
    <xf numFmtId="0" fontId="2" fillId="0" borderId="79" xfId="0" applyFont="1" applyBorder="1" applyAlignment="1">
      <alignment horizontal="center" vertical="center"/>
    </xf>
    <xf numFmtId="0" fontId="8" fillId="0" borderId="78" xfId="0" applyFont="1" applyBorder="1" applyAlignment="1">
      <alignment vertical="center"/>
    </xf>
    <xf numFmtId="0" fontId="8" fillId="0" borderId="48" xfId="0" applyFont="1" applyBorder="1" applyAlignment="1">
      <alignment vertical="center"/>
    </xf>
    <xf numFmtId="183" fontId="3" fillId="0" borderId="48" xfId="0" quotePrefix="1" applyNumberFormat="1" applyFont="1" applyBorder="1" applyAlignment="1">
      <alignment horizontal="center" vertical="center"/>
    </xf>
    <xf numFmtId="0" fontId="2" fillId="0" borderId="50" xfId="0" applyFont="1" applyBorder="1" applyAlignment="1">
      <alignment horizontal="left" vertical="center"/>
    </xf>
    <xf numFmtId="44" fontId="2" fillId="0" borderId="50" xfId="0" applyNumberFormat="1" applyFont="1" applyBorder="1" applyAlignment="1">
      <alignment horizontal="center" vertical="center"/>
    </xf>
    <xf numFmtId="0" fontId="3" fillId="0" borderId="50" xfId="0" quotePrefix="1" applyFont="1" applyBorder="1" applyAlignment="1">
      <alignment horizontal="centerContinuous" vertical="center"/>
    </xf>
    <xf numFmtId="166" fontId="3" fillId="0" borderId="50" xfId="0" quotePrefix="1" applyNumberFormat="1" applyFont="1" applyBorder="1" applyAlignment="1">
      <alignment horizontal="center" vertical="center"/>
    </xf>
    <xf numFmtId="166" fontId="3" fillId="0" borderId="78" xfId="0" applyNumberFormat="1" applyFont="1" applyBorder="1" applyAlignment="1">
      <alignment horizontal="centerContinuous" vertical="center"/>
    </xf>
    <xf numFmtId="49" fontId="3" fillId="0" borderId="78" xfId="0" applyNumberFormat="1" applyFont="1" applyBorder="1" applyAlignment="1">
      <alignment horizontal="center" vertical="center"/>
    </xf>
    <xf numFmtId="0" fontId="16" fillId="0" borderId="50" xfId="0" applyFont="1" applyBorder="1" applyAlignment="1">
      <alignment vertical="center"/>
    </xf>
    <xf numFmtId="165" fontId="18" fillId="0" borderId="47" xfId="0" applyNumberFormat="1" applyFont="1" applyBorder="1" applyAlignment="1">
      <alignment vertical="center"/>
    </xf>
    <xf numFmtId="10" fontId="2" fillId="0" borderId="47" xfId="0" applyNumberFormat="1" applyFont="1" applyBorder="1" applyAlignment="1">
      <alignment horizontal="center" vertical="center"/>
    </xf>
    <xf numFmtId="0" fontId="3" fillId="0" borderId="47" xfId="0" applyFont="1" applyBorder="1" applyAlignment="1">
      <alignment horizontal="left" vertical="center"/>
    </xf>
    <xf numFmtId="10" fontId="3" fillId="3" borderId="47" xfId="0" applyNumberFormat="1" applyFont="1" applyFill="1" applyBorder="1" applyAlignment="1">
      <alignment horizontal="center" vertical="center"/>
    </xf>
    <xf numFmtId="0" fontId="2" fillId="0" borderId="80" xfId="0" applyFont="1" applyBorder="1" applyAlignment="1">
      <alignment horizontal="left" vertical="center"/>
    </xf>
    <xf numFmtId="10" fontId="2" fillId="0" borderId="80" xfId="0" applyNumberFormat="1" applyFont="1" applyBorder="1" applyAlignment="1">
      <alignment horizontal="center" vertical="center"/>
    </xf>
    <xf numFmtId="15" fontId="2" fillId="0" borderId="50" xfId="0" quotePrefix="1" applyNumberFormat="1" applyFont="1" applyBorder="1" applyAlignment="1">
      <alignment horizontal="left" vertical="center"/>
    </xf>
    <xf numFmtId="0" fontId="2" fillId="0" borderId="79" xfId="0" applyFont="1" applyBorder="1" applyAlignment="1">
      <alignment vertical="center"/>
    </xf>
    <xf numFmtId="0" fontId="3" fillId="0" borderId="48" xfId="0" applyFont="1" applyBorder="1" applyAlignment="1">
      <alignment horizontal="center" vertical="center" wrapText="1"/>
    </xf>
    <xf numFmtId="0" fontId="3" fillId="0" borderId="78" xfId="0" applyFont="1" applyBorder="1" applyAlignment="1">
      <alignment horizontal="centerContinuous" vertical="center" wrapText="1"/>
    </xf>
    <xf numFmtId="0" fontId="2" fillId="0" borderId="47" xfId="0" applyFont="1" applyBorder="1" applyAlignment="1">
      <alignment horizontal="center" vertical="center" wrapText="1"/>
    </xf>
    <xf numFmtId="0" fontId="2" fillId="0" borderId="80" xfId="0" applyFont="1" applyBorder="1" applyAlignment="1">
      <alignment horizontal="centerContinuous" vertical="center" wrapText="1"/>
    </xf>
    <xf numFmtId="0" fontId="2" fillId="3" borderId="50" xfId="0" applyFont="1" applyFill="1" applyBorder="1" applyAlignment="1" applyProtection="1">
      <alignment horizontal="center" vertical="center"/>
      <protection locked="0"/>
    </xf>
    <xf numFmtId="0" fontId="2" fillId="0" borderId="80" xfId="0" applyFont="1" applyBorder="1" applyAlignment="1">
      <alignment vertical="center"/>
    </xf>
    <xf numFmtId="0" fontId="2" fillId="3" borderId="47" xfId="0" applyFont="1" applyFill="1" applyBorder="1" applyAlignment="1" applyProtection="1">
      <alignment horizontal="center" vertical="center"/>
      <protection locked="0"/>
    </xf>
    <xf numFmtId="0" fontId="2" fillId="0" borderId="80" xfId="0" applyFont="1" applyBorder="1" applyAlignment="1">
      <alignment horizontal="center" vertical="center"/>
    </xf>
    <xf numFmtId="0" fontId="2" fillId="0" borderId="47" xfId="0" applyFont="1" applyBorder="1" applyAlignment="1">
      <alignment vertical="center"/>
    </xf>
    <xf numFmtId="10" fontId="2" fillId="3" borderId="80" xfId="0" applyNumberFormat="1" applyFont="1" applyFill="1" applyBorder="1" applyAlignment="1">
      <alignment horizontal="center" vertical="center"/>
    </xf>
    <xf numFmtId="10" fontId="2" fillId="3" borderId="47" xfId="0" applyNumberFormat="1" applyFont="1" applyFill="1" applyBorder="1" applyAlignment="1">
      <alignment horizontal="center" vertical="center"/>
    </xf>
    <xf numFmtId="0" fontId="2" fillId="0" borderId="47" xfId="0" quotePrefix="1" applyFont="1" applyBorder="1" applyAlignment="1">
      <alignment horizontal="center" vertical="center"/>
    </xf>
    <xf numFmtId="165" fontId="16" fillId="0" borderId="50" xfId="0" quotePrefix="1" applyNumberFormat="1" applyFont="1" applyBorder="1" applyAlignment="1">
      <alignment horizontal="left" vertical="center"/>
    </xf>
    <xf numFmtId="165" fontId="3" fillId="0" borderId="50" xfId="0" applyNumberFormat="1" applyFont="1" applyBorder="1" applyAlignment="1">
      <alignment horizontal="center" vertical="center"/>
    </xf>
    <xf numFmtId="0" fontId="18" fillId="0" borderId="48" xfId="0" applyFont="1" applyBorder="1" applyAlignment="1">
      <alignment horizontal="center" vertical="center"/>
    </xf>
    <xf numFmtId="0" fontId="18" fillId="0" borderId="79" xfId="0" applyFont="1" applyBorder="1" applyAlignment="1">
      <alignment horizontal="center" vertical="center"/>
    </xf>
    <xf numFmtId="0" fontId="18" fillId="0" borderId="48" xfId="0" quotePrefix="1" applyFont="1" applyBorder="1" applyAlignment="1">
      <alignment horizontal="center" vertical="center"/>
    </xf>
    <xf numFmtId="0" fontId="18" fillId="0" borderId="78" xfId="0" applyFont="1" applyBorder="1" applyAlignment="1">
      <alignment horizontal="center" vertical="center"/>
    </xf>
    <xf numFmtId="0" fontId="18" fillId="0" borderId="50" xfId="0" applyFont="1" applyBorder="1" applyAlignment="1">
      <alignment vertical="center"/>
    </xf>
    <xf numFmtId="0" fontId="16" fillId="0" borderId="47" xfId="0" applyFont="1" applyBorder="1" applyAlignment="1">
      <alignment horizontal="center" vertical="center"/>
    </xf>
    <xf numFmtId="0" fontId="16" fillId="0" borderId="47" xfId="0" applyFont="1" applyBorder="1" applyAlignment="1">
      <alignment vertical="center"/>
    </xf>
    <xf numFmtId="10" fontId="16" fillId="3" borderId="80" xfId="0" applyNumberFormat="1" applyFont="1" applyFill="1" applyBorder="1" applyAlignment="1">
      <alignment horizontal="center" vertical="center"/>
    </xf>
    <xf numFmtId="10" fontId="16" fillId="3" borderId="47" xfId="0" applyNumberFormat="1" applyFont="1" applyFill="1" applyBorder="1" applyAlignment="1">
      <alignment horizontal="center" vertical="center"/>
    </xf>
    <xf numFmtId="10" fontId="16" fillId="0" borderId="47" xfId="0" applyNumberFormat="1" applyFont="1" applyBorder="1" applyAlignment="1">
      <alignment horizontal="center" vertical="center"/>
    </xf>
    <xf numFmtId="0" fontId="16" fillId="0" borderId="50" xfId="0" applyFont="1" applyBorder="1" applyAlignment="1">
      <alignment horizontal="center" vertical="center"/>
    </xf>
    <xf numFmtId="10" fontId="16" fillId="3" borderId="78" xfId="0" applyNumberFormat="1" applyFont="1" applyFill="1" applyBorder="1" applyAlignment="1">
      <alignment horizontal="center" vertical="center"/>
    </xf>
    <xf numFmtId="0" fontId="16" fillId="0" borderId="47" xfId="0" quotePrefix="1" applyFont="1" applyBorder="1" applyAlignment="1">
      <alignment horizontal="center" vertical="center"/>
    </xf>
    <xf numFmtId="0" fontId="16" fillId="0" borderId="80" xfId="0" applyFont="1" applyBorder="1" applyAlignment="1">
      <alignment horizontal="center" vertical="center"/>
    </xf>
    <xf numFmtId="41" fontId="3" fillId="0" borderId="50" xfId="0" applyNumberFormat="1" applyFont="1" applyBorder="1" applyAlignment="1">
      <alignment horizontal="center" vertical="center"/>
    </xf>
    <xf numFmtId="3" fontId="3" fillId="0" borderId="50" xfId="0" quotePrefix="1" applyNumberFormat="1" applyFont="1" applyBorder="1" applyAlignment="1">
      <alignment horizontal="centerContinuous" vertical="center"/>
    </xf>
    <xf numFmtId="3" fontId="2" fillId="0" borderId="50" xfId="0" applyNumberFormat="1" applyFont="1" applyBorder="1" applyAlignment="1">
      <alignment horizontal="center" vertical="center" wrapText="1"/>
    </xf>
    <xf numFmtId="0" fontId="2" fillId="0" borderId="77" xfId="0" applyFont="1" applyBorder="1" applyAlignment="1">
      <alignment horizontal="right" vertical="center"/>
    </xf>
    <xf numFmtId="165" fontId="2" fillId="3" borderId="78" xfId="0" applyNumberFormat="1" applyFont="1" applyFill="1" applyBorder="1" applyAlignment="1" applyProtection="1">
      <alignment horizontal="center" vertical="center"/>
      <protection locked="0"/>
    </xf>
    <xf numFmtId="166" fontId="2" fillId="2" borderId="78" xfId="0" applyNumberFormat="1" applyFont="1" applyFill="1" applyBorder="1" applyAlignment="1" applyProtection="1">
      <alignment vertical="center"/>
      <protection locked="0"/>
    </xf>
    <xf numFmtId="10" fontId="2" fillId="0" borderId="78" xfId="0" applyNumberFormat="1" applyFont="1" applyBorder="1" applyAlignment="1">
      <alignment vertical="center"/>
    </xf>
    <xf numFmtId="166" fontId="3" fillId="0" borderId="78" xfId="0" applyNumberFormat="1" applyFont="1" applyBorder="1" applyAlignment="1">
      <alignment vertical="center"/>
    </xf>
    <xf numFmtId="165" fontId="16" fillId="0" borderId="48" xfId="0" applyNumberFormat="1" applyFont="1" applyBorder="1" applyAlignment="1">
      <alignment vertical="center"/>
    </xf>
    <xf numFmtId="17" fontId="3" fillId="0" borderId="48" xfId="0" applyNumberFormat="1" applyFont="1" applyBorder="1" applyAlignment="1">
      <alignment horizontal="left" vertical="center"/>
    </xf>
    <xf numFmtId="166" fontId="31" fillId="0" borderId="48" xfId="0" applyNumberFormat="1" applyFont="1" applyBorder="1" applyAlignment="1">
      <alignment vertical="center"/>
    </xf>
    <xf numFmtId="166" fontId="3" fillId="0" borderId="48" xfId="0" applyNumberFormat="1" applyFont="1" applyBorder="1" applyAlignment="1">
      <alignment horizontal="center" vertical="center"/>
    </xf>
    <xf numFmtId="166" fontId="3" fillId="0" borderId="48" xfId="0" applyNumberFormat="1" applyFont="1" applyBorder="1" applyAlignment="1">
      <alignment vertical="center"/>
    </xf>
    <xf numFmtId="166" fontId="2" fillId="0" borderId="48" xfId="0" applyNumberFormat="1" applyFont="1" applyBorder="1" applyAlignment="1">
      <alignment horizontal="center" vertical="center"/>
    </xf>
    <xf numFmtId="0" fontId="3" fillId="0" borderId="78" xfId="0" applyFont="1" applyBorder="1" applyAlignment="1">
      <alignment horizontal="centerContinuous" vertical="center"/>
    </xf>
    <xf numFmtId="0" fontId="3" fillId="0" borderId="48" xfId="0" applyFont="1" applyBorder="1" applyAlignment="1">
      <alignment horizontal="left" vertical="center"/>
    </xf>
    <xf numFmtId="168" fontId="3" fillId="0" borderId="50" xfId="0" applyNumberFormat="1" applyFont="1" applyBorder="1" applyAlignment="1">
      <alignment horizontal="centerContinuous" vertical="center"/>
    </xf>
    <xf numFmtId="165" fontId="2" fillId="0" borderId="80" xfId="0" applyNumberFormat="1" applyFont="1" applyBorder="1" applyAlignment="1">
      <alignment horizontal="center" vertical="center"/>
    </xf>
    <xf numFmtId="181" fontId="3" fillId="0" borderId="77" xfId="0" quotePrefix="1" applyNumberFormat="1" applyFont="1" applyBorder="1" applyAlignment="1">
      <alignment horizontal="center" vertical="center"/>
    </xf>
    <xf numFmtId="165" fontId="2" fillId="0" borderId="80" xfId="0" applyNumberFormat="1" applyFont="1" applyBorder="1" applyAlignment="1" applyProtection="1">
      <alignment vertical="center"/>
      <protection locked="0"/>
    </xf>
    <xf numFmtId="10" fontId="2" fillId="0" borderId="78" xfId="0" applyNumberFormat="1" applyFont="1" applyBorder="1" applyAlignment="1">
      <alignment horizontal="right" vertical="center"/>
    </xf>
    <xf numFmtId="0" fontId="2" fillId="3" borderId="78" xfId="0" applyFont="1" applyFill="1" applyBorder="1" applyAlignment="1">
      <alignment horizontal="right" vertical="center"/>
    </xf>
    <xf numFmtId="167" fontId="2" fillId="0" borderId="78" xfId="0" applyNumberFormat="1" applyFont="1" applyBorder="1" applyAlignment="1">
      <alignment horizontal="right" vertical="center"/>
    </xf>
    <xf numFmtId="9" fontId="2" fillId="2" borderId="78" xfId="0" applyNumberFormat="1" applyFont="1" applyFill="1" applyBorder="1" applyAlignment="1">
      <alignment horizontal="right" vertical="center"/>
    </xf>
    <xf numFmtId="0" fontId="2" fillId="0" borderId="78" xfId="0" applyFont="1" applyBorder="1" applyAlignment="1">
      <alignment horizontal="left" vertical="center"/>
    </xf>
    <xf numFmtId="1" fontId="2" fillId="0" borderId="78" xfId="0" applyNumberFormat="1" applyFont="1" applyBorder="1" applyAlignment="1">
      <alignment horizontal="center" vertical="center"/>
    </xf>
    <xf numFmtId="166" fontId="16" fillId="0" borderId="78" xfId="0" applyNumberFormat="1" applyFont="1" applyBorder="1" applyAlignment="1">
      <alignment horizontal="right" vertical="center"/>
    </xf>
    <xf numFmtId="166" fontId="16" fillId="0" borderId="78" xfId="0" applyNumberFormat="1" applyFont="1" applyBorder="1" applyAlignment="1">
      <alignment vertical="center"/>
    </xf>
    <xf numFmtId="166" fontId="16" fillId="0" borderId="78" xfId="0" applyNumberFormat="1" applyFont="1" applyBorder="1" applyAlignment="1">
      <alignment horizontal="center" vertical="center"/>
    </xf>
    <xf numFmtId="9" fontId="2" fillId="3" borderId="78" xfId="0" applyNumberFormat="1" applyFont="1" applyFill="1" applyBorder="1" applyAlignment="1">
      <alignment horizontal="right" vertical="center"/>
    </xf>
    <xf numFmtId="184" fontId="2" fillId="0" borderId="78" xfId="0" applyNumberFormat="1" applyFont="1" applyBorder="1" applyAlignment="1">
      <alignment horizontal="right" vertical="center"/>
    </xf>
    <xf numFmtId="10" fontId="16" fillId="2" borderId="78" xfId="0" applyNumberFormat="1" applyFont="1" applyFill="1" applyBorder="1" applyAlignment="1">
      <alignment vertical="center"/>
    </xf>
    <xf numFmtId="10" fontId="16" fillId="0" borderId="78" xfId="0" applyNumberFormat="1" applyFont="1" applyBorder="1" applyAlignment="1">
      <alignment vertical="center"/>
    </xf>
    <xf numFmtId="166" fontId="2" fillId="0" borderId="78" xfId="0" quotePrefix="1" applyNumberFormat="1" applyFont="1" applyBorder="1" applyAlignment="1">
      <alignment horizontal="center" vertical="center"/>
    </xf>
    <xf numFmtId="166" fontId="16" fillId="2" borderId="78" xfId="0" applyNumberFormat="1" applyFont="1" applyFill="1" applyBorder="1" applyAlignment="1">
      <alignment vertical="center"/>
    </xf>
    <xf numFmtId="39" fontId="3" fillId="0" borderId="77" xfId="0" quotePrefix="1" applyNumberFormat="1" applyFont="1" applyBorder="1" applyAlignment="1">
      <alignment horizontal="center" vertical="center"/>
    </xf>
    <xf numFmtId="166" fontId="3" fillId="0" borderId="77" xfId="0" applyNumberFormat="1" applyFont="1" applyBorder="1" applyAlignment="1">
      <alignment vertical="center"/>
    </xf>
    <xf numFmtId="0" fontId="3" fillId="0" borderId="77" xfId="0" applyFont="1" applyBorder="1" applyAlignment="1">
      <alignment vertical="center"/>
    </xf>
    <xf numFmtId="0" fontId="8" fillId="0" borderId="50" xfId="0" applyFont="1" applyBorder="1" applyAlignment="1">
      <alignment vertical="center"/>
    </xf>
    <xf numFmtId="10" fontId="2" fillId="0" borderId="50" xfId="0" applyNumberFormat="1" applyFont="1" applyBorder="1" applyAlignment="1">
      <alignment horizontal="center" vertical="center" wrapText="1"/>
    </xf>
    <xf numFmtId="10" fontId="2" fillId="0" borderId="77" xfId="0" applyNumberFormat="1" applyFont="1" applyBorder="1" applyAlignment="1">
      <alignment vertical="center"/>
    </xf>
    <xf numFmtId="0" fontId="3" fillId="0" borderId="76" xfId="0" applyFont="1" applyBorder="1" applyAlignment="1">
      <alignment vertical="center"/>
    </xf>
    <xf numFmtId="0" fontId="3" fillId="0" borderId="76" xfId="0" applyFont="1" applyBorder="1" applyAlignment="1">
      <alignment horizontal="right" vertical="center"/>
    </xf>
    <xf numFmtId="0" fontId="3" fillId="0" borderId="75" xfId="0" applyFont="1" applyBorder="1" applyAlignment="1">
      <alignment horizontal="center" vertical="center"/>
    </xf>
    <xf numFmtId="37" fontId="3" fillId="0" borderId="54" xfId="0" applyNumberFormat="1" applyFont="1" applyBorder="1" applyAlignment="1">
      <alignment vertical="center"/>
    </xf>
    <xf numFmtId="0" fontId="3" fillId="0" borderId="79" xfId="0" quotePrefix="1" applyFont="1" applyBorder="1" applyAlignment="1">
      <alignment horizontal="center" vertical="center"/>
    </xf>
    <xf numFmtId="166" fontId="3" fillId="0" borderId="79" xfId="0" applyNumberFormat="1" applyFont="1" applyBorder="1" applyAlignment="1">
      <alignment vertical="center"/>
    </xf>
    <xf numFmtId="165" fontId="3" fillId="0" borderId="78" xfId="0" applyNumberFormat="1" applyFont="1" applyBorder="1" applyAlignment="1">
      <alignment vertical="center"/>
    </xf>
    <xf numFmtId="37" fontId="3" fillId="0" borderId="78" xfId="0" applyNumberFormat="1" applyFont="1" applyBorder="1" applyAlignment="1">
      <alignment vertical="center"/>
    </xf>
    <xf numFmtId="17" fontId="2" fillId="0" borderId="54" xfId="0" quotePrefix="1" applyNumberFormat="1" applyFont="1" applyBorder="1" applyAlignment="1">
      <alignment horizontal="left" vertical="center"/>
    </xf>
    <xf numFmtId="166" fontId="2" fillId="0" borderId="78" xfId="0" applyNumberFormat="1" applyFont="1" applyBorder="1" applyAlignment="1">
      <alignment horizontal="center" vertical="center"/>
    </xf>
    <xf numFmtId="166" fontId="6" fillId="0" borderId="0" xfId="5" applyNumberFormat="1" applyFont="1" applyBorder="1" applyAlignment="1">
      <alignment vertical="center"/>
    </xf>
    <xf numFmtId="165" fontId="3" fillId="0" borderId="3" xfId="0" applyNumberFormat="1" applyFont="1" applyBorder="1" applyAlignment="1">
      <alignment vertical="center"/>
    </xf>
    <xf numFmtId="37" fontId="3" fillId="0" borderId="3" xfId="0" applyNumberFormat="1" applyFont="1" applyBorder="1" applyAlignment="1">
      <alignment vertical="center"/>
    </xf>
    <xf numFmtId="165" fontId="3" fillId="0" borderId="54" xfId="0" applyNumberFormat="1" applyFont="1" applyBorder="1" applyAlignment="1">
      <alignment vertical="center"/>
    </xf>
    <xf numFmtId="166" fontId="6" fillId="0" borderId="5" xfId="0" applyNumberFormat="1" applyFont="1" applyBorder="1" applyAlignment="1">
      <alignment vertical="center"/>
    </xf>
    <xf numFmtId="166" fontId="6" fillId="0" borderId="5" xfId="5" applyNumberFormat="1" applyFont="1" applyBorder="1" applyAlignment="1">
      <alignment vertical="center"/>
    </xf>
    <xf numFmtId="0" fontId="7" fillId="0" borderId="0" xfId="0" applyFont="1" applyAlignment="1">
      <alignment horizontal="center"/>
    </xf>
    <xf numFmtId="0" fontId="3" fillId="0" borderId="0" xfId="0" applyFont="1"/>
    <xf numFmtId="0" fontId="22" fillId="0" borderId="0" xfId="3" applyFont="1" applyAlignment="1">
      <alignment vertical="center"/>
    </xf>
    <xf numFmtId="165" fontId="3" fillId="3" borderId="0" xfId="0" applyNumberFormat="1" applyFont="1" applyFill="1" applyAlignment="1">
      <alignment horizontal="left" vertical="center"/>
    </xf>
    <xf numFmtId="37" fontId="2" fillId="0" borderId="78" xfId="0" applyNumberFormat="1" applyFont="1" applyBorder="1" applyAlignment="1">
      <alignment horizontal="right" vertical="center"/>
    </xf>
    <xf numFmtId="0" fontId="2" fillId="0" borderId="31" xfId="0" applyFont="1" applyBorder="1" applyAlignment="1">
      <alignment horizontal="center" vertical="center" wrapText="1"/>
    </xf>
    <xf numFmtId="0" fontId="2" fillId="0" borderId="13" xfId="0" applyFont="1" applyBorder="1" applyAlignment="1">
      <alignment horizontal="center" vertical="center" wrapText="1"/>
    </xf>
    <xf numFmtId="37" fontId="60" fillId="0" borderId="0" xfId="0" applyNumberFormat="1" applyFont="1" applyAlignment="1">
      <alignment vertical="center"/>
    </xf>
    <xf numFmtId="0" fontId="2" fillId="0" borderId="0" xfId="8" applyFont="1"/>
    <xf numFmtId="166" fontId="22" fillId="0" borderId="50" xfId="0" applyNumberFormat="1" applyFont="1" applyBorder="1" applyAlignment="1">
      <alignment vertical="center"/>
    </xf>
    <xf numFmtId="166" fontId="4" fillId="0" borderId="50" xfId="0" applyNumberFormat="1" applyFont="1" applyBorder="1" applyAlignment="1">
      <alignment vertical="center"/>
    </xf>
    <xf numFmtId="0" fontId="22" fillId="0" borderId="0" xfId="6" applyFont="1" applyAlignment="1">
      <alignment vertical="center"/>
    </xf>
    <xf numFmtId="0" fontId="22" fillId="0" borderId="0" xfId="0" applyFont="1" applyAlignment="1">
      <alignment horizontal="center"/>
    </xf>
    <xf numFmtId="5" fontId="4" fillId="0" borderId="0" xfId="6" applyNumberFormat="1" applyFont="1" applyAlignment="1" applyProtection="1">
      <alignment horizontal="center" vertical="center"/>
      <protection locked="0"/>
    </xf>
    <xf numFmtId="165" fontId="22" fillId="0" borderId="0" xfId="0" applyNumberFormat="1" applyFont="1"/>
    <xf numFmtId="166" fontId="22" fillId="0" borderId="0" xfId="0" applyNumberFormat="1" applyFont="1" applyAlignment="1">
      <alignment vertical="center"/>
    </xf>
    <xf numFmtId="3" fontId="22" fillId="0" borderId="0" xfId="0" applyNumberFormat="1" applyFont="1" applyAlignment="1">
      <alignment horizontal="centerContinuous" vertical="center"/>
    </xf>
    <xf numFmtId="0" fontId="3" fillId="0" borderId="0" xfId="6" applyFont="1" applyAlignment="1">
      <alignment horizontal="center" vertical="center"/>
    </xf>
    <xf numFmtId="166" fontId="2" fillId="3" borderId="0" xfId="5" applyNumberFormat="1" applyFont="1" applyFill="1" applyAlignment="1" applyProtection="1">
      <alignment vertical="center"/>
      <protection locked="0"/>
    </xf>
    <xf numFmtId="43" fontId="2" fillId="0" borderId="50" xfId="5" applyFont="1" applyBorder="1" applyAlignment="1">
      <alignment vertical="center"/>
    </xf>
    <xf numFmtId="165" fontId="2" fillId="2" borderId="0" xfId="1" applyNumberFormat="1" applyFont="1" applyFill="1"/>
    <xf numFmtId="5" fontId="3" fillId="0" borderId="0" xfId="6" applyNumberFormat="1" applyFont="1" applyAlignment="1" applyProtection="1">
      <alignment horizontal="center" vertical="center"/>
      <protection locked="0"/>
    </xf>
    <xf numFmtId="165" fontId="2" fillId="0" borderId="0" xfId="0" applyNumberFormat="1" applyFont="1"/>
    <xf numFmtId="0" fontId="2" fillId="0" borderId="0" xfId="9" applyFont="1" applyAlignment="1">
      <alignment horizontal="center" vertical="center"/>
    </xf>
    <xf numFmtId="166" fontId="2" fillId="3" borderId="78" xfId="5" applyNumberFormat="1" applyFont="1" applyFill="1" applyBorder="1" applyAlignment="1" applyProtection="1">
      <alignment vertical="center"/>
      <protection locked="0"/>
    </xf>
    <xf numFmtId="165" fontId="2" fillId="0" borderId="1" xfId="1" applyNumberFormat="1" applyFont="1" applyFill="1" applyBorder="1" applyAlignment="1">
      <alignment horizontal="right" vertical="center"/>
    </xf>
    <xf numFmtId="165" fontId="2" fillId="0" borderId="0" xfId="1" applyNumberFormat="1" applyFont="1" applyAlignment="1">
      <alignment horizontal="right" vertical="center"/>
    </xf>
    <xf numFmtId="166" fontId="2" fillId="2" borderId="0" xfId="5" applyNumberFormat="1" applyFont="1" applyFill="1" applyAlignment="1">
      <alignment horizontal="right" vertical="center"/>
    </xf>
    <xf numFmtId="167" fontId="2" fillId="0" borderId="0" xfId="2" applyNumberFormat="1" applyFont="1" applyFill="1" applyBorder="1"/>
    <xf numFmtId="165" fontId="2" fillId="0" borderId="80" xfId="0" applyNumberFormat="1" applyFont="1" applyBorder="1"/>
    <xf numFmtId="165" fontId="2" fillId="0" borderId="80" xfId="0" applyNumberFormat="1" applyFont="1" applyBorder="1" applyAlignment="1">
      <alignment vertical="center"/>
    </xf>
    <xf numFmtId="166" fontId="2" fillId="2" borderId="78" xfId="5" applyNumberFormat="1" applyFont="1" applyFill="1" applyBorder="1" applyAlignment="1">
      <alignment horizontal="right" vertical="center"/>
    </xf>
    <xf numFmtId="166" fontId="2" fillId="3" borderId="78" xfId="5" applyNumberFormat="1" applyFont="1" applyFill="1" applyBorder="1" applyAlignment="1">
      <alignment horizontal="right" vertical="center"/>
    </xf>
    <xf numFmtId="10" fontId="2" fillId="0" borderId="77" xfId="0" applyNumberFormat="1" applyFont="1" applyBorder="1" applyAlignment="1">
      <alignment horizontal="right" vertical="center"/>
    </xf>
    <xf numFmtId="166" fontId="2" fillId="0" borderId="0" xfId="5" applyNumberFormat="1" applyFont="1" applyAlignment="1">
      <alignment horizontal="right" vertical="center"/>
    </xf>
    <xf numFmtId="43" fontId="2" fillId="0" borderId="78" xfId="5" applyFont="1" applyBorder="1" applyAlignment="1">
      <alignment horizontal="right" vertical="center"/>
    </xf>
    <xf numFmtId="165" fontId="2" fillId="0" borderId="0" xfId="0" applyNumberFormat="1" applyFont="1" applyAlignment="1">
      <alignment horizontal="left" vertical="center"/>
    </xf>
    <xf numFmtId="167" fontId="2" fillId="2" borderId="78" xfId="2" applyNumberFormat="1" applyFont="1" applyFill="1" applyBorder="1"/>
    <xf numFmtId="166" fontId="2" fillId="2" borderId="0" xfId="5" applyNumberFormat="1" applyFont="1" applyFill="1" applyAlignment="1">
      <alignment horizontal="center" vertical="center"/>
    </xf>
    <xf numFmtId="0" fontId="5" fillId="0" borderId="77" xfId="0" applyFont="1" applyBorder="1" applyAlignment="1">
      <alignment vertical="center"/>
    </xf>
    <xf numFmtId="166" fontId="2" fillId="2" borderId="78" xfId="5" applyNumberFormat="1" applyFont="1" applyFill="1" applyBorder="1" applyAlignment="1">
      <alignment horizontal="center" vertical="center"/>
    </xf>
    <xf numFmtId="10" fontId="2" fillId="4" borderId="0" xfId="0" applyNumberFormat="1" applyFont="1" applyFill="1" applyAlignment="1">
      <alignment horizontal="right" vertical="center"/>
    </xf>
    <xf numFmtId="198" fontId="2" fillId="0" borderId="0" xfId="0" applyNumberFormat="1" applyFont="1" applyAlignment="1">
      <alignment horizontal="right" vertical="center"/>
    </xf>
    <xf numFmtId="10" fontId="2" fillId="0" borderId="77" xfId="2" applyNumberFormat="1" applyFont="1" applyBorder="1" applyAlignment="1">
      <alignment horizontal="right" vertical="center"/>
    </xf>
    <xf numFmtId="167" fontId="2" fillId="0" borderId="1" xfId="0" applyNumberFormat="1" applyFont="1" applyBorder="1" applyAlignment="1">
      <alignment horizontal="right" vertical="center"/>
    </xf>
    <xf numFmtId="10" fontId="2" fillId="2" borderId="0" xfId="2" applyNumberFormat="1" applyFont="1" applyFill="1" applyAlignment="1">
      <alignment horizontal="right" vertical="center"/>
    </xf>
    <xf numFmtId="165" fontId="2" fillId="4" borderId="0" xfId="1" applyNumberFormat="1" applyFont="1" applyFill="1" applyAlignment="1">
      <alignment horizontal="right" vertical="center"/>
    </xf>
    <xf numFmtId="165" fontId="2" fillId="2" borderId="0" xfId="1" applyNumberFormat="1" applyFont="1" applyFill="1" applyAlignment="1">
      <alignment horizontal="right" vertical="center"/>
    </xf>
    <xf numFmtId="0" fontId="2" fillId="3" borderId="78" xfId="2" applyNumberFormat="1" applyFont="1" applyFill="1" applyBorder="1" applyAlignment="1">
      <alignment horizontal="right" vertical="center"/>
    </xf>
    <xf numFmtId="167" fontId="2" fillId="0" borderId="0" xfId="2" applyNumberFormat="1" applyFont="1" applyAlignment="1">
      <alignment horizontal="right" vertical="center"/>
    </xf>
    <xf numFmtId="165" fontId="2" fillId="0" borderId="0" xfId="1" applyNumberFormat="1" applyFont="1" applyFill="1" applyAlignment="1">
      <alignment horizontal="center" vertical="center"/>
    </xf>
    <xf numFmtId="167" fontId="2" fillId="0" borderId="0" xfId="2" applyNumberFormat="1" applyFont="1" applyFill="1" applyAlignment="1">
      <alignment horizontal="right" vertical="center"/>
    </xf>
    <xf numFmtId="9" fontId="2" fillId="0" borderId="0" xfId="2" applyFont="1" applyAlignment="1">
      <alignment horizontal="right" vertical="center"/>
    </xf>
    <xf numFmtId="167" fontId="2" fillId="0" borderId="78" xfId="2" applyNumberFormat="1" applyFont="1" applyBorder="1" applyAlignment="1">
      <alignment horizontal="right" vertical="center"/>
    </xf>
    <xf numFmtId="167" fontId="2" fillId="0" borderId="0" xfId="2" applyNumberFormat="1" applyFont="1" applyBorder="1" applyAlignment="1">
      <alignment horizontal="right" vertical="center"/>
    </xf>
    <xf numFmtId="167" fontId="2" fillId="0" borderId="1" xfId="2" applyNumberFormat="1" applyFont="1" applyBorder="1" applyAlignment="1">
      <alignment horizontal="right" vertical="center"/>
    </xf>
    <xf numFmtId="167" fontId="2" fillId="0" borderId="77" xfId="0" applyNumberFormat="1" applyFont="1" applyBorder="1" applyAlignment="1">
      <alignment horizontal="right" vertical="center"/>
    </xf>
    <xf numFmtId="165" fontId="2" fillId="3" borderId="0" xfId="1" applyNumberFormat="1" applyFont="1" applyFill="1" applyAlignment="1">
      <alignment horizontal="center" vertical="center"/>
    </xf>
    <xf numFmtId="165" fontId="2" fillId="2" borderId="0" xfId="1" applyNumberFormat="1" applyFont="1" applyFill="1" applyAlignment="1">
      <alignment horizontal="center" vertical="center"/>
    </xf>
    <xf numFmtId="9" fontId="2" fillId="2" borderId="78" xfId="2" applyFont="1" applyFill="1" applyBorder="1" applyAlignment="1">
      <alignment horizontal="right" vertical="center"/>
    </xf>
    <xf numFmtId="10" fontId="2" fillId="2" borderId="78" xfId="2" applyNumberFormat="1" applyFont="1" applyFill="1" applyBorder="1" applyAlignment="1">
      <alignment horizontal="right" vertical="center"/>
    </xf>
    <xf numFmtId="167" fontId="2" fillId="2" borderId="0" xfId="0" applyNumberFormat="1" applyFont="1" applyFill="1" applyAlignment="1">
      <alignment horizontal="right" vertical="center"/>
    </xf>
    <xf numFmtId="167" fontId="2" fillId="2" borderId="0" xfId="2" applyNumberFormat="1" applyFont="1" applyFill="1" applyBorder="1" applyAlignment="1" applyProtection="1">
      <alignment horizontal="right" vertical="center"/>
    </xf>
    <xf numFmtId="167" fontId="2" fillId="4" borderId="78" xfId="7" applyNumberFormat="1" applyFont="1" applyFill="1" applyBorder="1" applyAlignment="1">
      <alignment horizontal="right" vertical="center"/>
    </xf>
    <xf numFmtId="167" fontId="2" fillId="2" borderId="0" xfId="0" quotePrefix="1" applyNumberFormat="1" applyFont="1" applyFill="1" applyAlignment="1">
      <alignment horizontal="right" vertical="center"/>
    </xf>
    <xf numFmtId="167" fontId="2" fillId="2" borderId="78" xfId="2" applyNumberFormat="1" applyFont="1" applyFill="1" applyBorder="1" applyAlignment="1" applyProtection="1">
      <alignment horizontal="right" vertical="center"/>
    </xf>
    <xf numFmtId="10" fontId="2" fillId="3" borderId="0" xfId="0" applyNumberFormat="1" applyFont="1" applyFill="1" applyAlignment="1">
      <alignment horizontal="right" vertical="center"/>
    </xf>
    <xf numFmtId="165" fontId="2" fillId="0" borderId="1" xfId="1" applyNumberFormat="1" applyFont="1" applyBorder="1" applyAlignment="1">
      <alignment vertical="center"/>
    </xf>
    <xf numFmtId="44" fontId="2" fillId="0" borderId="0" xfId="0" applyNumberFormat="1" applyFont="1" applyAlignment="1">
      <alignment vertical="center"/>
    </xf>
    <xf numFmtId="167" fontId="2" fillId="2" borderId="78" xfId="2" applyNumberFormat="1" applyFont="1" applyFill="1" applyBorder="1" applyAlignment="1">
      <alignment horizontal="right" vertical="center"/>
    </xf>
    <xf numFmtId="165" fontId="2" fillId="3" borderId="1" xfId="1" applyNumberFormat="1" applyFont="1" applyFill="1" applyBorder="1" applyAlignment="1">
      <alignment vertical="center"/>
    </xf>
    <xf numFmtId="165" fontId="2" fillId="2" borderId="1" xfId="0" applyNumberFormat="1" applyFont="1" applyFill="1" applyBorder="1" applyAlignment="1">
      <alignment horizontal="right" vertical="center"/>
    </xf>
    <xf numFmtId="166" fontId="2" fillId="2" borderId="78" xfId="5" applyNumberFormat="1" applyFont="1" applyFill="1" applyBorder="1"/>
    <xf numFmtId="166" fontId="2" fillId="0" borderId="50" xfId="5" applyNumberFormat="1" applyFont="1" applyBorder="1" applyAlignment="1">
      <alignment vertical="center"/>
    </xf>
    <xf numFmtId="37" fontId="2" fillId="0" borderId="8" xfId="0" applyNumberFormat="1" applyFont="1" applyBorder="1" applyAlignment="1">
      <alignment vertical="center"/>
    </xf>
    <xf numFmtId="37" fontId="2" fillId="0" borderId="10" xfId="0" applyNumberFormat="1" applyFont="1" applyBorder="1" applyAlignment="1">
      <alignment vertical="center"/>
    </xf>
    <xf numFmtId="37" fontId="2" fillId="0" borderId="11" xfId="0" applyNumberFormat="1" applyFont="1" applyBorder="1" applyAlignment="1">
      <alignment vertical="center"/>
    </xf>
    <xf numFmtId="37" fontId="2" fillId="0" borderId="0" xfId="0" applyNumberFormat="1" applyFont="1" applyAlignment="1">
      <alignment horizontal="right" vertical="center"/>
    </xf>
    <xf numFmtId="165" fontId="2" fillId="0" borderId="0" xfId="1" applyNumberFormat="1" applyFont="1" applyFill="1" applyBorder="1" applyAlignment="1">
      <alignment horizontal="right" vertical="center"/>
    </xf>
    <xf numFmtId="37" fontId="2" fillId="0" borderId="0" xfId="0" applyNumberFormat="1" applyFont="1" applyAlignment="1">
      <alignment vertical="top"/>
    </xf>
    <xf numFmtId="37" fontId="2" fillId="0" borderId="0" xfId="0" applyNumberFormat="1" applyFont="1"/>
    <xf numFmtId="37" fontId="2" fillId="0" borderId="0" xfId="0" applyNumberFormat="1" applyFont="1" applyAlignment="1">
      <alignment vertical="center" wrapText="1"/>
    </xf>
    <xf numFmtId="43" fontId="4" fillId="0" borderId="0" xfId="0" applyNumberFormat="1" applyFont="1" applyAlignment="1">
      <alignment horizontal="right" vertical="center"/>
    </xf>
    <xf numFmtId="37" fontId="3" fillId="0" borderId="0" xfId="0" applyNumberFormat="1" applyFont="1" applyAlignment="1">
      <alignment horizontal="left" vertical="center"/>
    </xf>
    <xf numFmtId="37" fontId="4" fillId="0" borderId="0" xfId="0" applyNumberFormat="1" applyFont="1" applyAlignment="1">
      <alignment horizontal="right" vertical="center"/>
    </xf>
    <xf numFmtId="0" fontId="18" fillId="0" borderId="0" xfId="0" applyFont="1" applyAlignment="1">
      <alignment horizontal="left" vertical="center" indent="13"/>
    </xf>
    <xf numFmtId="0" fontId="61" fillId="0" borderId="0" xfId="0" applyFont="1" applyAlignment="1">
      <alignment vertical="center"/>
    </xf>
    <xf numFmtId="166" fontId="2" fillId="0" borderId="0" xfId="5" applyNumberFormat="1" applyFont="1" applyBorder="1" applyAlignment="1">
      <alignment horizontal="right" vertical="center"/>
    </xf>
    <xf numFmtId="166" fontId="2" fillId="0" borderId="0" xfId="5" applyNumberFormat="1" applyFont="1" applyFill="1" applyBorder="1"/>
    <xf numFmtId="0" fontId="62" fillId="0" borderId="0" xfId="0" applyFont="1" applyAlignment="1">
      <alignment vertical="center" wrapText="1"/>
    </xf>
    <xf numFmtId="167" fontId="2" fillId="2" borderId="0" xfId="2" applyNumberFormat="1" applyFont="1" applyFill="1" applyAlignment="1">
      <alignment vertical="center"/>
    </xf>
    <xf numFmtId="165" fontId="2" fillId="2" borderId="78" xfId="1" applyNumberFormat="1" applyFont="1" applyFill="1" applyBorder="1" applyAlignment="1">
      <alignment horizontal="right" vertical="center"/>
    </xf>
    <xf numFmtId="167" fontId="2" fillId="2" borderId="0" xfId="2" applyNumberFormat="1" applyFont="1" applyFill="1" applyBorder="1" applyAlignment="1">
      <alignment horizontal="right" vertical="center"/>
    </xf>
    <xf numFmtId="167" fontId="2" fillId="2" borderId="0" xfId="2" quotePrefix="1" applyNumberFormat="1" applyFont="1" applyFill="1" applyAlignment="1">
      <alignment horizontal="right" vertical="center"/>
    </xf>
    <xf numFmtId="44" fontId="2" fillId="2" borderId="78" xfId="1" quotePrefix="1" applyFont="1" applyFill="1" applyBorder="1" applyAlignment="1">
      <alignment horizontal="right" vertical="center"/>
    </xf>
    <xf numFmtId="166" fontId="2" fillId="0" borderId="0" xfId="5" quotePrefix="1" applyNumberFormat="1" applyFont="1" applyFill="1" applyAlignment="1">
      <alignment horizontal="right" vertical="center"/>
    </xf>
    <xf numFmtId="44" fontId="2" fillId="0" borderId="0" xfId="1" applyFont="1" applyFill="1" applyBorder="1" applyAlignment="1">
      <alignment horizontal="right" vertical="center"/>
    </xf>
    <xf numFmtId="167" fontId="2" fillId="4" borderId="78" xfId="0" applyNumberFormat="1" applyFont="1" applyFill="1" applyBorder="1" applyAlignment="1">
      <alignment horizontal="right" vertical="center"/>
    </xf>
    <xf numFmtId="44" fontId="2" fillId="2" borderId="0" xfId="1" applyFont="1" applyFill="1" applyBorder="1" applyAlignment="1">
      <alignment horizontal="right" vertical="center"/>
    </xf>
    <xf numFmtId="166" fontId="2" fillId="3" borderId="78" xfId="0" applyNumberFormat="1" applyFont="1" applyFill="1" applyBorder="1" applyAlignment="1">
      <alignment horizontal="right" vertical="center"/>
    </xf>
    <xf numFmtId="165" fontId="2" fillId="0" borderId="78" xfId="0" applyNumberFormat="1" applyFont="1" applyBorder="1" applyAlignment="1">
      <alignment horizontal="right" vertical="center"/>
    </xf>
    <xf numFmtId="165" fontId="2" fillId="2" borderId="78" xfId="1" quotePrefix="1" applyNumberFormat="1" applyFont="1" applyFill="1" applyBorder="1" applyAlignment="1">
      <alignment horizontal="right" vertical="center"/>
    </xf>
    <xf numFmtId="166" fontId="2" fillId="2" borderId="78" xfId="0" applyNumberFormat="1" applyFont="1" applyFill="1" applyBorder="1" applyAlignment="1">
      <alignment horizontal="center" vertical="center"/>
    </xf>
    <xf numFmtId="166" fontId="2" fillId="0" borderId="0" xfId="5" applyNumberFormat="1" applyFont="1" applyFill="1"/>
    <xf numFmtId="44" fontId="2" fillId="0" borderId="0" xfId="1" applyFont="1" applyFill="1" applyBorder="1" applyAlignment="1">
      <alignment vertical="center"/>
    </xf>
    <xf numFmtId="165" fontId="2" fillId="0" borderId="16" xfId="1" applyNumberFormat="1" applyFont="1" applyBorder="1" applyAlignment="1">
      <alignment horizontal="right" vertical="center"/>
    </xf>
    <xf numFmtId="165" fontId="2" fillId="0" borderId="1" xfId="1" applyNumberFormat="1" applyFont="1" applyBorder="1" applyAlignment="1">
      <alignment horizontal="right" vertical="center"/>
    </xf>
    <xf numFmtId="10" fontId="2" fillId="2" borderId="0" xfId="0" applyNumberFormat="1" applyFont="1" applyFill="1" applyAlignment="1">
      <alignment vertical="center"/>
    </xf>
    <xf numFmtId="10" fontId="2" fillId="2" borderId="1" xfId="0" applyNumberFormat="1" applyFont="1" applyFill="1" applyBorder="1" applyAlignment="1">
      <alignment horizontal="right" vertical="center"/>
    </xf>
    <xf numFmtId="10" fontId="2" fillId="2" borderId="1" xfId="2" applyNumberFormat="1" applyFont="1" applyFill="1" applyBorder="1" applyAlignment="1">
      <alignment horizontal="right" vertical="center"/>
    </xf>
    <xf numFmtId="167" fontId="2" fillId="2" borderId="0" xfId="2" applyNumberFormat="1" applyFont="1" applyFill="1" applyAlignment="1">
      <alignment horizontal="right" vertical="center"/>
    </xf>
    <xf numFmtId="165" fontId="2" fillId="0" borderId="80" xfId="1" quotePrefix="1" applyNumberFormat="1" applyFont="1" applyFill="1" applyBorder="1" applyAlignment="1">
      <alignment horizontal="right" vertical="center"/>
    </xf>
    <xf numFmtId="44" fontId="2" fillId="0" borderId="80" xfId="1" applyFont="1" applyFill="1" applyBorder="1" applyAlignment="1">
      <alignment horizontal="right" vertical="center"/>
    </xf>
    <xf numFmtId="44" fontId="2" fillId="0" borderId="16" xfId="1" applyFont="1" applyFill="1" applyBorder="1" applyAlignment="1">
      <alignment horizontal="right" vertical="center"/>
    </xf>
    <xf numFmtId="167" fontId="2" fillId="2" borderId="78" xfId="2" applyNumberFormat="1" applyFont="1" applyFill="1" applyBorder="1" applyAlignment="1" applyProtection="1">
      <alignment horizontal="right" vertical="center"/>
      <protection locked="0"/>
    </xf>
    <xf numFmtId="5" fontId="22" fillId="0" borderId="0" xfId="0" applyNumberFormat="1" applyFont="1" applyAlignment="1">
      <alignment horizontal="left" vertical="center"/>
    </xf>
    <xf numFmtId="166" fontId="2" fillId="0" borderId="0" xfId="5" applyNumberFormat="1" applyFont="1" applyFill="1" applyAlignment="1">
      <alignment horizontal="right" vertical="center"/>
    </xf>
    <xf numFmtId="199" fontId="2" fillId="0" borderId="0" xfId="0" applyNumberFormat="1" applyFont="1" applyAlignment="1">
      <alignment vertical="center"/>
    </xf>
    <xf numFmtId="165" fontId="2" fillId="0" borderId="0" xfId="1" applyNumberFormat="1" applyFont="1" applyFill="1" applyBorder="1" applyAlignment="1">
      <alignment vertical="center"/>
    </xf>
    <xf numFmtId="167" fontId="2" fillId="0" borderId="0" xfId="2" applyNumberFormat="1" applyFont="1" applyFill="1" applyBorder="1" applyAlignment="1">
      <alignment vertical="center"/>
    </xf>
    <xf numFmtId="166" fontId="2" fillId="0" borderId="0" xfId="5" applyNumberFormat="1" applyFont="1" applyFill="1" applyBorder="1" applyAlignment="1">
      <alignment vertical="center"/>
    </xf>
    <xf numFmtId="165" fontId="2" fillId="0" borderId="0" xfId="1" applyNumberFormat="1" applyFont="1" applyAlignment="1">
      <alignment vertical="center"/>
    </xf>
    <xf numFmtId="0" fontId="3" fillId="0" borderId="0" xfId="0" applyFont="1" applyAlignment="1">
      <alignment horizontal="center" vertical="center"/>
    </xf>
    <xf numFmtId="0" fontId="3" fillId="0" borderId="0" xfId="0" applyFont="1" applyAlignment="1">
      <alignment vertical="center"/>
    </xf>
    <xf numFmtId="0" fontId="2" fillId="0" borderId="0" xfId="0" applyFont="1" applyAlignment="1">
      <alignment vertical="center"/>
    </xf>
    <xf numFmtId="0" fontId="3" fillId="3" borderId="0" xfId="0" applyFont="1" applyFill="1" applyAlignment="1">
      <alignment horizontal="center" vertical="center"/>
    </xf>
    <xf numFmtId="0" fontId="3" fillId="0" borderId="0" xfId="0" quotePrefix="1" applyFont="1" applyAlignment="1">
      <alignment horizontal="center" vertical="center"/>
    </xf>
    <xf numFmtId="0" fontId="3" fillId="2" borderId="0" xfId="0" applyFont="1" applyFill="1" applyAlignment="1">
      <alignment horizontal="center" vertical="center"/>
    </xf>
    <xf numFmtId="0" fontId="3" fillId="2" borderId="0" xfId="0" applyFont="1" applyFill="1" applyAlignment="1">
      <alignment vertical="center"/>
    </xf>
    <xf numFmtId="0" fontId="3" fillId="3" borderId="0" xfId="0" applyFont="1" applyFill="1" applyAlignment="1">
      <alignment vertical="center"/>
    </xf>
    <xf numFmtId="0" fontId="2" fillId="3" borderId="0" xfId="0" applyFont="1" applyFill="1" applyAlignment="1">
      <alignment vertical="center"/>
    </xf>
    <xf numFmtId="0" fontId="2" fillId="0" borderId="0" xfId="0" applyFont="1" applyAlignment="1">
      <alignment horizontal="left" vertical="center"/>
    </xf>
    <xf numFmtId="0" fontId="2" fillId="0" borderId="78" xfId="0" applyFont="1" applyBorder="1" applyAlignment="1">
      <alignment horizontal="center" vertical="center"/>
    </xf>
    <xf numFmtId="166" fontId="3" fillId="0" borderId="0" xfId="0" applyNumberFormat="1" applyFont="1" applyAlignment="1">
      <alignment horizontal="center" vertical="center"/>
    </xf>
    <xf numFmtId="0" fontId="2" fillId="0" borderId="0" xfId="0" applyFont="1" applyAlignment="1">
      <alignment horizontal="center" vertical="center"/>
    </xf>
    <xf numFmtId="37" fontId="3" fillId="0" borderId="0" xfId="0" applyNumberFormat="1" applyFont="1" applyAlignment="1">
      <alignment horizontal="center" vertical="center"/>
    </xf>
    <xf numFmtId="37" fontId="3" fillId="0" borderId="0" xfId="0" quotePrefix="1" applyNumberFormat="1" applyFont="1" applyAlignment="1">
      <alignment horizontal="center" vertical="center"/>
    </xf>
    <xf numFmtId="5" fontId="3" fillId="0" borderId="0" xfId="0" quotePrefix="1" applyNumberFormat="1" applyFont="1" applyAlignment="1">
      <alignment horizontal="center" vertical="center"/>
    </xf>
    <xf numFmtId="0" fontId="3" fillId="0" borderId="80" xfId="0" applyFont="1" applyBorder="1" applyAlignment="1">
      <alignment horizontal="left" vertical="center"/>
    </xf>
    <xf numFmtId="0" fontId="2" fillId="0" borderId="6" xfId="0" applyFont="1" applyBorder="1" applyAlignment="1">
      <alignment horizontal="left" vertical="center"/>
    </xf>
    <xf numFmtId="0" fontId="2" fillId="3" borderId="0" xfId="0" applyFont="1" applyFill="1" applyAlignment="1">
      <alignment horizontal="center" vertical="center"/>
    </xf>
    <xf numFmtId="0" fontId="3" fillId="0" borderId="7" xfId="0" applyFont="1" applyBorder="1" applyAlignment="1">
      <alignment horizontal="center" vertical="center"/>
    </xf>
    <xf numFmtId="0" fontId="3" fillId="0" borderId="80" xfId="0" applyFont="1" applyBorder="1" applyAlignment="1">
      <alignment horizontal="center" vertical="center"/>
    </xf>
    <xf numFmtId="0" fontId="3" fillId="0" borderId="6" xfId="0" applyFont="1" applyBorder="1" applyAlignment="1">
      <alignment horizontal="center" vertical="center"/>
    </xf>
    <xf numFmtId="0" fontId="18" fillId="0" borderId="0" xfId="0" applyFont="1" applyAlignment="1">
      <alignment horizontal="center" vertical="center"/>
    </xf>
    <xf numFmtId="0" fontId="18" fillId="0" borderId="0" xfId="0" quotePrefix="1" applyFont="1" applyAlignment="1">
      <alignment horizontal="center" vertical="center"/>
    </xf>
    <xf numFmtId="0" fontId="18" fillId="0" borderId="7" xfId="0" applyFont="1" applyBorder="1" applyAlignment="1">
      <alignment horizontal="center" vertical="center"/>
    </xf>
    <xf numFmtId="0" fontId="18" fillId="0" borderId="80" xfId="0" applyFont="1" applyBorder="1" applyAlignment="1">
      <alignment horizontal="center" vertical="center"/>
    </xf>
    <xf numFmtId="0" fontId="18" fillId="0" borderId="6" xfId="0" applyFont="1" applyBorder="1" applyAlignment="1">
      <alignment horizontal="center" vertical="center"/>
    </xf>
    <xf numFmtId="0" fontId="18" fillId="3" borderId="0" xfId="0" applyFont="1" applyFill="1" applyAlignment="1">
      <alignment horizontal="center" vertical="center"/>
    </xf>
    <xf numFmtId="6" fontId="3" fillId="0" borderId="0" xfId="0" quotePrefix="1" applyNumberFormat="1" applyFont="1" applyAlignment="1">
      <alignment horizontal="center" vertical="center"/>
    </xf>
    <xf numFmtId="5" fontId="3" fillId="0" borderId="0" xfId="0" applyNumberFormat="1" applyFont="1" applyAlignment="1">
      <alignment horizontal="center" vertical="center"/>
    </xf>
    <xf numFmtId="0" fontId="40" fillId="0" borderId="0" xfId="0" quotePrefix="1" applyFont="1" applyAlignment="1">
      <alignment horizontal="center" vertical="center"/>
    </xf>
    <xf numFmtId="166" fontId="41" fillId="0" borderId="39" xfId="0" applyNumberFormat="1" applyFont="1" applyBorder="1" applyAlignment="1">
      <alignment horizontal="center"/>
    </xf>
    <xf numFmtId="166" fontId="41" fillId="0" borderId="28" xfId="0" applyNumberFormat="1" applyFont="1" applyBorder="1" applyAlignment="1">
      <alignment horizontal="center"/>
    </xf>
    <xf numFmtId="166" fontId="41" fillId="0" borderId="29" xfId="0" applyNumberFormat="1" applyFont="1" applyBorder="1" applyAlignment="1">
      <alignment horizontal="center"/>
    </xf>
    <xf numFmtId="166" fontId="11" fillId="0" borderId="39" xfId="0" applyNumberFormat="1" applyFont="1" applyBorder="1" applyAlignment="1">
      <alignment horizontal="center"/>
    </xf>
    <xf numFmtId="166" fontId="11" fillId="0" borderId="28" xfId="0" applyNumberFormat="1" applyFont="1" applyBorder="1" applyAlignment="1">
      <alignment horizontal="center"/>
    </xf>
    <xf numFmtId="166" fontId="11" fillId="0" borderId="29" xfId="0" applyNumberFormat="1" applyFont="1" applyBorder="1" applyAlignment="1">
      <alignment horizontal="center"/>
    </xf>
    <xf numFmtId="0" fontId="3" fillId="0" borderId="0" xfId="6" applyFont="1" applyAlignment="1">
      <alignment horizontal="center" vertical="center"/>
    </xf>
    <xf numFmtId="0" fontId="3" fillId="0" borderId="0" xfId="6" applyFont="1" applyAlignment="1">
      <alignment vertical="center"/>
    </xf>
    <xf numFmtId="0" fontId="2" fillId="0" borderId="0" xfId="6" applyFont="1" applyAlignment="1">
      <alignment vertical="center"/>
    </xf>
    <xf numFmtId="0" fontId="3" fillId="2" borderId="0" xfId="6" applyFont="1" applyFill="1" applyAlignment="1">
      <alignment horizontal="center" vertical="center"/>
    </xf>
    <xf numFmtId="0" fontId="3" fillId="2" borderId="0" xfId="6" applyFont="1" applyFill="1" applyAlignment="1">
      <alignment vertical="center"/>
    </xf>
    <xf numFmtId="0" fontId="3" fillId="0" borderId="0" xfId="6" quotePrefix="1" applyFont="1" applyAlignment="1">
      <alignment horizontal="center" vertical="center"/>
    </xf>
    <xf numFmtId="0" fontId="18" fillId="2" borderId="0" xfId="0" applyFont="1" applyFill="1" applyAlignment="1">
      <alignment horizontal="center" vertical="center"/>
    </xf>
    <xf numFmtId="5" fontId="18" fillId="0" borderId="0" xfId="0" quotePrefix="1" applyNumberFormat="1" applyFont="1" applyAlignment="1">
      <alignment horizontal="center"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cellXfs>
  <cellStyles count="10">
    <cellStyle name="Comma" xfId="5" builtinId="3"/>
    <cellStyle name="Comma 2 10 2" xfId="4" xr:uid="{8BF09D7A-457F-4AD8-B821-566D04E79DA9}"/>
    <cellStyle name="Currency" xfId="1" builtinId="4"/>
    <cellStyle name="Normal" xfId="0" builtinId="0"/>
    <cellStyle name="Normal 2" xfId="3" xr:uid="{EA1BDBBD-80C0-4EC3-9FD8-12009108C041}"/>
    <cellStyle name="Normal 2 2 2 2" xfId="8" xr:uid="{44F21A14-8541-4FAB-A64C-7BAD27FD1B83}"/>
    <cellStyle name="Normal 9" xfId="6" xr:uid="{CE561EDF-5522-406D-857E-610FE101F8E5}"/>
    <cellStyle name="Normal 9 8" xfId="9" xr:uid="{0B9270D8-AC41-4DD8-9B5E-B4D9B9E099A0}"/>
    <cellStyle name="Percent" xfId="2" builtinId="5"/>
    <cellStyle name="Percent 3" xfId="7" xr:uid="{748E575F-3EE5-4BFE-9C65-4B322766B0FE}"/>
  </cellStyles>
  <dxfs count="0"/>
  <tableStyles count="1" defaultTableStyle="TableStyleMedium2" defaultPivotStyle="PivotStyleLight16">
    <tableStyle name="Invisible" pivot="0" table="0" count="0" xr9:uid="{862A6FA9-1B11-4A14-9168-719892295C9D}"/>
  </tableStyles>
  <colors>
    <mruColors>
      <color rgb="FFCCCCFF"/>
      <color rgb="FF0000FF"/>
      <color rgb="FF993366"/>
      <color rgb="FFFF00FF"/>
      <color rgb="FFFF99FF"/>
      <color rgb="FFCC99FF"/>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customXml" Target="../customXml/item1.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theme" Target="theme/theme1.xml"/><Relationship Id="rId9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customXml" Target="../customXml/item3.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styles" Target="styles.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238125</xdr:colOff>
      <xdr:row>26</xdr:row>
      <xdr:rowOff>107156</xdr:rowOff>
    </xdr:from>
    <xdr:ext cx="184731" cy="264560"/>
    <xdr:sp macro="" textlink="">
      <xdr:nvSpPr>
        <xdr:cNvPr id="2" name="TextBox 1">
          <a:extLst>
            <a:ext uri="{FF2B5EF4-FFF2-40B4-BE49-F238E27FC236}">
              <a16:creationId xmlns:a16="http://schemas.microsoft.com/office/drawing/2014/main" id="{00000000-0008-0000-3500-000002000000}"/>
            </a:ext>
          </a:extLst>
        </xdr:cNvPr>
        <xdr:cNvSpPr txBox="1"/>
      </xdr:nvSpPr>
      <xdr:spPr>
        <a:xfrm>
          <a:off x="238125" y="86129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0</xdr:col>
      <xdr:colOff>0</xdr:colOff>
      <xdr:row>26</xdr:row>
      <xdr:rowOff>107156</xdr:rowOff>
    </xdr:from>
    <xdr:ext cx="184731" cy="264560"/>
    <xdr:sp macro="" textlink="">
      <xdr:nvSpPr>
        <xdr:cNvPr id="3" name="TextBox 2">
          <a:extLst>
            <a:ext uri="{FF2B5EF4-FFF2-40B4-BE49-F238E27FC236}">
              <a16:creationId xmlns:a16="http://schemas.microsoft.com/office/drawing/2014/main" id="{00000000-0008-0000-3500-000003000000}"/>
            </a:ext>
          </a:extLst>
        </xdr:cNvPr>
        <xdr:cNvSpPr txBox="1"/>
      </xdr:nvSpPr>
      <xdr:spPr>
        <a:xfrm>
          <a:off x="857250" y="103782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7</xdr:col>
      <xdr:colOff>0</xdr:colOff>
      <xdr:row>26</xdr:row>
      <xdr:rowOff>107156</xdr:rowOff>
    </xdr:from>
    <xdr:ext cx="184731" cy="264560"/>
    <xdr:sp macro="" textlink="">
      <xdr:nvSpPr>
        <xdr:cNvPr id="4" name="TextBox 3">
          <a:extLst>
            <a:ext uri="{FF2B5EF4-FFF2-40B4-BE49-F238E27FC236}">
              <a16:creationId xmlns:a16="http://schemas.microsoft.com/office/drawing/2014/main" id="{00000000-0008-0000-3500-000004000000}"/>
            </a:ext>
          </a:extLst>
        </xdr:cNvPr>
        <xdr:cNvSpPr txBox="1"/>
      </xdr:nvSpPr>
      <xdr:spPr>
        <a:xfrm>
          <a:off x="603250" y="103782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6</xdr:col>
      <xdr:colOff>238125</xdr:colOff>
      <xdr:row>26</xdr:row>
      <xdr:rowOff>107156</xdr:rowOff>
    </xdr:from>
    <xdr:ext cx="184731" cy="264560"/>
    <xdr:sp macro="" textlink="">
      <xdr:nvSpPr>
        <xdr:cNvPr id="5" name="TextBox 4">
          <a:extLst>
            <a:ext uri="{FF2B5EF4-FFF2-40B4-BE49-F238E27FC236}">
              <a16:creationId xmlns:a16="http://schemas.microsoft.com/office/drawing/2014/main" id="{00000000-0008-0000-3500-000005000000}"/>
            </a:ext>
          </a:extLst>
        </xdr:cNvPr>
        <xdr:cNvSpPr txBox="1"/>
      </xdr:nvSpPr>
      <xdr:spPr>
        <a:xfrm>
          <a:off x="238125" y="103782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1531939</xdr:colOff>
      <xdr:row>132</xdr:row>
      <xdr:rowOff>9525</xdr:rowOff>
    </xdr:from>
    <xdr:to>
      <xdr:col>1</xdr:col>
      <xdr:colOff>3581077</xdr:colOff>
      <xdr:row>132</xdr:row>
      <xdr:rowOff>9525</xdr:rowOff>
    </xdr:to>
    <xdr:sp macro="" textlink="">
      <xdr:nvSpPr>
        <xdr:cNvPr id="10" name="Line 1">
          <a:extLst>
            <a:ext uri="{FF2B5EF4-FFF2-40B4-BE49-F238E27FC236}">
              <a16:creationId xmlns:a16="http://schemas.microsoft.com/office/drawing/2014/main" id="{00000000-0008-0000-3F00-00000A000000}"/>
            </a:ext>
          </a:extLst>
        </xdr:cNvPr>
        <xdr:cNvSpPr>
          <a:spLocks noChangeShapeType="1"/>
        </xdr:cNvSpPr>
      </xdr:nvSpPr>
      <xdr:spPr bwMode="auto">
        <a:xfrm>
          <a:off x="1897064" y="18702338"/>
          <a:ext cx="2049138" cy="0"/>
        </a:xfrm>
        <a:prstGeom prst="line">
          <a:avLst/>
        </a:prstGeom>
        <a:noFill/>
        <a:ln w="9525">
          <a:solidFill>
            <a:srgbClr val="000000"/>
          </a:solidFill>
          <a:round/>
          <a:headEnd/>
          <a:tailEnd/>
        </a:ln>
      </xdr:spPr>
    </xdr:sp>
    <xdr:clientData/>
  </xdr:twoCellAnchor>
  <xdr:twoCellAnchor>
    <xdr:from>
      <xdr:col>1</xdr:col>
      <xdr:colOff>1389067</xdr:colOff>
      <xdr:row>144</xdr:row>
      <xdr:rowOff>200024</xdr:rowOff>
    </xdr:from>
    <xdr:to>
      <xdr:col>2</xdr:col>
      <xdr:colOff>895350</xdr:colOff>
      <xdr:row>145</xdr:row>
      <xdr:rowOff>9525</xdr:rowOff>
    </xdr:to>
    <xdr:sp macro="" textlink="">
      <xdr:nvSpPr>
        <xdr:cNvPr id="11" name="Line 2">
          <a:extLst>
            <a:ext uri="{FF2B5EF4-FFF2-40B4-BE49-F238E27FC236}">
              <a16:creationId xmlns:a16="http://schemas.microsoft.com/office/drawing/2014/main" id="{00000000-0008-0000-3F00-00000B000000}"/>
            </a:ext>
          </a:extLst>
        </xdr:cNvPr>
        <xdr:cNvSpPr>
          <a:spLocks noChangeShapeType="1"/>
        </xdr:cNvSpPr>
      </xdr:nvSpPr>
      <xdr:spPr bwMode="auto">
        <a:xfrm>
          <a:off x="1731967" y="29336999"/>
          <a:ext cx="3201983" cy="9526"/>
        </a:xfrm>
        <a:prstGeom prst="line">
          <a:avLst/>
        </a:prstGeom>
        <a:noFill/>
        <a:ln w="9525">
          <a:solidFill>
            <a:srgbClr val="000000"/>
          </a:solidFill>
          <a:round/>
          <a:headEnd/>
          <a:tailEnd/>
        </a:ln>
      </xdr:spPr>
    </xdr:sp>
    <xdr:clientData/>
  </xdr:twoCellAnchor>
  <xdr:twoCellAnchor>
    <xdr:from>
      <xdr:col>1</xdr:col>
      <xdr:colOff>1531939</xdr:colOff>
      <xdr:row>221</xdr:row>
      <xdr:rowOff>9525</xdr:rowOff>
    </xdr:from>
    <xdr:to>
      <xdr:col>1</xdr:col>
      <xdr:colOff>3581077</xdr:colOff>
      <xdr:row>221</xdr:row>
      <xdr:rowOff>9525</xdr:rowOff>
    </xdr:to>
    <xdr:sp macro="" textlink="">
      <xdr:nvSpPr>
        <xdr:cNvPr id="17" name="Line 1">
          <a:extLst>
            <a:ext uri="{FF2B5EF4-FFF2-40B4-BE49-F238E27FC236}">
              <a16:creationId xmlns:a16="http://schemas.microsoft.com/office/drawing/2014/main" id="{00000000-0008-0000-3F00-000011000000}"/>
            </a:ext>
          </a:extLst>
        </xdr:cNvPr>
        <xdr:cNvSpPr>
          <a:spLocks noChangeShapeType="1"/>
        </xdr:cNvSpPr>
      </xdr:nvSpPr>
      <xdr:spPr bwMode="auto">
        <a:xfrm>
          <a:off x="1897064" y="18702338"/>
          <a:ext cx="2049138" cy="0"/>
        </a:xfrm>
        <a:prstGeom prst="line">
          <a:avLst/>
        </a:prstGeom>
        <a:noFill/>
        <a:ln w="9525">
          <a:solidFill>
            <a:srgbClr val="000000"/>
          </a:solidFill>
          <a:round/>
          <a:headEnd/>
          <a:tailEnd/>
        </a:ln>
      </xdr:spPr>
    </xdr:sp>
    <xdr:clientData/>
  </xdr:twoCellAnchor>
  <xdr:twoCellAnchor>
    <xdr:from>
      <xdr:col>1</xdr:col>
      <xdr:colOff>1531939</xdr:colOff>
      <xdr:row>221</xdr:row>
      <xdr:rowOff>9525</xdr:rowOff>
    </xdr:from>
    <xdr:to>
      <xdr:col>1</xdr:col>
      <xdr:colOff>3581077</xdr:colOff>
      <xdr:row>221</xdr:row>
      <xdr:rowOff>9525</xdr:rowOff>
    </xdr:to>
    <xdr:sp macro="" textlink="">
      <xdr:nvSpPr>
        <xdr:cNvPr id="18" name="Line 1">
          <a:extLst>
            <a:ext uri="{FF2B5EF4-FFF2-40B4-BE49-F238E27FC236}">
              <a16:creationId xmlns:a16="http://schemas.microsoft.com/office/drawing/2014/main" id="{00000000-0008-0000-3F00-000012000000}"/>
            </a:ext>
          </a:extLst>
        </xdr:cNvPr>
        <xdr:cNvSpPr>
          <a:spLocks noChangeShapeType="1"/>
        </xdr:cNvSpPr>
      </xdr:nvSpPr>
      <xdr:spPr bwMode="auto">
        <a:xfrm>
          <a:off x="1897064" y="18702338"/>
          <a:ext cx="2049138" cy="0"/>
        </a:xfrm>
        <a:prstGeom prst="line">
          <a:avLst/>
        </a:prstGeom>
        <a:noFill/>
        <a:ln w="9525">
          <a:solidFill>
            <a:srgbClr val="000000"/>
          </a:solidFill>
          <a:round/>
          <a:headEnd/>
          <a:tailEnd/>
        </a:ln>
      </xdr:spPr>
    </xdr:sp>
    <xdr:clientData/>
  </xdr:twoCellAnchor>
  <xdr:twoCellAnchor>
    <xdr:from>
      <xdr:col>1</xdr:col>
      <xdr:colOff>1389067</xdr:colOff>
      <xdr:row>234</xdr:row>
      <xdr:rowOff>0</xdr:rowOff>
    </xdr:from>
    <xdr:to>
      <xdr:col>2</xdr:col>
      <xdr:colOff>933450</xdr:colOff>
      <xdr:row>234</xdr:row>
      <xdr:rowOff>9526</xdr:rowOff>
    </xdr:to>
    <xdr:sp macro="" textlink="">
      <xdr:nvSpPr>
        <xdr:cNvPr id="19" name="Line 2">
          <a:extLst>
            <a:ext uri="{FF2B5EF4-FFF2-40B4-BE49-F238E27FC236}">
              <a16:creationId xmlns:a16="http://schemas.microsoft.com/office/drawing/2014/main" id="{00000000-0008-0000-3F00-000013000000}"/>
            </a:ext>
          </a:extLst>
        </xdr:cNvPr>
        <xdr:cNvSpPr>
          <a:spLocks noChangeShapeType="1"/>
        </xdr:cNvSpPr>
      </xdr:nvSpPr>
      <xdr:spPr bwMode="auto">
        <a:xfrm>
          <a:off x="1741492" y="33070800"/>
          <a:ext cx="3344858" cy="9526"/>
        </a:xfrm>
        <a:prstGeom prst="line">
          <a:avLst/>
        </a:prstGeom>
        <a:noFill/>
        <a:ln w="9525">
          <a:solidFill>
            <a:srgbClr val="000000"/>
          </a:solidFill>
          <a:round/>
          <a:headEnd/>
          <a:tailEnd/>
        </a:ln>
      </xdr:spPr>
    </xdr:sp>
    <xdr:clientData/>
  </xdr:twoCellAnchor>
  <xdr:twoCellAnchor>
    <xdr:from>
      <xdr:col>1</xdr:col>
      <xdr:colOff>1531939</xdr:colOff>
      <xdr:row>172</xdr:row>
      <xdr:rowOff>9525</xdr:rowOff>
    </xdr:from>
    <xdr:to>
      <xdr:col>1</xdr:col>
      <xdr:colOff>3581077</xdr:colOff>
      <xdr:row>172</xdr:row>
      <xdr:rowOff>9525</xdr:rowOff>
    </xdr:to>
    <xdr:sp macro="" textlink="">
      <xdr:nvSpPr>
        <xdr:cNvPr id="2" name="Line 1">
          <a:extLst>
            <a:ext uri="{FF2B5EF4-FFF2-40B4-BE49-F238E27FC236}">
              <a16:creationId xmlns:a16="http://schemas.microsoft.com/office/drawing/2014/main" id="{354E1EC7-A82C-41DE-AE83-0022FC901AF8}"/>
            </a:ext>
          </a:extLst>
        </xdr:cNvPr>
        <xdr:cNvSpPr>
          <a:spLocks noChangeShapeType="1"/>
        </xdr:cNvSpPr>
      </xdr:nvSpPr>
      <xdr:spPr bwMode="auto">
        <a:xfrm>
          <a:off x="1882459" y="32973645"/>
          <a:ext cx="2049138" cy="0"/>
        </a:xfrm>
        <a:prstGeom prst="line">
          <a:avLst/>
        </a:prstGeom>
        <a:noFill/>
        <a:ln w="9525">
          <a:solidFill>
            <a:srgbClr val="000000"/>
          </a:solidFill>
          <a:round/>
          <a:headEnd/>
          <a:tailEnd/>
        </a:ln>
      </xdr:spPr>
    </xdr:sp>
    <xdr:clientData/>
  </xdr:twoCellAnchor>
  <xdr:twoCellAnchor>
    <xdr:from>
      <xdr:col>1</xdr:col>
      <xdr:colOff>1389067</xdr:colOff>
      <xdr:row>185</xdr:row>
      <xdr:rowOff>-1</xdr:rowOff>
    </xdr:from>
    <xdr:to>
      <xdr:col>2</xdr:col>
      <xdr:colOff>312424</xdr:colOff>
      <xdr:row>185</xdr:row>
      <xdr:rowOff>7936</xdr:rowOff>
    </xdr:to>
    <xdr:sp macro="" textlink="">
      <xdr:nvSpPr>
        <xdr:cNvPr id="3" name="Line 2">
          <a:extLst>
            <a:ext uri="{FF2B5EF4-FFF2-40B4-BE49-F238E27FC236}">
              <a16:creationId xmlns:a16="http://schemas.microsoft.com/office/drawing/2014/main" id="{52BC04E8-3261-4AC4-A4D9-C78B737A750F}"/>
            </a:ext>
          </a:extLst>
        </xdr:cNvPr>
        <xdr:cNvSpPr>
          <a:spLocks noChangeShapeType="1"/>
        </xdr:cNvSpPr>
      </xdr:nvSpPr>
      <xdr:spPr bwMode="auto">
        <a:xfrm>
          <a:off x="1739587" y="35539679"/>
          <a:ext cx="2725737" cy="7937"/>
        </a:xfrm>
        <a:prstGeom prst="line">
          <a:avLst/>
        </a:prstGeom>
        <a:noFill/>
        <a:ln w="9525">
          <a:solidFill>
            <a:srgbClr val="000000"/>
          </a:solidFill>
          <a:round/>
          <a:headEnd/>
          <a:tailEnd/>
        </a:ln>
      </xdr:spPr>
    </xdr:sp>
    <xdr:clientData/>
  </xdr:twoCellAnchor>
  <xdr:twoCellAnchor>
    <xdr:from>
      <xdr:col>1</xdr:col>
      <xdr:colOff>1389067</xdr:colOff>
      <xdr:row>184</xdr:row>
      <xdr:rowOff>200024</xdr:rowOff>
    </xdr:from>
    <xdr:to>
      <xdr:col>2</xdr:col>
      <xdr:colOff>895350</xdr:colOff>
      <xdr:row>185</xdr:row>
      <xdr:rowOff>9525</xdr:rowOff>
    </xdr:to>
    <xdr:sp macro="" textlink="">
      <xdr:nvSpPr>
        <xdr:cNvPr id="4" name="Line 2">
          <a:extLst>
            <a:ext uri="{FF2B5EF4-FFF2-40B4-BE49-F238E27FC236}">
              <a16:creationId xmlns:a16="http://schemas.microsoft.com/office/drawing/2014/main" id="{CE9D7E27-E010-4660-89C5-2FE98FDBC9C4}"/>
            </a:ext>
          </a:extLst>
        </xdr:cNvPr>
        <xdr:cNvSpPr>
          <a:spLocks noChangeShapeType="1"/>
        </xdr:cNvSpPr>
      </xdr:nvSpPr>
      <xdr:spPr bwMode="auto">
        <a:xfrm>
          <a:off x="1739587" y="35541584"/>
          <a:ext cx="3308663" cy="7621"/>
        </a:xfrm>
        <a:prstGeom prst="line">
          <a:avLst/>
        </a:prstGeom>
        <a:noFill/>
        <a:ln w="9525">
          <a:solidFill>
            <a:srgbClr val="000000"/>
          </a:solidFill>
          <a:round/>
          <a:headEnd/>
          <a:tailEnd/>
        </a:ln>
      </xdr:spPr>
    </xdr:sp>
    <xdr:clientData/>
  </xdr:twoCellAnchor>
  <xdr:twoCellAnchor>
    <xdr:from>
      <xdr:col>1</xdr:col>
      <xdr:colOff>1531939</xdr:colOff>
      <xdr:row>261</xdr:row>
      <xdr:rowOff>9525</xdr:rowOff>
    </xdr:from>
    <xdr:to>
      <xdr:col>1</xdr:col>
      <xdr:colOff>3581077</xdr:colOff>
      <xdr:row>261</xdr:row>
      <xdr:rowOff>9525</xdr:rowOff>
    </xdr:to>
    <xdr:sp macro="" textlink="">
      <xdr:nvSpPr>
        <xdr:cNvPr id="5" name="Line 1">
          <a:extLst>
            <a:ext uri="{FF2B5EF4-FFF2-40B4-BE49-F238E27FC236}">
              <a16:creationId xmlns:a16="http://schemas.microsoft.com/office/drawing/2014/main" id="{4984621B-DBB0-4197-B90C-659CC3101154}"/>
            </a:ext>
          </a:extLst>
        </xdr:cNvPr>
        <xdr:cNvSpPr>
          <a:spLocks noChangeShapeType="1"/>
        </xdr:cNvSpPr>
      </xdr:nvSpPr>
      <xdr:spPr bwMode="auto">
        <a:xfrm>
          <a:off x="1882459" y="48388905"/>
          <a:ext cx="2049138" cy="0"/>
        </a:xfrm>
        <a:prstGeom prst="line">
          <a:avLst/>
        </a:prstGeom>
        <a:noFill/>
        <a:ln w="9525">
          <a:solidFill>
            <a:srgbClr val="000000"/>
          </a:solidFill>
          <a:round/>
          <a:headEnd/>
          <a:tailEnd/>
        </a:ln>
      </xdr:spPr>
    </xdr:sp>
    <xdr:clientData/>
  </xdr:twoCellAnchor>
  <xdr:twoCellAnchor>
    <xdr:from>
      <xdr:col>1</xdr:col>
      <xdr:colOff>1531939</xdr:colOff>
      <xdr:row>261</xdr:row>
      <xdr:rowOff>9525</xdr:rowOff>
    </xdr:from>
    <xdr:to>
      <xdr:col>1</xdr:col>
      <xdr:colOff>3581077</xdr:colOff>
      <xdr:row>261</xdr:row>
      <xdr:rowOff>9525</xdr:rowOff>
    </xdr:to>
    <xdr:sp macro="" textlink="">
      <xdr:nvSpPr>
        <xdr:cNvPr id="6" name="Line 1">
          <a:extLst>
            <a:ext uri="{FF2B5EF4-FFF2-40B4-BE49-F238E27FC236}">
              <a16:creationId xmlns:a16="http://schemas.microsoft.com/office/drawing/2014/main" id="{BFCB6316-0E3F-4E28-9690-D52DB3B1B282}"/>
            </a:ext>
          </a:extLst>
        </xdr:cNvPr>
        <xdr:cNvSpPr>
          <a:spLocks noChangeShapeType="1"/>
        </xdr:cNvSpPr>
      </xdr:nvSpPr>
      <xdr:spPr bwMode="auto">
        <a:xfrm>
          <a:off x="1882459" y="48388905"/>
          <a:ext cx="2049138" cy="0"/>
        </a:xfrm>
        <a:prstGeom prst="line">
          <a:avLst/>
        </a:prstGeom>
        <a:noFill/>
        <a:ln w="9525">
          <a:solidFill>
            <a:srgbClr val="000000"/>
          </a:solidFill>
          <a:round/>
          <a:headEnd/>
          <a:tailEnd/>
        </a:ln>
      </xdr:spPr>
    </xdr:sp>
    <xdr:clientData/>
  </xdr:twoCellAnchor>
  <xdr:twoCellAnchor>
    <xdr:from>
      <xdr:col>1</xdr:col>
      <xdr:colOff>1389066</xdr:colOff>
      <xdr:row>273</xdr:row>
      <xdr:rowOff>190501</xdr:rowOff>
    </xdr:from>
    <xdr:to>
      <xdr:col>3</xdr:col>
      <xdr:colOff>9524</xdr:colOff>
      <xdr:row>274</xdr:row>
      <xdr:rowOff>0</xdr:rowOff>
    </xdr:to>
    <xdr:sp macro="" textlink="">
      <xdr:nvSpPr>
        <xdr:cNvPr id="7" name="Line 2">
          <a:extLst>
            <a:ext uri="{FF2B5EF4-FFF2-40B4-BE49-F238E27FC236}">
              <a16:creationId xmlns:a16="http://schemas.microsoft.com/office/drawing/2014/main" id="{035D1796-1A3D-44D3-A07B-5E9F1930B1EA}"/>
            </a:ext>
          </a:extLst>
        </xdr:cNvPr>
        <xdr:cNvSpPr>
          <a:spLocks noChangeShapeType="1"/>
        </xdr:cNvSpPr>
      </xdr:nvSpPr>
      <xdr:spPr bwMode="auto">
        <a:xfrm flipV="1">
          <a:off x="1751016" y="54444901"/>
          <a:ext cx="3487733" cy="9524"/>
        </a:xfrm>
        <a:prstGeom prst="line">
          <a:avLst/>
        </a:prstGeom>
        <a:noFill/>
        <a:ln w="9525">
          <a:solidFill>
            <a:srgbClr val="000000"/>
          </a:solidFill>
          <a:round/>
          <a:headEnd/>
          <a:tailEnd/>
        </a:ln>
      </xdr:spPr>
    </xdr:sp>
    <xdr:clientData/>
  </xdr:twoCellAnchor>
  <xdr:twoCellAnchor>
    <xdr:from>
      <xdr:col>1</xdr:col>
      <xdr:colOff>1531939</xdr:colOff>
      <xdr:row>261</xdr:row>
      <xdr:rowOff>9525</xdr:rowOff>
    </xdr:from>
    <xdr:to>
      <xdr:col>1</xdr:col>
      <xdr:colOff>3581077</xdr:colOff>
      <xdr:row>261</xdr:row>
      <xdr:rowOff>9525</xdr:rowOff>
    </xdr:to>
    <xdr:sp macro="" textlink="">
      <xdr:nvSpPr>
        <xdr:cNvPr id="8" name="Line 1">
          <a:extLst>
            <a:ext uri="{FF2B5EF4-FFF2-40B4-BE49-F238E27FC236}">
              <a16:creationId xmlns:a16="http://schemas.microsoft.com/office/drawing/2014/main" id="{2414C84E-2C7A-4F10-8464-00628276C971}"/>
            </a:ext>
          </a:extLst>
        </xdr:cNvPr>
        <xdr:cNvSpPr>
          <a:spLocks noChangeShapeType="1"/>
        </xdr:cNvSpPr>
      </xdr:nvSpPr>
      <xdr:spPr bwMode="auto">
        <a:xfrm>
          <a:off x="1882459" y="48388905"/>
          <a:ext cx="2049138" cy="0"/>
        </a:xfrm>
        <a:prstGeom prst="line">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1531939</xdr:colOff>
      <xdr:row>128</xdr:row>
      <xdr:rowOff>9525</xdr:rowOff>
    </xdr:from>
    <xdr:to>
      <xdr:col>1</xdr:col>
      <xdr:colOff>3581077</xdr:colOff>
      <xdr:row>128</xdr:row>
      <xdr:rowOff>9525</xdr:rowOff>
    </xdr:to>
    <xdr:sp macro="" textlink="">
      <xdr:nvSpPr>
        <xdr:cNvPr id="2" name="Line 1">
          <a:extLst>
            <a:ext uri="{FF2B5EF4-FFF2-40B4-BE49-F238E27FC236}">
              <a16:creationId xmlns:a16="http://schemas.microsoft.com/office/drawing/2014/main" id="{B90BB559-6992-4A2A-8FC1-462740BC17F6}"/>
            </a:ext>
          </a:extLst>
        </xdr:cNvPr>
        <xdr:cNvSpPr>
          <a:spLocks noChangeShapeType="1"/>
        </xdr:cNvSpPr>
      </xdr:nvSpPr>
      <xdr:spPr bwMode="auto">
        <a:xfrm>
          <a:off x="1887539" y="25854025"/>
          <a:ext cx="2049138" cy="0"/>
        </a:xfrm>
        <a:prstGeom prst="line">
          <a:avLst/>
        </a:prstGeom>
        <a:noFill/>
        <a:ln w="9525">
          <a:solidFill>
            <a:srgbClr val="000000"/>
          </a:solidFill>
          <a:round/>
          <a:headEnd/>
          <a:tailEnd/>
        </a:ln>
      </xdr:spPr>
    </xdr:sp>
    <xdr:clientData/>
  </xdr:twoCellAnchor>
  <xdr:twoCellAnchor>
    <xdr:from>
      <xdr:col>1</xdr:col>
      <xdr:colOff>1531939</xdr:colOff>
      <xdr:row>205</xdr:row>
      <xdr:rowOff>9525</xdr:rowOff>
    </xdr:from>
    <xdr:to>
      <xdr:col>1</xdr:col>
      <xdr:colOff>3581077</xdr:colOff>
      <xdr:row>205</xdr:row>
      <xdr:rowOff>9525</xdr:rowOff>
    </xdr:to>
    <xdr:sp macro="" textlink="">
      <xdr:nvSpPr>
        <xdr:cNvPr id="3" name="Line 1">
          <a:extLst>
            <a:ext uri="{FF2B5EF4-FFF2-40B4-BE49-F238E27FC236}">
              <a16:creationId xmlns:a16="http://schemas.microsoft.com/office/drawing/2014/main" id="{47DB2AEA-F716-4A2D-97BC-FF15A82781B5}"/>
            </a:ext>
          </a:extLst>
        </xdr:cNvPr>
        <xdr:cNvSpPr>
          <a:spLocks noChangeShapeType="1"/>
        </xdr:cNvSpPr>
      </xdr:nvSpPr>
      <xdr:spPr bwMode="auto">
        <a:xfrm>
          <a:off x="1887539" y="41151175"/>
          <a:ext cx="2049138" cy="0"/>
        </a:xfrm>
        <a:prstGeom prst="line">
          <a:avLst/>
        </a:prstGeom>
        <a:noFill/>
        <a:ln w="9525">
          <a:solidFill>
            <a:srgbClr val="000000"/>
          </a:solidFill>
          <a:round/>
          <a:headEnd/>
          <a:tailEnd/>
        </a:ln>
      </xdr:spPr>
    </xdr:sp>
    <xdr:clientData/>
  </xdr:twoCellAnchor>
  <xdr:twoCellAnchor>
    <xdr:from>
      <xdr:col>1</xdr:col>
      <xdr:colOff>1389066</xdr:colOff>
      <xdr:row>140</xdr:row>
      <xdr:rowOff>190499</xdr:rowOff>
    </xdr:from>
    <xdr:to>
      <xdr:col>3</xdr:col>
      <xdr:colOff>11905</xdr:colOff>
      <xdr:row>141</xdr:row>
      <xdr:rowOff>-1</xdr:rowOff>
    </xdr:to>
    <xdr:sp macro="" textlink="">
      <xdr:nvSpPr>
        <xdr:cNvPr id="4" name="Line 2">
          <a:extLst>
            <a:ext uri="{FF2B5EF4-FFF2-40B4-BE49-F238E27FC236}">
              <a16:creationId xmlns:a16="http://schemas.microsoft.com/office/drawing/2014/main" id="{36DC0E38-F9C9-441F-B994-9A97F5E48C42}"/>
            </a:ext>
          </a:extLst>
        </xdr:cNvPr>
        <xdr:cNvSpPr>
          <a:spLocks noChangeShapeType="1"/>
        </xdr:cNvSpPr>
      </xdr:nvSpPr>
      <xdr:spPr bwMode="auto">
        <a:xfrm flipV="1">
          <a:off x="1744666" y="28397199"/>
          <a:ext cx="3582189" cy="6350"/>
        </a:xfrm>
        <a:prstGeom prst="line">
          <a:avLst/>
        </a:prstGeom>
        <a:noFill/>
        <a:ln w="9525">
          <a:solidFill>
            <a:srgbClr val="000000"/>
          </a:solidFill>
          <a:round/>
          <a:headEnd/>
          <a:tailEnd/>
        </a:ln>
      </xdr:spPr>
    </xdr:sp>
    <xdr:clientData/>
  </xdr:twoCellAnchor>
  <xdr:twoCellAnchor>
    <xdr:from>
      <xdr:col>1</xdr:col>
      <xdr:colOff>1389067</xdr:colOff>
      <xdr:row>218</xdr:row>
      <xdr:rowOff>-1</xdr:rowOff>
    </xdr:from>
    <xdr:to>
      <xdr:col>2</xdr:col>
      <xdr:colOff>312424</xdr:colOff>
      <xdr:row>218</xdr:row>
      <xdr:rowOff>7936</xdr:rowOff>
    </xdr:to>
    <xdr:sp macro="" textlink="">
      <xdr:nvSpPr>
        <xdr:cNvPr id="5" name="Line 2">
          <a:extLst>
            <a:ext uri="{FF2B5EF4-FFF2-40B4-BE49-F238E27FC236}">
              <a16:creationId xmlns:a16="http://schemas.microsoft.com/office/drawing/2014/main" id="{A4F2991F-3493-4B9B-8D91-843B3AE360CE}"/>
            </a:ext>
          </a:extLst>
        </xdr:cNvPr>
        <xdr:cNvSpPr>
          <a:spLocks noChangeShapeType="1"/>
        </xdr:cNvSpPr>
      </xdr:nvSpPr>
      <xdr:spPr bwMode="auto">
        <a:xfrm>
          <a:off x="1744667" y="43700699"/>
          <a:ext cx="2796857" cy="7937"/>
        </a:xfrm>
        <a:prstGeom prst="line">
          <a:avLst/>
        </a:prstGeom>
        <a:noFill/>
        <a:ln w="9525">
          <a:solidFill>
            <a:srgbClr val="000000"/>
          </a:solidFill>
          <a:round/>
          <a:headEnd/>
          <a:tailEnd/>
        </a:ln>
      </xdr:spPr>
    </xdr:sp>
    <xdr:clientData/>
  </xdr:twoCellAnchor>
  <xdr:twoCellAnchor>
    <xdr:from>
      <xdr:col>1</xdr:col>
      <xdr:colOff>1531939</xdr:colOff>
      <xdr:row>162</xdr:row>
      <xdr:rowOff>9525</xdr:rowOff>
    </xdr:from>
    <xdr:to>
      <xdr:col>1</xdr:col>
      <xdr:colOff>3581077</xdr:colOff>
      <xdr:row>162</xdr:row>
      <xdr:rowOff>9525</xdr:rowOff>
    </xdr:to>
    <xdr:sp macro="" textlink="">
      <xdr:nvSpPr>
        <xdr:cNvPr id="6" name="Line 1">
          <a:extLst>
            <a:ext uri="{FF2B5EF4-FFF2-40B4-BE49-F238E27FC236}">
              <a16:creationId xmlns:a16="http://schemas.microsoft.com/office/drawing/2014/main" id="{72442B29-F568-42E2-A9C0-67C9DEF305BE}"/>
            </a:ext>
          </a:extLst>
        </xdr:cNvPr>
        <xdr:cNvSpPr>
          <a:spLocks noChangeShapeType="1"/>
        </xdr:cNvSpPr>
      </xdr:nvSpPr>
      <xdr:spPr bwMode="auto">
        <a:xfrm>
          <a:off x="1887539" y="32616775"/>
          <a:ext cx="2049138" cy="0"/>
        </a:xfrm>
        <a:prstGeom prst="line">
          <a:avLst/>
        </a:prstGeom>
        <a:noFill/>
        <a:ln w="9525">
          <a:solidFill>
            <a:srgbClr val="000000"/>
          </a:solidFill>
          <a:round/>
          <a:headEnd/>
          <a:tailEnd/>
        </a:ln>
      </xdr:spPr>
    </xdr:sp>
    <xdr:clientData/>
  </xdr:twoCellAnchor>
  <xdr:twoCellAnchor>
    <xdr:from>
      <xdr:col>1</xdr:col>
      <xdr:colOff>1389067</xdr:colOff>
      <xdr:row>174</xdr:row>
      <xdr:rowOff>190500</xdr:rowOff>
    </xdr:from>
    <xdr:to>
      <xdr:col>3</xdr:col>
      <xdr:colOff>23813</xdr:colOff>
      <xdr:row>174</xdr:row>
      <xdr:rowOff>196453</xdr:rowOff>
    </xdr:to>
    <xdr:sp macro="" textlink="">
      <xdr:nvSpPr>
        <xdr:cNvPr id="7" name="Line 2">
          <a:extLst>
            <a:ext uri="{FF2B5EF4-FFF2-40B4-BE49-F238E27FC236}">
              <a16:creationId xmlns:a16="http://schemas.microsoft.com/office/drawing/2014/main" id="{233E8E4E-C0E0-4416-96BB-82D0158CCB98}"/>
            </a:ext>
          </a:extLst>
        </xdr:cNvPr>
        <xdr:cNvSpPr>
          <a:spLocks noChangeShapeType="1"/>
        </xdr:cNvSpPr>
      </xdr:nvSpPr>
      <xdr:spPr bwMode="auto">
        <a:xfrm flipV="1">
          <a:off x="1744667" y="35159950"/>
          <a:ext cx="3594096" cy="5953"/>
        </a:xfrm>
        <a:prstGeom prst="line">
          <a:avLst/>
        </a:prstGeom>
        <a:noFill/>
        <a:ln w="9525">
          <a:solidFill>
            <a:srgbClr val="000000"/>
          </a:solidFill>
          <a:round/>
          <a:headEnd/>
          <a:tailEnd/>
        </a:ln>
      </xdr:spPr>
    </xdr:sp>
    <xdr:clientData/>
  </xdr:twoCellAnchor>
  <xdr:twoCellAnchor>
    <xdr:from>
      <xdr:col>1</xdr:col>
      <xdr:colOff>1531939</xdr:colOff>
      <xdr:row>239</xdr:row>
      <xdr:rowOff>9525</xdr:rowOff>
    </xdr:from>
    <xdr:to>
      <xdr:col>1</xdr:col>
      <xdr:colOff>3581077</xdr:colOff>
      <xdr:row>239</xdr:row>
      <xdr:rowOff>9525</xdr:rowOff>
    </xdr:to>
    <xdr:sp macro="" textlink="">
      <xdr:nvSpPr>
        <xdr:cNvPr id="8" name="Line 1">
          <a:extLst>
            <a:ext uri="{FF2B5EF4-FFF2-40B4-BE49-F238E27FC236}">
              <a16:creationId xmlns:a16="http://schemas.microsoft.com/office/drawing/2014/main" id="{4A9D8177-4C12-4EE0-8381-31468F2567BB}"/>
            </a:ext>
          </a:extLst>
        </xdr:cNvPr>
        <xdr:cNvSpPr>
          <a:spLocks noChangeShapeType="1"/>
        </xdr:cNvSpPr>
      </xdr:nvSpPr>
      <xdr:spPr bwMode="auto">
        <a:xfrm>
          <a:off x="1887539" y="47913925"/>
          <a:ext cx="2049138" cy="0"/>
        </a:xfrm>
        <a:prstGeom prst="line">
          <a:avLst/>
        </a:prstGeom>
        <a:noFill/>
        <a:ln w="9525">
          <a:solidFill>
            <a:srgbClr val="000000"/>
          </a:solidFill>
          <a:round/>
          <a:headEnd/>
          <a:tailEnd/>
        </a:ln>
      </xdr:spPr>
    </xdr:sp>
    <xdr:clientData/>
  </xdr:twoCellAnchor>
  <xdr:twoCellAnchor>
    <xdr:from>
      <xdr:col>1</xdr:col>
      <xdr:colOff>1531939</xdr:colOff>
      <xdr:row>239</xdr:row>
      <xdr:rowOff>9525</xdr:rowOff>
    </xdr:from>
    <xdr:to>
      <xdr:col>1</xdr:col>
      <xdr:colOff>3581077</xdr:colOff>
      <xdr:row>239</xdr:row>
      <xdr:rowOff>9525</xdr:rowOff>
    </xdr:to>
    <xdr:sp macro="" textlink="">
      <xdr:nvSpPr>
        <xdr:cNvPr id="9" name="Line 1">
          <a:extLst>
            <a:ext uri="{FF2B5EF4-FFF2-40B4-BE49-F238E27FC236}">
              <a16:creationId xmlns:a16="http://schemas.microsoft.com/office/drawing/2014/main" id="{29E6CFC5-CD33-47F8-B5C9-A64BC971B571}"/>
            </a:ext>
          </a:extLst>
        </xdr:cNvPr>
        <xdr:cNvSpPr>
          <a:spLocks noChangeShapeType="1"/>
        </xdr:cNvSpPr>
      </xdr:nvSpPr>
      <xdr:spPr bwMode="auto">
        <a:xfrm>
          <a:off x="1887539" y="47913925"/>
          <a:ext cx="2049138" cy="0"/>
        </a:xfrm>
        <a:prstGeom prst="line">
          <a:avLst/>
        </a:prstGeom>
        <a:noFill/>
        <a:ln w="9525">
          <a:solidFill>
            <a:srgbClr val="000000"/>
          </a:solidFill>
          <a:round/>
          <a:headEnd/>
          <a:tailEnd/>
        </a:ln>
      </xdr:spPr>
    </xdr:sp>
    <xdr:clientData/>
  </xdr:twoCellAnchor>
  <xdr:twoCellAnchor>
    <xdr:from>
      <xdr:col>1</xdr:col>
      <xdr:colOff>1389067</xdr:colOff>
      <xdr:row>252</xdr:row>
      <xdr:rowOff>-1</xdr:rowOff>
    </xdr:from>
    <xdr:to>
      <xdr:col>2</xdr:col>
      <xdr:colOff>312424</xdr:colOff>
      <xdr:row>252</xdr:row>
      <xdr:rowOff>7936</xdr:rowOff>
    </xdr:to>
    <xdr:sp macro="" textlink="">
      <xdr:nvSpPr>
        <xdr:cNvPr id="10" name="Line 2">
          <a:extLst>
            <a:ext uri="{FF2B5EF4-FFF2-40B4-BE49-F238E27FC236}">
              <a16:creationId xmlns:a16="http://schemas.microsoft.com/office/drawing/2014/main" id="{B711C056-989A-4AE2-A472-CA9464CFE1F9}"/>
            </a:ext>
          </a:extLst>
        </xdr:cNvPr>
        <xdr:cNvSpPr>
          <a:spLocks noChangeShapeType="1"/>
        </xdr:cNvSpPr>
      </xdr:nvSpPr>
      <xdr:spPr bwMode="auto">
        <a:xfrm>
          <a:off x="1744667" y="50463449"/>
          <a:ext cx="2796857" cy="7937"/>
        </a:xfrm>
        <a:prstGeom prst="line">
          <a:avLst/>
        </a:prstGeom>
        <a:noFill/>
        <a:ln w="9525">
          <a:solidFill>
            <a:srgbClr val="000000"/>
          </a:solidFill>
          <a:round/>
          <a:headEnd/>
          <a:tailEnd/>
        </a:ln>
      </xdr:spPr>
    </xdr:sp>
    <xdr:clientData/>
  </xdr:twoCellAnchor>
  <xdr:twoCellAnchor>
    <xdr:from>
      <xdr:col>1</xdr:col>
      <xdr:colOff>1531939</xdr:colOff>
      <xdr:row>239</xdr:row>
      <xdr:rowOff>9525</xdr:rowOff>
    </xdr:from>
    <xdr:to>
      <xdr:col>1</xdr:col>
      <xdr:colOff>3581077</xdr:colOff>
      <xdr:row>239</xdr:row>
      <xdr:rowOff>9525</xdr:rowOff>
    </xdr:to>
    <xdr:sp macro="" textlink="">
      <xdr:nvSpPr>
        <xdr:cNvPr id="11" name="Line 1">
          <a:extLst>
            <a:ext uri="{FF2B5EF4-FFF2-40B4-BE49-F238E27FC236}">
              <a16:creationId xmlns:a16="http://schemas.microsoft.com/office/drawing/2014/main" id="{08E7852D-94E4-468B-BBE3-7DA5D8EFCD7D}"/>
            </a:ext>
          </a:extLst>
        </xdr:cNvPr>
        <xdr:cNvSpPr>
          <a:spLocks noChangeShapeType="1"/>
        </xdr:cNvSpPr>
      </xdr:nvSpPr>
      <xdr:spPr bwMode="auto">
        <a:xfrm>
          <a:off x="1887539" y="47913925"/>
          <a:ext cx="2049138" cy="0"/>
        </a:xfrm>
        <a:prstGeom prst="line">
          <a:avLst/>
        </a:prstGeom>
        <a:noFill/>
        <a:ln w="9525">
          <a:solidFill>
            <a:srgbClr val="000000"/>
          </a:solidFill>
          <a:round/>
          <a:headEnd/>
          <a:tailEnd/>
        </a:ln>
      </xdr:spPr>
    </xdr:sp>
    <xdr:clientData/>
  </xdr:twoCellAnchor>
  <xdr:twoCellAnchor>
    <xdr:from>
      <xdr:col>1</xdr:col>
      <xdr:colOff>1389067</xdr:colOff>
      <xdr:row>251</xdr:row>
      <xdr:rowOff>202405</xdr:rowOff>
    </xdr:from>
    <xdr:to>
      <xdr:col>2</xdr:col>
      <xdr:colOff>312424</xdr:colOff>
      <xdr:row>252</xdr:row>
      <xdr:rowOff>7936</xdr:rowOff>
    </xdr:to>
    <xdr:sp macro="" textlink="">
      <xdr:nvSpPr>
        <xdr:cNvPr id="12" name="Line 2">
          <a:extLst>
            <a:ext uri="{FF2B5EF4-FFF2-40B4-BE49-F238E27FC236}">
              <a16:creationId xmlns:a16="http://schemas.microsoft.com/office/drawing/2014/main" id="{B3FCBAE3-3E0F-4541-9A96-BD2A55645AB2}"/>
            </a:ext>
          </a:extLst>
        </xdr:cNvPr>
        <xdr:cNvSpPr>
          <a:spLocks noChangeShapeType="1"/>
        </xdr:cNvSpPr>
      </xdr:nvSpPr>
      <xdr:spPr bwMode="auto">
        <a:xfrm>
          <a:off x="1744667" y="50462655"/>
          <a:ext cx="2796857" cy="8731"/>
        </a:xfrm>
        <a:prstGeom prst="line">
          <a:avLst/>
        </a:prstGeom>
        <a:noFill/>
        <a:ln w="9525">
          <a:solidFill>
            <a:srgbClr val="000000"/>
          </a:solidFill>
          <a:round/>
          <a:headEnd/>
          <a:tailEnd/>
        </a:ln>
      </xdr:spPr>
    </xdr:sp>
    <xdr:clientData/>
  </xdr:twoCellAnchor>
  <xdr:twoCellAnchor>
    <xdr:from>
      <xdr:col>1</xdr:col>
      <xdr:colOff>1389067</xdr:colOff>
      <xdr:row>218</xdr:row>
      <xdr:rowOff>-1</xdr:rowOff>
    </xdr:from>
    <xdr:to>
      <xdr:col>2</xdr:col>
      <xdr:colOff>312424</xdr:colOff>
      <xdr:row>218</xdr:row>
      <xdr:rowOff>7936</xdr:rowOff>
    </xdr:to>
    <xdr:sp macro="" textlink="">
      <xdr:nvSpPr>
        <xdr:cNvPr id="13" name="Line 2">
          <a:extLst>
            <a:ext uri="{FF2B5EF4-FFF2-40B4-BE49-F238E27FC236}">
              <a16:creationId xmlns:a16="http://schemas.microsoft.com/office/drawing/2014/main" id="{49669158-6158-4C2A-B33A-61BD9447444A}"/>
            </a:ext>
          </a:extLst>
        </xdr:cNvPr>
        <xdr:cNvSpPr>
          <a:spLocks noChangeShapeType="1"/>
        </xdr:cNvSpPr>
      </xdr:nvSpPr>
      <xdr:spPr bwMode="auto">
        <a:xfrm>
          <a:off x="1744667" y="43700699"/>
          <a:ext cx="2796857" cy="7937"/>
        </a:xfrm>
        <a:prstGeom prst="line">
          <a:avLst/>
        </a:prstGeom>
        <a:noFill/>
        <a:ln w="9525">
          <a:solidFill>
            <a:srgbClr val="000000"/>
          </a:solidFill>
          <a:round/>
          <a:headEnd/>
          <a:tailEnd/>
        </a:ln>
      </xdr:spPr>
    </xdr:sp>
    <xdr:clientData/>
  </xdr:twoCellAnchor>
  <xdr:twoCellAnchor>
    <xdr:from>
      <xdr:col>1</xdr:col>
      <xdr:colOff>1389067</xdr:colOff>
      <xdr:row>217</xdr:row>
      <xdr:rowOff>200024</xdr:rowOff>
    </xdr:from>
    <xdr:to>
      <xdr:col>2</xdr:col>
      <xdr:colOff>895350</xdr:colOff>
      <xdr:row>218</xdr:row>
      <xdr:rowOff>9525</xdr:rowOff>
    </xdr:to>
    <xdr:sp macro="" textlink="">
      <xdr:nvSpPr>
        <xdr:cNvPr id="14" name="Line 2">
          <a:extLst>
            <a:ext uri="{FF2B5EF4-FFF2-40B4-BE49-F238E27FC236}">
              <a16:creationId xmlns:a16="http://schemas.microsoft.com/office/drawing/2014/main" id="{AC31538D-D579-4E41-94EF-413BB0E72672}"/>
            </a:ext>
          </a:extLst>
        </xdr:cNvPr>
        <xdr:cNvSpPr>
          <a:spLocks noChangeShapeType="1"/>
        </xdr:cNvSpPr>
      </xdr:nvSpPr>
      <xdr:spPr bwMode="auto">
        <a:xfrm>
          <a:off x="1744667" y="43703874"/>
          <a:ext cx="3379783" cy="6351"/>
        </a:xfrm>
        <a:prstGeom prst="line">
          <a:avLst/>
        </a:prstGeom>
        <a:noFill/>
        <a:ln w="9525">
          <a:solidFill>
            <a:srgbClr val="000000"/>
          </a:solidFill>
          <a:round/>
          <a:headEnd/>
          <a:tailEnd/>
        </a:ln>
      </xdr:spPr>
    </xdr:sp>
    <xdr:clientData/>
  </xdr:twoCellAnchor>
  <xdr:twoCellAnchor>
    <xdr:from>
      <xdr:col>1</xdr:col>
      <xdr:colOff>1389067</xdr:colOff>
      <xdr:row>252</xdr:row>
      <xdr:rowOff>-1</xdr:rowOff>
    </xdr:from>
    <xdr:to>
      <xdr:col>2</xdr:col>
      <xdr:colOff>312424</xdr:colOff>
      <xdr:row>252</xdr:row>
      <xdr:rowOff>7936</xdr:rowOff>
    </xdr:to>
    <xdr:sp macro="" textlink="">
      <xdr:nvSpPr>
        <xdr:cNvPr id="15" name="Line 2">
          <a:extLst>
            <a:ext uri="{FF2B5EF4-FFF2-40B4-BE49-F238E27FC236}">
              <a16:creationId xmlns:a16="http://schemas.microsoft.com/office/drawing/2014/main" id="{48472207-8047-47AF-8E87-10835FB3FE1B}"/>
            </a:ext>
          </a:extLst>
        </xdr:cNvPr>
        <xdr:cNvSpPr>
          <a:spLocks noChangeShapeType="1"/>
        </xdr:cNvSpPr>
      </xdr:nvSpPr>
      <xdr:spPr bwMode="auto">
        <a:xfrm>
          <a:off x="1744667" y="50463449"/>
          <a:ext cx="2796857" cy="7937"/>
        </a:xfrm>
        <a:prstGeom prst="line">
          <a:avLst/>
        </a:prstGeom>
        <a:noFill/>
        <a:ln w="9525">
          <a:solidFill>
            <a:srgbClr val="000000"/>
          </a:solidFill>
          <a:round/>
          <a:headEnd/>
          <a:tailEnd/>
        </a:ln>
      </xdr:spPr>
    </xdr:sp>
    <xdr:clientData/>
  </xdr:twoCellAnchor>
  <xdr:twoCellAnchor>
    <xdr:from>
      <xdr:col>1</xdr:col>
      <xdr:colOff>1389067</xdr:colOff>
      <xdr:row>252</xdr:row>
      <xdr:rowOff>-1</xdr:rowOff>
    </xdr:from>
    <xdr:to>
      <xdr:col>2</xdr:col>
      <xdr:colOff>312424</xdr:colOff>
      <xdr:row>252</xdr:row>
      <xdr:rowOff>7936</xdr:rowOff>
    </xdr:to>
    <xdr:sp macro="" textlink="">
      <xdr:nvSpPr>
        <xdr:cNvPr id="16" name="Line 2">
          <a:extLst>
            <a:ext uri="{FF2B5EF4-FFF2-40B4-BE49-F238E27FC236}">
              <a16:creationId xmlns:a16="http://schemas.microsoft.com/office/drawing/2014/main" id="{0005CE61-DD64-483C-8598-1342C7CCEF04}"/>
            </a:ext>
          </a:extLst>
        </xdr:cNvPr>
        <xdr:cNvSpPr>
          <a:spLocks noChangeShapeType="1"/>
        </xdr:cNvSpPr>
      </xdr:nvSpPr>
      <xdr:spPr bwMode="auto">
        <a:xfrm>
          <a:off x="1744667" y="50463449"/>
          <a:ext cx="2796857" cy="7937"/>
        </a:xfrm>
        <a:prstGeom prst="line">
          <a:avLst/>
        </a:prstGeom>
        <a:noFill/>
        <a:ln w="9525">
          <a:solidFill>
            <a:srgbClr val="000000"/>
          </a:solidFill>
          <a:round/>
          <a:headEnd/>
          <a:tailEnd/>
        </a:ln>
      </xdr:spPr>
    </xdr:sp>
    <xdr:clientData/>
  </xdr:twoCellAnchor>
  <xdr:twoCellAnchor>
    <xdr:from>
      <xdr:col>1</xdr:col>
      <xdr:colOff>1389067</xdr:colOff>
      <xdr:row>251</xdr:row>
      <xdr:rowOff>200024</xdr:rowOff>
    </xdr:from>
    <xdr:to>
      <xdr:col>2</xdr:col>
      <xdr:colOff>895350</xdr:colOff>
      <xdr:row>252</xdr:row>
      <xdr:rowOff>9525</xdr:rowOff>
    </xdr:to>
    <xdr:sp macro="" textlink="">
      <xdr:nvSpPr>
        <xdr:cNvPr id="17" name="Line 2">
          <a:extLst>
            <a:ext uri="{FF2B5EF4-FFF2-40B4-BE49-F238E27FC236}">
              <a16:creationId xmlns:a16="http://schemas.microsoft.com/office/drawing/2014/main" id="{A9CA0D14-6014-4353-A9DD-E4D9EEB686C5}"/>
            </a:ext>
          </a:extLst>
        </xdr:cNvPr>
        <xdr:cNvSpPr>
          <a:spLocks noChangeShapeType="1"/>
        </xdr:cNvSpPr>
      </xdr:nvSpPr>
      <xdr:spPr bwMode="auto">
        <a:xfrm>
          <a:off x="1744667" y="50466624"/>
          <a:ext cx="3379783" cy="6351"/>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customProperty" Target="../customProperty19.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20.bin"/><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21.bin"/><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22.bin"/><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customProperty" Target="../customProperty23.bin"/><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customProperty" Target="../customProperty24.bin"/><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customProperty" Target="../customProperty25.bin"/><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customProperty" Target="../customProperty26.bin"/><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customProperty" Target="../customProperty27.bin"/><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customProperty" Target="../customProperty28.bin"/><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customProperty" Target="../customProperty29.bin"/><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customProperty" Target="../customProperty30.bin"/><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customProperty" Target="../customProperty31.bin"/><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customProperty" Target="../customProperty32.bin"/><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customProperty" Target="../customProperty33.bin"/><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customProperty" Target="../customProperty34.bin"/><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customProperty" Target="../customProperty35.bin"/><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customProperty" Target="../customProperty36.bin"/><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customProperty" Target="../customProperty37.bin"/><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customProperty" Target="../customProperty38.bin"/><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customProperty" Target="../customProperty39.bin"/><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customProperty" Target="../customProperty40.bin"/><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customProperty" Target="../customProperty41.bin"/><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customProperty" Target="../customProperty42.bin"/><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customProperty" Target="../customProperty43.bin"/><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customProperty" Target="../customProperty44.bin"/><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customProperty" Target="../customProperty45.bin"/><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customProperty" Target="../customProperty46.bin"/><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customProperty" Target="../customProperty47.bin"/><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48.bin"/><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customProperty" Target="../customProperty49.bin"/><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customProperty" Target="../customProperty50.bin"/><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customProperty" Target="../customProperty51.bin"/><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customProperty" Target="../customProperty52.bin"/><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customProperty" Target="../customProperty53.bin"/><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customProperty" Target="../customProperty54.bin"/><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customProperty" Target="../customProperty55.bin"/><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customProperty" Target="../customProperty56.bin"/><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customProperty" Target="../customProperty57.bin"/><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customProperty" Target="../customProperty58.bin"/><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customProperty" Target="../customProperty59.bin"/><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customProperty" Target="../customProperty60.bin"/><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61.bin"/><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customProperty" Target="../customProperty62.bin"/><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customProperty" Target="../customProperty63.bin"/><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customProperty" Target="../customProperty64.bin"/><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customProperty" Target="../customProperty65.bin"/><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customProperty" Target="../customProperty66.bin"/><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customProperty" Target="../customProperty67.bin"/><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customProperty" Target="../customProperty68.bin"/><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customProperty" Target="../customProperty69.bin"/><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customProperty" Target="../customProperty70.bin"/><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customProperty" Target="../customProperty71.bin"/><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customProperty" Target="../customProperty72.bin"/><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73.bin"/><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2" Type="http://schemas.openxmlformats.org/officeDocument/2006/relationships/customProperty" Target="../customProperty74.bin"/><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2" Type="http://schemas.openxmlformats.org/officeDocument/2006/relationships/customProperty" Target="../customProperty75.bin"/><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2" Type="http://schemas.openxmlformats.org/officeDocument/2006/relationships/customProperty" Target="../customProperty76.bin"/><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2" Type="http://schemas.openxmlformats.org/officeDocument/2006/relationships/customProperty" Target="../customProperty77.bin"/><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2" Type="http://schemas.openxmlformats.org/officeDocument/2006/relationships/customProperty" Target="../customProperty78.bin"/><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2" Type="http://schemas.openxmlformats.org/officeDocument/2006/relationships/customProperty" Target="../customProperty79.bin"/><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2" Type="http://schemas.openxmlformats.org/officeDocument/2006/relationships/customProperty" Target="../customProperty80.bin"/><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2" Type="http://schemas.openxmlformats.org/officeDocument/2006/relationships/customProperty" Target="../customProperty81.bin"/><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2" Type="http://schemas.openxmlformats.org/officeDocument/2006/relationships/customProperty" Target="../customProperty82.bin"/><Relationship Id="rId1" Type="http://schemas.openxmlformats.org/officeDocument/2006/relationships/printerSettings" Target="../printerSettings/printerSettings9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J347"/>
  <sheetViews>
    <sheetView zoomScale="80" zoomScaleNormal="80" workbookViewId="0"/>
  </sheetViews>
  <sheetFormatPr defaultColWidth="9.33203125" defaultRowHeight="15.6" x14ac:dyDescent="0.3"/>
  <cols>
    <col min="1" max="1" width="5.33203125" style="32" customWidth="1"/>
    <col min="2" max="2" width="89.33203125" style="32" customWidth="1"/>
    <col min="3" max="3" width="10.44140625" style="32" customWidth="1"/>
    <col min="4" max="4" width="1.5546875" style="32" customWidth="1"/>
    <col min="5" max="5" width="16.6640625" style="32" customWidth="1"/>
    <col min="6" max="6" width="1.5546875" style="32" customWidth="1"/>
    <col min="7" max="7" width="51.44140625" style="32" customWidth="1"/>
    <col min="8" max="9" width="5.33203125" style="4" customWidth="1"/>
    <col min="10" max="10" width="11.44140625" style="32" bestFit="1" customWidth="1"/>
    <col min="11" max="16384" width="9.33203125" style="32"/>
  </cols>
  <sheetData>
    <row r="2" spans="1:10" x14ac:dyDescent="0.3">
      <c r="A2" s="4"/>
      <c r="B2" s="1222" t="s">
        <v>0</v>
      </c>
      <c r="C2" s="1223"/>
      <c r="D2" s="1223"/>
      <c r="E2" s="1223"/>
      <c r="F2" s="1223"/>
      <c r="G2" s="1223"/>
    </row>
    <row r="3" spans="1:10" x14ac:dyDescent="0.3">
      <c r="A3" s="4" t="s">
        <v>1</v>
      </c>
      <c r="B3" s="1222" t="s">
        <v>2</v>
      </c>
      <c r="C3" s="1223"/>
      <c r="D3" s="1223"/>
      <c r="E3" s="1223"/>
      <c r="F3" s="1223"/>
      <c r="G3" s="1223"/>
    </row>
    <row r="4" spans="1:10" ht="18" x14ac:dyDescent="0.3">
      <c r="A4" s="4"/>
      <c r="B4" s="1222" t="s">
        <v>3</v>
      </c>
      <c r="C4" s="1224"/>
      <c r="D4" s="1224"/>
      <c r="E4" s="1224"/>
      <c r="F4" s="1224"/>
      <c r="G4" s="1224"/>
    </row>
    <row r="5" spans="1:10" x14ac:dyDescent="0.3">
      <c r="A5" s="4"/>
      <c r="B5" s="1225" t="s">
        <v>1636</v>
      </c>
      <c r="C5" s="1225"/>
      <c r="D5" s="1225"/>
      <c r="E5" s="1225"/>
      <c r="F5" s="1225"/>
      <c r="G5" s="1225"/>
    </row>
    <row r="6" spans="1:10" x14ac:dyDescent="0.3">
      <c r="A6" s="4"/>
      <c r="B6" s="1226" t="s">
        <v>4</v>
      </c>
      <c r="C6" s="1223"/>
      <c r="D6" s="1223"/>
      <c r="E6" s="1223"/>
      <c r="F6" s="1223"/>
      <c r="G6" s="1223"/>
    </row>
    <row r="7" spans="1:10" x14ac:dyDescent="0.3">
      <c r="A7" s="4"/>
      <c r="B7" s="265"/>
      <c r="C7" s="1"/>
      <c r="D7" s="1"/>
      <c r="E7" s="1"/>
      <c r="F7" s="1"/>
      <c r="G7" s="1"/>
    </row>
    <row r="8" spans="1:10" x14ac:dyDescent="0.3">
      <c r="A8" s="4" t="s">
        <v>5</v>
      </c>
      <c r="E8" s="25"/>
      <c r="G8" s="4"/>
      <c r="H8" s="4" t="s">
        <v>5</v>
      </c>
    </row>
    <row r="9" spans="1:10" ht="15.75" customHeight="1" x14ac:dyDescent="0.3">
      <c r="A9" s="4" t="s">
        <v>6</v>
      </c>
      <c r="B9" s="1" t="s">
        <v>1</v>
      </c>
      <c r="E9" s="914" t="s">
        <v>7</v>
      </c>
      <c r="G9" s="852" t="s">
        <v>8</v>
      </c>
      <c r="H9" s="4" t="s">
        <v>6</v>
      </c>
    </row>
    <row r="10" spans="1:10" x14ac:dyDescent="0.3">
      <c r="A10" s="4"/>
      <c r="B10" s="251" t="s">
        <v>9</v>
      </c>
      <c r="E10" s="47"/>
      <c r="G10" s="4"/>
    </row>
    <row r="11" spans="1:10" x14ac:dyDescent="0.3">
      <c r="A11" s="4">
        <v>1</v>
      </c>
      <c r="B11" s="33" t="s">
        <v>10</v>
      </c>
      <c r="C11" s="261"/>
      <c r="D11" s="261"/>
      <c r="E11" s="7">
        <f>'Stmt AH'!E15</f>
        <v>117262.21525000001</v>
      </c>
      <c r="G11" s="4" t="s">
        <v>1606</v>
      </c>
      <c r="H11" s="4">
        <f>A11</f>
        <v>1</v>
      </c>
      <c r="J11" s="33"/>
    </row>
    <row r="12" spans="1:10" x14ac:dyDescent="0.3">
      <c r="A12" s="4">
        <f t="shared" ref="A12:A40" si="0">A11+1</f>
        <v>2</v>
      </c>
      <c r="B12" s="33" t="s">
        <v>1</v>
      </c>
      <c r="C12" s="261"/>
      <c r="D12" s="261"/>
      <c r="E12" s="8" t="s">
        <v>1</v>
      </c>
      <c r="G12" s="4"/>
      <c r="H12" s="4">
        <f t="shared" ref="H12:H40" si="1">H11+1</f>
        <v>2</v>
      </c>
      <c r="J12" s="33"/>
    </row>
    <row r="13" spans="1:10" x14ac:dyDescent="0.3">
      <c r="A13" s="4">
        <f t="shared" si="0"/>
        <v>3</v>
      </c>
      <c r="B13" s="33" t="s">
        <v>11</v>
      </c>
      <c r="C13" s="261"/>
      <c r="D13" s="261"/>
      <c r="E13" s="9">
        <f>'Stmt AH'!E30</f>
        <v>120558.42457365181</v>
      </c>
      <c r="F13" s="1"/>
      <c r="G13" s="4" t="s">
        <v>1847</v>
      </c>
      <c r="H13" s="4">
        <f t="shared" si="1"/>
        <v>3</v>
      </c>
      <c r="J13" s="33"/>
    </row>
    <row r="14" spans="1:10" x14ac:dyDescent="0.3">
      <c r="A14" s="4">
        <f t="shared" si="0"/>
        <v>4</v>
      </c>
      <c r="B14" s="33"/>
      <c r="C14" s="261"/>
      <c r="D14" s="261"/>
      <c r="E14" s="8"/>
      <c r="F14" s="1"/>
      <c r="G14" s="4"/>
      <c r="H14" s="4">
        <f t="shared" si="1"/>
        <v>4</v>
      </c>
    </row>
    <row r="15" spans="1:10" x14ac:dyDescent="0.3">
      <c r="A15" s="4">
        <f t="shared" si="0"/>
        <v>5</v>
      </c>
      <c r="B15" s="33" t="s">
        <v>12</v>
      </c>
      <c r="C15" s="261"/>
      <c r="D15" s="261"/>
      <c r="E15" s="845">
        <f>-'Stmt AH'!E20</f>
        <v>0</v>
      </c>
      <c r="G15" s="4" t="s">
        <v>1607</v>
      </c>
      <c r="H15" s="4">
        <f t="shared" si="1"/>
        <v>5</v>
      </c>
    </row>
    <row r="16" spans="1:10" x14ac:dyDescent="0.3">
      <c r="A16" s="4">
        <f t="shared" si="0"/>
        <v>6</v>
      </c>
      <c r="B16" s="33" t="s">
        <v>13</v>
      </c>
      <c r="C16" s="261"/>
      <c r="D16" s="261"/>
      <c r="E16" s="1126">
        <f>E11+E13+E15</f>
        <v>237820.63982365181</v>
      </c>
      <c r="F16" s="1"/>
      <c r="G16" s="4" t="s">
        <v>14</v>
      </c>
      <c r="H16" s="4">
        <f t="shared" si="1"/>
        <v>6</v>
      </c>
      <c r="J16" s="4"/>
    </row>
    <row r="17" spans="1:10" x14ac:dyDescent="0.3">
      <c r="A17" s="4">
        <f t="shared" si="0"/>
        <v>7</v>
      </c>
      <c r="E17" s="6"/>
      <c r="G17" s="4"/>
      <c r="H17" s="4">
        <f t="shared" si="1"/>
        <v>7</v>
      </c>
    </row>
    <row r="18" spans="1:10" x14ac:dyDescent="0.3">
      <c r="A18" s="4">
        <f t="shared" si="0"/>
        <v>8</v>
      </c>
      <c r="B18" s="32" t="s">
        <v>15</v>
      </c>
      <c r="C18" s="261"/>
      <c r="D18" s="261"/>
      <c r="E18" s="1127">
        <f>'Stmt AJ'!E27</f>
        <v>279272.80829887092</v>
      </c>
      <c r="F18" s="72"/>
      <c r="G18" s="4" t="s">
        <v>16</v>
      </c>
      <c r="H18" s="4">
        <f t="shared" si="1"/>
        <v>8</v>
      </c>
    </row>
    <row r="19" spans="1:10" x14ac:dyDescent="0.3">
      <c r="A19" s="4">
        <f t="shared" si="0"/>
        <v>9</v>
      </c>
      <c r="E19" s="11" t="s">
        <v>1</v>
      </c>
      <c r="G19" s="4"/>
      <c r="H19" s="4">
        <f t="shared" si="1"/>
        <v>9</v>
      </c>
    </row>
    <row r="20" spans="1:10" ht="18" x14ac:dyDescent="0.3">
      <c r="A20" s="4">
        <f t="shared" si="0"/>
        <v>10</v>
      </c>
      <c r="B20" s="32" t="s">
        <v>17</v>
      </c>
      <c r="E20" s="12">
        <f>'Stmt AJ'!E33</f>
        <v>0</v>
      </c>
      <c r="G20" s="4" t="s">
        <v>18</v>
      </c>
      <c r="H20" s="4">
        <f t="shared" si="1"/>
        <v>10</v>
      </c>
      <c r="J20" s="33"/>
    </row>
    <row r="21" spans="1:10" x14ac:dyDescent="0.3">
      <c r="A21" s="4">
        <f t="shared" si="0"/>
        <v>11</v>
      </c>
      <c r="E21" s="11"/>
      <c r="G21" s="4"/>
      <c r="H21" s="4">
        <f t="shared" si="1"/>
        <v>11</v>
      </c>
    </row>
    <row r="22" spans="1:10" x14ac:dyDescent="0.3">
      <c r="A22" s="4">
        <f t="shared" si="0"/>
        <v>12</v>
      </c>
      <c r="B22" s="32" t="s">
        <v>19</v>
      </c>
      <c r="C22" s="261"/>
      <c r="D22" s="261"/>
      <c r="E22" s="9">
        <f>'Stmt AK'!E15</f>
        <v>71348.362928506802</v>
      </c>
      <c r="F22" s="1"/>
      <c r="G22" s="4" t="s">
        <v>1788</v>
      </c>
      <c r="H22" s="4">
        <f t="shared" si="1"/>
        <v>12</v>
      </c>
      <c r="J22" s="33"/>
    </row>
    <row r="23" spans="1:10" x14ac:dyDescent="0.3">
      <c r="A23" s="4">
        <f t="shared" si="0"/>
        <v>13</v>
      </c>
      <c r="B23" s="33"/>
      <c r="C23" s="261"/>
      <c r="D23" s="261"/>
      <c r="E23" s="8"/>
      <c r="G23" s="4"/>
      <c r="H23" s="4">
        <f t="shared" si="1"/>
        <v>13</v>
      </c>
    </row>
    <row r="24" spans="1:10" x14ac:dyDescent="0.3">
      <c r="A24" s="4">
        <f t="shared" si="0"/>
        <v>14</v>
      </c>
      <c r="B24" s="32" t="s">
        <v>20</v>
      </c>
      <c r="C24" s="261"/>
      <c r="D24" s="261"/>
      <c r="E24" s="845">
        <f>'Stmt AK'!E22</f>
        <v>3846.2646305403759</v>
      </c>
      <c r="F24" s="1"/>
      <c r="G24" s="4" t="s">
        <v>1783</v>
      </c>
      <c r="H24" s="4">
        <f t="shared" si="1"/>
        <v>14</v>
      </c>
      <c r="J24" s="33"/>
    </row>
    <row r="25" spans="1:10" x14ac:dyDescent="0.3">
      <c r="A25" s="4">
        <f t="shared" si="0"/>
        <v>15</v>
      </c>
      <c r="B25" s="33" t="s">
        <v>21</v>
      </c>
      <c r="C25" s="261"/>
      <c r="D25" s="261"/>
      <c r="E25" s="1126">
        <f>SUM(E16+E18+E20+E22+E24)</f>
        <v>592288.07568156987</v>
      </c>
      <c r="F25" s="1"/>
      <c r="G25" s="4" t="s">
        <v>22</v>
      </c>
      <c r="H25" s="4">
        <f t="shared" si="1"/>
        <v>15</v>
      </c>
    </row>
    <row r="26" spans="1:10" x14ac:dyDescent="0.3">
      <c r="A26" s="4">
        <f t="shared" si="0"/>
        <v>16</v>
      </c>
      <c r="B26" s="33"/>
      <c r="C26" s="261"/>
      <c r="D26" s="261"/>
      <c r="E26" s="13"/>
      <c r="G26" s="4"/>
      <c r="H26" s="4">
        <f t="shared" si="1"/>
        <v>16</v>
      </c>
    </row>
    <row r="27" spans="1:10" ht="18" x14ac:dyDescent="0.3">
      <c r="A27" s="4">
        <f t="shared" si="0"/>
        <v>17</v>
      </c>
      <c r="B27" s="33" t="s">
        <v>1702</v>
      </c>
      <c r="C27" s="261"/>
      <c r="D27" s="261"/>
      <c r="E27" s="1190">
        <f>IFERROR('Stmt AV'!G158,0)</f>
        <v>0.10681956539018267</v>
      </c>
      <c r="G27" s="4" t="s">
        <v>1806</v>
      </c>
      <c r="H27" s="4">
        <f t="shared" si="1"/>
        <v>17</v>
      </c>
    </row>
    <row r="28" spans="1:10" x14ac:dyDescent="0.3">
      <c r="A28" s="4">
        <f t="shared" si="0"/>
        <v>18</v>
      </c>
      <c r="B28" s="33" t="s">
        <v>23</v>
      </c>
      <c r="C28" s="261"/>
      <c r="D28" s="261"/>
      <c r="E28" s="1191">
        <f>E137</f>
        <v>5321483.1792480703</v>
      </c>
      <c r="G28" s="4" t="s">
        <v>24</v>
      </c>
      <c r="H28" s="4">
        <f t="shared" si="1"/>
        <v>18</v>
      </c>
    </row>
    <row r="29" spans="1:10" x14ac:dyDescent="0.3">
      <c r="A29" s="4">
        <f t="shared" si="0"/>
        <v>19</v>
      </c>
      <c r="B29" s="32" t="s">
        <v>1703</v>
      </c>
      <c r="C29" s="261"/>
      <c r="D29" s="261"/>
      <c r="E29" s="870">
        <f>E27*E28</f>
        <v>568438.52043844643</v>
      </c>
      <c r="G29" s="4" t="s">
        <v>25</v>
      </c>
      <c r="H29" s="4">
        <f t="shared" si="1"/>
        <v>19</v>
      </c>
    </row>
    <row r="30" spans="1:10" x14ac:dyDescent="0.3">
      <c r="A30" s="4">
        <f t="shared" si="0"/>
        <v>20</v>
      </c>
      <c r="B30" s="33"/>
      <c r="C30" s="261"/>
      <c r="D30" s="261"/>
      <c r="E30" s="1178"/>
      <c r="G30" s="4"/>
      <c r="H30" s="4">
        <f t="shared" si="1"/>
        <v>20</v>
      </c>
    </row>
    <row r="31" spans="1:10" ht="18" x14ac:dyDescent="0.3">
      <c r="A31" s="4">
        <f t="shared" si="0"/>
        <v>21</v>
      </c>
      <c r="B31" s="33" t="s">
        <v>1704</v>
      </c>
      <c r="C31" s="261"/>
      <c r="D31" s="261"/>
      <c r="E31" s="1192">
        <f>IFERROR('Stmt AV'!G198,0)</f>
        <v>3.7833775791095577E-3</v>
      </c>
      <c r="G31" s="4" t="s">
        <v>1808</v>
      </c>
      <c r="H31" s="4">
        <f t="shared" si="1"/>
        <v>21</v>
      </c>
      <c r="J31" s="36"/>
    </row>
    <row r="32" spans="1:10" x14ac:dyDescent="0.3">
      <c r="A32" s="4">
        <f t="shared" si="0"/>
        <v>22</v>
      </c>
      <c r="B32" s="33" t="s">
        <v>23</v>
      </c>
      <c r="C32" s="261"/>
      <c r="D32" s="261"/>
      <c r="E32" s="1191">
        <f>E137-E120</f>
        <v>5321483.1792480703</v>
      </c>
      <c r="G32" s="4" t="s">
        <v>1706</v>
      </c>
      <c r="H32" s="4">
        <f t="shared" si="1"/>
        <v>22</v>
      </c>
    </row>
    <row r="33" spans="1:10" x14ac:dyDescent="0.3">
      <c r="A33" s="4">
        <f t="shared" si="0"/>
        <v>23</v>
      </c>
      <c r="B33" s="32" t="s">
        <v>1707</v>
      </c>
      <c r="C33" s="261"/>
      <c r="D33" s="261"/>
      <c r="E33" s="870">
        <f>E31*E32</f>
        <v>20133.180147975796</v>
      </c>
      <c r="G33" s="4" t="s">
        <v>1708</v>
      </c>
      <c r="H33" s="4">
        <f t="shared" si="1"/>
        <v>23</v>
      </c>
    </row>
    <row r="34" spans="1:10" x14ac:dyDescent="0.3">
      <c r="A34" s="4">
        <f t="shared" si="0"/>
        <v>24</v>
      </c>
      <c r="C34" s="261"/>
      <c r="D34" s="261"/>
      <c r="E34" s="13"/>
      <c r="G34" s="4"/>
      <c r="H34" s="4">
        <f t="shared" si="1"/>
        <v>24</v>
      </c>
    </row>
    <row r="35" spans="1:10" x14ac:dyDescent="0.3">
      <c r="A35" s="4">
        <f t="shared" si="0"/>
        <v>25</v>
      </c>
      <c r="B35" s="32" t="s">
        <v>26</v>
      </c>
      <c r="E35" s="1147">
        <f>'Stmt AQ'!E13</f>
        <v>1304.0991895338727</v>
      </c>
      <c r="G35" s="4" t="s">
        <v>27</v>
      </c>
      <c r="H35" s="4">
        <f t="shared" si="1"/>
        <v>25</v>
      </c>
      <c r="I35" s="361"/>
      <c r="J35" s="33"/>
    </row>
    <row r="36" spans="1:10" x14ac:dyDescent="0.3">
      <c r="A36" s="4">
        <f t="shared" si="0"/>
        <v>26</v>
      </c>
      <c r="B36" s="32" t="s">
        <v>28</v>
      </c>
      <c r="E36" s="9">
        <f>'Stmt AU'!E23</f>
        <v>-9500.6500000000015</v>
      </c>
      <c r="F36" s="1"/>
      <c r="G36" s="4" t="s">
        <v>29</v>
      </c>
      <c r="H36" s="4">
        <f t="shared" si="1"/>
        <v>26</v>
      </c>
      <c r="I36" s="361"/>
      <c r="J36" s="33"/>
    </row>
    <row r="37" spans="1:10" x14ac:dyDescent="0.3">
      <c r="A37" s="4">
        <f t="shared" si="0"/>
        <v>27</v>
      </c>
      <c r="B37" s="32" t="s">
        <v>30</v>
      </c>
      <c r="E37" s="9">
        <f>'Stmt Misc.'!E10</f>
        <v>0</v>
      </c>
      <c r="G37" s="4" t="s">
        <v>31</v>
      </c>
      <c r="H37" s="4">
        <f t="shared" si="1"/>
        <v>27</v>
      </c>
      <c r="I37" s="361"/>
    </row>
    <row r="38" spans="1:10" x14ac:dyDescent="0.3">
      <c r="A38" s="4">
        <f t="shared" si="0"/>
        <v>28</v>
      </c>
      <c r="B38" s="252" t="s">
        <v>32</v>
      </c>
      <c r="E38" s="845">
        <f>'Stmt AU'!E25</f>
        <v>0</v>
      </c>
      <c r="G38" s="4" t="s">
        <v>33</v>
      </c>
      <c r="H38" s="4">
        <f t="shared" si="1"/>
        <v>28</v>
      </c>
      <c r="I38" s="361"/>
      <c r="J38" s="33"/>
    </row>
    <row r="39" spans="1:10" x14ac:dyDescent="0.3">
      <c r="A39" s="4">
        <f t="shared" si="0"/>
        <v>29</v>
      </c>
      <c r="E39" s="11" t="s">
        <v>1</v>
      </c>
      <c r="G39" s="4"/>
      <c r="H39" s="4">
        <f t="shared" si="1"/>
        <v>29</v>
      </c>
      <c r="I39" s="361"/>
      <c r="J39" s="33"/>
    </row>
    <row r="40" spans="1:10" ht="18.600000000000001" thickBot="1" x14ac:dyDescent="0.35">
      <c r="A40" s="4">
        <f t="shared" si="0"/>
        <v>30</v>
      </c>
      <c r="B40" s="32" t="s">
        <v>34</v>
      </c>
      <c r="C40" s="261"/>
      <c r="D40" s="261"/>
      <c r="E40" s="14">
        <f>E25+E29+E33+SUM(E35:E38)</f>
        <v>1172663.2254575258</v>
      </c>
      <c r="F40" s="1"/>
      <c r="G40" s="4" t="s">
        <v>1809</v>
      </c>
      <c r="H40" s="4">
        <f t="shared" si="1"/>
        <v>30</v>
      </c>
      <c r="I40" s="361"/>
      <c r="J40" s="33"/>
    </row>
    <row r="41" spans="1:10" ht="16.2" thickTop="1" x14ac:dyDescent="0.3">
      <c r="A41" s="4"/>
      <c r="C41" s="261"/>
      <c r="D41" s="261"/>
      <c r="E41" s="15"/>
      <c r="F41" s="1"/>
      <c r="G41" s="4"/>
      <c r="J41" s="33"/>
    </row>
    <row r="42" spans="1:10" x14ac:dyDescent="0.3">
      <c r="A42" s="4"/>
      <c r="C42" s="261"/>
      <c r="D42" s="261"/>
      <c r="E42" s="15"/>
      <c r="F42" s="1"/>
      <c r="G42" s="4"/>
      <c r="J42" s="33"/>
    </row>
    <row r="43" spans="1:10" ht="18" x14ac:dyDescent="0.3">
      <c r="A43" s="256">
        <v>1</v>
      </c>
      <c r="B43" s="32" t="s">
        <v>35</v>
      </c>
      <c r="C43" s="261"/>
      <c r="D43" s="261"/>
      <c r="E43" s="15"/>
      <c r="F43" s="1"/>
      <c r="G43" s="4"/>
      <c r="J43" s="1136"/>
    </row>
    <row r="44" spans="1:10" ht="18" x14ac:dyDescent="0.3">
      <c r="A44" s="256"/>
      <c r="C44" s="261"/>
      <c r="D44" s="261"/>
      <c r="E44" s="15"/>
      <c r="F44" s="1"/>
      <c r="G44" s="4"/>
      <c r="J44" s="33"/>
    </row>
    <row r="45" spans="1:10" x14ac:dyDescent="0.3">
      <c r="A45" s="4"/>
      <c r="C45" s="261"/>
      <c r="D45" s="261"/>
      <c r="E45" s="15"/>
      <c r="F45" s="1"/>
      <c r="G45" s="4"/>
      <c r="J45" s="33"/>
    </row>
    <row r="46" spans="1:10" x14ac:dyDescent="0.3">
      <c r="A46" s="4"/>
      <c r="B46" s="1222" t="s">
        <v>0</v>
      </c>
      <c r="C46" s="1223"/>
      <c r="D46" s="1223"/>
      <c r="E46" s="1223"/>
      <c r="F46" s="1223"/>
      <c r="G46" s="1223"/>
      <c r="J46" s="33"/>
    </row>
    <row r="47" spans="1:10" x14ac:dyDescent="0.3">
      <c r="A47" s="4"/>
      <c r="B47" s="1222" t="s">
        <v>2</v>
      </c>
      <c r="C47" s="1223"/>
      <c r="D47" s="1223"/>
      <c r="E47" s="1223"/>
      <c r="F47" s="1223"/>
      <c r="G47" s="1223"/>
      <c r="J47" s="33"/>
    </row>
    <row r="48" spans="1:10" ht="18" x14ac:dyDescent="0.3">
      <c r="A48" s="4"/>
      <c r="B48" s="1222" t="s">
        <v>3</v>
      </c>
      <c r="C48" s="1224"/>
      <c r="D48" s="1224"/>
      <c r="E48" s="1224"/>
      <c r="F48" s="1224"/>
      <c r="G48" s="1224"/>
      <c r="J48" s="33"/>
    </row>
    <row r="49" spans="1:10" x14ac:dyDescent="0.3">
      <c r="A49" s="4"/>
      <c r="B49" s="1227" t="str">
        <f>B5</f>
        <v>For the Base Period &amp; True-Up Period Ending December 31, 2023</v>
      </c>
      <c r="C49" s="1228"/>
      <c r="D49" s="1228"/>
      <c r="E49" s="1228"/>
      <c r="F49" s="1228"/>
      <c r="G49" s="1228"/>
      <c r="J49" s="33"/>
    </row>
    <row r="50" spans="1:10" x14ac:dyDescent="0.3">
      <c r="A50" s="4"/>
      <c r="B50" s="1226" t="s">
        <v>4</v>
      </c>
      <c r="C50" s="1223"/>
      <c r="D50" s="1223"/>
      <c r="E50" s="1223"/>
      <c r="F50" s="1223"/>
      <c r="G50" s="1223"/>
      <c r="J50" s="33"/>
    </row>
    <row r="51" spans="1:10" x14ac:dyDescent="0.3">
      <c r="A51" s="4"/>
      <c r="C51" s="261"/>
      <c r="D51" s="261"/>
      <c r="E51" s="15"/>
      <c r="F51" s="1"/>
      <c r="G51" s="4"/>
      <c r="J51" s="33"/>
    </row>
    <row r="52" spans="1:10" x14ac:dyDescent="0.3">
      <c r="A52" s="4" t="s">
        <v>5</v>
      </c>
      <c r="E52" s="25"/>
      <c r="G52" s="4"/>
      <c r="H52" s="4" t="s">
        <v>5</v>
      </c>
      <c r="J52" s="33"/>
    </row>
    <row r="53" spans="1:10" x14ac:dyDescent="0.3">
      <c r="A53" s="4" t="s">
        <v>6</v>
      </c>
      <c r="B53" s="1" t="s">
        <v>1</v>
      </c>
      <c r="E53" s="914" t="s">
        <v>7</v>
      </c>
      <c r="G53" s="852" t="s">
        <v>8</v>
      </c>
      <c r="H53" s="4" t="s">
        <v>6</v>
      </c>
      <c r="J53" s="33"/>
    </row>
    <row r="54" spans="1:10" ht="18" x14ac:dyDescent="0.3">
      <c r="A54" s="4"/>
      <c r="B54" s="251" t="s">
        <v>36</v>
      </c>
      <c r="E54" s="4"/>
      <c r="G54" s="4"/>
      <c r="J54" s="33"/>
    </row>
    <row r="55" spans="1:10" x14ac:dyDescent="0.3">
      <c r="A55" s="4">
        <v>1</v>
      </c>
      <c r="B55" s="33" t="s">
        <v>37</v>
      </c>
      <c r="C55" s="261"/>
      <c r="D55" s="261"/>
      <c r="E55" s="16">
        <f>'Stmt AJ'!E29</f>
        <v>0</v>
      </c>
      <c r="G55" s="4" t="s">
        <v>38</v>
      </c>
      <c r="H55" s="4">
        <f>A55</f>
        <v>1</v>
      </c>
      <c r="J55" s="33"/>
    </row>
    <row r="56" spans="1:10" x14ac:dyDescent="0.3">
      <c r="A56" s="4">
        <f t="shared" ref="A56:A93" si="2">A55+1</f>
        <v>2</v>
      </c>
      <c r="B56" s="33"/>
      <c r="C56" s="261"/>
      <c r="D56" s="261"/>
      <c r="E56" s="15"/>
      <c r="G56" s="4"/>
      <c r="H56" s="4">
        <f t="shared" ref="H56:H70" si="3">H55+1</f>
        <v>2</v>
      </c>
    </row>
    <row r="57" spans="1:10" ht="18" x14ac:dyDescent="0.3">
      <c r="A57" s="4">
        <f t="shared" si="2"/>
        <v>3</v>
      </c>
      <c r="B57" s="33" t="s">
        <v>1709</v>
      </c>
      <c r="C57" s="261"/>
      <c r="D57" s="261"/>
      <c r="E57" s="1193">
        <f>IFERROR('Stmt AV'!G247,0)</f>
        <v>1.8127782053353712E-2</v>
      </c>
      <c r="G57" s="4" t="s">
        <v>1810</v>
      </c>
      <c r="H57" s="4">
        <f t="shared" si="3"/>
        <v>3</v>
      </c>
    </row>
    <row r="58" spans="1:10" x14ac:dyDescent="0.3">
      <c r="A58" s="4">
        <f t="shared" si="2"/>
        <v>4</v>
      </c>
      <c r="B58" s="32" t="s">
        <v>1711</v>
      </c>
      <c r="C58" s="261"/>
      <c r="D58" s="261"/>
      <c r="E58" s="1194">
        <f>E142</f>
        <v>0</v>
      </c>
      <c r="G58" s="4" t="s">
        <v>1712</v>
      </c>
      <c r="H58" s="4">
        <f t="shared" si="3"/>
        <v>4</v>
      </c>
    </row>
    <row r="59" spans="1:10" x14ac:dyDescent="0.3">
      <c r="A59" s="4">
        <f t="shared" si="2"/>
        <v>5</v>
      </c>
      <c r="B59" s="32" t="s">
        <v>1713</v>
      </c>
      <c r="C59" s="261"/>
      <c r="D59" s="261"/>
      <c r="E59" s="1211">
        <f>E57*E58</f>
        <v>0</v>
      </c>
      <c r="G59" s="4" t="s">
        <v>1714</v>
      </c>
      <c r="H59" s="4">
        <f t="shared" si="3"/>
        <v>5</v>
      </c>
    </row>
    <row r="60" spans="1:10" x14ac:dyDescent="0.3">
      <c r="A60" s="4">
        <f t="shared" si="2"/>
        <v>6</v>
      </c>
      <c r="C60" s="261"/>
      <c r="D60" s="261"/>
      <c r="E60" s="1195"/>
      <c r="G60" s="4"/>
      <c r="H60" s="4">
        <f t="shared" si="3"/>
        <v>6</v>
      </c>
    </row>
    <row r="61" spans="1:10" ht="18" x14ac:dyDescent="0.3">
      <c r="A61" s="4">
        <f t="shared" si="2"/>
        <v>7</v>
      </c>
      <c r="B61" s="33" t="s">
        <v>1704</v>
      </c>
      <c r="C61" s="261"/>
      <c r="D61" s="261"/>
      <c r="E61" s="1193">
        <f>IFERROR('Stmt AV'!G287,0)</f>
        <v>0</v>
      </c>
      <c r="G61" s="4" t="s">
        <v>1820</v>
      </c>
      <c r="H61" s="4">
        <f t="shared" si="3"/>
        <v>7</v>
      </c>
    </row>
    <row r="62" spans="1:10" x14ac:dyDescent="0.3">
      <c r="A62" s="4">
        <f t="shared" si="2"/>
        <v>8</v>
      </c>
      <c r="B62" s="32" t="s">
        <v>1711</v>
      </c>
      <c r="C62" s="261"/>
      <c r="D62" s="261"/>
      <c r="E62" s="1201">
        <f>E142</f>
        <v>0</v>
      </c>
      <c r="G62" s="4" t="s">
        <v>1712</v>
      </c>
      <c r="H62" s="4">
        <f t="shared" si="3"/>
        <v>8</v>
      </c>
    </row>
    <row r="63" spans="1:10" x14ac:dyDescent="0.3">
      <c r="A63" s="4">
        <f t="shared" si="2"/>
        <v>9</v>
      </c>
      <c r="B63" s="32" t="s">
        <v>1707</v>
      </c>
      <c r="C63" s="261"/>
      <c r="D63" s="261"/>
      <c r="E63" s="1211">
        <f>E61*E62</f>
        <v>0</v>
      </c>
      <c r="G63" s="4" t="s">
        <v>39</v>
      </c>
      <c r="H63" s="4">
        <f t="shared" si="3"/>
        <v>9</v>
      </c>
    </row>
    <row r="64" spans="1:10" x14ac:dyDescent="0.3">
      <c r="A64" s="4">
        <f t="shared" si="2"/>
        <v>10</v>
      </c>
      <c r="B64" s="33"/>
      <c r="C64" s="261"/>
      <c r="D64" s="261"/>
      <c r="E64" s="15"/>
      <c r="G64" s="4"/>
      <c r="H64" s="4">
        <f t="shared" si="3"/>
        <v>10</v>
      </c>
    </row>
    <row r="65" spans="1:10" ht="16.2" thickBot="1" x14ac:dyDescent="0.35">
      <c r="A65" s="4">
        <f t="shared" si="2"/>
        <v>11</v>
      </c>
      <c r="B65" s="32" t="s">
        <v>40</v>
      </c>
      <c r="E65" s="24">
        <f>E55+E59+E63</f>
        <v>0</v>
      </c>
      <c r="G65" s="4" t="s">
        <v>1811</v>
      </c>
      <c r="H65" s="4">
        <f t="shared" si="3"/>
        <v>11</v>
      </c>
    </row>
    <row r="66" spans="1:10" ht="16.2" thickTop="1" x14ac:dyDescent="0.3">
      <c r="A66" s="4">
        <f t="shared" si="2"/>
        <v>12</v>
      </c>
      <c r="E66" s="10"/>
      <c r="G66" s="4"/>
      <c r="H66" s="4">
        <f t="shared" si="3"/>
        <v>12</v>
      </c>
      <c r="I66" s="361"/>
    </row>
    <row r="67" spans="1:10" ht="18" x14ac:dyDescent="0.3">
      <c r="A67" s="4">
        <f t="shared" si="2"/>
        <v>13</v>
      </c>
      <c r="B67" s="34" t="s">
        <v>41</v>
      </c>
      <c r="E67" s="10"/>
      <c r="G67" s="4"/>
      <c r="H67" s="4">
        <f t="shared" si="3"/>
        <v>13</v>
      </c>
      <c r="I67" s="361"/>
    </row>
    <row r="68" spans="1:10" x14ac:dyDescent="0.3">
      <c r="A68" s="4">
        <f t="shared" si="2"/>
        <v>14</v>
      </c>
      <c r="B68" s="33" t="s">
        <v>42</v>
      </c>
      <c r="E68" s="7">
        <f>'Stmt AJ'!E31</f>
        <v>0</v>
      </c>
      <c r="G68" s="4" t="s">
        <v>43</v>
      </c>
      <c r="H68" s="4">
        <f t="shared" si="3"/>
        <v>14</v>
      </c>
      <c r="I68" s="361"/>
    </row>
    <row r="69" spans="1:10" x14ac:dyDescent="0.3">
      <c r="A69" s="4">
        <f t="shared" si="2"/>
        <v>15</v>
      </c>
      <c r="B69" s="33"/>
      <c r="E69" s="18"/>
      <c r="G69" s="4"/>
      <c r="H69" s="4">
        <f t="shared" si="3"/>
        <v>15</v>
      </c>
      <c r="I69" s="361"/>
    </row>
    <row r="70" spans="1:10" x14ac:dyDescent="0.3">
      <c r="A70" s="4">
        <f t="shared" si="2"/>
        <v>16</v>
      </c>
      <c r="B70" s="33" t="s">
        <v>44</v>
      </c>
      <c r="E70" s="7">
        <f>E147</f>
        <v>0</v>
      </c>
      <c r="G70" s="4" t="s">
        <v>45</v>
      </c>
      <c r="H70" s="4">
        <f t="shared" si="3"/>
        <v>16</v>
      </c>
      <c r="I70" s="361"/>
    </row>
    <row r="71" spans="1:10" ht="18" x14ac:dyDescent="0.3">
      <c r="A71" s="4">
        <f t="shared" si="2"/>
        <v>17</v>
      </c>
      <c r="B71" s="33" t="s">
        <v>1812</v>
      </c>
      <c r="E71" s="1169">
        <f>IFERROR('Stmt AV'!G158,0)</f>
        <v>0.10681956539018267</v>
      </c>
      <c r="G71" s="4" t="s">
        <v>1806</v>
      </c>
      <c r="H71" s="4">
        <f t="shared" ref="H71:H93" si="4">H70+1</f>
        <v>17</v>
      </c>
      <c r="I71" s="361"/>
      <c r="J71" s="604"/>
    </row>
    <row r="72" spans="1:10" x14ac:dyDescent="0.3">
      <c r="A72" s="4">
        <f t="shared" si="2"/>
        <v>18</v>
      </c>
      <c r="B72" s="32" t="s">
        <v>1717</v>
      </c>
      <c r="E72" s="1212">
        <f>E70*E71</f>
        <v>0</v>
      </c>
      <c r="G72" s="4" t="s">
        <v>1718</v>
      </c>
      <c r="H72" s="4">
        <f t="shared" si="4"/>
        <v>18</v>
      </c>
      <c r="I72" s="361"/>
      <c r="J72" s="604"/>
    </row>
    <row r="73" spans="1:10" x14ac:dyDescent="0.3">
      <c r="A73" s="4">
        <f t="shared" si="2"/>
        <v>19</v>
      </c>
      <c r="E73" s="1196"/>
      <c r="G73" s="4"/>
      <c r="H73" s="4">
        <f t="shared" si="4"/>
        <v>19</v>
      </c>
      <c r="I73" s="361"/>
      <c r="J73" s="604"/>
    </row>
    <row r="74" spans="1:10" x14ac:dyDescent="0.3">
      <c r="A74" s="4">
        <f t="shared" si="2"/>
        <v>20</v>
      </c>
      <c r="B74" s="33" t="s">
        <v>44</v>
      </c>
      <c r="E74" s="1196">
        <f>E147</f>
        <v>0</v>
      </c>
      <c r="G74" s="4" t="s">
        <v>45</v>
      </c>
      <c r="H74" s="4">
        <f t="shared" si="4"/>
        <v>20</v>
      </c>
      <c r="I74" s="361"/>
      <c r="J74" s="604"/>
    </row>
    <row r="75" spans="1:10" ht="18" x14ac:dyDescent="0.3">
      <c r="A75" s="4">
        <f t="shared" si="2"/>
        <v>21</v>
      </c>
      <c r="B75" s="33" t="s">
        <v>1704</v>
      </c>
      <c r="E75" s="1197">
        <v>0</v>
      </c>
      <c r="G75" s="4" t="s">
        <v>46</v>
      </c>
      <c r="H75" s="4">
        <f t="shared" si="4"/>
        <v>21</v>
      </c>
      <c r="I75" s="361"/>
      <c r="J75" s="604"/>
    </row>
    <row r="76" spans="1:10" x14ac:dyDescent="0.3">
      <c r="A76" s="4">
        <f t="shared" si="2"/>
        <v>22</v>
      </c>
      <c r="B76" s="32" t="s">
        <v>1719</v>
      </c>
      <c r="E76" s="1212">
        <f>E74*E75</f>
        <v>0</v>
      </c>
      <c r="G76" s="4" t="s">
        <v>1720</v>
      </c>
      <c r="H76" s="4">
        <f t="shared" si="4"/>
        <v>22</v>
      </c>
      <c r="I76" s="361"/>
      <c r="J76" s="604"/>
    </row>
    <row r="77" spans="1:10" x14ac:dyDescent="0.3">
      <c r="A77" s="4">
        <f t="shared" si="2"/>
        <v>23</v>
      </c>
      <c r="E77" s="1196"/>
      <c r="G77" s="4"/>
      <c r="H77" s="4">
        <f t="shared" si="4"/>
        <v>23</v>
      </c>
      <c r="I77" s="361"/>
      <c r="J77" s="604"/>
    </row>
    <row r="78" spans="1:10" ht="16.2" thickBot="1" x14ac:dyDescent="0.35">
      <c r="A78" s="4">
        <f t="shared" si="2"/>
        <v>24</v>
      </c>
      <c r="B78" s="32" t="s">
        <v>47</v>
      </c>
      <c r="E78" s="24">
        <f>E68+E72+E76</f>
        <v>0</v>
      </c>
      <c r="G78" s="4" t="s">
        <v>1721</v>
      </c>
      <c r="H78" s="4">
        <f t="shared" si="4"/>
        <v>24</v>
      </c>
      <c r="I78" s="361"/>
    </row>
    <row r="79" spans="1:10" ht="16.2" thickTop="1" x14ac:dyDescent="0.3">
      <c r="A79" s="4">
        <f t="shared" si="2"/>
        <v>25</v>
      </c>
      <c r="E79" s="10"/>
      <c r="G79" s="4"/>
      <c r="H79" s="4">
        <f t="shared" si="4"/>
        <v>25</v>
      </c>
      <c r="I79" s="361"/>
    </row>
    <row r="80" spans="1:10" ht="18" x14ac:dyDescent="0.3">
      <c r="A80" s="4">
        <f t="shared" si="2"/>
        <v>26</v>
      </c>
      <c r="B80" s="34" t="s">
        <v>48</v>
      </c>
      <c r="C80" s="261"/>
      <c r="D80" s="261"/>
      <c r="E80" s="15"/>
      <c r="G80" s="4"/>
      <c r="H80" s="4">
        <f t="shared" si="4"/>
        <v>26</v>
      </c>
      <c r="I80" s="361"/>
    </row>
    <row r="81" spans="1:9" x14ac:dyDescent="0.3">
      <c r="A81" s="4">
        <f t="shared" si="2"/>
        <v>27</v>
      </c>
      <c r="B81" s="32" t="s">
        <v>49</v>
      </c>
      <c r="C81" s="261"/>
      <c r="D81" s="261"/>
      <c r="E81" s="16">
        <f>E149</f>
        <v>0</v>
      </c>
      <c r="G81" s="4" t="s">
        <v>50</v>
      </c>
      <c r="H81" s="4">
        <f t="shared" si="4"/>
        <v>27</v>
      </c>
      <c r="I81" s="361"/>
    </row>
    <row r="82" spans="1:9" ht="18" x14ac:dyDescent="0.3">
      <c r="A82" s="4">
        <f t="shared" si="2"/>
        <v>28</v>
      </c>
      <c r="B82" s="33" t="s">
        <v>1812</v>
      </c>
      <c r="E82" s="1169">
        <f>IFERROR('Stmt AV'!G158,0)</f>
        <v>0.10681956539018267</v>
      </c>
      <c r="G82" s="4" t="s">
        <v>1806</v>
      </c>
      <c r="H82" s="4">
        <f t="shared" si="4"/>
        <v>28</v>
      </c>
      <c r="I82" s="361"/>
    </row>
    <row r="83" spans="1:9" ht="16.2" thickBot="1" x14ac:dyDescent="0.35">
      <c r="A83" s="4">
        <f t="shared" si="2"/>
        <v>29</v>
      </c>
      <c r="B83" s="32" t="s">
        <v>1722</v>
      </c>
      <c r="E83" s="1213">
        <f>E81*E82</f>
        <v>0</v>
      </c>
      <c r="G83" s="4" t="s">
        <v>1723</v>
      </c>
      <c r="H83" s="4">
        <f t="shared" si="4"/>
        <v>29</v>
      </c>
      <c r="I83" s="361"/>
    </row>
    <row r="84" spans="1:9" ht="16.2" thickTop="1" x14ac:dyDescent="0.3">
      <c r="A84" s="4">
        <f t="shared" si="2"/>
        <v>30</v>
      </c>
      <c r="E84" s="1196"/>
      <c r="G84" s="4"/>
      <c r="H84" s="4">
        <f t="shared" si="4"/>
        <v>30</v>
      </c>
      <c r="I84" s="361"/>
    </row>
    <row r="85" spans="1:9" x14ac:dyDescent="0.3">
      <c r="A85" s="4">
        <f t="shared" si="2"/>
        <v>31</v>
      </c>
      <c r="B85" s="32" t="s">
        <v>49</v>
      </c>
      <c r="E85" s="1198">
        <f>E151</f>
        <v>0</v>
      </c>
      <c r="G85" s="4" t="s">
        <v>50</v>
      </c>
      <c r="H85" s="4">
        <f t="shared" si="4"/>
        <v>31</v>
      </c>
      <c r="I85" s="361"/>
    </row>
    <row r="86" spans="1:9" ht="18" x14ac:dyDescent="0.3">
      <c r="A86" s="4">
        <f t="shared" si="2"/>
        <v>32</v>
      </c>
      <c r="B86" s="33" t="s">
        <v>1704</v>
      </c>
      <c r="E86" s="1169">
        <f>IFERROR('Stmt AV'!G198,0)</f>
        <v>3.7833775791095577E-3</v>
      </c>
      <c r="G86" s="4" t="s">
        <v>1808</v>
      </c>
      <c r="H86" s="4">
        <f t="shared" si="4"/>
        <v>32</v>
      </c>
      <c r="I86" s="361"/>
    </row>
    <row r="87" spans="1:9" x14ac:dyDescent="0.3">
      <c r="A87" s="4">
        <f t="shared" si="2"/>
        <v>33</v>
      </c>
      <c r="B87" s="32" t="s">
        <v>1724</v>
      </c>
      <c r="E87" s="1212">
        <f>E85*E86</f>
        <v>0</v>
      </c>
      <c r="G87" s="4" t="s">
        <v>1725</v>
      </c>
      <c r="H87" s="4">
        <f t="shared" si="4"/>
        <v>33</v>
      </c>
      <c r="I87" s="361"/>
    </row>
    <row r="88" spans="1:9" x14ac:dyDescent="0.3">
      <c r="A88" s="4">
        <f t="shared" si="2"/>
        <v>34</v>
      </c>
      <c r="E88" s="1196"/>
      <c r="G88" s="4"/>
      <c r="H88" s="4">
        <f t="shared" si="4"/>
        <v>34</v>
      </c>
      <c r="I88" s="361"/>
    </row>
    <row r="89" spans="1:9" ht="16.2" thickBot="1" x14ac:dyDescent="0.35">
      <c r="A89" s="4">
        <f t="shared" si="2"/>
        <v>35</v>
      </c>
      <c r="B89" s="32" t="s">
        <v>51</v>
      </c>
      <c r="C89" s="261"/>
      <c r="D89" s="261"/>
      <c r="E89" s="14">
        <f>E83+E87</f>
        <v>0</v>
      </c>
      <c r="G89" s="4" t="s">
        <v>1726</v>
      </c>
      <c r="H89" s="4">
        <f t="shared" si="4"/>
        <v>35</v>
      </c>
      <c r="I89" s="361"/>
    </row>
    <row r="90" spans="1:9" ht="16.2" thickTop="1" x14ac:dyDescent="0.3">
      <c r="A90" s="4">
        <f t="shared" si="2"/>
        <v>36</v>
      </c>
      <c r="E90" s="1196"/>
      <c r="G90" s="4"/>
      <c r="H90" s="4">
        <f t="shared" si="4"/>
        <v>36</v>
      </c>
      <c r="I90" s="361"/>
    </row>
    <row r="91" spans="1:9" ht="18.600000000000001" thickBot="1" x14ac:dyDescent="0.35">
      <c r="A91" s="4">
        <f t="shared" si="2"/>
        <v>37</v>
      </c>
      <c r="B91" s="32" t="s">
        <v>52</v>
      </c>
      <c r="E91" s="14">
        <f>E65+E78+E89</f>
        <v>0</v>
      </c>
      <c r="G91" s="4" t="s">
        <v>1727</v>
      </c>
      <c r="H91" s="4">
        <f t="shared" si="4"/>
        <v>37</v>
      </c>
      <c r="I91" s="361"/>
    </row>
    <row r="92" spans="1:9" ht="16.2" thickTop="1" x14ac:dyDescent="0.3">
      <c r="A92" s="4">
        <f t="shared" si="2"/>
        <v>38</v>
      </c>
      <c r="C92" s="261"/>
      <c r="D92" s="261"/>
      <c r="E92" s="15"/>
      <c r="G92" s="4"/>
      <c r="H92" s="4">
        <f t="shared" si="4"/>
        <v>38</v>
      </c>
      <c r="I92" s="361"/>
    </row>
    <row r="93" spans="1:9" ht="18.600000000000001" thickBot="1" x14ac:dyDescent="0.35">
      <c r="A93" s="4">
        <f t="shared" si="2"/>
        <v>39</v>
      </c>
      <c r="B93" s="34" t="s">
        <v>1777</v>
      </c>
      <c r="C93" s="261"/>
      <c r="D93" s="261"/>
      <c r="E93" s="14">
        <f>+E40+E91</f>
        <v>1172663.2254575258</v>
      </c>
      <c r="F93" s="1"/>
      <c r="G93" s="4" t="s">
        <v>1737</v>
      </c>
      <c r="H93" s="4">
        <f t="shared" si="4"/>
        <v>39</v>
      </c>
      <c r="I93" s="361"/>
    </row>
    <row r="94" spans="1:9" ht="16.2" thickTop="1" x14ac:dyDescent="0.3">
      <c r="A94" s="4"/>
      <c r="B94" s="34"/>
      <c r="C94" s="261"/>
      <c r="D94" s="261"/>
      <c r="E94" s="15"/>
      <c r="F94" s="1"/>
      <c r="G94" s="4"/>
    </row>
    <row r="95" spans="1:9" x14ac:dyDescent="0.3">
      <c r="A95" s="4"/>
      <c r="B95" s="34"/>
      <c r="C95" s="261"/>
      <c r="D95" s="261"/>
      <c r="E95" s="15"/>
      <c r="F95" s="1"/>
      <c r="G95" s="4"/>
    </row>
    <row r="96" spans="1:9" ht="18" x14ac:dyDescent="0.3">
      <c r="A96" s="256">
        <v>1</v>
      </c>
      <c r="B96" s="32" t="s">
        <v>35</v>
      </c>
      <c r="C96" s="261"/>
      <c r="D96" s="261"/>
      <c r="E96" s="15"/>
      <c r="G96" s="4"/>
    </row>
    <row r="97" spans="1:8" ht="18" x14ac:dyDescent="0.3">
      <c r="A97" s="256">
        <v>2</v>
      </c>
      <c r="B97" s="32" t="s">
        <v>54</v>
      </c>
      <c r="C97" s="261"/>
      <c r="D97" s="261"/>
      <c r="E97" s="19"/>
      <c r="F97" s="72"/>
      <c r="G97" s="4"/>
    </row>
    <row r="98" spans="1:8" ht="18" x14ac:dyDescent="0.3">
      <c r="A98" s="256">
        <v>3</v>
      </c>
      <c r="B98" s="32" t="s">
        <v>1789</v>
      </c>
      <c r="C98" s="261"/>
      <c r="D98" s="261"/>
      <c r="E98" s="19"/>
      <c r="F98" s="72"/>
      <c r="G98" s="4"/>
    </row>
    <row r="99" spans="1:8" ht="18" x14ac:dyDescent="0.3">
      <c r="A99" s="256">
        <v>4</v>
      </c>
      <c r="B99" s="32" t="s">
        <v>55</v>
      </c>
      <c r="C99" s="261"/>
      <c r="D99" s="261"/>
      <c r="E99" s="15"/>
      <c r="G99" s="4"/>
    </row>
    <row r="100" spans="1:8" x14ac:dyDescent="0.3">
      <c r="C100" s="261"/>
      <c r="D100" s="261"/>
      <c r="E100" s="15"/>
      <c r="G100" s="4"/>
    </row>
    <row r="101" spans="1:8" x14ac:dyDescent="0.3">
      <c r="A101" s="4"/>
      <c r="C101" s="261"/>
      <c r="D101" s="261"/>
      <c r="E101" s="15"/>
      <c r="G101" s="4"/>
    </row>
    <row r="102" spans="1:8" x14ac:dyDescent="0.3">
      <c r="A102" s="4"/>
      <c r="B102" s="1222" t="s">
        <v>0</v>
      </c>
      <c r="C102" s="1223"/>
      <c r="D102" s="1223"/>
      <c r="E102" s="1223"/>
      <c r="F102" s="1223"/>
      <c r="G102" s="1223"/>
    </row>
    <row r="103" spans="1:8" x14ac:dyDescent="0.3">
      <c r="A103" s="4"/>
      <c r="B103" s="1222" t="s">
        <v>2</v>
      </c>
      <c r="C103" s="1223"/>
      <c r="D103" s="1223"/>
      <c r="E103" s="1223"/>
      <c r="F103" s="1223"/>
      <c r="G103" s="1223"/>
    </row>
    <row r="104" spans="1:8" ht="18" x14ac:dyDescent="0.3">
      <c r="A104" s="4" t="s">
        <v>1</v>
      </c>
      <c r="B104" s="1222" t="s">
        <v>3</v>
      </c>
      <c r="C104" s="1224"/>
      <c r="D104" s="1224"/>
      <c r="E104" s="1224"/>
      <c r="F104" s="1224"/>
      <c r="G104" s="1224"/>
      <c r="H104" s="4" t="s">
        <v>1</v>
      </c>
    </row>
    <row r="105" spans="1:8" x14ac:dyDescent="0.3">
      <c r="A105" s="4"/>
      <c r="B105" s="1227" t="str">
        <f>B5</f>
        <v>For the Base Period &amp; True-Up Period Ending December 31, 2023</v>
      </c>
      <c r="C105" s="1228"/>
      <c r="D105" s="1228"/>
      <c r="E105" s="1228"/>
      <c r="F105" s="1228"/>
      <c r="G105" s="1228"/>
    </row>
    <row r="106" spans="1:8" x14ac:dyDescent="0.3">
      <c r="A106" s="4"/>
      <c r="B106" s="1226" t="s">
        <v>4</v>
      </c>
      <c r="C106" s="1223"/>
      <c r="D106" s="1223"/>
      <c r="E106" s="1223"/>
      <c r="F106" s="1223"/>
      <c r="G106" s="1223"/>
    </row>
    <row r="107" spans="1:8" x14ac:dyDescent="0.3">
      <c r="A107" s="4"/>
      <c r="B107" s="265"/>
      <c r="C107" s="1"/>
      <c r="D107" s="1"/>
      <c r="E107" s="1"/>
      <c r="F107" s="1"/>
      <c r="G107" s="1"/>
    </row>
    <row r="108" spans="1:8" x14ac:dyDescent="0.3">
      <c r="A108" s="4" t="s">
        <v>5</v>
      </c>
      <c r="E108" s="25"/>
      <c r="G108" s="4"/>
      <c r="H108" s="4" t="s">
        <v>5</v>
      </c>
    </row>
    <row r="109" spans="1:8" x14ac:dyDescent="0.3">
      <c r="A109" s="4" t="s">
        <v>6</v>
      </c>
      <c r="B109" s="1" t="s">
        <v>1</v>
      </c>
      <c r="E109" s="914" t="s">
        <v>7</v>
      </c>
      <c r="G109" s="852" t="s">
        <v>8</v>
      </c>
      <c r="H109" s="4" t="s">
        <v>6</v>
      </c>
    </row>
    <row r="110" spans="1:8" x14ac:dyDescent="0.3">
      <c r="A110" s="4"/>
      <c r="B110" s="251" t="s">
        <v>56</v>
      </c>
      <c r="C110" s="263"/>
      <c r="D110" s="263"/>
      <c r="E110" s="263"/>
      <c r="G110" s="4"/>
    </row>
    <row r="111" spans="1:8" x14ac:dyDescent="0.3">
      <c r="A111" s="4">
        <v>1</v>
      </c>
      <c r="B111" s="253" t="s">
        <v>57</v>
      </c>
      <c r="C111" s="263"/>
      <c r="D111" s="263"/>
      <c r="E111" s="263"/>
      <c r="G111" s="4"/>
      <c r="H111" s="4">
        <f>A111</f>
        <v>1</v>
      </c>
    </row>
    <row r="112" spans="1:8" x14ac:dyDescent="0.3">
      <c r="A112" s="4">
        <f t="shared" ref="A112:A149" si="5">A111+1</f>
        <v>2</v>
      </c>
      <c r="B112" s="33" t="s">
        <v>58</v>
      </c>
      <c r="C112" s="263"/>
      <c r="D112" s="263"/>
      <c r="E112" s="20">
        <f>E180</f>
        <v>6056558.2936077248</v>
      </c>
      <c r="F112" s="72"/>
      <c r="G112" s="4" t="s">
        <v>59</v>
      </c>
      <c r="H112" s="4">
        <f t="shared" ref="H112:H148" si="6">H111+1</f>
        <v>2</v>
      </c>
    </row>
    <row r="113" spans="1:10" x14ac:dyDescent="0.3">
      <c r="A113" s="4">
        <f t="shared" si="5"/>
        <v>3</v>
      </c>
      <c r="B113" s="33" t="s">
        <v>60</v>
      </c>
      <c r="C113" s="263"/>
      <c r="D113" s="263"/>
      <c r="E113" s="21">
        <f>E181</f>
        <v>9151.7252080767139</v>
      </c>
      <c r="F113" s="72"/>
      <c r="G113" s="4" t="s">
        <v>61</v>
      </c>
      <c r="H113" s="4">
        <f t="shared" si="6"/>
        <v>3</v>
      </c>
    </row>
    <row r="114" spans="1:10" x14ac:dyDescent="0.3">
      <c r="A114" s="4">
        <f t="shared" si="5"/>
        <v>4</v>
      </c>
      <c r="B114" s="33" t="s">
        <v>62</v>
      </c>
      <c r="C114" s="263"/>
      <c r="D114" s="263"/>
      <c r="E114" s="21">
        <f>E182</f>
        <v>67559.485194371402</v>
      </c>
      <c r="G114" s="4" t="s">
        <v>63</v>
      </c>
      <c r="H114" s="4">
        <f t="shared" si="6"/>
        <v>4</v>
      </c>
    </row>
    <row r="115" spans="1:10" x14ac:dyDescent="0.3">
      <c r="A115" s="4">
        <f t="shared" si="5"/>
        <v>5</v>
      </c>
      <c r="B115" s="33" t="s">
        <v>64</v>
      </c>
      <c r="C115" s="263"/>
      <c r="D115" s="263"/>
      <c r="E115" s="916">
        <f>E183</f>
        <v>196520.25768592002</v>
      </c>
      <c r="G115" s="4" t="s">
        <v>65</v>
      </c>
      <c r="H115" s="4">
        <f t="shared" si="6"/>
        <v>5</v>
      </c>
    </row>
    <row r="116" spans="1:10" x14ac:dyDescent="0.3">
      <c r="A116" s="4">
        <f t="shared" si="5"/>
        <v>6</v>
      </c>
      <c r="B116" s="33" t="s">
        <v>66</v>
      </c>
      <c r="C116" s="4"/>
      <c r="D116" s="4"/>
      <c r="E116" s="917">
        <f>SUM(E112:E115)</f>
        <v>6329789.7616960928</v>
      </c>
      <c r="F116" s="72"/>
      <c r="G116" s="4" t="s">
        <v>67</v>
      </c>
      <c r="H116" s="4">
        <f t="shared" si="6"/>
        <v>6</v>
      </c>
    </row>
    <row r="117" spans="1:10" x14ac:dyDescent="0.3">
      <c r="A117" s="4">
        <f t="shared" si="5"/>
        <v>7</v>
      </c>
      <c r="C117" s="4"/>
      <c r="D117" s="4"/>
      <c r="E117" s="11"/>
      <c r="G117" s="4"/>
      <c r="H117" s="4">
        <f t="shared" si="6"/>
        <v>7</v>
      </c>
    </row>
    <row r="118" spans="1:10" x14ac:dyDescent="0.3">
      <c r="A118" s="4">
        <f t="shared" si="5"/>
        <v>8</v>
      </c>
      <c r="B118" s="253" t="s">
        <v>68</v>
      </c>
      <c r="C118" s="4"/>
      <c r="D118" s="4"/>
      <c r="E118" s="11"/>
      <c r="G118" s="4"/>
      <c r="H118" s="4">
        <f t="shared" si="6"/>
        <v>8</v>
      </c>
    </row>
    <row r="119" spans="1:10" x14ac:dyDescent="0.3">
      <c r="A119" s="4">
        <f t="shared" si="5"/>
        <v>9</v>
      </c>
      <c r="B119" s="33" t="s">
        <v>69</v>
      </c>
      <c r="C119" s="4"/>
      <c r="D119" s="4"/>
      <c r="E119" s="22">
        <f>'Stmt AG'!E11</f>
        <v>0</v>
      </c>
      <c r="F119" s="72"/>
      <c r="G119" s="4" t="s">
        <v>70</v>
      </c>
      <c r="H119" s="4">
        <f t="shared" si="6"/>
        <v>9</v>
      </c>
    </row>
    <row r="120" spans="1:10" x14ac:dyDescent="0.3">
      <c r="A120" s="4">
        <f t="shared" si="5"/>
        <v>10</v>
      </c>
      <c r="B120" s="33" t="s">
        <v>71</v>
      </c>
      <c r="C120" s="4"/>
      <c r="D120" s="4"/>
      <c r="E120" s="1202">
        <f>'Stmt Misc.'!E12</f>
        <v>0</v>
      </c>
      <c r="G120" s="4" t="s">
        <v>72</v>
      </c>
      <c r="H120" s="4">
        <f t="shared" si="6"/>
        <v>10</v>
      </c>
    </row>
    <row r="121" spans="1:10" x14ac:dyDescent="0.3">
      <c r="A121" s="4">
        <f t="shared" si="5"/>
        <v>11</v>
      </c>
      <c r="B121" s="33" t="s">
        <v>73</v>
      </c>
      <c r="C121" s="4"/>
      <c r="D121" s="4"/>
      <c r="E121" s="1060">
        <f>SUM(E119:E120)</f>
        <v>0</v>
      </c>
      <c r="F121" s="72"/>
      <c r="G121" s="4" t="s">
        <v>74</v>
      </c>
      <c r="H121" s="4">
        <f t="shared" si="6"/>
        <v>11</v>
      </c>
    </row>
    <row r="122" spans="1:10" x14ac:dyDescent="0.3">
      <c r="A122" s="4">
        <f t="shared" si="5"/>
        <v>12</v>
      </c>
      <c r="B122" s="33"/>
      <c r="C122" s="4"/>
      <c r="D122" s="4"/>
      <c r="E122" s="15"/>
      <c r="G122" s="4"/>
      <c r="H122" s="4">
        <f t="shared" si="6"/>
        <v>12</v>
      </c>
    </row>
    <row r="123" spans="1:10" x14ac:dyDescent="0.3">
      <c r="A123" s="4">
        <f t="shared" si="5"/>
        <v>13</v>
      </c>
      <c r="B123" s="253" t="s">
        <v>75</v>
      </c>
      <c r="E123" s="11"/>
      <c r="G123" s="4"/>
      <c r="H123" s="4">
        <f t="shared" si="6"/>
        <v>13</v>
      </c>
    </row>
    <row r="124" spans="1:10" ht="18" x14ac:dyDescent="0.3">
      <c r="A124" s="4">
        <f t="shared" si="5"/>
        <v>14</v>
      </c>
      <c r="B124" s="32" t="s">
        <v>76</v>
      </c>
      <c r="C124" s="4"/>
      <c r="D124" s="4"/>
      <c r="E124" s="7">
        <f>'Stmt AF'!I17</f>
        <v>-1118185.2622200265</v>
      </c>
      <c r="G124" s="4" t="s">
        <v>77</v>
      </c>
      <c r="H124" s="4">
        <f t="shared" si="6"/>
        <v>14</v>
      </c>
      <c r="J124" s="872"/>
    </row>
    <row r="125" spans="1:10" x14ac:dyDescent="0.3">
      <c r="A125" s="4">
        <f t="shared" si="5"/>
        <v>15</v>
      </c>
      <c r="B125" s="32" t="s">
        <v>78</v>
      </c>
      <c r="C125" s="4"/>
      <c r="D125" s="4"/>
      <c r="E125" s="845">
        <f>'Stmt AF'!I21</f>
        <v>0</v>
      </c>
      <c r="G125" s="4" t="s">
        <v>79</v>
      </c>
      <c r="H125" s="4">
        <f t="shared" si="6"/>
        <v>15</v>
      </c>
    </row>
    <row r="126" spans="1:10" x14ac:dyDescent="0.3">
      <c r="A126" s="4">
        <f t="shared" si="5"/>
        <v>16</v>
      </c>
      <c r="B126" s="33" t="s">
        <v>80</v>
      </c>
      <c r="C126" s="4"/>
      <c r="D126" s="4"/>
      <c r="E126" s="917">
        <f>SUM(E124:E125)</f>
        <v>-1118185.2622200265</v>
      </c>
      <c r="G126" s="4" t="s">
        <v>81</v>
      </c>
      <c r="H126" s="4">
        <f t="shared" si="6"/>
        <v>16</v>
      </c>
    </row>
    <row r="127" spans="1:10" x14ac:dyDescent="0.3">
      <c r="A127" s="4">
        <f t="shared" si="5"/>
        <v>17</v>
      </c>
      <c r="C127" s="4"/>
      <c r="D127" s="4"/>
      <c r="E127" s="8"/>
      <c r="G127" s="4"/>
      <c r="H127" s="4">
        <f t="shared" si="6"/>
        <v>17</v>
      </c>
    </row>
    <row r="128" spans="1:10" x14ac:dyDescent="0.3">
      <c r="A128" s="4">
        <f t="shared" si="5"/>
        <v>18</v>
      </c>
      <c r="B128" s="253" t="s">
        <v>82</v>
      </c>
      <c r="C128" s="4"/>
      <c r="D128" s="4"/>
      <c r="E128" s="8"/>
      <c r="G128" s="4"/>
      <c r="H128" s="4">
        <f t="shared" si="6"/>
        <v>18</v>
      </c>
    </row>
    <row r="129" spans="1:10" x14ac:dyDescent="0.3">
      <c r="A129" s="4">
        <f t="shared" si="5"/>
        <v>19</v>
      </c>
      <c r="B129" s="33" t="s">
        <v>83</v>
      </c>
      <c r="C129" s="4"/>
      <c r="D129" s="4"/>
      <c r="E129" s="20">
        <f>'Stmt AL'!G15</f>
        <v>51953.597307497468</v>
      </c>
      <c r="F129" s="72"/>
      <c r="G129" s="4" t="s">
        <v>84</v>
      </c>
      <c r="H129" s="4">
        <f t="shared" si="6"/>
        <v>19</v>
      </c>
    </row>
    <row r="130" spans="1:10" x14ac:dyDescent="0.3">
      <c r="A130" s="4">
        <f t="shared" si="5"/>
        <v>20</v>
      </c>
      <c r="B130" s="33" t="s">
        <v>85</v>
      </c>
      <c r="C130" s="4"/>
      <c r="D130" s="4"/>
      <c r="E130" s="21">
        <f>'Stmt AL'!G19</f>
        <v>38860.273206051555</v>
      </c>
      <c r="F130" s="72"/>
      <c r="G130" s="4" t="s">
        <v>86</v>
      </c>
      <c r="H130" s="4">
        <f t="shared" si="6"/>
        <v>20</v>
      </c>
    </row>
    <row r="131" spans="1:10" x14ac:dyDescent="0.3">
      <c r="A131" s="4">
        <f t="shared" si="5"/>
        <v>21</v>
      </c>
      <c r="B131" s="33" t="s">
        <v>87</v>
      </c>
      <c r="C131" s="4"/>
      <c r="D131" s="4"/>
      <c r="E131" s="916">
        <f>'Stmt AL'!E29</f>
        <v>29727.579977956477</v>
      </c>
      <c r="F131" s="1"/>
      <c r="G131" s="4" t="s">
        <v>88</v>
      </c>
      <c r="H131" s="4">
        <f t="shared" si="6"/>
        <v>21</v>
      </c>
    </row>
    <row r="132" spans="1:10" x14ac:dyDescent="0.3">
      <c r="A132" s="4">
        <f t="shared" si="5"/>
        <v>22</v>
      </c>
      <c r="B132" s="33" t="s">
        <v>89</v>
      </c>
      <c r="E132" s="917">
        <f>SUM(E129:E131)</f>
        <v>120541.4504915055</v>
      </c>
      <c r="F132" s="1"/>
      <c r="G132" s="4" t="s">
        <v>90</v>
      </c>
      <c r="H132" s="4">
        <f t="shared" si="6"/>
        <v>22</v>
      </c>
    </row>
    <row r="133" spans="1:10" x14ac:dyDescent="0.3">
      <c r="A133" s="4">
        <f t="shared" si="5"/>
        <v>23</v>
      </c>
      <c r="B133" s="33"/>
      <c r="E133" s="11"/>
      <c r="G133" s="4"/>
      <c r="H133" s="4">
        <f t="shared" si="6"/>
        <v>23</v>
      </c>
    </row>
    <row r="134" spans="1:10" x14ac:dyDescent="0.3">
      <c r="A134" s="4">
        <f t="shared" si="5"/>
        <v>24</v>
      </c>
      <c r="B134" s="33" t="s">
        <v>91</v>
      </c>
      <c r="E134" s="22">
        <f>'Stmt Misc.'!E14</f>
        <v>0</v>
      </c>
      <c r="G134" s="4" t="s">
        <v>92</v>
      </c>
      <c r="H134" s="4">
        <f t="shared" si="6"/>
        <v>24</v>
      </c>
    </row>
    <row r="135" spans="1:10" x14ac:dyDescent="0.3">
      <c r="A135" s="4">
        <f t="shared" si="5"/>
        <v>25</v>
      </c>
      <c r="B135" s="33" t="s">
        <v>93</v>
      </c>
      <c r="E135" s="1131">
        <f>'Stmt Misc.'!E16</f>
        <v>-10662.770719500901</v>
      </c>
      <c r="G135" s="4" t="s">
        <v>94</v>
      </c>
      <c r="H135" s="4">
        <f t="shared" si="6"/>
        <v>25</v>
      </c>
    </row>
    <row r="136" spans="1:10" x14ac:dyDescent="0.3">
      <c r="A136" s="4">
        <f t="shared" si="5"/>
        <v>26</v>
      </c>
      <c r="B136" s="33"/>
      <c r="E136" s="11"/>
      <c r="G136" s="4"/>
      <c r="H136" s="4">
        <f t="shared" si="6"/>
        <v>26</v>
      </c>
    </row>
    <row r="137" spans="1:10" ht="16.2" thickBot="1" x14ac:dyDescent="0.35">
      <c r="A137" s="4">
        <f t="shared" si="5"/>
        <v>27</v>
      </c>
      <c r="B137" s="33" t="s">
        <v>95</v>
      </c>
      <c r="E137" s="24">
        <f>E134+E132+E126+E121+E116+E135</f>
        <v>5321483.1792480703</v>
      </c>
      <c r="F137" s="1"/>
      <c r="G137" s="4" t="s">
        <v>96</v>
      </c>
      <c r="H137" s="4">
        <f t="shared" si="6"/>
        <v>27</v>
      </c>
      <c r="J137" s="36"/>
    </row>
    <row r="138" spans="1:10" ht="16.2" thickTop="1" x14ac:dyDescent="0.3">
      <c r="A138" s="4">
        <f t="shared" si="5"/>
        <v>28</v>
      </c>
      <c r="B138" s="33"/>
      <c r="E138" s="10"/>
      <c r="G138" s="4"/>
      <c r="H138" s="4">
        <f t="shared" si="6"/>
        <v>28</v>
      </c>
    </row>
    <row r="139" spans="1:10" ht="18" x14ac:dyDescent="0.3">
      <c r="A139" s="4">
        <f t="shared" si="5"/>
        <v>29</v>
      </c>
      <c r="B139" s="251" t="s">
        <v>97</v>
      </c>
      <c r="E139" s="10"/>
      <c r="G139" s="4"/>
      <c r="H139" s="4">
        <f t="shared" si="6"/>
        <v>29</v>
      </c>
    </row>
    <row r="140" spans="1:10" x14ac:dyDescent="0.3">
      <c r="A140" s="4">
        <f t="shared" si="5"/>
        <v>30</v>
      </c>
      <c r="B140" s="33" t="s">
        <v>98</v>
      </c>
      <c r="E140" s="7">
        <f>E189</f>
        <v>0</v>
      </c>
      <c r="G140" s="4" t="s">
        <v>99</v>
      </c>
      <c r="H140" s="4">
        <f t="shared" si="6"/>
        <v>30</v>
      </c>
    </row>
    <row r="141" spans="1:10" x14ac:dyDescent="0.3">
      <c r="A141" s="4">
        <f t="shared" si="5"/>
        <v>31</v>
      </c>
      <c r="B141" s="33" t="s">
        <v>100</v>
      </c>
      <c r="E141" s="9">
        <f>'Stmt AF'!I19</f>
        <v>0</v>
      </c>
      <c r="G141" s="4" t="s">
        <v>101</v>
      </c>
      <c r="H141" s="4">
        <f t="shared" si="6"/>
        <v>31</v>
      </c>
    </row>
    <row r="142" spans="1:10" ht="16.2" thickBot="1" x14ac:dyDescent="0.35">
      <c r="A142" s="4">
        <f t="shared" si="5"/>
        <v>32</v>
      </c>
      <c r="B142" s="32" t="s">
        <v>102</v>
      </c>
      <c r="E142" s="17">
        <f>SUM(E140:E141)</f>
        <v>0</v>
      </c>
      <c r="G142" s="4" t="s">
        <v>103</v>
      </c>
      <c r="H142" s="4">
        <f t="shared" si="6"/>
        <v>32</v>
      </c>
    </row>
    <row r="143" spans="1:10" ht="16.2" thickTop="1" x14ac:dyDescent="0.3">
      <c r="A143" s="4">
        <f t="shared" si="5"/>
        <v>33</v>
      </c>
      <c r="B143" s="33"/>
      <c r="E143" s="10"/>
      <c r="G143" s="4"/>
      <c r="H143" s="4">
        <f t="shared" si="6"/>
        <v>33</v>
      </c>
    </row>
    <row r="144" spans="1:10" ht="18" x14ac:dyDescent="0.3">
      <c r="A144" s="4">
        <f t="shared" si="5"/>
        <v>34</v>
      </c>
      <c r="B144" s="251" t="s">
        <v>104</v>
      </c>
      <c r="E144" s="10"/>
      <c r="G144" s="4"/>
      <c r="H144" s="4">
        <f t="shared" si="6"/>
        <v>34</v>
      </c>
    </row>
    <row r="145" spans="1:8" x14ac:dyDescent="0.3">
      <c r="A145" s="4">
        <f t="shared" si="5"/>
        <v>35</v>
      </c>
      <c r="B145" s="33" t="s">
        <v>105</v>
      </c>
      <c r="E145" s="7">
        <f>'Stmt Misc.'!E18</f>
        <v>0</v>
      </c>
      <c r="G145" s="4" t="s">
        <v>106</v>
      </c>
      <c r="H145" s="4">
        <f t="shared" si="6"/>
        <v>35</v>
      </c>
    </row>
    <row r="146" spans="1:8" x14ac:dyDescent="0.3">
      <c r="A146" s="4">
        <f t="shared" si="5"/>
        <v>36</v>
      </c>
      <c r="B146" s="32" t="s">
        <v>107</v>
      </c>
      <c r="E146" s="845">
        <f>'Stmt AF'!I23</f>
        <v>0</v>
      </c>
      <c r="G146" s="4" t="s">
        <v>108</v>
      </c>
      <c r="H146" s="4">
        <f t="shared" si="6"/>
        <v>36</v>
      </c>
    </row>
    <row r="147" spans="1:8" ht="16.2" thickBot="1" x14ac:dyDescent="0.35">
      <c r="A147" s="4">
        <f t="shared" si="5"/>
        <v>37</v>
      </c>
      <c r="B147" s="32" t="s">
        <v>109</v>
      </c>
      <c r="E147" s="17">
        <f>SUM(E145:E146)</f>
        <v>0</v>
      </c>
      <c r="G147" s="4" t="s">
        <v>110</v>
      </c>
      <c r="H147" s="4">
        <f t="shared" si="6"/>
        <v>37</v>
      </c>
    </row>
    <row r="148" spans="1:8" ht="16.2" thickTop="1" x14ac:dyDescent="0.3">
      <c r="A148" s="4">
        <f t="shared" si="5"/>
        <v>38</v>
      </c>
      <c r="B148" s="33"/>
      <c r="E148" s="10"/>
      <c r="G148" s="4"/>
      <c r="H148" s="4">
        <f t="shared" si="6"/>
        <v>38</v>
      </c>
    </row>
    <row r="149" spans="1:8" ht="18.600000000000001" thickBot="1" x14ac:dyDescent="0.35">
      <c r="A149" s="4">
        <f t="shared" si="5"/>
        <v>39</v>
      </c>
      <c r="B149" s="251" t="s">
        <v>111</v>
      </c>
      <c r="E149" s="1171">
        <f>'Stmt AM'!E11</f>
        <v>0</v>
      </c>
      <c r="G149" s="4" t="s">
        <v>112</v>
      </c>
      <c r="H149" s="4">
        <f t="shared" ref="H149" si="7">H148+1</f>
        <v>39</v>
      </c>
    </row>
    <row r="150" spans="1:8" ht="16.2" thickTop="1" x14ac:dyDescent="0.3">
      <c r="A150" s="4"/>
      <c r="B150" s="33"/>
      <c r="E150" s="10"/>
      <c r="G150" s="4"/>
    </row>
    <row r="151" spans="1:8" x14ac:dyDescent="0.3">
      <c r="A151" s="4"/>
      <c r="B151" s="33"/>
      <c r="E151" s="10"/>
      <c r="G151" s="4"/>
    </row>
    <row r="152" spans="1:8" ht="18" x14ac:dyDescent="0.3">
      <c r="A152" s="256">
        <v>1</v>
      </c>
      <c r="B152" s="33" t="s">
        <v>113</v>
      </c>
      <c r="E152" s="10"/>
      <c r="G152" s="4"/>
    </row>
    <row r="153" spans="1:8" ht="18" x14ac:dyDescent="0.3">
      <c r="A153" s="256">
        <v>2</v>
      </c>
      <c r="B153" s="32" t="s">
        <v>54</v>
      </c>
      <c r="E153" s="10"/>
      <c r="G153" s="4"/>
    </row>
    <row r="154" spans="1:8" x14ac:dyDescent="0.3">
      <c r="A154" s="4"/>
      <c r="B154" s="1"/>
      <c r="E154" s="10"/>
      <c r="G154" s="4"/>
    </row>
    <row r="155" spans="1:8" x14ac:dyDescent="0.3">
      <c r="A155" s="4"/>
      <c r="B155" s="1"/>
      <c r="E155" s="10"/>
      <c r="G155" s="4"/>
    </row>
    <row r="156" spans="1:8" x14ac:dyDescent="0.3">
      <c r="A156" s="4"/>
      <c r="B156" s="1222" t="s">
        <v>0</v>
      </c>
      <c r="C156" s="1223"/>
      <c r="D156" s="1223"/>
      <c r="E156" s="1223"/>
      <c r="F156" s="1223"/>
      <c r="G156" s="1223"/>
    </row>
    <row r="157" spans="1:8" x14ac:dyDescent="0.3">
      <c r="A157" s="4" t="s">
        <v>1</v>
      </c>
      <c r="B157" s="1222" t="s">
        <v>2</v>
      </c>
      <c r="C157" s="1223"/>
      <c r="D157" s="1223"/>
      <c r="E157" s="1223"/>
      <c r="F157" s="1223"/>
      <c r="G157" s="1223"/>
    </row>
    <row r="158" spans="1:8" ht="18" x14ac:dyDescent="0.3">
      <c r="A158" s="4"/>
      <c r="B158" s="1222" t="s">
        <v>3</v>
      </c>
      <c r="C158" s="1224"/>
      <c r="D158" s="1224"/>
      <c r="E158" s="1224"/>
      <c r="F158" s="1224"/>
      <c r="G158" s="1224"/>
    </row>
    <row r="159" spans="1:8" x14ac:dyDescent="0.3">
      <c r="A159" s="4"/>
      <c r="B159" s="1227" t="str">
        <f>B5</f>
        <v>For the Base Period &amp; True-Up Period Ending December 31, 2023</v>
      </c>
      <c r="C159" s="1228"/>
      <c r="D159" s="1228"/>
      <c r="E159" s="1228"/>
      <c r="F159" s="1228"/>
      <c r="G159" s="1228"/>
    </row>
    <row r="160" spans="1:8" x14ac:dyDescent="0.3">
      <c r="A160" s="4"/>
      <c r="B160" s="1226" t="s">
        <v>4</v>
      </c>
      <c r="C160" s="1223"/>
      <c r="D160" s="1223"/>
      <c r="E160" s="1223"/>
      <c r="F160" s="1223"/>
      <c r="G160" s="1223"/>
    </row>
    <row r="161" spans="1:10" x14ac:dyDescent="0.3">
      <c r="A161" s="4"/>
      <c r="B161" s="35"/>
    </row>
    <row r="162" spans="1:10" x14ac:dyDescent="0.3">
      <c r="A162" s="4" t="s">
        <v>5</v>
      </c>
      <c r="E162" s="25"/>
      <c r="G162" s="4"/>
      <c r="H162" s="4" t="s">
        <v>5</v>
      </c>
    </row>
    <row r="163" spans="1:10" x14ac:dyDescent="0.3">
      <c r="A163" s="4" t="s">
        <v>6</v>
      </c>
      <c r="B163" s="1" t="s">
        <v>1</v>
      </c>
      <c r="E163" s="914" t="s">
        <v>7</v>
      </c>
      <c r="G163" s="852" t="s">
        <v>8</v>
      </c>
      <c r="H163" s="4" t="s">
        <v>6</v>
      </c>
    </row>
    <row r="164" spans="1:10" x14ac:dyDescent="0.3">
      <c r="A164" s="4"/>
      <c r="B164" s="251" t="s">
        <v>114</v>
      </c>
      <c r="E164" s="25"/>
      <c r="G164" s="4"/>
    </row>
    <row r="165" spans="1:10" x14ac:dyDescent="0.3">
      <c r="A165" s="4">
        <v>1</v>
      </c>
      <c r="B165" s="253" t="s">
        <v>115</v>
      </c>
      <c r="E165" s="25"/>
      <c r="G165" s="4"/>
      <c r="H165" s="4">
        <f>A165</f>
        <v>1</v>
      </c>
    </row>
    <row r="166" spans="1:10" x14ac:dyDescent="0.3">
      <c r="A166" s="4">
        <f t="shared" ref="A166:A189" si="8">A165+1</f>
        <v>2</v>
      </c>
      <c r="B166" s="33" t="s">
        <v>58</v>
      </c>
      <c r="E166" s="7">
        <f>'Stmt AD'!I21</f>
        <v>7990057.3968355898</v>
      </c>
      <c r="F166" s="72"/>
      <c r="G166" s="4" t="s">
        <v>116</v>
      </c>
      <c r="H166" s="4">
        <f t="shared" ref="H166:H189" si="9">H165+1</f>
        <v>2</v>
      </c>
      <c r="J166" s="730"/>
    </row>
    <row r="167" spans="1:10" x14ac:dyDescent="0.3">
      <c r="A167" s="4">
        <f t="shared" si="8"/>
        <v>3</v>
      </c>
      <c r="B167" s="33" t="s">
        <v>117</v>
      </c>
      <c r="E167" s="9">
        <f>'Stmt AD'!I37</f>
        <v>23810.070405144139</v>
      </c>
      <c r="F167" s="72"/>
      <c r="G167" s="4" t="s">
        <v>118</v>
      </c>
      <c r="H167" s="4">
        <f t="shared" si="9"/>
        <v>3</v>
      </c>
      <c r="J167" s="255"/>
    </row>
    <row r="168" spans="1:10" x14ac:dyDescent="0.3">
      <c r="A168" s="4">
        <f t="shared" si="8"/>
        <v>4</v>
      </c>
      <c r="B168" s="33" t="s">
        <v>62</v>
      </c>
      <c r="E168" s="9">
        <f>'Stmt AD'!I39</f>
        <v>118679.32221898218</v>
      </c>
      <c r="F168" s="1"/>
      <c r="G168" s="4" t="s">
        <v>119</v>
      </c>
      <c r="H168" s="4">
        <f t="shared" si="9"/>
        <v>4</v>
      </c>
    </row>
    <row r="169" spans="1:10" x14ac:dyDescent="0.3">
      <c r="A169" s="4">
        <f t="shared" si="8"/>
        <v>5</v>
      </c>
      <c r="B169" s="33" t="s">
        <v>64</v>
      </c>
      <c r="C169" s="4"/>
      <c r="D169" s="4"/>
      <c r="E169" s="845">
        <f>'Stmt AD'!I41</f>
        <v>336812.87323412113</v>
      </c>
      <c r="F169" s="1"/>
      <c r="G169" s="4" t="s">
        <v>120</v>
      </c>
      <c r="H169" s="4">
        <f t="shared" si="9"/>
        <v>5</v>
      </c>
    </row>
    <row r="170" spans="1:10" x14ac:dyDescent="0.3">
      <c r="A170" s="4">
        <f t="shared" si="8"/>
        <v>6</v>
      </c>
      <c r="B170" s="33" t="s">
        <v>121</v>
      </c>
      <c r="E170" s="917">
        <f>SUM(E166:E169)</f>
        <v>8469359.6626938377</v>
      </c>
      <c r="F170" s="72"/>
      <c r="G170" s="4" t="s">
        <v>67</v>
      </c>
      <c r="H170" s="4">
        <f t="shared" si="9"/>
        <v>6</v>
      </c>
      <c r="J170" s="255"/>
    </row>
    <row r="171" spans="1:10" x14ac:dyDescent="0.3">
      <c r="A171" s="4">
        <f t="shared" si="8"/>
        <v>7</v>
      </c>
      <c r="C171" s="4"/>
      <c r="D171" s="4"/>
      <c r="E171" s="25"/>
      <c r="G171" s="4"/>
      <c r="H171" s="4">
        <f t="shared" si="9"/>
        <v>7</v>
      </c>
    </row>
    <row r="172" spans="1:10" x14ac:dyDescent="0.3">
      <c r="A172" s="4">
        <f t="shared" si="8"/>
        <v>8</v>
      </c>
      <c r="B172" s="254" t="s">
        <v>122</v>
      </c>
      <c r="E172" s="25"/>
      <c r="G172" s="4"/>
      <c r="H172" s="4">
        <f t="shared" si="9"/>
        <v>8</v>
      </c>
    </row>
    <row r="173" spans="1:10" x14ac:dyDescent="0.3">
      <c r="A173" s="4">
        <f t="shared" si="8"/>
        <v>9</v>
      </c>
      <c r="B173" s="32" t="s">
        <v>123</v>
      </c>
      <c r="E173" s="7">
        <f>'Stmt AE'!I11</f>
        <v>1933499.1032278647</v>
      </c>
      <c r="F173" s="72"/>
      <c r="G173" s="4" t="s">
        <v>124</v>
      </c>
      <c r="H173" s="4">
        <f t="shared" si="9"/>
        <v>9</v>
      </c>
    </row>
    <row r="174" spans="1:10" x14ac:dyDescent="0.3">
      <c r="A174" s="4">
        <f t="shared" si="8"/>
        <v>10</v>
      </c>
      <c r="B174" s="32" t="s">
        <v>125</v>
      </c>
      <c r="E174" s="9">
        <f>'Stmt AE'!I21</f>
        <v>14658.345197067425</v>
      </c>
      <c r="F174" s="72"/>
      <c r="G174" s="4" t="s">
        <v>126</v>
      </c>
      <c r="H174" s="4">
        <f t="shared" si="9"/>
        <v>10</v>
      </c>
    </row>
    <row r="175" spans="1:10" x14ac:dyDescent="0.3">
      <c r="A175" s="4">
        <f t="shared" si="8"/>
        <v>11</v>
      </c>
      <c r="B175" s="32" t="s">
        <v>127</v>
      </c>
      <c r="E175" s="9">
        <f>'Stmt AE'!I23</f>
        <v>51119.837024610781</v>
      </c>
      <c r="F175" s="1"/>
      <c r="G175" s="4" t="s">
        <v>128</v>
      </c>
      <c r="H175" s="4">
        <f t="shared" si="9"/>
        <v>11</v>
      </c>
    </row>
    <row r="176" spans="1:10" x14ac:dyDescent="0.3">
      <c r="A176" s="4">
        <f t="shared" si="8"/>
        <v>12</v>
      </c>
      <c r="B176" s="32" t="s">
        <v>129</v>
      </c>
      <c r="E176" s="845">
        <f>'Stmt AE'!I25</f>
        <v>140292.61554820111</v>
      </c>
      <c r="F176" s="1"/>
      <c r="G176" s="4" t="s">
        <v>130</v>
      </c>
      <c r="H176" s="4">
        <f t="shared" si="9"/>
        <v>12</v>
      </c>
    </row>
    <row r="177" spans="1:8" x14ac:dyDescent="0.3">
      <c r="A177" s="4">
        <f t="shared" si="8"/>
        <v>13</v>
      </c>
      <c r="B177" s="255" t="s">
        <v>131</v>
      </c>
      <c r="C177" s="255"/>
      <c r="D177" s="255"/>
      <c r="E177" s="917">
        <f>SUM(E173:E176)</f>
        <v>2139569.9009977439</v>
      </c>
      <c r="F177" s="72"/>
      <c r="G177" s="4" t="s">
        <v>132</v>
      </c>
      <c r="H177" s="4">
        <f t="shared" si="9"/>
        <v>13</v>
      </c>
    </row>
    <row r="178" spans="1:8" x14ac:dyDescent="0.3">
      <c r="A178" s="4">
        <f t="shared" si="8"/>
        <v>14</v>
      </c>
      <c r="B178" s="255"/>
      <c r="C178" s="255"/>
      <c r="D178" s="255"/>
      <c r="E178" s="8"/>
      <c r="G178" s="4"/>
      <c r="H178" s="4">
        <f t="shared" si="9"/>
        <v>14</v>
      </c>
    </row>
    <row r="179" spans="1:8" x14ac:dyDescent="0.3">
      <c r="A179" s="4">
        <f t="shared" si="8"/>
        <v>15</v>
      </c>
      <c r="B179" s="253" t="s">
        <v>57</v>
      </c>
      <c r="C179" s="255"/>
      <c r="D179" s="255"/>
      <c r="E179" s="8"/>
      <c r="G179" s="4"/>
      <c r="H179" s="4">
        <f t="shared" si="9"/>
        <v>15</v>
      </c>
    </row>
    <row r="180" spans="1:8" x14ac:dyDescent="0.3">
      <c r="A180" s="4">
        <f t="shared" si="8"/>
        <v>16</v>
      </c>
      <c r="B180" s="33" t="s">
        <v>58</v>
      </c>
      <c r="E180" s="10">
        <f>+E166-E173</f>
        <v>6056558.2936077248</v>
      </c>
      <c r="F180" s="72"/>
      <c r="G180" s="4" t="s">
        <v>1729</v>
      </c>
      <c r="H180" s="4">
        <f t="shared" si="9"/>
        <v>16</v>
      </c>
    </row>
    <row r="181" spans="1:8" x14ac:dyDescent="0.3">
      <c r="A181" s="4">
        <f t="shared" si="8"/>
        <v>17</v>
      </c>
      <c r="B181" s="33" t="s">
        <v>60</v>
      </c>
      <c r="E181" s="8">
        <f>+E167-E174</f>
        <v>9151.7252080767139</v>
      </c>
      <c r="F181" s="72"/>
      <c r="G181" s="4" t="s">
        <v>1730</v>
      </c>
      <c r="H181" s="4">
        <f t="shared" si="9"/>
        <v>17</v>
      </c>
    </row>
    <row r="182" spans="1:8" x14ac:dyDescent="0.3">
      <c r="A182" s="4">
        <f t="shared" si="8"/>
        <v>18</v>
      </c>
      <c r="B182" s="33" t="s">
        <v>62</v>
      </c>
      <c r="E182" s="8">
        <f>+E168-E175</f>
        <v>67559.485194371402</v>
      </c>
      <c r="G182" s="4" t="s">
        <v>1731</v>
      </c>
      <c r="H182" s="4">
        <f t="shared" si="9"/>
        <v>18</v>
      </c>
    </row>
    <row r="183" spans="1:8" x14ac:dyDescent="0.3">
      <c r="A183" s="4">
        <f t="shared" si="8"/>
        <v>19</v>
      </c>
      <c r="B183" s="33" t="s">
        <v>64</v>
      </c>
      <c r="E183" s="918">
        <f>+E169-E176</f>
        <v>196520.25768592002</v>
      </c>
      <c r="G183" s="4" t="s">
        <v>1732</v>
      </c>
      <c r="H183" s="4">
        <f t="shared" si="9"/>
        <v>19</v>
      </c>
    </row>
    <row r="184" spans="1:8" ht="16.2" thickBot="1" x14ac:dyDescent="0.35">
      <c r="A184" s="4">
        <f t="shared" si="8"/>
        <v>20</v>
      </c>
      <c r="B184" s="32" t="s">
        <v>66</v>
      </c>
      <c r="E184" s="17">
        <f>SUM(E180:E183)</f>
        <v>6329789.7616960928</v>
      </c>
      <c r="F184" s="72"/>
      <c r="G184" s="4" t="s">
        <v>133</v>
      </c>
      <c r="H184" s="4">
        <f t="shared" si="9"/>
        <v>20</v>
      </c>
    </row>
    <row r="185" spans="1:8" ht="16.2" thickTop="1" x14ac:dyDescent="0.3">
      <c r="A185" s="4">
        <f t="shared" si="8"/>
        <v>21</v>
      </c>
      <c r="E185" s="10"/>
      <c r="G185" s="4"/>
      <c r="H185" s="4">
        <f t="shared" si="9"/>
        <v>21</v>
      </c>
    </row>
    <row r="186" spans="1:8" ht="18" x14ac:dyDescent="0.3">
      <c r="A186" s="4">
        <f t="shared" si="8"/>
        <v>22</v>
      </c>
      <c r="B186" s="251" t="s">
        <v>134</v>
      </c>
      <c r="E186" s="10"/>
      <c r="G186" s="4"/>
      <c r="H186" s="4">
        <f t="shared" si="9"/>
        <v>22</v>
      </c>
    </row>
    <row r="187" spans="1:8" x14ac:dyDescent="0.3">
      <c r="A187" s="4">
        <f t="shared" si="8"/>
        <v>23</v>
      </c>
      <c r="B187" s="33" t="s">
        <v>135</v>
      </c>
      <c r="E187" s="7">
        <f>'Stmt AD'!I23</f>
        <v>0</v>
      </c>
      <c r="G187" s="4" t="s">
        <v>136</v>
      </c>
      <c r="H187" s="4">
        <f t="shared" si="9"/>
        <v>23</v>
      </c>
    </row>
    <row r="188" spans="1:8" x14ac:dyDescent="0.3">
      <c r="A188" s="4">
        <f t="shared" si="8"/>
        <v>24</v>
      </c>
      <c r="B188" s="32" t="s">
        <v>137</v>
      </c>
      <c r="E188" s="845">
        <f>'Stmt AE'!I29</f>
        <v>0</v>
      </c>
      <c r="G188" s="4" t="s">
        <v>138</v>
      </c>
      <c r="H188" s="4">
        <f t="shared" si="9"/>
        <v>24</v>
      </c>
    </row>
    <row r="189" spans="1:8" ht="16.2" thickBot="1" x14ac:dyDescent="0.35">
      <c r="A189" s="4">
        <f t="shared" si="8"/>
        <v>25</v>
      </c>
      <c r="B189" s="33" t="s">
        <v>139</v>
      </c>
      <c r="E189" s="24">
        <f>E187-E188</f>
        <v>0</v>
      </c>
      <c r="G189" s="4" t="s">
        <v>1733</v>
      </c>
      <c r="H189" s="4">
        <f t="shared" si="9"/>
        <v>25</v>
      </c>
    </row>
    <row r="190" spans="1:8" ht="16.2" thickTop="1" x14ac:dyDescent="0.3">
      <c r="A190" s="4"/>
      <c r="B190" s="33"/>
      <c r="E190" s="10"/>
      <c r="G190" s="4"/>
    </row>
    <row r="191" spans="1:8" x14ac:dyDescent="0.3">
      <c r="A191" s="4"/>
      <c r="B191" s="33"/>
      <c r="E191" s="10"/>
      <c r="G191" s="4"/>
    </row>
    <row r="192" spans="1:8" ht="18" x14ac:dyDescent="0.3">
      <c r="A192" s="256">
        <v>1</v>
      </c>
      <c r="B192" s="32" t="s">
        <v>140</v>
      </c>
      <c r="E192" s="10"/>
      <c r="G192" s="4"/>
    </row>
    <row r="193" spans="1:9" x14ac:dyDescent="0.3">
      <c r="A193" s="4"/>
      <c r="E193" s="10"/>
      <c r="G193" s="4"/>
    </row>
    <row r="194" spans="1:9" x14ac:dyDescent="0.3">
      <c r="A194" s="72"/>
      <c r="E194" s="10"/>
      <c r="G194" s="4"/>
    </row>
    <row r="195" spans="1:9" x14ac:dyDescent="0.3">
      <c r="A195" s="4"/>
      <c r="B195" s="1222" t="s">
        <v>0</v>
      </c>
      <c r="C195" s="1223"/>
      <c r="D195" s="1223"/>
      <c r="E195" s="1223"/>
      <c r="F195" s="1223"/>
      <c r="G195" s="1223"/>
    </row>
    <row r="196" spans="1:9" x14ac:dyDescent="0.3">
      <c r="A196" s="4"/>
      <c r="B196" s="1222" t="s">
        <v>2</v>
      </c>
      <c r="C196" s="1223"/>
      <c r="D196" s="1223"/>
      <c r="E196" s="1223"/>
      <c r="F196" s="1223"/>
      <c r="G196" s="1223"/>
    </row>
    <row r="197" spans="1:9" ht="18" x14ac:dyDescent="0.3">
      <c r="A197" s="4"/>
      <c r="B197" s="1222" t="s">
        <v>141</v>
      </c>
      <c r="C197" s="1224"/>
      <c r="D197" s="1224"/>
      <c r="E197" s="1224"/>
      <c r="F197" s="1224"/>
      <c r="G197" s="1224"/>
    </row>
    <row r="198" spans="1:9" x14ac:dyDescent="0.3">
      <c r="A198" s="4"/>
      <c r="B198" s="1225" t="s">
        <v>1790</v>
      </c>
      <c r="C198" s="1229"/>
      <c r="D198" s="1229"/>
      <c r="E198" s="1229"/>
      <c r="F198" s="1229"/>
      <c r="G198" s="1229"/>
    </row>
    <row r="199" spans="1:9" x14ac:dyDescent="0.3">
      <c r="A199" s="4"/>
      <c r="B199" s="1226" t="s">
        <v>4</v>
      </c>
      <c r="C199" s="1223"/>
      <c r="D199" s="1223"/>
      <c r="E199" s="1223"/>
      <c r="F199" s="1223"/>
      <c r="G199" s="1223"/>
    </row>
    <row r="200" spans="1:9" x14ac:dyDescent="0.3">
      <c r="A200" s="4"/>
      <c r="B200" s="265"/>
      <c r="C200" s="1"/>
      <c r="D200" s="1"/>
      <c r="E200" s="1"/>
      <c r="F200" s="1"/>
      <c r="G200" s="1"/>
    </row>
    <row r="201" spans="1:9" x14ac:dyDescent="0.3">
      <c r="A201" s="4" t="s">
        <v>5</v>
      </c>
      <c r="E201" s="25"/>
      <c r="G201" s="4"/>
      <c r="H201" s="4" t="s">
        <v>5</v>
      </c>
    </row>
    <row r="202" spans="1:9" x14ac:dyDescent="0.3">
      <c r="A202" s="4" t="s">
        <v>6</v>
      </c>
      <c r="B202" s="1" t="s">
        <v>1</v>
      </c>
      <c r="E202" s="914" t="s">
        <v>7</v>
      </c>
      <c r="G202" s="852" t="s">
        <v>8</v>
      </c>
      <c r="H202" s="4" t="s">
        <v>6</v>
      </c>
    </row>
    <row r="203" spans="1:9" x14ac:dyDescent="0.3">
      <c r="A203" s="4"/>
      <c r="B203" s="34" t="s">
        <v>142</v>
      </c>
      <c r="E203" s="264"/>
      <c r="G203" s="4"/>
    </row>
    <row r="204" spans="1:9" ht="18" x14ac:dyDescent="0.3">
      <c r="A204" s="4"/>
      <c r="B204" s="34" t="s">
        <v>143</v>
      </c>
      <c r="E204" s="13"/>
      <c r="G204" s="4"/>
    </row>
    <row r="205" spans="1:9" x14ac:dyDescent="0.3">
      <c r="A205" s="4"/>
      <c r="B205" s="34" t="s">
        <v>144</v>
      </c>
      <c r="E205" s="13"/>
      <c r="G205" s="4"/>
    </row>
    <row r="206" spans="1:9" x14ac:dyDescent="0.3">
      <c r="A206" s="4">
        <v>1</v>
      </c>
      <c r="B206" s="607" t="s">
        <v>23</v>
      </c>
      <c r="C206" s="841"/>
      <c r="D206" s="841"/>
      <c r="E206" s="1120">
        <f>E137</f>
        <v>5321483.1792480703</v>
      </c>
      <c r="F206" s="1117"/>
      <c r="G206" s="629" t="s">
        <v>24</v>
      </c>
      <c r="H206" s="4">
        <v>1</v>
      </c>
      <c r="I206" s="361"/>
    </row>
    <row r="207" spans="1:9" x14ac:dyDescent="0.3">
      <c r="A207" s="4">
        <f>A206+1</f>
        <v>2</v>
      </c>
      <c r="B207" s="607" t="s">
        <v>1748</v>
      </c>
      <c r="C207" s="841"/>
      <c r="D207" s="841"/>
      <c r="E207" s="1203">
        <f>-E126</f>
        <v>1118185.2622200265</v>
      </c>
      <c r="F207" s="1117"/>
      <c r="G207" s="629" t="s">
        <v>1829</v>
      </c>
      <c r="H207" s="4">
        <f>H206+1</f>
        <v>2</v>
      </c>
      <c r="I207" s="361"/>
    </row>
    <row r="208" spans="1:9" x14ac:dyDescent="0.3">
      <c r="A208" s="4">
        <f>A207+1</f>
        <v>3</v>
      </c>
      <c r="B208" s="607" t="s">
        <v>1754</v>
      </c>
      <c r="C208" s="841"/>
      <c r="D208" s="841"/>
      <c r="E208" s="1172">
        <f>'Stmt AF'!I25</f>
        <v>-682584.54025826952</v>
      </c>
      <c r="F208" s="1121"/>
      <c r="G208" s="4" t="s">
        <v>1772</v>
      </c>
      <c r="H208" s="4">
        <f t="shared" ref="H208:H209" si="10">H207+1</f>
        <v>3</v>
      </c>
      <c r="I208" s="361"/>
    </row>
    <row r="209" spans="1:10" x14ac:dyDescent="0.3">
      <c r="A209" s="4">
        <f t="shared" ref="A209:A237" si="11">A208+1</f>
        <v>4</v>
      </c>
      <c r="B209" s="607" t="s">
        <v>1781</v>
      </c>
      <c r="C209" s="841"/>
      <c r="D209" s="841"/>
      <c r="E209" s="1129">
        <f>SUM(E206:E208)</f>
        <v>5757083.9012098275</v>
      </c>
      <c r="F209" s="1117"/>
      <c r="G209" s="629" t="s">
        <v>487</v>
      </c>
      <c r="H209" s="4">
        <f t="shared" si="10"/>
        <v>4</v>
      </c>
      <c r="I209" s="361"/>
    </row>
    <row r="210" spans="1:10" x14ac:dyDescent="0.3">
      <c r="A210" s="4">
        <f t="shared" si="11"/>
        <v>5</v>
      </c>
      <c r="B210" s="607"/>
      <c r="C210" s="841"/>
      <c r="D210" s="841"/>
      <c r="E210" s="1122"/>
      <c r="F210" s="1117"/>
      <c r="G210" s="629"/>
      <c r="H210" s="4">
        <f t="shared" ref="H210:H237" si="12">H209+1</f>
        <v>5</v>
      </c>
      <c r="I210" s="361"/>
    </row>
    <row r="211" spans="1:10" ht="18" x14ac:dyDescent="0.3">
      <c r="A211" s="4">
        <f t="shared" si="11"/>
        <v>6</v>
      </c>
      <c r="B211" s="33" t="s">
        <v>1622</v>
      </c>
      <c r="C211" s="841"/>
      <c r="D211" s="841"/>
      <c r="E211" s="1137">
        <f>IFERROR('Stmt AV'!G158,0)</f>
        <v>0.10681956539018267</v>
      </c>
      <c r="F211" s="841"/>
      <c r="G211" s="629" t="s">
        <v>1806</v>
      </c>
      <c r="H211" s="4">
        <f t="shared" si="12"/>
        <v>6</v>
      </c>
      <c r="I211" s="361"/>
    </row>
    <row r="212" spans="1:10" x14ac:dyDescent="0.3">
      <c r="A212" s="4">
        <f t="shared" si="11"/>
        <v>7</v>
      </c>
      <c r="B212" s="33"/>
      <c r="C212" s="841"/>
      <c r="D212" s="841"/>
      <c r="E212" s="1128"/>
      <c r="F212" s="841"/>
      <c r="G212" s="629"/>
      <c r="H212" s="4">
        <f t="shared" si="12"/>
        <v>7</v>
      </c>
      <c r="I212" s="361"/>
    </row>
    <row r="213" spans="1:10" x14ac:dyDescent="0.3">
      <c r="A213" s="4">
        <f t="shared" si="11"/>
        <v>8</v>
      </c>
      <c r="B213" s="607" t="s">
        <v>1596</v>
      </c>
      <c r="C213" s="841"/>
      <c r="D213" s="841"/>
      <c r="E213" s="1122">
        <f>E209*E211</f>
        <v>614969.20024205116</v>
      </c>
      <c r="F213" s="1117"/>
      <c r="G213" s="629" t="s">
        <v>1756</v>
      </c>
      <c r="H213" s="4">
        <f t="shared" si="12"/>
        <v>8</v>
      </c>
      <c r="I213" s="361"/>
    </row>
    <row r="214" spans="1:10" x14ac:dyDescent="0.3">
      <c r="A214" s="4">
        <f t="shared" si="11"/>
        <v>9</v>
      </c>
      <c r="B214" s="32" t="s">
        <v>1597</v>
      </c>
      <c r="C214" s="841"/>
      <c r="D214" s="841"/>
      <c r="E214" s="1203">
        <f>E29+E33</f>
        <v>588571.70058642223</v>
      </c>
      <c r="F214" s="841"/>
      <c r="G214" s="629" t="s">
        <v>1813</v>
      </c>
      <c r="H214" s="4">
        <f t="shared" si="12"/>
        <v>9</v>
      </c>
      <c r="I214" s="361"/>
    </row>
    <row r="215" spans="1:10" x14ac:dyDescent="0.3">
      <c r="A215" s="4">
        <f t="shared" si="11"/>
        <v>10</v>
      </c>
      <c r="B215" s="607" t="s">
        <v>1755</v>
      </c>
      <c r="C215" s="841"/>
      <c r="D215" s="841"/>
      <c r="E215" s="1129">
        <f>E213-E214</f>
        <v>26397.499655628926</v>
      </c>
      <c r="F215" s="1121"/>
      <c r="G215" s="629" t="s">
        <v>1757</v>
      </c>
      <c r="H215" s="4">
        <f t="shared" si="12"/>
        <v>10</v>
      </c>
      <c r="I215" s="361"/>
    </row>
    <row r="216" spans="1:10" x14ac:dyDescent="0.3">
      <c r="A216" s="4">
        <f t="shared" si="11"/>
        <v>11</v>
      </c>
      <c r="B216" s="34"/>
      <c r="E216" s="13"/>
      <c r="G216" s="4"/>
      <c r="H216" s="4">
        <f t="shared" si="12"/>
        <v>11</v>
      </c>
      <c r="I216" s="361"/>
    </row>
    <row r="217" spans="1:10" ht="18" x14ac:dyDescent="0.3">
      <c r="A217" s="4">
        <f t="shared" si="11"/>
        <v>12</v>
      </c>
      <c r="B217" s="32" t="s">
        <v>145</v>
      </c>
      <c r="E217" s="7">
        <f>E40</f>
        <v>1172663.2254575258</v>
      </c>
      <c r="F217" s="221"/>
      <c r="G217" s="4" t="s">
        <v>1822</v>
      </c>
      <c r="H217" s="4">
        <f t="shared" si="12"/>
        <v>12</v>
      </c>
      <c r="I217" s="361"/>
    </row>
    <row r="218" spans="1:10" x14ac:dyDescent="0.3">
      <c r="A218" s="4">
        <f t="shared" si="11"/>
        <v>13</v>
      </c>
      <c r="B218" s="32" t="s">
        <v>146</v>
      </c>
      <c r="E218" s="8">
        <f>(-E11)*0.5</f>
        <v>-58631.107625000004</v>
      </c>
      <c r="F218" s="72"/>
      <c r="G218" s="4" t="s">
        <v>147</v>
      </c>
      <c r="H218" s="4">
        <f t="shared" si="12"/>
        <v>13</v>
      </c>
      <c r="I218" s="361"/>
    </row>
    <row r="219" spans="1:10" x14ac:dyDescent="0.3">
      <c r="A219" s="4">
        <f t="shared" si="11"/>
        <v>14</v>
      </c>
      <c r="B219" s="32" t="s">
        <v>148</v>
      </c>
      <c r="E219" s="8">
        <f>(-E13)*0.5</f>
        <v>-60279.212286825903</v>
      </c>
      <c r="F219" s="221"/>
      <c r="G219" s="4" t="s">
        <v>149</v>
      </c>
      <c r="H219" s="4">
        <f t="shared" si="12"/>
        <v>14</v>
      </c>
      <c r="I219" s="361"/>
    </row>
    <row r="220" spans="1:10" x14ac:dyDescent="0.3">
      <c r="A220" s="4">
        <f t="shared" si="11"/>
        <v>15</v>
      </c>
      <c r="B220" s="33" t="s">
        <v>12</v>
      </c>
      <c r="E220" s="8">
        <f>-E15</f>
        <v>0</v>
      </c>
      <c r="G220" s="4" t="s">
        <v>150</v>
      </c>
      <c r="H220" s="4">
        <f t="shared" si="12"/>
        <v>15</v>
      </c>
      <c r="I220" s="361"/>
    </row>
    <row r="221" spans="1:10" x14ac:dyDescent="0.3">
      <c r="A221" s="4">
        <f t="shared" si="11"/>
        <v>16</v>
      </c>
      <c r="B221" s="32" t="s">
        <v>26</v>
      </c>
      <c r="E221" s="8">
        <f>-E35</f>
        <v>-1304.0991895338727</v>
      </c>
      <c r="G221" s="4" t="s">
        <v>1831</v>
      </c>
      <c r="H221" s="4">
        <f t="shared" si="12"/>
        <v>16</v>
      </c>
      <c r="I221" s="361"/>
      <c r="J221" s="33"/>
    </row>
    <row r="222" spans="1:10" x14ac:dyDescent="0.3">
      <c r="A222" s="4">
        <f t="shared" si="11"/>
        <v>17</v>
      </c>
      <c r="B222" s="252" t="s">
        <v>32</v>
      </c>
      <c r="E222" s="11">
        <f>-E38</f>
        <v>0</v>
      </c>
      <c r="G222" s="4" t="s">
        <v>1832</v>
      </c>
      <c r="H222" s="4">
        <f t="shared" si="12"/>
        <v>17</v>
      </c>
      <c r="I222" s="361"/>
    </row>
    <row r="223" spans="1:10" x14ac:dyDescent="0.3">
      <c r="A223" s="4">
        <f t="shared" si="11"/>
        <v>18</v>
      </c>
      <c r="B223" s="607" t="s">
        <v>1755</v>
      </c>
      <c r="E223" s="23">
        <f>E215</f>
        <v>26397.499655628926</v>
      </c>
      <c r="G223" s="1123" t="s">
        <v>1758</v>
      </c>
      <c r="H223" s="4">
        <f t="shared" si="12"/>
        <v>18</v>
      </c>
      <c r="I223" s="361"/>
    </row>
    <row r="224" spans="1:10" ht="18" x14ac:dyDescent="0.3">
      <c r="A224" s="4">
        <f t="shared" si="11"/>
        <v>19</v>
      </c>
      <c r="B224" s="32" t="s">
        <v>151</v>
      </c>
      <c r="E224" s="917">
        <f>SUM(E217:E223)</f>
        <v>1078846.3060117951</v>
      </c>
      <c r="F224" s="221"/>
      <c r="G224" s="4" t="s">
        <v>1759</v>
      </c>
      <c r="H224" s="4">
        <f t="shared" si="12"/>
        <v>19</v>
      </c>
      <c r="I224" s="361"/>
    </row>
    <row r="225" spans="1:10" x14ac:dyDescent="0.3">
      <c r="A225" s="4">
        <f t="shared" si="11"/>
        <v>20</v>
      </c>
      <c r="E225" s="8"/>
      <c r="G225" s="4"/>
      <c r="H225" s="4">
        <f t="shared" si="12"/>
        <v>20</v>
      </c>
      <c r="I225" s="361"/>
    </row>
    <row r="226" spans="1:10" x14ac:dyDescent="0.3">
      <c r="A226" s="4">
        <f t="shared" si="11"/>
        <v>21</v>
      </c>
      <c r="B226" s="33" t="s">
        <v>153</v>
      </c>
      <c r="E226" s="847">
        <f>E184+E189</f>
        <v>6329789.7616960928</v>
      </c>
      <c r="F226" s="72"/>
      <c r="G226" s="4" t="s">
        <v>1830</v>
      </c>
      <c r="H226" s="4">
        <f t="shared" si="12"/>
        <v>21</v>
      </c>
      <c r="I226" s="361"/>
    </row>
    <row r="227" spans="1:10" x14ac:dyDescent="0.3">
      <c r="A227" s="4">
        <f t="shared" si="11"/>
        <v>22</v>
      </c>
      <c r="E227" s="13"/>
      <c r="G227" s="4"/>
      <c r="H227" s="4">
        <f t="shared" si="12"/>
        <v>22</v>
      </c>
      <c r="I227" s="361"/>
    </row>
    <row r="228" spans="1:10" ht="18" x14ac:dyDescent="0.3">
      <c r="A228" s="4">
        <f t="shared" si="11"/>
        <v>23</v>
      </c>
      <c r="B228" s="32" t="s">
        <v>154</v>
      </c>
      <c r="E228" s="26">
        <f>IFERROR(E224/E226,0)</f>
        <v>0.17043951641811148</v>
      </c>
      <c r="F228" s="221"/>
      <c r="G228" s="4" t="s">
        <v>1760</v>
      </c>
      <c r="H228" s="4">
        <f t="shared" si="12"/>
        <v>23</v>
      </c>
      <c r="I228" s="361"/>
    </row>
    <row r="229" spans="1:10" x14ac:dyDescent="0.3">
      <c r="A229" s="4">
        <f t="shared" si="11"/>
        <v>24</v>
      </c>
      <c r="E229" s="27"/>
      <c r="G229" s="4"/>
      <c r="H229" s="4">
        <f t="shared" si="12"/>
        <v>24</v>
      </c>
      <c r="I229" s="361"/>
    </row>
    <row r="230" spans="1:10" ht="31.2" x14ac:dyDescent="0.3">
      <c r="A230" s="4">
        <f t="shared" si="11"/>
        <v>25</v>
      </c>
      <c r="B230" s="32" t="s">
        <v>155</v>
      </c>
      <c r="E230" s="919">
        <f>'Summary of HV-LV Splits'!I15</f>
        <v>537446.34945190302</v>
      </c>
      <c r="F230" s="221"/>
      <c r="G230" s="92" t="s">
        <v>156</v>
      </c>
      <c r="H230" s="4">
        <f t="shared" si="12"/>
        <v>25</v>
      </c>
      <c r="I230" s="361"/>
    </row>
    <row r="231" spans="1:10" x14ac:dyDescent="0.3">
      <c r="A231" s="4">
        <f t="shared" si="11"/>
        <v>26</v>
      </c>
      <c r="E231" s="36"/>
      <c r="F231" s="221"/>
      <c r="G231" s="92"/>
      <c r="H231" s="4">
        <f t="shared" si="12"/>
        <v>26</v>
      </c>
      <c r="I231" s="361"/>
    </row>
    <row r="232" spans="1:10" x14ac:dyDescent="0.3">
      <c r="A232" s="4">
        <f t="shared" si="11"/>
        <v>27</v>
      </c>
      <c r="B232" s="32" t="s">
        <v>157</v>
      </c>
      <c r="E232" s="920">
        <f>'AJ-1B'!F43</f>
        <v>3.0436428473189406E-2</v>
      </c>
      <c r="F232" s="221"/>
      <c r="G232" s="92" t="s">
        <v>158</v>
      </c>
      <c r="H232" s="4">
        <f t="shared" si="12"/>
        <v>27</v>
      </c>
      <c r="I232" s="361"/>
    </row>
    <row r="233" spans="1:10" x14ac:dyDescent="0.3">
      <c r="A233" s="4">
        <f t="shared" si="11"/>
        <v>28</v>
      </c>
      <c r="B233" s="32" t="s">
        <v>159</v>
      </c>
      <c r="E233" s="1130">
        <f>E230*E232</f>
        <v>16357.947373269604</v>
      </c>
      <c r="F233" s="221"/>
      <c r="G233" s="92" t="s">
        <v>1645</v>
      </c>
      <c r="H233" s="4">
        <f t="shared" si="12"/>
        <v>28</v>
      </c>
      <c r="I233" s="361"/>
    </row>
    <row r="234" spans="1:10" x14ac:dyDescent="0.3">
      <c r="A234" s="4">
        <f t="shared" si="11"/>
        <v>29</v>
      </c>
      <c r="E234" s="36"/>
      <c r="F234" s="221"/>
      <c r="G234" s="605" t="s">
        <v>160</v>
      </c>
      <c r="H234" s="4">
        <f t="shared" si="12"/>
        <v>29</v>
      </c>
      <c r="I234" s="361"/>
    </row>
    <row r="235" spans="1:10" x14ac:dyDescent="0.3">
      <c r="A235" s="4">
        <f t="shared" si="11"/>
        <v>30</v>
      </c>
      <c r="B235" s="32" t="s">
        <v>161</v>
      </c>
      <c r="E235" s="921">
        <f>E230-E233</f>
        <v>521088.40207863343</v>
      </c>
      <c r="F235" s="221"/>
      <c r="G235" s="92" t="s">
        <v>1761</v>
      </c>
      <c r="H235" s="4">
        <f t="shared" si="12"/>
        <v>30</v>
      </c>
      <c r="I235" s="361"/>
    </row>
    <row r="236" spans="1:10" x14ac:dyDescent="0.3">
      <c r="A236" s="4">
        <f t="shared" si="11"/>
        <v>31</v>
      </c>
      <c r="B236" s="254"/>
      <c r="E236" s="27"/>
      <c r="G236" s="4"/>
      <c r="H236" s="4">
        <f t="shared" si="12"/>
        <v>31</v>
      </c>
      <c r="I236" s="361"/>
    </row>
    <row r="237" spans="1:10" ht="16.2" thickBot="1" x14ac:dyDescent="0.35">
      <c r="A237" s="4">
        <f t="shared" si="11"/>
        <v>32</v>
      </c>
      <c r="B237" s="32" t="s">
        <v>162</v>
      </c>
      <c r="E237" s="24">
        <f>E228*E235</f>
        <v>88814.055261368718</v>
      </c>
      <c r="F237" s="221"/>
      <c r="G237" s="4" t="s">
        <v>1762</v>
      </c>
      <c r="H237" s="4">
        <f t="shared" si="12"/>
        <v>32</v>
      </c>
      <c r="I237" s="361"/>
      <c r="J237" s="10"/>
    </row>
    <row r="238" spans="1:10" ht="16.2" thickTop="1" x14ac:dyDescent="0.3">
      <c r="A238" s="4"/>
      <c r="E238" s="10"/>
      <c r="G238" s="4"/>
    </row>
    <row r="239" spans="1:10" x14ac:dyDescent="0.3">
      <c r="A239" s="4"/>
      <c r="B239" s="1"/>
      <c r="E239" s="27"/>
      <c r="G239" s="4"/>
    </row>
    <row r="240" spans="1:10" x14ac:dyDescent="0.3">
      <c r="A240" s="4"/>
      <c r="B240" s="1222" t="s">
        <v>0</v>
      </c>
      <c r="C240" s="1223"/>
      <c r="D240" s="1223"/>
      <c r="E240" s="1223"/>
      <c r="F240" s="1223"/>
      <c r="G240" s="1223"/>
    </row>
    <row r="241" spans="1:9" x14ac:dyDescent="0.3">
      <c r="A241" s="4" t="s">
        <v>1</v>
      </c>
      <c r="B241" s="1222" t="s">
        <v>2</v>
      </c>
      <c r="C241" s="1223"/>
      <c r="D241" s="1223"/>
      <c r="E241" s="1223"/>
      <c r="F241" s="1223"/>
      <c r="G241" s="1223"/>
    </row>
    <row r="242" spans="1:9" ht="18" x14ac:dyDescent="0.3">
      <c r="A242" s="4"/>
      <c r="B242" s="1222" t="s">
        <v>141</v>
      </c>
      <c r="C242" s="1224"/>
      <c r="D242" s="1224"/>
      <c r="E242" s="1224"/>
      <c r="F242" s="1224"/>
      <c r="G242" s="1224"/>
    </row>
    <row r="243" spans="1:9" x14ac:dyDescent="0.3">
      <c r="A243" s="4"/>
      <c r="B243" s="1227" t="str">
        <f>B198</f>
        <v>For the Forecast Period January 1, 2024 - December 31, 2025</v>
      </c>
      <c r="C243" s="1228"/>
      <c r="D243" s="1228"/>
      <c r="E243" s="1228"/>
      <c r="F243" s="1228"/>
      <c r="G243" s="1228"/>
    </row>
    <row r="244" spans="1:9" x14ac:dyDescent="0.3">
      <c r="A244" s="4"/>
      <c r="B244" s="1226" t="s">
        <v>4</v>
      </c>
      <c r="C244" s="1223"/>
      <c r="D244" s="1223"/>
      <c r="E244" s="1223"/>
      <c r="F244" s="1223"/>
      <c r="G244" s="1223"/>
    </row>
    <row r="245" spans="1:9" x14ac:dyDescent="0.3">
      <c r="A245" s="4"/>
      <c r="B245" s="265"/>
      <c r="C245" s="1"/>
      <c r="D245" s="1"/>
      <c r="E245" s="1"/>
      <c r="F245" s="1"/>
      <c r="G245" s="1"/>
    </row>
    <row r="246" spans="1:9" x14ac:dyDescent="0.3">
      <c r="A246" s="4" t="s">
        <v>5</v>
      </c>
      <c r="E246" s="25"/>
      <c r="G246" s="4"/>
      <c r="H246" s="4" t="s">
        <v>5</v>
      </c>
    </row>
    <row r="247" spans="1:9" x14ac:dyDescent="0.3">
      <c r="A247" s="4" t="s">
        <v>6</v>
      </c>
      <c r="B247" s="1" t="s">
        <v>1</v>
      </c>
      <c r="E247" s="914" t="s">
        <v>7</v>
      </c>
      <c r="G247" s="852" t="s">
        <v>8</v>
      </c>
      <c r="H247" s="4" t="s">
        <v>6</v>
      </c>
    </row>
    <row r="248" spans="1:9" x14ac:dyDescent="0.3">
      <c r="A248" s="4"/>
      <c r="B248" s="34" t="s">
        <v>1649</v>
      </c>
      <c r="E248" s="47"/>
      <c r="G248" s="4"/>
    </row>
    <row r="249" spans="1:9" ht="18" x14ac:dyDescent="0.3">
      <c r="A249" s="4"/>
      <c r="B249" s="34" t="s">
        <v>163</v>
      </c>
      <c r="E249" s="27"/>
      <c r="G249" s="4"/>
    </row>
    <row r="250" spans="1:9" x14ac:dyDescent="0.3">
      <c r="A250" s="4"/>
      <c r="B250" s="34" t="s">
        <v>164</v>
      </c>
      <c r="E250" s="27"/>
      <c r="G250" s="4"/>
    </row>
    <row r="251" spans="1:9" x14ac:dyDescent="0.3">
      <c r="A251" s="4">
        <v>1</v>
      </c>
      <c r="B251" s="607" t="s">
        <v>23</v>
      </c>
      <c r="C251" s="841"/>
      <c r="D251" s="841"/>
      <c r="E251" s="1120">
        <f>E137</f>
        <v>5321483.1792480703</v>
      </c>
      <c r="F251" s="1117"/>
      <c r="G251" s="629" t="s">
        <v>24</v>
      </c>
      <c r="H251" s="4">
        <v>1</v>
      </c>
      <c r="I251" s="361"/>
    </row>
    <row r="252" spans="1:9" x14ac:dyDescent="0.3">
      <c r="A252" s="4">
        <f>A251+1</f>
        <v>2</v>
      </c>
      <c r="B252" s="607" t="s">
        <v>1748</v>
      </c>
      <c r="C252" s="841"/>
      <c r="D252" s="841"/>
      <c r="E252" s="1188">
        <f>-E126</f>
        <v>1118185.2622200265</v>
      </c>
      <c r="F252" s="1121"/>
      <c r="G252" s="629" t="s">
        <v>1829</v>
      </c>
      <c r="H252" s="4">
        <f>H251+1</f>
        <v>2</v>
      </c>
      <c r="I252" s="361"/>
    </row>
    <row r="253" spans="1:9" x14ac:dyDescent="0.3">
      <c r="A253" s="4">
        <f t="shared" ref="A253:A256" si="13">A252+1</f>
        <v>3</v>
      </c>
      <c r="B253" s="607" t="s">
        <v>1754</v>
      </c>
      <c r="C253" s="841"/>
      <c r="D253" s="841"/>
      <c r="E253" s="1172">
        <f>'Stmt AF'!I25</f>
        <v>-682584.54025826952</v>
      </c>
      <c r="F253" s="1121"/>
      <c r="G253" s="4" t="s">
        <v>1772</v>
      </c>
      <c r="H253" s="4">
        <f t="shared" ref="H253:H257" si="14">H252+1</f>
        <v>3</v>
      </c>
      <c r="I253" s="361"/>
    </row>
    <row r="254" spans="1:9" x14ac:dyDescent="0.3">
      <c r="A254" s="4">
        <f t="shared" si="13"/>
        <v>4</v>
      </c>
      <c r="B254" s="607" t="s">
        <v>1780</v>
      </c>
      <c r="C254" s="841"/>
      <c r="D254" s="841"/>
      <c r="E254" s="1129">
        <f>SUM(E251:E253)</f>
        <v>5757083.9012098275</v>
      </c>
      <c r="F254" s="1117"/>
      <c r="G254" s="629" t="s">
        <v>487</v>
      </c>
      <c r="H254" s="4">
        <f t="shared" si="14"/>
        <v>4</v>
      </c>
      <c r="I254" s="361"/>
    </row>
    <row r="255" spans="1:9" x14ac:dyDescent="0.3">
      <c r="A255" s="4">
        <f t="shared" si="13"/>
        <v>5</v>
      </c>
      <c r="B255" s="607"/>
      <c r="C255" s="841"/>
      <c r="D255" s="841"/>
      <c r="E255" s="1122"/>
      <c r="F255" s="1117"/>
      <c r="G255" s="629"/>
      <c r="H255" s="4">
        <f t="shared" si="14"/>
        <v>5</v>
      </c>
      <c r="I255" s="361"/>
    </row>
    <row r="256" spans="1:9" ht="18" x14ac:dyDescent="0.3">
      <c r="A256" s="4">
        <f t="shared" si="13"/>
        <v>6</v>
      </c>
      <c r="B256" s="33" t="s">
        <v>1778</v>
      </c>
      <c r="C256" s="841"/>
      <c r="D256" s="841"/>
      <c r="E256" s="1137">
        <f>IFERROR('Stmt AV'!G158,0)</f>
        <v>0.10681956539018267</v>
      </c>
      <c r="F256" s="841"/>
      <c r="G256" s="629" t="s">
        <v>1806</v>
      </c>
      <c r="H256" s="4">
        <f t="shared" si="14"/>
        <v>6</v>
      </c>
      <c r="I256" s="361"/>
    </row>
    <row r="257" spans="1:10" x14ac:dyDescent="0.3">
      <c r="A257" s="4">
        <f t="shared" ref="A257:A297" si="15">A256+1</f>
        <v>7</v>
      </c>
      <c r="B257" s="33"/>
      <c r="C257" s="841"/>
      <c r="D257" s="841"/>
      <c r="E257" s="1128"/>
      <c r="F257" s="841"/>
      <c r="G257" s="629"/>
      <c r="H257" s="4">
        <f t="shared" si="14"/>
        <v>7</v>
      </c>
      <c r="I257" s="361"/>
    </row>
    <row r="258" spans="1:10" x14ac:dyDescent="0.3">
      <c r="A258" s="4">
        <f t="shared" si="15"/>
        <v>8</v>
      </c>
      <c r="B258" s="607" t="s">
        <v>1596</v>
      </c>
      <c r="C258" s="841"/>
      <c r="D258" s="841"/>
      <c r="E258" s="1122">
        <f>E254*E256</f>
        <v>614969.20024205116</v>
      </c>
      <c r="F258" s="1117"/>
      <c r="G258" s="629" t="s">
        <v>1756</v>
      </c>
      <c r="H258" s="4">
        <f t="shared" ref="H258:H297" si="16">H257+1</f>
        <v>8</v>
      </c>
      <c r="I258" s="361"/>
    </row>
    <row r="259" spans="1:10" x14ac:dyDescent="0.3">
      <c r="A259" s="4">
        <f t="shared" si="15"/>
        <v>9</v>
      </c>
      <c r="B259" s="32" t="s">
        <v>1597</v>
      </c>
      <c r="C259" s="841"/>
      <c r="D259" s="841"/>
      <c r="E259" s="1203">
        <f>E29+E33</f>
        <v>588571.70058642223</v>
      </c>
      <c r="F259" s="841"/>
      <c r="G259" s="629" t="s">
        <v>1813</v>
      </c>
      <c r="H259" s="4">
        <f t="shared" si="16"/>
        <v>9</v>
      </c>
      <c r="I259" s="361"/>
    </row>
    <row r="260" spans="1:10" x14ac:dyDescent="0.3">
      <c r="A260" s="4">
        <f t="shared" si="15"/>
        <v>10</v>
      </c>
      <c r="B260" s="607" t="s">
        <v>1755</v>
      </c>
      <c r="C260" s="841"/>
      <c r="D260" s="841"/>
      <c r="E260" s="1129">
        <f>E258-E259</f>
        <v>26397.499655628926</v>
      </c>
      <c r="F260" s="1121"/>
      <c r="G260" s="629" t="s">
        <v>1757</v>
      </c>
      <c r="H260" s="4">
        <f t="shared" si="16"/>
        <v>10</v>
      </c>
      <c r="I260" s="361"/>
    </row>
    <row r="261" spans="1:10" x14ac:dyDescent="0.3">
      <c r="A261" s="4">
        <f t="shared" si="15"/>
        <v>11</v>
      </c>
      <c r="B261" s="906"/>
      <c r="C261" s="1111"/>
      <c r="D261" s="1111"/>
      <c r="E261" s="1114"/>
      <c r="F261" s="1113"/>
      <c r="G261" s="1112"/>
      <c r="H261" s="4">
        <f t="shared" si="16"/>
        <v>11</v>
      </c>
      <c r="I261" s="361"/>
    </row>
    <row r="262" spans="1:10" ht="18" x14ac:dyDescent="0.3">
      <c r="A262" s="4">
        <f t="shared" si="15"/>
        <v>12</v>
      </c>
      <c r="B262" s="32" t="s">
        <v>165</v>
      </c>
      <c r="E262" s="10">
        <f>E40+E65</f>
        <v>1172663.2254575258</v>
      </c>
      <c r="F262" s="221"/>
      <c r="G262" s="4" t="s">
        <v>1833</v>
      </c>
      <c r="H262" s="4">
        <f t="shared" si="16"/>
        <v>12</v>
      </c>
      <c r="I262" s="361"/>
    </row>
    <row r="263" spans="1:10" x14ac:dyDescent="0.3">
      <c r="A263" s="4">
        <f t="shared" si="15"/>
        <v>13</v>
      </c>
      <c r="B263" s="32" t="s">
        <v>146</v>
      </c>
      <c r="E263" s="8">
        <f>(-E11)*0.5</f>
        <v>-58631.107625000004</v>
      </c>
      <c r="F263" s="72"/>
      <c r="G263" s="4" t="s">
        <v>147</v>
      </c>
      <c r="H263" s="4">
        <f t="shared" si="16"/>
        <v>13</v>
      </c>
      <c r="I263" s="361"/>
    </row>
    <row r="264" spans="1:10" x14ac:dyDescent="0.3">
      <c r="A264" s="4">
        <f t="shared" si="15"/>
        <v>14</v>
      </c>
      <c r="B264" s="32" t="s">
        <v>148</v>
      </c>
      <c r="E264" s="8">
        <f>(-E13*0.5)</f>
        <v>-60279.212286825903</v>
      </c>
      <c r="F264" s="221"/>
      <c r="G264" s="4" t="s">
        <v>149</v>
      </c>
      <c r="H264" s="4">
        <f t="shared" si="16"/>
        <v>14</v>
      </c>
      <c r="I264" s="361"/>
    </row>
    <row r="265" spans="1:10" x14ac:dyDescent="0.3">
      <c r="A265" s="4">
        <f t="shared" si="15"/>
        <v>15</v>
      </c>
      <c r="B265" s="33" t="s">
        <v>12</v>
      </c>
      <c r="E265" s="8">
        <f>-E15</f>
        <v>0</v>
      </c>
      <c r="G265" s="4" t="s">
        <v>150</v>
      </c>
      <c r="H265" s="4">
        <f t="shared" si="16"/>
        <v>15</v>
      </c>
      <c r="I265" s="361"/>
    </row>
    <row r="266" spans="1:10" x14ac:dyDescent="0.3">
      <c r="A266" s="4">
        <f t="shared" si="15"/>
        <v>16</v>
      </c>
      <c r="B266" s="32" t="s">
        <v>26</v>
      </c>
      <c r="E266" s="8">
        <f>-E35</f>
        <v>-1304.0991895338727</v>
      </c>
      <c r="G266" s="4" t="s">
        <v>1831</v>
      </c>
      <c r="H266" s="4">
        <f t="shared" si="16"/>
        <v>16</v>
      </c>
      <c r="I266" s="361"/>
      <c r="J266" s="33"/>
    </row>
    <row r="267" spans="1:10" x14ac:dyDescent="0.3">
      <c r="A267" s="4">
        <f t="shared" si="15"/>
        <v>17</v>
      </c>
      <c r="B267" s="252" t="s">
        <v>32</v>
      </c>
      <c r="E267" s="11">
        <f>-E38</f>
        <v>0</v>
      </c>
      <c r="G267" s="4" t="s">
        <v>1832</v>
      </c>
      <c r="H267" s="4">
        <f t="shared" si="16"/>
        <v>17</v>
      </c>
      <c r="I267" s="361"/>
    </row>
    <row r="268" spans="1:10" x14ac:dyDescent="0.3">
      <c r="A268" s="4">
        <f t="shared" si="15"/>
        <v>18</v>
      </c>
      <c r="B268" s="607" t="s">
        <v>1755</v>
      </c>
      <c r="E268" s="9">
        <f>E260</f>
        <v>26397.499655628926</v>
      </c>
      <c r="G268" s="1123" t="s">
        <v>1758</v>
      </c>
      <c r="H268" s="4">
        <f t="shared" si="16"/>
        <v>18</v>
      </c>
      <c r="I268" s="361"/>
    </row>
    <row r="269" spans="1:10" ht="18" x14ac:dyDescent="0.3">
      <c r="A269" s="4">
        <f t="shared" si="15"/>
        <v>19</v>
      </c>
      <c r="B269" s="32" t="s">
        <v>166</v>
      </c>
      <c r="E269" s="917">
        <f>SUM(E262:E268)</f>
        <v>1078846.3060117951</v>
      </c>
      <c r="F269" s="221"/>
      <c r="G269" s="4" t="s">
        <v>1759</v>
      </c>
      <c r="H269" s="4">
        <f t="shared" si="16"/>
        <v>19</v>
      </c>
      <c r="I269" s="361"/>
    </row>
    <row r="270" spans="1:10" x14ac:dyDescent="0.3">
      <c r="A270" s="4">
        <f t="shared" si="15"/>
        <v>20</v>
      </c>
      <c r="E270" s="27"/>
      <c r="G270" s="4"/>
      <c r="H270" s="4">
        <f t="shared" si="16"/>
        <v>20</v>
      </c>
      <c r="I270" s="361"/>
    </row>
    <row r="271" spans="1:10" x14ac:dyDescent="0.3">
      <c r="A271" s="4">
        <f t="shared" si="15"/>
        <v>21</v>
      </c>
      <c r="B271" s="33" t="s">
        <v>167</v>
      </c>
      <c r="E271" s="1200">
        <f>+E184+E189</f>
        <v>6329789.7616960928</v>
      </c>
      <c r="F271" s="72"/>
      <c r="G271" s="4" t="s">
        <v>168</v>
      </c>
      <c r="H271" s="4">
        <f t="shared" si="16"/>
        <v>21</v>
      </c>
      <c r="I271" s="361"/>
    </row>
    <row r="272" spans="1:10" x14ac:dyDescent="0.3">
      <c r="A272" s="4">
        <f t="shared" si="15"/>
        <v>22</v>
      </c>
      <c r="E272" s="13"/>
      <c r="G272" s="4"/>
      <c r="H272" s="4">
        <f t="shared" si="16"/>
        <v>22</v>
      </c>
      <c r="I272" s="361"/>
    </row>
    <row r="273" spans="1:10" ht="18" x14ac:dyDescent="0.3">
      <c r="A273" s="4">
        <f t="shared" si="15"/>
        <v>23</v>
      </c>
      <c r="B273" s="32" t="s">
        <v>1779</v>
      </c>
      <c r="E273" s="26">
        <f>IFERROR(E269/E271,0)</f>
        <v>0.17043951641811148</v>
      </c>
      <c r="F273" s="221"/>
      <c r="G273" s="4" t="s">
        <v>1760</v>
      </c>
      <c r="H273" s="4">
        <f t="shared" si="16"/>
        <v>23</v>
      </c>
      <c r="I273" s="361"/>
    </row>
    <row r="274" spans="1:10" x14ac:dyDescent="0.3">
      <c r="A274" s="4">
        <f t="shared" si="15"/>
        <v>24</v>
      </c>
      <c r="E274" s="27"/>
      <c r="G274" s="4"/>
      <c r="H274" s="4">
        <f t="shared" si="16"/>
        <v>24</v>
      </c>
      <c r="I274" s="361"/>
    </row>
    <row r="275" spans="1:10" ht="31.2" x14ac:dyDescent="0.3">
      <c r="A275" s="4">
        <f t="shared" si="15"/>
        <v>25</v>
      </c>
      <c r="B275" s="32" t="s">
        <v>169</v>
      </c>
      <c r="E275" s="919">
        <f>'Summary of HV-LV Splits'!I18</f>
        <v>0</v>
      </c>
      <c r="G275" s="92" t="s">
        <v>170</v>
      </c>
      <c r="H275" s="4">
        <f t="shared" si="16"/>
        <v>25</v>
      </c>
      <c r="I275" s="361"/>
    </row>
    <row r="276" spans="1:10" x14ac:dyDescent="0.3">
      <c r="A276" s="4">
        <f t="shared" si="15"/>
        <v>26</v>
      </c>
      <c r="E276" s="36"/>
      <c r="G276" s="92"/>
      <c r="H276" s="4">
        <f t="shared" si="16"/>
        <v>26</v>
      </c>
      <c r="I276" s="361"/>
    </row>
    <row r="277" spans="1:10" x14ac:dyDescent="0.3">
      <c r="A277" s="4">
        <f t="shared" si="15"/>
        <v>27</v>
      </c>
      <c r="B277" s="32" t="s">
        <v>157</v>
      </c>
      <c r="E277" s="922">
        <f>E232</f>
        <v>3.0436428473189406E-2</v>
      </c>
      <c r="G277" s="92" t="s">
        <v>1763</v>
      </c>
      <c r="H277" s="4">
        <f t="shared" si="16"/>
        <v>27</v>
      </c>
      <c r="I277" s="361"/>
    </row>
    <row r="278" spans="1:10" x14ac:dyDescent="0.3">
      <c r="A278" s="4">
        <f t="shared" si="15"/>
        <v>28</v>
      </c>
      <c r="B278" s="32" t="s">
        <v>159</v>
      </c>
      <c r="E278" s="1130">
        <f>E275*E277</f>
        <v>0</v>
      </c>
      <c r="G278" s="92" t="s">
        <v>1645</v>
      </c>
      <c r="H278" s="4">
        <f t="shared" si="16"/>
        <v>28</v>
      </c>
      <c r="I278" s="361"/>
    </row>
    <row r="279" spans="1:10" x14ac:dyDescent="0.3">
      <c r="A279" s="4">
        <f t="shared" si="15"/>
        <v>29</v>
      </c>
      <c r="E279" s="36"/>
      <c r="G279" s="605" t="s">
        <v>160</v>
      </c>
      <c r="H279" s="4">
        <f t="shared" si="16"/>
        <v>29</v>
      </c>
      <c r="I279" s="361"/>
    </row>
    <row r="280" spans="1:10" x14ac:dyDescent="0.3">
      <c r="A280" s="4">
        <f t="shared" si="15"/>
        <v>30</v>
      </c>
      <c r="B280" s="32" t="s">
        <v>161</v>
      </c>
      <c r="E280" s="921">
        <f>E275-E278</f>
        <v>0</v>
      </c>
      <c r="G280" s="92" t="s">
        <v>1761</v>
      </c>
      <c r="H280" s="4">
        <f t="shared" si="16"/>
        <v>30</v>
      </c>
      <c r="I280" s="361"/>
    </row>
    <row r="281" spans="1:10" x14ac:dyDescent="0.3">
      <c r="A281" s="4">
        <f t="shared" si="15"/>
        <v>31</v>
      </c>
      <c r="B281" s="254"/>
      <c r="E281" s="27"/>
      <c r="G281" s="4"/>
      <c r="H281" s="4">
        <f t="shared" si="16"/>
        <v>31</v>
      </c>
      <c r="I281" s="361"/>
    </row>
    <row r="282" spans="1:10" ht="18.600000000000001" thickBot="1" x14ac:dyDescent="0.35">
      <c r="A282" s="4">
        <f t="shared" si="15"/>
        <v>32</v>
      </c>
      <c r="B282" s="32" t="s">
        <v>171</v>
      </c>
      <c r="E282" s="24">
        <f>E273*E280</f>
        <v>0</v>
      </c>
      <c r="G282" s="4" t="s">
        <v>1762</v>
      </c>
      <c r="H282" s="4">
        <f t="shared" si="16"/>
        <v>32</v>
      </c>
      <c r="I282" s="361"/>
    </row>
    <row r="283" spans="1:10" ht="16.2" thickTop="1" x14ac:dyDescent="0.3">
      <c r="A283" s="4">
        <f t="shared" si="15"/>
        <v>33</v>
      </c>
      <c r="E283" s="10"/>
      <c r="G283" s="4"/>
      <c r="H283" s="4">
        <f t="shared" si="16"/>
        <v>33</v>
      </c>
      <c r="I283" s="361"/>
      <c r="J283" s="36"/>
    </row>
    <row r="284" spans="1:10" x14ac:dyDescent="0.3">
      <c r="A284" s="4">
        <f t="shared" si="15"/>
        <v>34</v>
      </c>
      <c r="B284" s="34" t="s">
        <v>172</v>
      </c>
      <c r="E284" s="10"/>
      <c r="G284" s="4"/>
      <c r="H284" s="4">
        <f t="shared" si="16"/>
        <v>34</v>
      </c>
      <c r="I284" s="361"/>
      <c r="J284" s="36"/>
    </row>
    <row r="285" spans="1:10" ht="31.2" x14ac:dyDescent="0.3">
      <c r="A285" s="4">
        <f t="shared" si="15"/>
        <v>35</v>
      </c>
      <c r="B285" s="32" t="s">
        <v>173</v>
      </c>
      <c r="E285" s="28">
        <f>'Summary of HV-LV Splits'!I20+'Summary of HV-LV Splits'!I22</f>
        <v>0</v>
      </c>
      <c r="G285" s="92" t="s">
        <v>174</v>
      </c>
      <c r="H285" s="4">
        <f t="shared" si="16"/>
        <v>35</v>
      </c>
      <c r="I285" s="361"/>
    </row>
    <row r="286" spans="1:10" x14ac:dyDescent="0.3">
      <c r="A286" s="4">
        <f t="shared" si="15"/>
        <v>36</v>
      </c>
      <c r="E286" s="36"/>
      <c r="G286" s="92"/>
      <c r="H286" s="4">
        <f t="shared" si="16"/>
        <v>36</v>
      </c>
      <c r="I286" s="361"/>
    </row>
    <row r="287" spans="1:10" ht="18" x14ac:dyDescent="0.3">
      <c r="A287" s="4">
        <f t="shared" si="15"/>
        <v>37</v>
      </c>
      <c r="B287" s="32" t="s">
        <v>1778</v>
      </c>
      <c r="E287" s="871">
        <f>IFERROR('Stmt AV'!G158,0)</f>
        <v>0.10681956539018267</v>
      </c>
      <c r="F287" s="221"/>
      <c r="G287" s="4" t="s">
        <v>1806</v>
      </c>
      <c r="H287" s="4">
        <f t="shared" si="16"/>
        <v>37</v>
      </c>
      <c r="I287" s="361"/>
      <c r="J287" s="36"/>
    </row>
    <row r="288" spans="1:10" x14ac:dyDescent="0.3">
      <c r="A288" s="4">
        <f t="shared" si="15"/>
        <v>38</v>
      </c>
      <c r="E288" s="10"/>
      <c r="G288" s="4"/>
      <c r="H288" s="4">
        <f t="shared" si="16"/>
        <v>38</v>
      </c>
      <c r="I288" s="361"/>
      <c r="J288" s="36"/>
    </row>
    <row r="289" spans="1:10" ht="16.2" thickBot="1" x14ac:dyDescent="0.35">
      <c r="A289" s="4">
        <f t="shared" si="15"/>
        <v>39</v>
      </c>
      <c r="B289" s="32" t="s">
        <v>1635</v>
      </c>
      <c r="E289" s="24">
        <f>E285*E287</f>
        <v>0</v>
      </c>
      <c r="G289" s="4" t="s">
        <v>1764</v>
      </c>
      <c r="H289" s="4">
        <f t="shared" si="16"/>
        <v>39</v>
      </c>
      <c r="I289" s="361"/>
      <c r="J289" s="36"/>
    </row>
    <row r="290" spans="1:10" ht="16.2" thickTop="1" x14ac:dyDescent="0.3">
      <c r="A290" s="4">
        <f t="shared" si="15"/>
        <v>40</v>
      </c>
      <c r="E290" s="10"/>
      <c r="G290" s="4"/>
      <c r="H290" s="4">
        <f t="shared" si="16"/>
        <v>40</v>
      </c>
      <c r="I290" s="361"/>
      <c r="J290" s="36"/>
    </row>
    <row r="291" spans="1:10" ht="31.2" x14ac:dyDescent="0.3">
      <c r="A291" s="4">
        <f t="shared" si="15"/>
        <v>41</v>
      </c>
      <c r="B291" s="32" t="s">
        <v>173</v>
      </c>
      <c r="E291" s="28">
        <f>'Summary of HV-LV Splits'!I20+'Summary of HV-LV Splits'!I22</f>
        <v>0</v>
      </c>
      <c r="G291" s="92" t="s">
        <v>174</v>
      </c>
      <c r="H291" s="4">
        <f t="shared" si="16"/>
        <v>41</v>
      </c>
      <c r="I291" s="361"/>
      <c r="J291" s="36"/>
    </row>
    <row r="292" spans="1:10" x14ac:dyDescent="0.3">
      <c r="A292" s="4">
        <f t="shared" si="15"/>
        <v>42</v>
      </c>
      <c r="E292" s="10"/>
      <c r="G292" s="4"/>
      <c r="H292" s="4">
        <f t="shared" si="16"/>
        <v>42</v>
      </c>
      <c r="I292" s="361"/>
      <c r="J292" s="36"/>
    </row>
    <row r="293" spans="1:10" ht="18" x14ac:dyDescent="0.3">
      <c r="A293" s="4">
        <f t="shared" si="15"/>
        <v>43</v>
      </c>
      <c r="B293" s="32" t="s">
        <v>1704</v>
      </c>
      <c r="E293" s="1169">
        <f>IFERROR('Stmt AV'!G198,0)</f>
        <v>3.7833775791095577E-3</v>
      </c>
      <c r="G293" s="4" t="s">
        <v>1808</v>
      </c>
      <c r="H293" s="4">
        <f t="shared" si="16"/>
        <v>43</v>
      </c>
      <c r="I293" s="361"/>
      <c r="J293" s="36"/>
    </row>
    <row r="294" spans="1:10" x14ac:dyDescent="0.3">
      <c r="A294" s="4">
        <f t="shared" si="15"/>
        <v>44</v>
      </c>
      <c r="E294" s="10"/>
      <c r="G294" s="4"/>
      <c r="H294" s="4">
        <f t="shared" si="16"/>
        <v>44</v>
      </c>
      <c r="I294" s="361"/>
      <c r="J294" s="36"/>
    </row>
    <row r="295" spans="1:10" ht="16.2" thickBot="1" x14ac:dyDescent="0.35">
      <c r="A295" s="4">
        <f t="shared" si="15"/>
        <v>45</v>
      </c>
      <c r="B295" s="32" t="s">
        <v>1815</v>
      </c>
      <c r="E295" s="24">
        <f>E291*E293</f>
        <v>0</v>
      </c>
      <c r="G295" s="4" t="s">
        <v>1817</v>
      </c>
      <c r="H295" s="4">
        <f t="shared" si="16"/>
        <v>45</v>
      </c>
      <c r="I295" s="361"/>
      <c r="J295" s="36"/>
    </row>
    <row r="296" spans="1:10" ht="16.2" thickTop="1" x14ac:dyDescent="0.3">
      <c r="A296" s="4">
        <f t="shared" si="15"/>
        <v>46</v>
      </c>
      <c r="E296" s="10"/>
      <c r="G296" s="4"/>
      <c r="H296" s="4">
        <f t="shared" si="16"/>
        <v>46</v>
      </c>
      <c r="J296" s="36"/>
    </row>
    <row r="297" spans="1:10" ht="16.2" thickBot="1" x14ac:dyDescent="0.35">
      <c r="A297" s="4">
        <f t="shared" si="15"/>
        <v>47</v>
      </c>
      <c r="B297" s="32" t="s">
        <v>1816</v>
      </c>
      <c r="E297" s="24">
        <f>E289+E295</f>
        <v>0</v>
      </c>
      <c r="G297" s="4" t="s">
        <v>1818</v>
      </c>
      <c r="H297" s="4">
        <f t="shared" si="16"/>
        <v>47</v>
      </c>
      <c r="J297" s="36"/>
    </row>
    <row r="298" spans="1:10" ht="16.2" thickTop="1" x14ac:dyDescent="0.3">
      <c r="A298" s="4"/>
      <c r="E298" s="10"/>
      <c r="G298" s="4"/>
      <c r="J298" s="36"/>
    </row>
    <row r="299" spans="1:10" x14ac:dyDescent="0.3">
      <c r="A299" s="4"/>
      <c r="E299" s="10"/>
      <c r="G299" s="4"/>
      <c r="J299" s="36"/>
    </row>
    <row r="300" spans="1:10" ht="18" x14ac:dyDescent="0.3">
      <c r="A300" s="269">
        <v>1</v>
      </c>
      <c r="B300" s="32" t="s">
        <v>1814</v>
      </c>
      <c r="E300" s="10"/>
      <c r="G300" s="4"/>
      <c r="J300" s="36"/>
    </row>
    <row r="301" spans="1:10" ht="18" x14ac:dyDescent="0.3">
      <c r="A301" s="256">
        <v>2</v>
      </c>
      <c r="B301" s="32" t="s">
        <v>175</v>
      </c>
      <c r="E301" s="10"/>
      <c r="G301" s="4"/>
      <c r="J301" s="36"/>
    </row>
    <row r="302" spans="1:10" x14ac:dyDescent="0.3">
      <c r="A302" s="4"/>
      <c r="E302" s="10"/>
      <c r="G302" s="4"/>
      <c r="J302" s="36"/>
    </row>
    <row r="303" spans="1:10" x14ac:dyDescent="0.3">
      <c r="A303" s="4"/>
      <c r="E303" s="10"/>
      <c r="G303" s="4"/>
      <c r="J303" s="36"/>
    </row>
    <row r="304" spans="1:10" x14ac:dyDescent="0.3">
      <c r="A304" s="4"/>
      <c r="B304" s="1222" t="s">
        <v>0</v>
      </c>
      <c r="C304" s="1223"/>
      <c r="D304" s="1223"/>
      <c r="E304" s="1223"/>
      <c r="F304" s="1223"/>
      <c r="G304" s="1223"/>
      <c r="J304" s="36"/>
    </row>
    <row r="305" spans="1:10" x14ac:dyDescent="0.3">
      <c r="A305" s="4"/>
      <c r="B305" s="1222" t="s">
        <v>2</v>
      </c>
      <c r="C305" s="1223"/>
      <c r="D305" s="1223"/>
      <c r="E305" s="1223"/>
      <c r="F305" s="1223"/>
      <c r="G305" s="1223"/>
      <c r="J305" s="36"/>
    </row>
    <row r="306" spans="1:10" ht="18" x14ac:dyDescent="0.3">
      <c r="A306" s="4"/>
      <c r="B306" s="1222" t="s">
        <v>176</v>
      </c>
      <c r="C306" s="1224"/>
      <c r="D306" s="1224"/>
      <c r="E306" s="1224"/>
      <c r="F306" s="1224"/>
      <c r="G306" s="1224"/>
      <c r="J306" s="36"/>
    </row>
    <row r="307" spans="1:10" x14ac:dyDescent="0.3">
      <c r="A307" s="4"/>
      <c r="B307" s="1225" t="s">
        <v>1637</v>
      </c>
      <c r="C307" s="1230"/>
      <c r="D307" s="1230"/>
      <c r="E307" s="1230"/>
      <c r="F307" s="1230"/>
      <c r="G307" s="1230"/>
    </row>
    <row r="308" spans="1:10" x14ac:dyDescent="0.3">
      <c r="A308" s="4"/>
      <c r="B308" s="1226" t="s">
        <v>4</v>
      </c>
      <c r="C308" s="1223"/>
      <c r="D308" s="1223"/>
      <c r="E308" s="1223"/>
      <c r="F308" s="1223"/>
      <c r="G308" s="1223"/>
    </row>
    <row r="309" spans="1:10" x14ac:dyDescent="0.3">
      <c r="A309" s="4"/>
      <c r="B309" s="35"/>
      <c r="J309" s="36"/>
    </row>
    <row r="310" spans="1:10" x14ac:dyDescent="0.3">
      <c r="A310" s="4" t="s">
        <v>5</v>
      </c>
      <c r="E310" s="25"/>
      <c r="G310" s="4"/>
      <c r="H310" s="4" t="s">
        <v>5</v>
      </c>
      <c r="J310" s="36"/>
    </row>
    <row r="311" spans="1:10" x14ac:dyDescent="0.3">
      <c r="A311" s="4" t="s">
        <v>6</v>
      </c>
      <c r="B311" s="1" t="s">
        <v>1</v>
      </c>
      <c r="E311" s="914" t="s">
        <v>7</v>
      </c>
      <c r="G311" s="852" t="s">
        <v>8</v>
      </c>
      <c r="H311" s="4" t="s">
        <v>6</v>
      </c>
      <c r="J311" s="36"/>
    </row>
    <row r="312" spans="1:10" x14ac:dyDescent="0.3">
      <c r="A312" s="4"/>
      <c r="E312" s="264"/>
      <c r="G312" s="221"/>
      <c r="J312" s="36"/>
    </row>
    <row r="313" spans="1:10" ht="18" x14ac:dyDescent="0.3">
      <c r="A313" s="4"/>
      <c r="B313" s="34" t="s">
        <v>177</v>
      </c>
      <c r="G313" s="4"/>
      <c r="J313" s="36"/>
    </row>
    <row r="314" spans="1:10" x14ac:dyDescent="0.3">
      <c r="A314" s="4">
        <v>1</v>
      </c>
      <c r="B314" s="34"/>
      <c r="G314" s="4"/>
      <c r="H314" s="4">
        <f>A314</f>
        <v>1</v>
      </c>
      <c r="J314" s="36"/>
    </row>
    <row r="315" spans="1:10" ht="18" x14ac:dyDescent="0.3">
      <c r="A315" s="4">
        <f t="shared" ref="A315:A338" si="17">A314+1</f>
        <v>2</v>
      </c>
      <c r="B315" s="32" t="s">
        <v>178</v>
      </c>
      <c r="C315" s="32" t="s">
        <v>1</v>
      </c>
      <c r="E315" s="7">
        <f>E40</f>
        <v>1172663.2254575258</v>
      </c>
      <c r="F315" s="221"/>
      <c r="G315" s="4" t="s">
        <v>1822</v>
      </c>
      <c r="H315" s="4">
        <f t="shared" ref="H315:H338" si="18">H314+1</f>
        <v>2</v>
      </c>
      <c r="J315" s="36"/>
    </row>
    <row r="316" spans="1:10" x14ac:dyDescent="0.3">
      <c r="A316" s="4">
        <f t="shared" si="17"/>
        <v>3</v>
      </c>
      <c r="E316" s="29"/>
      <c r="G316" s="4"/>
      <c r="H316" s="4">
        <f t="shared" si="18"/>
        <v>3</v>
      </c>
    </row>
    <row r="317" spans="1:10" ht="18" x14ac:dyDescent="0.3">
      <c r="A317" s="4">
        <f t="shared" si="17"/>
        <v>4</v>
      </c>
      <c r="B317" s="32" t="s">
        <v>179</v>
      </c>
      <c r="E317" s="9">
        <f>E91</f>
        <v>0</v>
      </c>
      <c r="G317" s="4" t="s">
        <v>1823</v>
      </c>
      <c r="H317" s="4">
        <f t="shared" si="18"/>
        <v>4</v>
      </c>
    </row>
    <row r="318" spans="1:10" x14ac:dyDescent="0.3">
      <c r="A318" s="4">
        <f t="shared" si="17"/>
        <v>5</v>
      </c>
      <c r="E318" s="8"/>
      <c r="G318" s="4"/>
      <c r="H318" s="4">
        <f t="shared" si="18"/>
        <v>5</v>
      </c>
    </row>
    <row r="319" spans="1:10" x14ac:dyDescent="0.3">
      <c r="A319" s="4">
        <f t="shared" si="17"/>
        <v>6</v>
      </c>
      <c r="B319" s="32" t="s">
        <v>180</v>
      </c>
      <c r="C319" s="453"/>
      <c r="E319" s="9">
        <f>'True-Up'!M34</f>
        <v>-6278.0852355854395</v>
      </c>
      <c r="F319" s="221"/>
      <c r="G319" s="4" t="s">
        <v>181</v>
      </c>
      <c r="H319" s="4">
        <f t="shared" si="18"/>
        <v>6</v>
      </c>
    </row>
    <row r="320" spans="1:10" x14ac:dyDescent="0.3">
      <c r="A320" s="4">
        <f t="shared" si="17"/>
        <v>7</v>
      </c>
      <c r="E320" s="6"/>
      <c r="G320" s="4"/>
      <c r="H320" s="4">
        <f t="shared" si="18"/>
        <v>7</v>
      </c>
    </row>
    <row r="321" spans="1:10" x14ac:dyDescent="0.3">
      <c r="A321" s="4">
        <f t="shared" si="17"/>
        <v>8</v>
      </c>
      <c r="B321" s="32" t="s">
        <v>182</v>
      </c>
      <c r="E321" s="12">
        <f>'Interest TU CY'!D31</f>
        <v>-10045.56530986856</v>
      </c>
      <c r="G321" s="4" t="s">
        <v>183</v>
      </c>
      <c r="H321" s="4">
        <f t="shared" si="18"/>
        <v>8</v>
      </c>
    </row>
    <row r="322" spans="1:10" x14ac:dyDescent="0.3">
      <c r="A322" s="4">
        <f t="shared" si="17"/>
        <v>9</v>
      </c>
      <c r="E322" s="6"/>
      <c r="G322" s="4"/>
      <c r="H322" s="4">
        <f t="shared" si="18"/>
        <v>9</v>
      </c>
    </row>
    <row r="323" spans="1:10" x14ac:dyDescent="0.3">
      <c r="A323" s="4">
        <f>A322+1</f>
        <v>10</v>
      </c>
      <c r="B323" s="32" t="s">
        <v>184</v>
      </c>
      <c r="E323" s="9">
        <f>E237</f>
        <v>88814.055261368718</v>
      </c>
      <c r="F323" s="221"/>
      <c r="G323" s="4" t="s">
        <v>1766</v>
      </c>
      <c r="H323" s="4">
        <f t="shared" si="18"/>
        <v>10</v>
      </c>
    </row>
    <row r="324" spans="1:10" x14ac:dyDescent="0.3">
      <c r="A324" s="4">
        <f t="shared" si="17"/>
        <v>11</v>
      </c>
      <c r="E324" s="6"/>
      <c r="G324" s="4"/>
      <c r="H324" s="4">
        <f t="shared" si="18"/>
        <v>11</v>
      </c>
    </row>
    <row r="325" spans="1:10" ht="18" x14ac:dyDescent="0.3">
      <c r="A325" s="4">
        <f t="shared" si="17"/>
        <v>12</v>
      </c>
      <c r="B325" s="32" t="s">
        <v>185</v>
      </c>
      <c r="E325" s="9">
        <f>E282</f>
        <v>0</v>
      </c>
      <c r="G325" s="4" t="s">
        <v>1767</v>
      </c>
      <c r="H325" s="4">
        <f t="shared" si="18"/>
        <v>12</v>
      </c>
    </row>
    <row r="326" spans="1:10" x14ac:dyDescent="0.3">
      <c r="A326" s="4">
        <f t="shared" si="17"/>
        <v>13</v>
      </c>
      <c r="E326" s="6"/>
      <c r="G326" s="4"/>
      <c r="H326" s="4">
        <f t="shared" si="18"/>
        <v>13</v>
      </c>
    </row>
    <row r="327" spans="1:10" x14ac:dyDescent="0.3">
      <c r="A327" s="4">
        <f t="shared" si="17"/>
        <v>14</v>
      </c>
      <c r="B327" s="32" t="s">
        <v>186</v>
      </c>
      <c r="E327" s="845">
        <f>E297</f>
        <v>0</v>
      </c>
      <c r="G327" s="4" t="s">
        <v>1824</v>
      </c>
      <c r="H327" s="4">
        <f t="shared" si="18"/>
        <v>14</v>
      </c>
    </row>
    <row r="328" spans="1:10" x14ac:dyDescent="0.3">
      <c r="A328" s="4">
        <f t="shared" si="17"/>
        <v>15</v>
      </c>
      <c r="E328" s="6"/>
      <c r="G328" s="4"/>
      <c r="H328" s="4">
        <f t="shared" si="18"/>
        <v>15</v>
      </c>
    </row>
    <row r="329" spans="1:10" ht="18" x14ac:dyDescent="0.3">
      <c r="A329" s="4">
        <f t="shared" si="17"/>
        <v>16</v>
      </c>
      <c r="B329" s="34" t="s">
        <v>187</v>
      </c>
      <c r="C329" s="36"/>
      <c r="E329" s="10">
        <f>E315+E317+E319+E321+E323+E325+E327</f>
        <v>1245153.6301734403</v>
      </c>
      <c r="F329" s="221"/>
      <c r="G329" s="4" t="s">
        <v>188</v>
      </c>
      <c r="H329" s="4">
        <f t="shared" si="18"/>
        <v>16</v>
      </c>
    </row>
    <row r="330" spans="1:10" x14ac:dyDescent="0.3">
      <c r="A330" s="4">
        <f t="shared" si="17"/>
        <v>17</v>
      </c>
      <c r="E330" s="6"/>
      <c r="G330" s="4"/>
      <c r="H330" s="4">
        <f t="shared" si="18"/>
        <v>17</v>
      </c>
    </row>
    <row r="331" spans="1:10" ht="18" x14ac:dyDescent="0.3">
      <c r="A331" s="4">
        <f t="shared" si="17"/>
        <v>18</v>
      </c>
      <c r="B331" s="33" t="s">
        <v>189</v>
      </c>
      <c r="C331" s="31">
        <v>1.0207000000000001E-2</v>
      </c>
      <c r="D331" s="256">
        <v>1</v>
      </c>
      <c r="E331" s="1134">
        <f>$E$329*C331</f>
        <v>12709.283103180307</v>
      </c>
      <c r="F331" s="221"/>
      <c r="G331" s="4" t="s">
        <v>190</v>
      </c>
      <c r="H331" s="4">
        <f t="shared" si="18"/>
        <v>18</v>
      </c>
    </row>
    <row r="332" spans="1:10" ht="18" x14ac:dyDescent="0.3">
      <c r="A332" s="4">
        <f t="shared" si="17"/>
        <v>19</v>
      </c>
      <c r="B332" s="33" t="s">
        <v>191</v>
      </c>
      <c r="C332" s="31">
        <v>2.0500000000000002E-3</v>
      </c>
      <c r="D332" s="256">
        <v>1</v>
      </c>
      <c r="E332" s="918">
        <f>$E$329*C332</f>
        <v>2552.5649418555527</v>
      </c>
      <c r="F332" s="221"/>
      <c r="G332" s="4" t="s">
        <v>192</v>
      </c>
      <c r="H332" s="4">
        <f t="shared" si="18"/>
        <v>19</v>
      </c>
    </row>
    <row r="333" spans="1:10" x14ac:dyDescent="0.3">
      <c r="A333" s="4">
        <f t="shared" si="17"/>
        <v>20</v>
      </c>
      <c r="E333" s="8"/>
      <c r="G333" s="4"/>
      <c r="H333" s="4">
        <f t="shared" si="18"/>
        <v>20</v>
      </c>
      <c r="J333" s="903"/>
    </row>
    <row r="334" spans="1:10" ht="18" x14ac:dyDescent="0.3">
      <c r="A334" s="4">
        <f t="shared" si="17"/>
        <v>21</v>
      </c>
      <c r="B334" s="34" t="s">
        <v>193</v>
      </c>
      <c r="C334" s="36"/>
      <c r="E334" s="10">
        <f>SUM(E329:E332)</f>
        <v>1260415.4782184763</v>
      </c>
      <c r="F334" s="221"/>
      <c r="G334" s="4" t="s">
        <v>133</v>
      </c>
      <c r="H334" s="4">
        <f t="shared" si="18"/>
        <v>21</v>
      </c>
      <c r="J334" s="877"/>
    </row>
    <row r="335" spans="1:10" x14ac:dyDescent="0.3">
      <c r="A335" s="4">
        <f t="shared" si="17"/>
        <v>22</v>
      </c>
      <c r="B335" s="1"/>
      <c r="E335" s="30"/>
      <c r="G335" s="4"/>
      <c r="H335" s="4">
        <f t="shared" si="18"/>
        <v>22</v>
      </c>
      <c r="J335" s="877"/>
    </row>
    <row r="336" spans="1:10" ht="18" x14ac:dyDescent="0.3">
      <c r="A336" s="4">
        <f t="shared" si="17"/>
        <v>23</v>
      </c>
      <c r="B336" s="34" t="s">
        <v>194</v>
      </c>
      <c r="E336" s="1132">
        <v>1576</v>
      </c>
      <c r="G336" s="92" t="s">
        <v>195</v>
      </c>
      <c r="H336" s="4">
        <f t="shared" si="18"/>
        <v>23</v>
      </c>
      <c r="J336" s="877"/>
    </row>
    <row r="337" spans="1:10" x14ac:dyDescent="0.3">
      <c r="A337" s="4">
        <f t="shared" si="17"/>
        <v>24</v>
      </c>
      <c r="B337" s="32" t="s">
        <v>1</v>
      </c>
      <c r="H337" s="4">
        <f t="shared" si="18"/>
        <v>24</v>
      </c>
      <c r="J337" s="877"/>
    </row>
    <row r="338" spans="1:10" ht="18.600000000000001" thickBot="1" x14ac:dyDescent="0.35">
      <c r="A338" s="4">
        <f t="shared" si="17"/>
        <v>25</v>
      </c>
      <c r="B338" s="34" t="s">
        <v>196</v>
      </c>
      <c r="E338" s="38">
        <f>E334+E336</f>
        <v>1261991.4782184763</v>
      </c>
      <c r="G338" s="4" t="s">
        <v>197</v>
      </c>
      <c r="H338" s="4">
        <f t="shared" si="18"/>
        <v>25</v>
      </c>
      <c r="J338" s="877"/>
    </row>
    <row r="339" spans="1:10" ht="16.2" thickTop="1" x14ac:dyDescent="0.3"/>
    <row r="341" spans="1:10" ht="18" x14ac:dyDescent="0.3">
      <c r="A341" s="256">
        <v>1</v>
      </c>
      <c r="B341" s="32" t="s">
        <v>1775</v>
      </c>
    </row>
    <row r="345" spans="1:10" x14ac:dyDescent="0.3">
      <c r="E345" s="1221"/>
    </row>
    <row r="347" spans="1:10" x14ac:dyDescent="0.3">
      <c r="E347" s="36"/>
    </row>
  </sheetData>
  <mergeCells count="35">
    <mergeCell ref="B308:G308"/>
    <mergeCell ref="B198:G198"/>
    <mergeCell ref="B199:G199"/>
    <mergeCell ref="B240:G240"/>
    <mergeCell ref="B241:G241"/>
    <mergeCell ref="B242:G242"/>
    <mergeCell ref="B243:G243"/>
    <mergeCell ref="B244:G244"/>
    <mergeCell ref="B304:G304"/>
    <mergeCell ref="B305:G305"/>
    <mergeCell ref="B306:G306"/>
    <mergeCell ref="B307:G307"/>
    <mergeCell ref="B197:G197"/>
    <mergeCell ref="B103:G103"/>
    <mergeCell ref="B104:G104"/>
    <mergeCell ref="B105:G105"/>
    <mergeCell ref="B106:G106"/>
    <mergeCell ref="B156:G156"/>
    <mergeCell ref="B157:G157"/>
    <mergeCell ref="B158:G158"/>
    <mergeCell ref="B159:G159"/>
    <mergeCell ref="B160:G160"/>
    <mergeCell ref="B195:G195"/>
    <mergeCell ref="B196:G196"/>
    <mergeCell ref="B102:G102"/>
    <mergeCell ref="B2:G2"/>
    <mergeCell ref="B3:G3"/>
    <mergeCell ref="B4:G4"/>
    <mergeCell ref="B5:G5"/>
    <mergeCell ref="B6:G6"/>
    <mergeCell ref="B46:G46"/>
    <mergeCell ref="B47:G47"/>
    <mergeCell ref="B48:G48"/>
    <mergeCell ref="B49:G49"/>
    <mergeCell ref="B50:G50"/>
  </mergeCells>
  <printOptions horizontalCentered="1"/>
  <pageMargins left="0.5" right="0.5" top="0.5" bottom="0.5" header="0.25" footer="0.25"/>
  <pageSetup scale="52" fitToHeight="0" orientation="portrait" r:id="rId1"/>
  <headerFooter scaleWithDoc="0">
    <oddFooter>&amp;C&amp;"Times New Roman,Regular"&amp;10BK-1
Page &amp;P of 7</oddFooter>
  </headerFooter>
  <rowBreaks count="6" manualBreakCount="6">
    <brk id="44" max="7" man="1"/>
    <brk id="100" max="7" man="1"/>
    <brk id="154" max="7" man="1"/>
    <brk id="193" max="7" man="1"/>
    <brk id="238" max="7" man="1"/>
    <brk id="302" max="7" man="1"/>
  </rowBreaks>
  <customProperties>
    <customPr name="_pios_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2:N173"/>
  <sheetViews>
    <sheetView zoomScale="80" zoomScaleNormal="80" workbookViewId="0"/>
  </sheetViews>
  <sheetFormatPr defaultColWidth="9.33203125" defaultRowHeight="15.6" x14ac:dyDescent="0.3"/>
  <cols>
    <col min="1" max="1" width="5.33203125" style="4" customWidth="1"/>
    <col min="2" max="2" width="11.33203125" style="4" customWidth="1"/>
    <col min="3" max="3" width="32.44140625" style="32" customWidth="1"/>
    <col min="4" max="10" width="18.5546875" style="6" customWidth="1"/>
    <col min="11" max="11" width="18.5546875" style="32" customWidth="1"/>
    <col min="12" max="12" width="24" style="32" customWidth="1"/>
    <col min="13" max="14" width="5.33203125" style="4" customWidth="1"/>
    <col min="15" max="15" width="11.6640625" style="32" bestFit="1" customWidth="1"/>
    <col min="16" max="16" width="13.33203125" style="32" customWidth="1"/>
    <col min="17" max="16384" width="9.33203125" style="32"/>
  </cols>
  <sheetData>
    <row r="2" spans="1:14" s="1" customFormat="1" x14ac:dyDescent="0.3">
      <c r="A2" s="221"/>
      <c r="B2" s="1222" t="s">
        <v>0</v>
      </c>
      <c r="C2" s="1222"/>
      <c r="D2" s="1222"/>
      <c r="E2" s="1222"/>
      <c r="F2" s="1222"/>
      <c r="G2" s="1222"/>
      <c r="H2" s="1222"/>
      <c r="I2" s="1222"/>
      <c r="J2" s="1222"/>
      <c r="K2" s="1222"/>
      <c r="L2" s="1222"/>
      <c r="M2" s="221"/>
      <c r="N2" s="221"/>
    </row>
    <row r="3" spans="1:14" s="1" customFormat="1" x14ac:dyDescent="0.3">
      <c r="A3" s="221"/>
      <c r="B3" s="1222" t="s">
        <v>322</v>
      </c>
      <c r="C3" s="1222"/>
      <c r="D3" s="1222"/>
      <c r="E3" s="1222"/>
      <c r="F3" s="1222"/>
      <c r="G3" s="1222"/>
      <c r="H3" s="1222"/>
      <c r="I3" s="1222"/>
      <c r="J3" s="1222"/>
      <c r="K3" s="1222"/>
      <c r="L3" s="1222"/>
      <c r="M3" s="221"/>
      <c r="N3" s="221"/>
    </row>
    <row r="4" spans="1:14" x14ac:dyDescent="0.3">
      <c r="B4" s="1222" t="s">
        <v>323</v>
      </c>
      <c r="C4" s="1222"/>
      <c r="D4" s="1222"/>
      <c r="E4" s="1222"/>
      <c r="F4" s="1222"/>
      <c r="G4" s="1222"/>
      <c r="H4" s="1222"/>
      <c r="I4" s="1222"/>
      <c r="J4" s="1222"/>
      <c r="K4" s="1222"/>
      <c r="L4" s="1222"/>
    </row>
    <row r="5" spans="1:14" x14ac:dyDescent="0.3">
      <c r="B5" s="1226" t="s">
        <v>1610</v>
      </c>
      <c r="C5" s="1226"/>
      <c r="D5" s="1226"/>
      <c r="E5" s="1226"/>
      <c r="F5" s="1226"/>
      <c r="G5" s="1226"/>
      <c r="H5" s="1226"/>
      <c r="I5" s="1226"/>
      <c r="J5" s="1226"/>
      <c r="K5" s="1226"/>
      <c r="L5" s="1226"/>
    </row>
    <row r="6" spans="1:14" x14ac:dyDescent="0.3">
      <c r="B6" s="1226" t="s">
        <v>4</v>
      </c>
      <c r="C6" s="1222"/>
      <c r="D6" s="1222"/>
      <c r="E6" s="1222"/>
      <c r="F6" s="1222"/>
      <c r="G6" s="1222"/>
      <c r="H6" s="1222"/>
      <c r="I6" s="1222"/>
      <c r="J6" s="1222"/>
      <c r="K6" s="1222"/>
      <c r="L6" s="1222"/>
    </row>
    <row r="7" spans="1:14" x14ac:dyDescent="0.3">
      <c r="C7" s="270"/>
      <c r="D7" s="271"/>
      <c r="E7" s="297"/>
      <c r="F7" s="297"/>
      <c r="G7" s="297"/>
      <c r="H7" s="297"/>
      <c r="I7" s="297"/>
      <c r="J7" s="297"/>
    </row>
    <row r="8" spans="1:14" s="221" customFormat="1" x14ac:dyDescent="0.3">
      <c r="B8" s="933"/>
      <c r="C8" s="951"/>
      <c r="D8" s="952" t="s">
        <v>324</v>
      </c>
      <c r="E8" s="952" t="s">
        <v>325</v>
      </c>
      <c r="F8" s="952" t="s">
        <v>326</v>
      </c>
      <c r="G8" s="952" t="s">
        <v>327</v>
      </c>
      <c r="H8" s="952" t="s">
        <v>328</v>
      </c>
      <c r="I8" s="952" t="s">
        <v>329</v>
      </c>
      <c r="J8" s="952" t="s">
        <v>330</v>
      </c>
      <c r="K8" s="952" t="s">
        <v>331</v>
      </c>
      <c r="L8" s="933"/>
      <c r="M8" s="221" t="s">
        <v>1</v>
      </c>
    </row>
    <row r="9" spans="1:14" x14ac:dyDescent="0.3">
      <c r="B9" s="953"/>
      <c r="C9" s="934"/>
      <c r="D9" s="298"/>
      <c r="E9" s="298"/>
      <c r="F9" s="298"/>
      <c r="G9" s="298"/>
      <c r="H9" s="298"/>
      <c r="I9" s="298"/>
      <c r="J9" s="298"/>
      <c r="K9" s="299" t="s">
        <v>200</v>
      </c>
      <c r="L9" s="953"/>
      <c r="M9" s="4" t="s">
        <v>1</v>
      </c>
    </row>
    <row r="10" spans="1:14" x14ac:dyDescent="0.3">
      <c r="B10" s="300"/>
      <c r="C10" s="237"/>
      <c r="D10" s="298"/>
      <c r="E10" s="298" t="s">
        <v>332</v>
      </c>
      <c r="F10" s="298" t="s">
        <v>316</v>
      </c>
      <c r="G10" s="298" t="s">
        <v>321</v>
      </c>
      <c r="H10" s="298" t="s">
        <v>321</v>
      </c>
      <c r="I10" s="298" t="s">
        <v>321</v>
      </c>
      <c r="J10" s="298" t="s">
        <v>321</v>
      </c>
      <c r="K10" s="298" t="s">
        <v>321</v>
      </c>
      <c r="L10" s="940"/>
      <c r="M10" s="4" t="s">
        <v>1</v>
      </c>
    </row>
    <row r="11" spans="1:14" x14ac:dyDescent="0.3">
      <c r="B11" s="301"/>
      <c r="C11" s="281"/>
      <c r="D11" s="302" t="s">
        <v>200</v>
      </c>
      <c r="E11" s="298" t="s">
        <v>333</v>
      </c>
      <c r="F11" s="298" t="s">
        <v>333</v>
      </c>
      <c r="G11" s="298" t="s">
        <v>333</v>
      </c>
      <c r="H11" s="298" t="s">
        <v>333</v>
      </c>
      <c r="I11" s="298" t="s">
        <v>333</v>
      </c>
      <c r="J11" s="298" t="s">
        <v>333</v>
      </c>
      <c r="K11" s="298" t="s">
        <v>317</v>
      </c>
      <c r="L11" s="273"/>
    </row>
    <row r="12" spans="1:14" x14ac:dyDescent="0.3">
      <c r="A12" s="4" t="s">
        <v>5</v>
      </c>
      <c r="B12" s="301"/>
      <c r="C12" s="273"/>
      <c r="D12" s="302" t="s">
        <v>321</v>
      </c>
      <c r="E12" s="298" t="s">
        <v>334</v>
      </c>
      <c r="F12" s="303" t="s">
        <v>334</v>
      </c>
      <c r="G12" s="298" t="s">
        <v>334</v>
      </c>
      <c r="H12" s="298" t="s">
        <v>334</v>
      </c>
      <c r="I12" s="298" t="s">
        <v>334</v>
      </c>
      <c r="J12" s="298" t="s">
        <v>334</v>
      </c>
      <c r="K12" s="298" t="s">
        <v>335</v>
      </c>
      <c r="L12" s="273"/>
      <c r="M12" s="4" t="s">
        <v>5</v>
      </c>
    </row>
    <row r="13" spans="1:14" x14ac:dyDescent="0.3">
      <c r="A13" s="4" t="s">
        <v>6</v>
      </c>
      <c r="B13" s="278" t="s">
        <v>336</v>
      </c>
      <c r="C13" s="278" t="s">
        <v>337</v>
      </c>
      <c r="D13" s="304" t="s">
        <v>333</v>
      </c>
      <c r="E13" s="304" t="s">
        <v>338</v>
      </c>
      <c r="F13" s="304" t="s">
        <v>339</v>
      </c>
      <c r="G13" s="304" t="s">
        <v>340</v>
      </c>
      <c r="H13" s="304" t="s">
        <v>341</v>
      </c>
      <c r="I13" s="304" t="s">
        <v>310</v>
      </c>
      <c r="J13" s="954" t="s">
        <v>342</v>
      </c>
      <c r="K13" s="278" t="s">
        <v>343</v>
      </c>
      <c r="L13" s="278" t="s">
        <v>8</v>
      </c>
      <c r="M13" s="4" t="s">
        <v>6</v>
      </c>
    </row>
    <row r="14" spans="1:14" x14ac:dyDescent="0.3">
      <c r="B14" s="940"/>
      <c r="C14" s="237" t="s">
        <v>344</v>
      </c>
      <c r="D14" s="237"/>
      <c r="E14" s="237"/>
      <c r="F14" s="237"/>
      <c r="G14" s="237"/>
      <c r="H14" s="237"/>
      <c r="I14" s="237"/>
      <c r="J14" s="237"/>
      <c r="K14" s="63"/>
      <c r="L14" s="940"/>
    </row>
    <row r="15" spans="1:14" x14ac:dyDescent="0.3">
      <c r="A15" s="4">
        <v>1</v>
      </c>
      <c r="B15" s="955">
        <v>303</v>
      </c>
      <c r="C15" s="237" t="s">
        <v>345</v>
      </c>
      <c r="D15" s="235">
        <v>0</v>
      </c>
      <c r="E15" s="235">
        <v>0</v>
      </c>
      <c r="F15" s="235">
        <v>0</v>
      </c>
      <c r="G15" s="235">
        <v>0</v>
      </c>
      <c r="H15" s="235">
        <v>0</v>
      </c>
      <c r="I15" s="235">
        <v>0</v>
      </c>
      <c r="J15" s="235">
        <v>0</v>
      </c>
      <c r="K15" s="59">
        <f>SUM(D15:J15)</f>
        <v>0</v>
      </c>
      <c r="L15" s="940" t="s">
        <v>289</v>
      </c>
      <c r="M15" s="4">
        <f>A15</f>
        <v>1</v>
      </c>
    </row>
    <row r="16" spans="1:14" x14ac:dyDescent="0.3">
      <c r="A16" s="4">
        <f t="shared" ref="A16:A38" si="0">A15+1</f>
        <v>2</v>
      </c>
      <c r="B16" s="940">
        <v>310.10000000000002</v>
      </c>
      <c r="C16" s="237" t="s">
        <v>346</v>
      </c>
      <c r="D16" s="236">
        <v>0</v>
      </c>
      <c r="E16" s="236">
        <v>0</v>
      </c>
      <c r="F16" s="236">
        <v>0</v>
      </c>
      <c r="G16" s="236">
        <v>0</v>
      </c>
      <c r="H16" s="236">
        <v>0</v>
      </c>
      <c r="I16" s="236">
        <v>0</v>
      </c>
      <c r="J16" s="236">
        <v>0</v>
      </c>
      <c r="K16" s="53">
        <f>SUM(D16:J16)</f>
        <v>0</v>
      </c>
      <c r="L16" s="940" t="s">
        <v>289</v>
      </c>
      <c r="M16" s="4">
        <f>M15+1</f>
        <v>2</v>
      </c>
    </row>
    <row r="17" spans="1:14" x14ac:dyDescent="0.3">
      <c r="A17" s="4">
        <f t="shared" si="0"/>
        <v>3</v>
      </c>
      <c r="B17" s="955">
        <v>340</v>
      </c>
      <c r="C17" s="956" t="s">
        <v>347</v>
      </c>
      <c r="D17" s="236">
        <v>0</v>
      </c>
      <c r="E17" s="236">
        <v>4.5990200000000003</v>
      </c>
      <c r="F17" s="236">
        <v>0</v>
      </c>
      <c r="G17" s="236">
        <v>0</v>
      </c>
      <c r="H17" s="236">
        <v>0</v>
      </c>
      <c r="I17" s="236">
        <v>0</v>
      </c>
      <c r="J17" s="236">
        <v>0</v>
      </c>
      <c r="K17" s="53">
        <f>SUM(D17:J17)</f>
        <v>4.5990200000000003</v>
      </c>
      <c r="L17" s="940" t="s">
        <v>289</v>
      </c>
      <c r="M17" s="4">
        <f t="shared" ref="M17:M38" si="1">M16+1</f>
        <v>3</v>
      </c>
    </row>
    <row r="18" spans="1:14" x14ac:dyDescent="0.3">
      <c r="A18" s="4">
        <f t="shared" si="0"/>
        <v>4</v>
      </c>
      <c r="B18" s="955">
        <v>360</v>
      </c>
      <c r="C18" s="956" t="s">
        <v>347</v>
      </c>
      <c r="D18" s="236">
        <v>0</v>
      </c>
      <c r="E18" s="236">
        <v>0</v>
      </c>
      <c r="F18" s="236">
        <v>3626.3653199999999</v>
      </c>
      <c r="G18" s="236">
        <v>0</v>
      </c>
      <c r="H18" s="236">
        <v>0</v>
      </c>
      <c r="I18" s="236">
        <v>0</v>
      </c>
      <c r="J18" s="236">
        <v>0</v>
      </c>
      <c r="K18" s="53">
        <f>SUM(D18:J18)</f>
        <v>3626.3653199999999</v>
      </c>
      <c r="L18" s="940" t="s">
        <v>289</v>
      </c>
      <c r="M18" s="4">
        <f t="shared" si="1"/>
        <v>4</v>
      </c>
    </row>
    <row r="19" spans="1:14" x14ac:dyDescent="0.3">
      <c r="A19" s="4">
        <f t="shared" si="0"/>
        <v>5</v>
      </c>
      <c r="B19" s="955">
        <v>361</v>
      </c>
      <c r="C19" s="237" t="s">
        <v>348</v>
      </c>
      <c r="D19" s="236">
        <v>0</v>
      </c>
      <c r="E19" s="236">
        <v>0</v>
      </c>
      <c r="F19" s="236">
        <v>1496.2538400000001</v>
      </c>
      <c r="G19" s="236">
        <v>0</v>
      </c>
      <c r="H19" s="236">
        <v>0</v>
      </c>
      <c r="I19" s="236">
        <v>0</v>
      </c>
      <c r="J19" s="236">
        <v>0</v>
      </c>
      <c r="K19" s="53">
        <f>SUM(D19:J19)</f>
        <v>1496.2538400000001</v>
      </c>
      <c r="L19" s="940" t="s">
        <v>289</v>
      </c>
      <c r="M19" s="4">
        <f t="shared" si="1"/>
        <v>5</v>
      </c>
    </row>
    <row r="20" spans="1:14" x14ac:dyDescent="0.3">
      <c r="A20" s="4">
        <f t="shared" si="0"/>
        <v>6</v>
      </c>
      <c r="B20" s="940"/>
      <c r="C20" s="237"/>
      <c r="D20" s="237"/>
      <c r="E20" s="237"/>
      <c r="F20" s="237"/>
      <c r="G20" s="237"/>
      <c r="H20" s="237"/>
      <c r="I20" s="237"/>
      <c r="J20" s="237"/>
      <c r="K20" s="63"/>
      <c r="L20" s="940"/>
      <c r="M20" s="4">
        <f t="shared" si="1"/>
        <v>6</v>
      </c>
    </row>
    <row r="21" spans="1:14" s="1" customFormat="1" x14ac:dyDescent="0.3">
      <c r="A21" s="4">
        <f t="shared" si="0"/>
        <v>7</v>
      </c>
      <c r="B21" s="957" t="s">
        <v>349</v>
      </c>
      <c r="C21" s="958" t="s">
        <v>350</v>
      </c>
      <c r="D21" s="959">
        <f t="shared" ref="D21:K21" si="2">SUM(D15:D20)</f>
        <v>0</v>
      </c>
      <c r="E21" s="959">
        <f t="shared" si="2"/>
        <v>4.5990200000000003</v>
      </c>
      <c r="F21" s="959">
        <f t="shared" si="2"/>
        <v>5122.6191600000002</v>
      </c>
      <c r="G21" s="959">
        <f t="shared" si="2"/>
        <v>0</v>
      </c>
      <c r="H21" s="959">
        <f t="shared" si="2"/>
        <v>0</v>
      </c>
      <c r="I21" s="959">
        <f t="shared" si="2"/>
        <v>0</v>
      </c>
      <c r="J21" s="959">
        <f t="shared" si="2"/>
        <v>0</v>
      </c>
      <c r="K21" s="239">
        <f t="shared" si="2"/>
        <v>5127.2181799999998</v>
      </c>
      <c r="L21" s="960" t="s">
        <v>14</v>
      </c>
      <c r="M21" s="4">
        <f t="shared" si="1"/>
        <v>7</v>
      </c>
      <c r="N21" s="4"/>
    </row>
    <row r="22" spans="1:14" x14ac:dyDescent="0.3">
      <c r="A22" s="4">
        <f t="shared" si="0"/>
        <v>8</v>
      </c>
      <c r="B22" s="940"/>
      <c r="C22" s="237"/>
      <c r="D22" s="236"/>
      <c r="E22" s="236"/>
      <c r="F22" s="236"/>
      <c r="G22" s="236"/>
      <c r="H22" s="236"/>
      <c r="I22" s="236"/>
      <c r="J22" s="236"/>
      <c r="K22" s="63"/>
      <c r="L22" s="940"/>
      <c r="M22" s="4">
        <f t="shared" si="1"/>
        <v>8</v>
      </c>
    </row>
    <row r="23" spans="1:14" x14ac:dyDescent="0.3">
      <c r="A23" s="4">
        <f t="shared" si="0"/>
        <v>9</v>
      </c>
      <c r="B23" s="955">
        <v>350</v>
      </c>
      <c r="C23" s="237" t="s">
        <v>347</v>
      </c>
      <c r="D23" s="961">
        <v>256898.14848999999</v>
      </c>
      <c r="E23" s="235">
        <v>0</v>
      </c>
      <c r="F23" s="235">
        <v>0</v>
      </c>
      <c r="G23" s="235">
        <v>0</v>
      </c>
      <c r="H23" s="235">
        <v>0</v>
      </c>
      <c r="I23" s="235">
        <v>0</v>
      </c>
      <c r="J23" s="235">
        <v>-13536.05595</v>
      </c>
      <c r="K23" s="59">
        <f t="shared" ref="K23:K34" si="3">SUM(D23:J23)</f>
        <v>243362.09253999998</v>
      </c>
      <c r="L23" s="940" t="s">
        <v>289</v>
      </c>
      <c r="M23" s="4">
        <f t="shared" si="1"/>
        <v>9</v>
      </c>
    </row>
    <row r="24" spans="1:14" x14ac:dyDescent="0.3">
      <c r="A24" s="4">
        <f t="shared" si="0"/>
        <v>10</v>
      </c>
      <c r="B24" s="955">
        <v>351.1</v>
      </c>
      <c r="C24" s="237" t="s">
        <v>1593</v>
      </c>
      <c r="D24" s="236">
        <v>0</v>
      </c>
      <c r="E24" s="236">
        <v>0</v>
      </c>
      <c r="F24" s="236">
        <v>0</v>
      </c>
      <c r="G24" s="236">
        <v>0</v>
      </c>
      <c r="H24" s="236">
        <v>0</v>
      </c>
      <c r="I24" s="236">
        <v>0</v>
      </c>
      <c r="J24" s="236">
        <v>0</v>
      </c>
      <c r="K24" s="53">
        <f t="shared" si="3"/>
        <v>0</v>
      </c>
      <c r="L24" s="940" t="s">
        <v>289</v>
      </c>
      <c r="M24" s="4">
        <f t="shared" si="1"/>
        <v>10</v>
      </c>
      <c r="N24" s="361"/>
    </row>
    <row r="25" spans="1:14" x14ac:dyDescent="0.3">
      <c r="A25" s="4">
        <f t="shared" si="0"/>
        <v>11</v>
      </c>
      <c r="B25" s="955">
        <v>351.2</v>
      </c>
      <c r="C25" s="237" t="s">
        <v>1594</v>
      </c>
      <c r="D25" s="236">
        <v>0</v>
      </c>
      <c r="E25" s="236">
        <v>0</v>
      </c>
      <c r="F25" s="236">
        <v>0</v>
      </c>
      <c r="G25" s="236">
        <v>0</v>
      </c>
      <c r="H25" s="236">
        <v>0</v>
      </c>
      <c r="I25" s="236">
        <v>0</v>
      </c>
      <c r="J25" s="236">
        <v>0</v>
      </c>
      <c r="K25" s="53">
        <f t="shared" si="3"/>
        <v>0</v>
      </c>
      <c r="L25" s="940" t="s">
        <v>289</v>
      </c>
      <c r="M25" s="4">
        <f t="shared" si="1"/>
        <v>11</v>
      </c>
      <c r="N25" s="361"/>
    </row>
    <row r="26" spans="1:14" x14ac:dyDescent="0.3">
      <c r="A26" s="4">
        <f t="shared" si="0"/>
        <v>12</v>
      </c>
      <c r="B26" s="955">
        <v>351.3</v>
      </c>
      <c r="C26" s="237" t="s">
        <v>1595</v>
      </c>
      <c r="D26" s="236">
        <v>0</v>
      </c>
      <c r="E26" s="236">
        <v>0</v>
      </c>
      <c r="F26" s="236">
        <v>0</v>
      </c>
      <c r="G26" s="236">
        <v>0</v>
      </c>
      <c r="H26" s="236">
        <v>0</v>
      </c>
      <c r="I26" s="236">
        <v>0</v>
      </c>
      <c r="J26" s="236">
        <v>0</v>
      </c>
      <c r="K26" s="53">
        <f t="shared" si="3"/>
        <v>0</v>
      </c>
      <c r="L26" s="940" t="s">
        <v>289</v>
      </c>
      <c r="M26" s="4">
        <f t="shared" si="1"/>
        <v>12</v>
      </c>
      <c r="N26" s="361"/>
    </row>
    <row r="27" spans="1:14" x14ac:dyDescent="0.3">
      <c r="A27" s="4">
        <f t="shared" si="0"/>
        <v>13</v>
      </c>
      <c r="B27" s="955">
        <v>352</v>
      </c>
      <c r="C27" s="237" t="s">
        <v>348</v>
      </c>
      <c r="D27" s="962">
        <v>818920.32406999997</v>
      </c>
      <c r="E27" s="236">
        <v>0</v>
      </c>
      <c r="F27" s="236">
        <v>0</v>
      </c>
      <c r="G27" s="236">
        <v>-1928.27782</v>
      </c>
      <c r="H27" s="236">
        <v>0</v>
      </c>
      <c r="I27" s="236">
        <v>0</v>
      </c>
      <c r="J27" s="236">
        <v>-112635.03347000001</v>
      </c>
      <c r="K27" s="53">
        <f t="shared" si="3"/>
        <v>704357.01277999999</v>
      </c>
      <c r="L27" s="940" t="s">
        <v>289</v>
      </c>
      <c r="M27" s="4">
        <f t="shared" si="1"/>
        <v>13</v>
      </c>
      <c r="N27" s="361"/>
    </row>
    <row r="28" spans="1:14" x14ac:dyDescent="0.3">
      <c r="A28" s="4">
        <f t="shared" si="0"/>
        <v>14</v>
      </c>
      <c r="B28" s="955">
        <v>353</v>
      </c>
      <c r="C28" s="237" t="s">
        <v>351</v>
      </c>
      <c r="D28" s="962">
        <v>2277735.1889599999</v>
      </c>
      <c r="E28" s="236">
        <v>0</v>
      </c>
      <c r="F28" s="236">
        <v>0</v>
      </c>
      <c r="G28" s="236">
        <v>-12009.877780000001</v>
      </c>
      <c r="H28" s="236">
        <v>-1420.3928800000001</v>
      </c>
      <c r="I28" s="236">
        <v>0</v>
      </c>
      <c r="J28" s="236">
        <v>-2429.9854399999999</v>
      </c>
      <c r="K28" s="53">
        <f t="shared" si="3"/>
        <v>2261874.9328599996</v>
      </c>
      <c r="L28" s="940" t="s">
        <v>289</v>
      </c>
      <c r="M28" s="4">
        <f t="shared" si="1"/>
        <v>14</v>
      </c>
      <c r="N28" s="361"/>
    </row>
    <row r="29" spans="1:14" x14ac:dyDescent="0.3">
      <c r="A29" s="4">
        <f t="shared" si="0"/>
        <v>15</v>
      </c>
      <c r="B29" s="955">
        <v>354</v>
      </c>
      <c r="C29" s="237" t="s">
        <v>352</v>
      </c>
      <c r="D29" s="962">
        <v>930804.89881000004</v>
      </c>
      <c r="E29" s="236">
        <v>0</v>
      </c>
      <c r="F29" s="236">
        <v>0</v>
      </c>
      <c r="G29" s="236">
        <v>0</v>
      </c>
      <c r="H29" s="236">
        <v>0</v>
      </c>
      <c r="I29" s="236">
        <v>0</v>
      </c>
      <c r="J29" s="236">
        <v>0</v>
      </c>
      <c r="K29" s="53">
        <f t="shared" si="3"/>
        <v>930804.89881000004</v>
      </c>
      <c r="L29" s="940" t="s">
        <v>289</v>
      </c>
      <c r="M29" s="4">
        <f t="shared" si="1"/>
        <v>15</v>
      </c>
      <c r="N29" s="361"/>
    </row>
    <row r="30" spans="1:14" x14ac:dyDescent="0.3">
      <c r="A30" s="4">
        <f t="shared" si="0"/>
        <v>16</v>
      </c>
      <c r="B30" s="955">
        <v>355</v>
      </c>
      <c r="C30" s="237" t="s">
        <v>353</v>
      </c>
      <c r="D30" s="962">
        <v>1080815.14552</v>
      </c>
      <c r="E30" s="236">
        <v>0</v>
      </c>
      <c r="F30" s="236">
        <v>0</v>
      </c>
      <c r="G30" s="236">
        <v>0</v>
      </c>
      <c r="H30" s="236">
        <v>0</v>
      </c>
      <c r="I30" s="236">
        <v>0</v>
      </c>
      <c r="J30" s="236">
        <v>0</v>
      </c>
      <c r="K30" s="53">
        <f t="shared" si="3"/>
        <v>1080815.14552</v>
      </c>
      <c r="L30" s="940" t="s">
        <v>289</v>
      </c>
      <c r="M30" s="4">
        <f t="shared" si="1"/>
        <v>16</v>
      </c>
      <c r="N30" s="361"/>
    </row>
    <row r="31" spans="1:14" x14ac:dyDescent="0.3">
      <c r="A31" s="4">
        <f t="shared" si="0"/>
        <v>17</v>
      </c>
      <c r="B31" s="955">
        <v>356</v>
      </c>
      <c r="C31" s="237" t="s">
        <v>354</v>
      </c>
      <c r="D31" s="962">
        <v>940375.96794999996</v>
      </c>
      <c r="E31" s="236">
        <v>0</v>
      </c>
      <c r="F31" s="236">
        <v>0</v>
      </c>
      <c r="G31" s="236">
        <v>0</v>
      </c>
      <c r="H31" s="236">
        <v>0</v>
      </c>
      <c r="I31" s="236">
        <v>0</v>
      </c>
      <c r="J31" s="236">
        <v>0</v>
      </c>
      <c r="K31" s="53">
        <f t="shared" si="3"/>
        <v>940375.96794999996</v>
      </c>
      <c r="L31" s="940" t="s">
        <v>289</v>
      </c>
      <c r="M31" s="4">
        <f t="shared" si="1"/>
        <v>17</v>
      </c>
      <c r="N31" s="361"/>
    </row>
    <row r="32" spans="1:14" x14ac:dyDescent="0.3">
      <c r="A32" s="4">
        <f t="shared" si="0"/>
        <v>18</v>
      </c>
      <c r="B32" s="955">
        <v>357</v>
      </c>
      <c r="C32" s="237" t="s">
        <v>355</v>
      </c>
      <c r="D32" s="962">
        <v>635069.28517000005</v>
      </c>
      <c r="E32" s="236">
        <v>0</v>
      </c>
      <c r="F32" s="236">
        <v>0</v>
      </c>
      <c r="G32" s="236">
        <v>0</v>
      </c>
      <c r="H32" s="236">
        <v>0</v>
      </c>
      <c r="I32" s="236">
        <v>0</v>
      </c>
      <c r="J32" s="236">
        <v>0</v>
      </c>
      <c r="K32" s="53">
        <f t="shared" si="3"/>
        <v>635069.28517000005</v>
      </c>
      <c r="L32" s="940" t="s">
        <v>289</v>
      </c>
      <c r="M32" s="4">
        <f t="shared" si="1"/>
        <v>18</v>
      </c>
      <c r="N32" s="361"/>
    </row>
    <row r="33" spans="1:14" x14ac:dyDescent="0.3">
      <c r="A33" s="4">
        <f t="shared" si="0"/>
        <v>19</v>
      </c>
      <c r="B33" s="955">
        <v>358</v>
      </c>
      <c r="C33" s="237" t="s">
        <v>356</v>
      </c>
      <c r="D33" s="962">
        <v>611501.32154999999</v>
      </c>
      <c r="E33" s="236">
        <v>0</v>
      </c>
      <c r="F33" s="236">
        <v>0</v>
      </c>
      <c r="G33" s="236">
        <v>-1726.37997</v>
      </c>
      <c r="H33" s="236">
        <v>0</v>
      </c>
      <c r="I33" s="236">
        <v>0</v>
      </c>
      <c r="J33" s="236">
        <v>0</v>
      </c>
      <c r="K33" s="53">
        <f t="shared" si="3"/>
        <v>609774.94157999998</v>
      </c>
      <c r="L33" s="940" t="s">
        <v>289</v>
      </c>
      <c r="M33" s="4">
        <f t="shared" si="1"/>
        <v>19</v>
      </c>
      <c r="N33" s="361"/>
    </row>
    <row r="34" spans="1:14" x14ac:dyDescent="0.3">
      <c r="A34" s="4">
        <f t="shared" si="0"/>
        <v>20</v>
      </c>
      <c r="B34" s="955">
        <v>359</v>
      </c>
      <c r="C34" s="237" t="s">
        <v>357</v>
      </c>
      <c r="D34" s="962">
        <v>391358.77490999998</v>
      </c>
      <c r="E34" s="236">
        <v>0</v>
      </c>
      <c r="F34" s="236">
        <v>0</v>
      </c>
      <c r="G34" s="236">
        <v>0</v>
      </c>
      <c r="H34" s="236">
        <v>0</v>
      </c>
      <c r="I34" s="236">
        <v>0</v>
      </c>
      <c r="J34" s="236">
        <v>0</v>
      </c>
      <c r="K34" s="53">
        <f t="shared" si="3"/>
        <v>391358.77490999998</v>
      </c>
      <c r="L34" s="940" t="s">
        <v>289</v>
      </c>
      <c r="M34" s="4">
        <f t="shared" si="1"/>
        <v>20</v>
      </c>
      <c r="N34" s="361"/>
    </row>
    <row r="35" spans="1:14" x14ac:dyDescent="0.3">
      <c r="A35" s="4">
        <f t="shared" si="0"/>
        <v>21</v>
      </c>
      <c r="B35" s="955"/>
      <c r="C35" s="237"/>
      <c r="D35" s="236"/>
      <c r="F35" s="95"/>
      <c r="G35" s="95"/>
      <c r="H35" s="95"/>
      <c r="I35" s="95"/>
      <c r="J35" s="236"/>
      <c r="K35" s="54"/>
      <c r="L35" s="955"/>
      <c r="M35" s="4">
        <f t="shared" si="1"/>
        <v>21</v>
      </c>
      <c r="N35" s="361"/>
    </row>
    <row r="36" spans="1:14" x14ac:dyDescent="0.3">
      <c r="A36" s="4">
        <f t="shared" si="0"/>
        <v>22</v>
      </c>
      <c r="B36" s="963" t="s">
        <v>349</v>
      </c>
      <c r="C36" s="958" t="s">
        <v>320</v>
      </c>
      <c r="D36" s="959">
        <f>SUM(D23:D35)</f>
        <v>7943479.0554299997</v>
      </c>
      <c r="E36" s="959">
        <f>SUM(E23:E35)</f>
        <v>0</v>
      </c>
      <c r="F36" s="959">
        <f>SUM(F23:F35)</f>
        <v>0</v>
      </c>
      <c r="G36" s="959">
        <f t="shared" ref="G36:H36" si="4">SUM(G23:G35)</f>
        <v>-15664.53557</v>
      </c>
      <c r="H36" s="959">
        <f t="shared" si="4"/>
        <v>-1420.3928800000001</v>
      </c>
      <c r="I36" s="959">
        <f>SUM(I23:I35)</f>
        <v>0</v>
      </c>
      <c r="J36" s="959">
        <f>SUM(J23:J35)</f>
        <v>-128601.07486000001</v>
      </c>
      <c r="K36" s="239">
        <f>SUM(K23:K35)</f>
        <v>7797793.0521200001</v>
      </c>
      <c r="L36" s="964" t="s">
        <v>1608</v>
      </c>
      <c r="M36" s="4">
        <f t="shared" si="1"/>
        <v>22</v>
      </c>
      <c r="N36" s="361"/>
    </row>
    <row r="37" spans="1:14" x14ac:dyDescent="0.3">
      <c r="A37" s="4">
        <f t="shared" si="0"/>
        <v>23</v>
      </c>
      <c r="B37" s="300"/>
      <c r="D37" s="32"/>
      <c r="K37" s="6"/>
      <c r="L37" s="305"/>
      <c r="M37" s="4">
        <f t="shared" si="1"/>
        <v>23</v>
      </c>
      <c r="N37" s="361"/>
    </row>
    <row r="38" spans="1:14" x14ac:dyDescent="0.3">
      <c r="A38" s="4">
        <f t="shared" si="0"/>
        <v>24</v>
      </c>
      <c r="B38" s="306" t="s">
        <v>358</v>
      </c>
      <c r="C38" s="965"/>
      <c r="D38" s="579">
        <f t="shared" ref="D38:K38" si="5">D36+D21</f>
        <v>7943479.0554299997</v>
      </c>
      <c r="E38" s="579">
        <f t="shared" si="5"/>
        <v>4.5990200000000003</v>
      </c>
      <c r="F38" s="579">
        <f t="shared" si="5"/>
        <v>5122.6191600000002</v>
      </c>
      <c r="G38" s="579">
        <f t="shared" si="5"/>
        <v>-15664.53557</v>
      </c>
      <c r="H38" s="579">
        <f t="shared" si="5"/>
        <v>-1420.3928800000001</v>
      </c>
      <c r="I38" s="579">
        <f t="shared" si="5"/>
        <v>0</v>
      </c>
      <c r="J38" s="579">
        <f t="shared" si="5"/>
        <v>-128601.07486000001</v>
      </c>
      <c r="K38" s="64">
        <f t="shared" si="5"/>
        <v>7802920.2703</v>
      </c>
      <c r="L38" s="960" t="s">
        <v>1609</v>
      </c>
      <c r="M38" s="4">
        <f t="shared" si="1"/>
        <v>24</v>
      </c>
      <c r="N38" s="361"/>
    </row>
    <row r="39" spans="1:14" x14ac:dyDescent="0.3">
      <c r="D39" s="32"/>
    </row>
    <row r="40" spans="1:14" x14ac:dyDescent="0.3">
      <c r="D40" s="32"/>
    </row>
    <row r="41" spans="1:14" x14ac:dyDescent="0.3">
      <c r="B41" s="33" t="s">
        <v>359</v>
      </c>
      <c r="D41" s="32"/>
    </row>
    <row r="42" spans="1:14" x14ac:dyDescent="0.3">
      <c r="D42" s="32"/>
      <c r="K42" s="6"/>
      <c r="L42" s="6"/>
    </row>
    <row r="43" spans="1:14" x14ac:dyDescent="0.3">
      <c r="D43" s="32"/>
    </row>
    <row r="44" spans="1:14" x14ac:dyDescent="0.3">
      <c r="D44" s="32"/>
    </row>
    <row r="45" spans="1:14" x14ac:dyDescent="0.3">
      <c r="D45" s="32"/>
    </row>
    <row r="46" spans="1:14" x14ac:dyDescent="0.3">
      <c r="D46" s="32"/>
    </row>
    <row r="47" spans="1:14" x14ac:dyDescent="0.3">
      <c r="D47" s="32"/>
    </row>
    <row r="48" spans="1:14" x14ac:dyDescent="0.3">
      <c r="D48" s="32"/>
    </row>
    <row r="49" spans="4:4" x14ac:dyDescent="0.3">
      <c r="D49" s="32"/>
    </row>
    <row r="50" spans="4:4" x14ac:dyDescent="0.3">
      <c r="D50" s="32"/>
    </row>
    <row r="51" spans="4:4" x14ac:dyDescent="0.3">
      <c r="D51" s="32"/>
    </row>
    <row r="52" spans="4:4" x14ac:dyDescent="0.3">
      <c r="D52" s="32"/>
    </row>
    <row r="53" spans="4:4" x14ac:dyDescent="0.3">
      <c r="D53" s="32"/>
    </row>
    <row r="54" spans="4:4" x14ac:dyDescent="0.3">
      <c r="D54" s="32"/>
    </row>
    <row r="55" spans="4:4" x14ac:dyDescent="0.3">
      <c r="D55" s="32"/>
    </row>
    <row r="56" spans="4:4" x14ac:dyDescent="0.3">
      <c r="D56" s="32"/>
    </row>
    <row r="57" spans="4:4" x14ac:dyDescent="0.3">
      <c r="D57" s="32"/>
    </row>
    <row r="58" spans="4:4" x14ac:dyDescent="0.3">
      <c r="D58" s="32"/>
    </row>
    <row r="59" spans="4:4" x14ac:dyDescent="0.3">
      <c r="D59" s="32"/>
    </row>
    <row r="60" spans="4:4" x14ac:dyDescent="0.3">
      <c r="D60" s="32"/>
    </row>
    <row r="61" spans="4:4" x14ac:dyDescent="0.3">
      <c r="D61" s="32"/>
    </row>
    <row r="62" spans="4:4" x14ac:dyDescent="0.3">
      <c r="D62" s="32"/>
    </row>
    <row r="63" spans="4:4" x14ac:dyDescent="0.3">
      <c r="D63" s="32"/>
    </row>
    <row r="64" spans="4:4" x14ac:dyDescent="0.3">
      <c r="D64" s="32"/>
    </row>
    <row r="65" spans="4:4" x14ac:dyDescent="0.3">
      <c r="D65" s="32"/>
    </row>
    <row r="66" spans="4:4" x14ac:dyDescent="0.3">
      <c r="D66" s="32"/>
    </row>
    <row r="67" spans="4:4" x14ac:dyDescent="0.3">
      <c r="D67" s="32"/>
    </row>
    <row r="68" spans="4:4" x14ac:dyDescent="0.3">
      <c r="D68" s="32"/>
    </row>
    <row r="69" spans="4:4" x14ac:dyDescent="0.3">
      <c r="D69" s="32"/>
    </row>
    <row r="70" spans="4:4" x14ac:dyDescent="0.3">
      <c r="D70" s="32"/>
    </row>
    <row r="71" spans="4:4" x14ac:dyDescent="0.3">
      <c r="D71" s="32"/>
    </row>
    <row r="72" spans="4:4" x14ac:dyDescent="0.3">
      <c r="D72" s="32"/>
    </row>
    <row r="73" spans="4:4" x14ac:dyDescent="0.3">
      <c r="D73" s="32"/>
    </row>
    <row r="74" spans="4:4" x14ac:dyDescent="0.3">
      <c r="D74" s="32"/>
    </row>
    <row r="75" spans="4:4" x14ac:dyDescent="0.3">
      <c r="D75" s="32"/>
    </row>
    <row r="76" spans="4:4" x14ac:dyDescent="0.3">
      <c r="D76" s="32"/>
    </row>
    <row r="77" spans="4:4" x14ac:dyDescent="0.3">
      <c r="D77" s="32"/>
    </row>
    <row r="78" spans="4:4" x14ac:dyDescent="0.3">
      <c r="D78" s="32"/>
    </row>
    <row r="79" spans="4:4" x14ac:dyDescent="0.3">
      <c r="D79" s="32"/>
    </row>
    <row r="80" spans="4:4" x14ac:dyDescent="0.3">
      <c r="D80" s="32"/>
    </row>
    <row r="81" spans="4:4" x14ac:dyDescent="0.3">
      <c r="D81" s="32"/>
    </row>
    <row r="82" spans="4:4" x14ac:dyDescent="0.3">
      <c r="D82" s="32"/>
    </row>
    <row r="83" spans="4:4" x14ac:dyDescent="0.3">
      <c r="D83" s="32"/>
    </row>
    <row r="84" spans="4:4" x14ac:dyDescent="0.3">
      <c r="D84" s="32"/>
    </row>
    <row r="85" spans="4:4" x14ac:dyDescent="0.3">
      <c r="D85" s="32"/>
    </row>
    <row r="86" spans="4:4" x14ac:dyDescent="0.3">
      <c r="D86" s="32"/>
    </row>
    <row r="87" spans="4:4" x14ac:dyDescent="0.3">
      <c r="D87" s="32"/>
    </row>
    <row r="88" spans="4:4" x14ac:dyDescent="0.3">
      <c r="D88" s="32"/>
    </row>
    <row r="89" spans="4:4" x14ac:dyDescent="0.3">
      <c r="D89" s="32"/>
    </row>
    <row r="90" spans="4:4" x14ac:dyDescent="0.3">
      <c r="D90" s="32"/>
    </row>
    <row r="91" spans="4:4" x14ac:dyDescent="0.3">
      <c r="D91" s="32"/>
    </row>
    <row r="92" spans="4:4" x14ac:dyDescent="0.3">
      <c r="D92" s="32"/>
    </row>
    <row r="93" spans="4:4" x14ac:dyDescent="0.3">
      <c r="D93" s="32"/>
    </row>
    <row r="94" spans="4:4" x14ac:dyDescent="0.3">
      <c r="D94" s="32"/>
    </row>
    <row r="95" spans="4:4" x14ac:dyDescent="0.3">
      <c r="D95" s="32"/>
    </row>
    <row r="96" spans="4:4" x14ac:dyDescent="0.3">
      <c r="D96" s="32"/>
    </row>
    <row r="97" spans="4:4" x14ac:dyDescent="0.3">
      <c r="D97" s="32"/>
    </row>
    <row r="98" spans="4:4" x14ac:dyDescent="0.3">
      <c r="D98" s="32"/>
    </row>
    <row r="99" spans="4:4" x14ac:dyDescent="0.3">
      <c r="D99" s="32"/>
    </row>
    <row r="100" spans="4:4" x14ac:dyDescent="0.3">
      <c r="D100" s="32"/>
    </row>
    <row r="101" spans="4:4" x14ac:dyDescent="0.3">
      <c r="D101" s="32"/>
    </row>
    <row r="102" spans="4:4" x14ac:dyDescent="0.3">
      <c r="D102" s="32"/>
    </row>
    <row r="103" spans="4:4" x14ac:dyDescent="0.3">
      <c r="D103" s="32"/>
    </row>
    <row r="104" spans="4:4" x14ac:dyDescent="0.3">
      <c r="D104" s="32"/>
    </row>
    <row r="105" spans="4:4" x14ac:dyDescent="0.3">
      <c r="D105" s="32"/>
    </row>
    <row r="106" spans="4:4" x14ac:dyDescent="0.3">
      <c r="D106" s="32"/>
    </row>
    <row r="107" spans="4:4" x14ac:dyDescent="0.3">
      <c r="D107" s="32"/>
    </row>
    <row r="108" spans="4:4" x14ac:dyDescent="0.3">
      <c r="D108" s="32"/>
    </row>
    <row r="109" spans="4:4" x14ac:dyDescent="0.3">
      <c r="D109" s="32"/>
    </row>
    <row r="110" spans="4:4" x14ac:dyDescent="0.3">
      <c r="D110" s="32"/>
    </row>
    <row r="111" spans="4:4" x14ac:dyDescent="0.3">
      <c r="D111" s="32"/>
    </row>
    <row r="112" spans="4:4" x14ac:dyDescent="0.3">
      <c r="D112" s="32"/>
    </row>
    <row r="113" spans="4:4" x14ac:dyDescent="0.3">
      <c r="D113" s="32"/>
    </row>
    <row r="114" spans="4:4" x14ac:dyDescent="0.3">
      <c r="D114" s="32"/>
    </row>
    <row r="115" spans="4:4" x14ac:dyDescent="0.3">
      <c r="D115" s="32"/>
    </row>
    <row r="116" spans="4:4" x14ac:dyDescent="0.3">
      <c r="D116" s="32"/>
    </row>
    <row r="117" spans="4:4" x14ac:dyDescent="0.3">
      <c r="D117" s="32"/>
    </row>
    <row r="118" spans="4:4" x14ac:dyDescent="0.3">
      <c r="D118" s="32"/>
    </row>
    <row r="119" spans="4:4" x14ac:dyDescent="0.3">
      <c r="D119" s="32"/>
    </row>
    <row r="120" spans="4:4" x14ac:dyDescent="0.3">
      <c r="D120" s="32"/>
    </row>
    <row r="121" spans="4:4" x14ac:dyDescent="0.3">
      <c r="D121" s="32"/>
    </row>
    <row r="122" spans="4:4" x14ac:dyDescent="0.3">
      <c r="D122" s="32"/>
    </row>
    <row r="123" spans="4:4" x14ac:dyDescent="0.3">
      <c r="D123" s="32"/>
    </row>
    <row r="124" spans="4:4" x14ac:dyDescent="0.3">
      <c r="D124" s="32"/>
    </row>
    <row r="125" spans="4:4" x14ac:dyDescent="0.3">
      <c r="D125" s="32"/>
    </row>
    <row r="126" spans="4:4" x14ac:dyDescent="0.3">
      <c r="D126" s="32"/>
    </row>
    <row r="127" spans="4:4" x14ac:dyDescent="0.3">
      <c r="D127" s="32"/>
    </row>
    <row r="128" spans="4:4" x14ac:dyDescent="0.3">
      <c r="D128" s="32"/>
    </row>
    <row r="129" spans="4:4" x14ac:dyDescent="0.3">
      <c r="D129" s="32"/>
    </row>
    <row r="130" spans="4:4" x14ac:dyDescent="0.3">
      <c r="D130" s="32"/>
    </row>
    <row r="131" spans="4:4" x14ac:dyDescent="0.3">
      <c r="D131" s="32"/>
    </row>
    <row r="132" spans="4:4" x14ac:dyDescent="0.3">
      <c r="D132" s="32"/>
    </row>
    <row r="133" spans="4:4" x14ac:dyDescent="0.3">
      <c r="D133" s="32"/>
    </row>
    <row r="134" spans="4:4" x14ac:dyDescent="0.3">
      <c r="D134" s="32"/>
    </row>
    <row r="135" spans="4:4" x14ac:dyDescent="0.3">
      <c r="D135" s="32"/>
    </row>
    <row r="136" spans="4:4" x14ac:dyDescent="0.3">
      <c r="D136" s="32"/>
    </row>
    <row r="137" spans="4:4" x14ac:dyDescent="0.3">
      <c r="D137" s="32"/>
    </row>
    <row r="138" spans="4:4" x14ac:dyDescent="0.3">
      <c r="D138" s="32"/>
    </row>
    <row r="139" spans="4:4" x14ac:dyDescent="0.3">
      <c r="D139" s="32"/>
    </row>
    <row r="140" spans="4:4" x14ac:dyDescent="0.3">
      <c r="D140" s="32"/>
    </row>
    <row r="141" spans="4:4" x14ac:dyDescent="0.3">
      <c r="D141" s="32"/>
    </row>
    <row r="142" spans="4:4" x14ac:dyDescent="0.3">
      <c r="D142" s="32"/>
    </row>
    <row r="143" spans="4:4" x14ac:dyDescent="0.3">
      <c r="D143" s="32"/>
    </row>
    <row r="144" spans="4:4" x14ac:dyDescent="0.3">
      <c r="D144" s="32"/>
    </row>
    <row r="145" spans="4:4" x14ac:dyDescent="0.3">
      <c r="D145" s="32"/>
    </row>
    <row r="146" spans="4:4" x14ac:dyDescent="0.3">
      <c r="D146" s="32"/>
    </row>
    <row r="147" spans="4:4" x14ac:dyDescent="0.3">
      <c r="D147" s="32"/>
    </row>
    <row r="148" spans="4:4" x14ac:dyDescent="0.3">
      <c r="D148" s="32"/>
    </row>
    <row r="149" spans="4:4" x14ac:dyDescent="0.3">
      <c r="D149" s="32"/>
    </row>
    <row r="150" spans="4:4" x14ac:dyDescent="0.3">
      <c r="D150" s="32"/>
    </row>
    <row r="151" spans="4:4" x14ac:dyDescent="0.3">
      <c r="D151" s="32"/>
    </row>
    <row r="152" spans="4:4" x14ac:dyDescent="0.3">
      <c r="D152" s="32"/>
    </row>
    <row r="153" spans="4:4" x14ac:dyDescent="0.3">
      <c r="D153" s="32"/>
    </row>
    <row r="154" spans="4:4" x14ac:dyDescent="0.3">
      <c r="D154" s="32"/>
    </row>
    <row r="155" spans="4:4" x14ac:dyDescent="0.3">
      <c r="D155" s="32"/>
    </row>
    <row r="156" spans="4:4" x14ac:dyDescent="0.3">
      <c r="D156" s="32"/>
    </row>
    <row r="157" spans="4:4" x14ac:dyDescent="0.3">
      <c r="D157" s="32"/>
    </row>
    <row r="158" spans="4:4" x14ac:dyDescent="0.3">
      <c r="D158" s="32"/>
    </row>
    <row r="159" spans="4:4" x14ac:dyDescent="0.3">
      <c r="D159" s="32"/>
    </row>
    <row r="160" spans="4:4" x14ac:dyDescent="0.3">
      <c r="D160" s="32"/>
    </row>
    <row r="161" spans="4:4" x14ac:dyDescent="0.3">
      <c r="D161" s="32"/>
    </row>
    <row r="162" spans="4:4" x14ac:dyDescent="0.3">
      <c r="D162" s="32"/>
    </row>
    <row r="163" spans="4:4" x14ac:dyDescent="0.3">
      <c r="D163" s="32"/>
    </row>
    <row r="164" spans="4:4" x14ac:dyDescent="0.3">
      <c r="D164" s="32"/>
    </row>
    <row r="165" spans="4:4" x14ac:dyDescent="0.3">
      <c r="D165" s="32"/>
    </row>
    <row r="166" spans="4:4" x14ac:dyDescent="0.3">
      <c r="D166" s="32"/>
    </row>
    <row r="167" spans="4:4" x14ac:dyDescent="0.3">
      <c r="D167" s="32"/>
    </row>
    <row r="168" spans="4:4" x14ac:dyDescent="0.3">
      <c r="D168" s="32"/>
    </row>
    <row r="169" spans="4:4" x14ac:dyDescent="0.3">
      <c r="D169" s="32"/>
    </row>
    <row r="170" spans="4:4" x14ac:dyDescent="0.3">
      <c r="D170" s="32"/>
    </row>
    <row r="171" spans="4:4" x14ac:dyDescent="0.3">
      <c r="D171" s="32"/>
    </row>
    <row r="172" spans="4:4" x14ac:dyDescent="0.3">
      <c r="D172" s="32"/>
    </row>
    <row r="173" spans="4:4" x14ac:dyDescent="0.3">
      <c r="D173" s="32"/>
    </row>
  </sheetData>
  <mergeCells count="5">
    <mergeCell ref="B2:L2"/>
    <mergeCell ref="B3:L3"/>
    <mergeCell ref="B4:L4"/>
    <mergeCell ref="B5:L5"/>
    <mergeCell ref="B6:L6"/>
  </mergeCells>
  <printOptions horizontalCentered="1"/>
  <pageMargins left="0.5" right="0.5" top="0.5" bottom="0.5" header="0.25" footer="0.25"/>
  <pageSetup scale="56" orientation="landscape" r:id="rId1"/>
  <headerFooter scaleWithDoc="0">
    <oddFooter>&amp;C&amp;"Times New Roman,Regular"&amp;10&amp;A</oddFooter>
  </headerFooter>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2:P172"/>
  <sheetViews>
    <sheetView zoomScale="80" zoomScaleNormal="80" workbookViewId="0"/>
  </sheetViews>
  <sheetFormatPr defaultColWidth="9.33203125" defaultRowHeight="15.6" x14ac:dyDescent="0.3"/>
  <cols>
    <col min="1" max="1" width="5.33203125" style="4" customWidth="1"/>
    <col min="2" max="2" width="11.33203125" style="4" customWidth="1"/>
    <col min="3" max="3" width="32.44140625" style="32" customWidth="1"/>
    <col min="4" max="10" width="18.5546875" style="6" customWidth="1"/>
    <col min="11" max="11" width="18.5546875" style="32" customWidth="1"/>
    <col min="12" max="12" width="24" style="32" customWidth="1"/>
    <col min="13" max="14" width="5.33203125" style="4" customWidth="1"/>
    <col min="15" max="16384" width="9.33203125" style="32"/>
  </cols>
  <sheetData>
    <row r="2" spans="1:16" s="1" customFormat="1" x14ac:dyDescent="0.3">
      <c r="A2" s="221"/>
      <c r="B2" s="1222" t="s">
        <v>0</v>
      </c>
      <c r="C2" s="1222"/>
      <c r="D2" s="1222"/>
      <c r="E2" s="1222"/>
      <c r="F2" s="1222"/>
      <c r="G2" s="1222"/>
      <c r="H2" s="1222"/>
      <c r="I2" s="1222"/>
      <c r="J2" s="1222"/>
      <c r="K2" s="1222"/>
      <c r="L2" s="1222"/>
      <c r="M2" s="221"/>
      <c r="N2" s="221"/>
      <c r="P2"/>
    </row>
    <row r="3" spans="1:16" s="1" customFormat="1" x14ac:dyDescent="0.3">
      <c r="A3" s="221"/>
      <c r="B3" s="1222" t="s">
        <v>322</v>
      </c>
      <c r="C3" s="1222"/>
      <c r="D3" s="1222"/>
      <c r="E3" s="1222"/>
      <c r="F3" s="1222"/>
      <c r="G3" s="1222"/>
      <c r="H3" s="1222"/>
      <c r="I3" s="1222"/>
      <c r="J3" s="1222"/>
      <c r="K3" s="1222"/>
      <c r="L3" s="1222"/>
      <c r="M3" s="221"/>
      <c r="N3" s="221"/>
    </row>
    <row r="4" spans="1:16" x14ac:dyDescent="0.3">
      <c r="B4" s="1222" t="s">
        <v>323</v>
      </c>
      <c r="C4" s="1222"/>
      <c r="D4" s="1222"/>
      <c r="E4" s="1222"/>
      <c r="F4" s="1222"/>
      <c r="G4" s="1222"/>
      <c r="H4" s="1222"/>
      <c r="I4" s="1222"/>
      <c r="J4" s="1222"/>
      <c r="K4" s="1222"/>
      <c r="L4" s="1222"/>
    </row>
    <row r="5" spans="1:16" x14ac:dyDescent="0.3">
      <c r="B5" s="1226" t="s">
        <v>1611</v>
      </c>
      <c r="C5" s="1226"/>
      <c r="D5" s="1226"/>
      <c r="E5" s="1226"/>
      <c r="F5" s="1226"/>
      <c r="G5" s="1226"/>
      <c r="H5" s="1226"/>
      <c r="I5" s="1226"/>
      <c r="J5" s="1226"/>
      <c r="K5" s="1226"/>
      <c r="L5" s="1226"/>
    </row>
    <row r="6" spans="1:16" x14ac:dyDescent="0.3">
      <c r="B6" s="1226" t="s">
        <v>4</v>
      </c>
      <c r="C6" s="1222"/>
      <c r="D6" s="1222"/>
      <c r="E6" s="1222"/>
      <c r="F6" s="1222"/>
      <c r="G6" s="1222"/>
      <c r="H6" s="1222"/>
      <c r="I6" s="1222"/>
      <c r="J6" s="1222"/>
      <c r="K6" s="1222"/>
      <c r="L6" s="1222"/>
    </row>
    <row r="7" spans="1:16" x14ac:dyDescent="0.3">
      <c r="C7" s="270"/>
      <c r="D7" s="271"/>
      <c r="E7" s="297"/>
      <c r="F7" s="297"/>
      <c r="G7" s="297"/>
      <c r="H7" s="297"/>
      <c r="I7" s="297"/>
      <c r="J7" s="297"/>
    </row>
    <row r="8" spans="1:16" s="221" customFormat="1" x14ac:dyDescent="0.3">
      <c r="B8" s="933"/>
      <c r="C8" s="951"/>
      <c r="D8" s="952" t="s">
        <v>324</v>
      </c>
      <c r="E8" s="952" t="s">
        <v>325</v>
      </c>
      <c r="F8" s="952" t="s">
        <v>326</v>
      </c>
      <c r="G8" s="952" t="s">
        <v>327</v>
      </c>
      <c r="H8" s="952" t="s">
        <v>328</v>
      </c>
      <c r="I8" s="952" t="s">
        <v>329</v>
      </c>
      <c r="J8" s="966" t="s">
        <v>330</v>
      </c>
      <c r="K8" s="966" t="s">
        <v>331</v>
      </c>
      <c r="L8" s="933"/>
      <c r="M8" s="221" t="s">
        <v>1</v>
      </c>
    </row>
    <row r="9" spans="1:16" x14ac:dyDescent="0.3">
      <c r="B9" s="953"/>
      <c r="C9" s="934"/>
      <c r="D9" s="298"/>
      <c r="E9" s="298"/>
      <c r="F9" s="298"/>
      <c r="G9" s="298"/>
      <c r="H9" s="298"/>
      <c r="I9" s="298"/>
      <c r="J9" s="307"/>
      <c r="K9" s="308" t="s">
        <v>200</v>
      </c>
      <c r="L9" s="953"/>
      <c r="M9" s="4" t="s">
        <v>1</v>
      </c>
    </row>
    <row r="10" spans="1:16" x14ac:dyDescent="0.3">
      <c r="B10" s="953"/>
      <c r="C10" s="934"/>
      <c r="D10" s="298"/>
      <c r="E10" s="298" t="s">
        <v>332</v>
      </c>
      <c r="F10" s="298" t="s">
        <v>316</v>
      </c>
      <c r="G10" s="298" t="s">
        <v>321</v>
      </c>
      <c r="H10" s="298" t="s">
        <v>321</v>
      </c>
      <c r="I10" s="298" t="s">
        <v>321</v>
      </c>
      <c r="J10" s="307" t="s">
        <v>321</v>
      </c>
      <c r="K10" s="307" t="s">
        <v>321</v>
      </c>
      <c r="L10" s="940"/>
      <c r="M10" s="4" t="s">
        <v>1</v>
      </c>
    </row>
    <row r="11" spans="1:16" x14ac:dyDescent="0.3">
      <c r="B11" s="300"/>
      <c r="C11" s="237"/>
      <c r="D11" s="302" t="s">
        <v>200</v>
      </c>
      <c r="E11" s="298" t="s">
        <v>333</v>
      </c>
      <c r="F11" s="298" t="s">
        <v>333</v>
      </c>
      <c r="G11" s="298" t="s">
        <v>333</v>
      </c>
      <c r="H11" s="298" t="s">
        <v>333</v>
      </c>
      <c r="I11" s="298" t="s">
        <v>333</v>
      </c>
      <c r="J11" s="307" t="s">
        <v>333</v>
      </c>
      <c r="K11" s="307" t="s">
        <v>317</v>
      </c>
      <c r="L11" s="273"/>
    </row>
    <row r="12" spans="1:16" x14ac:dyDescent="0.3">
      <c r="A12" s="4" t="s">
        <v>5</v>
      </c>
      <c r="B12" s="301"/>
      <c r="C12" s="281"/>
      <c r="D12" s="302" t="s">
        <v>321</v>
      </c>
      <c r="E12" s="298" t="s">
        <v>334</v>
      </c>
      <c r="F12" s="298" t="s">
        <v>334</v>
      </c>
      <c r="G12" s="298" t="s">
        <v>334</v>
      </c>
      <c r="H12" s="298" t="s">
        <v>334</v>
      </c>
      <c r="I12" s="298" t="s">
        <v>334</v>
      </c>
      <c r="J12" s="307" t="s">
        <v>334</v>
      </c>
      <c r="K12" s="307" t="s">
        <v>335</v>
      </c>
      <c r="L12" s="273"/>
      <c r="M12" s="4" t="s">
        <v>5</v>
      </c>
    </row>
    <row r="13" spans="1:16" x14ac:dyDescent="0.3">
      <c r="A13" s="4" t="s">
        <v>6</v>
      </c>
      <c r="B13" s="309" t="s">
        <v>336</v>
      </c>
      <c r="C13" s="278" t="s">
        <v>337</v>
      </c>
      <c r="D13" s="310" t="s">
        <v>333</v>
      </c>
      <c r="E13" s="304" t="s">
        <v>338</v>
      </c>
      <c r="F13" s="304" t="s">
        <v>339</v>
      </c>
      <c r="G13" s="304" t="s">
        <v>340</v>
      </c>
      <c r="H13" s="304" t="s">
        <v>341</v>
      </c>
      <c r="I13" s="304" t="s">
        <v>310</v>
      </c>
      <c r="J13" s="311" t="s">
        <v>342</v>
      </c>
      <c r="K13" s="312" t="s">
        <v>343</v>
      </c>
      <c r="L13" s="278" t="s">
        <v>8</v>
      </c>
      <c r="M13" s="4" t="s">
        <v>6</v>
      </c>
    </row>
    <row r="14" spans="1:16" x14ac:dyDescent="0.3">
      <c r="B14" s="940"/>
      <c r="C14" s="237" t="s">
        <v>344</v>
      </c>
      <c r="D14" s="237"/>
      <c r="E14" s="237"/>
      <c r="F14" s="237"/>
      <c r="G14" s="237"/>
      <c r="H14" s="237"/>
      <c r="I14" s="237"/>
      <c r="J14" s="237"/>
      <c r="K14" s="63"/>
      <c r="L14" s="940"/>
    </row>
    <row r="15" spans="1:16" x14ac:dyDescent="0.3">
      <c r="A15" s="4">
        <v>1</v>
      </c>
      <c r="B15" s="955">
        <v>303</v>
      </c>
      <c r="C15" s="237" t="s">
        <v>345</v>
      </c>
      <c r="D15" s="235">
        <v>0</v>
      </c>
      <c r="E15" s="235">
        <v>0</v>
      </c>
      <c r="F15" s="235">
        <v>0</v>
      </c>
      <c r="G15" s="235">
        <v>0</v>
      </c>
      <c r="H15" s="235">
        <v>0</v>
      </c>
      <c r="I15" s="235">
        <v>0</v>
      </c>
      <c r="J15" s="235">
        <v>0</v>
      </c>
      <c r="K15" s="59">
        <f>SUM(D15:J15)</f>
        <v>0</v>
      </c>
      <c r="L15" s="940" t="s">
        <v>289</v>
      </c>
      <c r="M15" s="4">
        <f>A15</f>
        <v>1</v>
      </c>
    </row>
    <row r="16" spans="1:16" x14ac:dyDescent="0.3">
      <c r="A16" s="4">
        <f>A15+1</f>
        <v>2</v>
      </c>
      <c r="B16" s="940">
        <v>310.10000000000002</v>
      </c>
      <c r="C16" s="237" t="s">
        <v>346</v>
      </c>
      <c r="D16" s="236">
        <v>0</v>
      </c>
      <c r="E16" s="236">
        <v>0</v>
      </c>
      <c r="F16" s="236">
        <v>0</v>
      </c>
      <c r="G16" s="236">
        <v>0</v>
      </c>
      <c r="H16" s="236">
        <v>0</v>
      </c>
      <c r="I16" s="236">
        <v>0</v>
      </c>
      <c r="J16" s="236">
        <v>0</v>
      </c>
      <c r="K16" s="53">
        <f>SUM(D16:J16)</f>
        <v>0</v>
      </c>
      <c r="L16" s="940" t="s">
        <v>289</v>
      </c>
      <c r="M16" s="4">
        <f>M15+1</f>
        <v>2</v>
      </c>
    </row>
    <row r="17" spans="1:14" x14ac:dyDescent="0.3">
      <c r="A17" s="4">
        <f t="shared" ref="A17:A38" si="0">A16+1</f>
        <v>3</v>
      </c>
      <c r="B17" s="955">
        <v>340</v>
      </c>
      <c r="C17" s="956" t="s">
        <v>347</v>
      </c>
      <c r="D17" s="236">
        <v>0</v>
      </c>
      <c r="E17" s="236">
        <v>4.554831472</v>
      </c>
      <c r="F17" s="236">
        <v>0</v>
      </c>
      <c r="G17" s="236">
        <v>0</v>
      </c>
      <c r="H17" s="236">
        <v>0</v>
      </c>
      <c r="I17" s="236">
        <v>0</v>
      </c>
      <c r="J17" s="236">
        <v>0</v>
      </c>
      <c r="K17" s="53">
        <f>SUM(D17:J17)</f>
        <v>4.554831472</v>
      </c>
      <c r="L17" s="940" t="s">
        <v>289</v>
      </c>
      <c r="M17" s="4">
        <f t="shared" ref="M17:M38" si="1">M16+1</f>
        <v>3</v>
      </c>
    </row>
    <row r="18" spans="1:14" x14ac:dyDescent="0.3">
      <c r="A18" s="4">
        <f t="shared" si="0"/>
        <v>4</v>
      </c>
      <c r="B18" s="955">
        <v>360</v>
      </c>
      <c r="C18" s="956" t="s">
        <v>347</v>
      </c>
      <c r="D18" s="236">
        <v>0</v>
      </c>
      <c r="E18" s="236">
        <v>0</v>
      </c>
      <c r="F18" s="236">
        <v>3626.3653099999983</v>
      </c>
      <c r="G18" s="236">
        <v>0</v>
      </c>
      <c r="H18" s="236">
        <v>0</v>
      </c>
      <c r="I18" s="236">
        <v>0</v>
      </c>
      <c r="J18" s="236">
        <v>0</v>
      </c>
      <c r="K18" s="53">
        <f>SUM(D18:J18)</f>
        <v>3626.3653099999983</v>
      </c>
      <c r="L18" s="940" t="s">
        <v>289</v>
      </c>
      <c r="M18" s="4">
        <f t="shared" si="1"/>
        <v>4</v>
      </c>
    </row>
    <row r="19" spans="1:14" x14ac:dyDescent="0.3">
      <c r="A19" s="4">
        <f t="shared" si="0"/>
        <v>5</v>
      </c>
      <c r="B19" s="955">
        <v>361</v>
      </c>
      <c r="C19" s="237" t="s">
        <v>348</v>
      </c>
      <c r="D19" s="236">
        <v>0</v>
      </c>
      <c r="E19" s="236">
        <v>0</v>
      </c>
      <c r="F19" s="236">
        <v>1496.2538400000008</v>
      </c>
      <c r="G19" s="236">
        <v>0</v>
      </c>
      <c r="H19" s="236">
        <v>0</v>
      </c>
      <c r="I19" s="236">
        <v>0</v>
      </c>
      <c r="J19" s="236">
        <v>0</v>
      </c>
      <c r="K19" s="53">
        <f>SUM(D19:J19)</f>
        <v>1496.2538400000008</v>
      </c>
      <c r="L19" s="940" t="s">
        <v>289</v>
      </c>
      <c r="M19" s="4">
        <f t="shared" si="1"/>
        <v>5</v>
      </c>
    </row>
    <row r="20" spans="1:14" x14ac:dyDescent="0.3">
      <c r="A20" s="4">
        <f t="shared" si="0"/>
        <v>6</v>
      </c>
      <c r="B20" s="940"/>
      <c r="C20" s="237"/>
      <c r="D20" s="237"/>
      <c r="E20" s="237"/>
      <c r="F20" s="237"/>
      <c r="G20" s="237"/>
      <c r="H20" s="237"/>
      <c r="I20" s="237"/>
      <c r="J20" s="237"/>
      <c r="K20" s="63"/>
      <c r="L20" s="940"/>
      <c r="M20" s="4">
        <f t="shared" si="1"/>
        <v>6</v>
      </c>
    </row>
    <row r="21" spans="1:14" s="1" customFormat="1" x14ac:dyDescent="0.3">
      <c r="A21" s="4">
        <f t="shared" si="0"/>
        <v>7</v>
      </c>
      <c r="B21" s="957" t="s">
        <v>349</v>
      </c>
      <c r="C21" s="958" t="s">
        <v>350</v>
      </c>
      <c r="D21" s="959">
        <f t="shared" ref="D21:I21" si="2">SUM(D15:D20)</f>
        <v>0</v>
      </c>
      <c r="E21" s="959">
        <f t="shared" si="2"/>
        <v>4.554831472</v>
      </c>
      <c r="F21" s="959">
        <f t="shared" si="2"/>
        <v>5122.6191499999986</v>
      </c>
      <c r="G21" s="959">
        <f t="shared" si="2"/>
        <v>0</v>
      </c>
      <c r="H21" s="959">
        <f t="shared" si="2"/>
        <v>0</v>
      </c>
      <c r="I21" s="959">
        <f t="shared" si="2"/>
        <v>0</v>
      </c>
      <c r="J21" s="959">
        <f>SUM(J15:J20)</f>
        <v>0</v>
      </c>
      <c r="K21" s="239">
        <f>SUM(K15:K20)</f>
        <v>5127.1739814719986</v>
      </c>
      <c r="L21" s="960" t="s">
        <v>14</v>
      </c>
      <c r="M21" s="4">
        <f t="shared" si="1"/>
        <v>7</v>
      </c>
      <c r="N21" s="4"/>
    </row>
    <row r="22" spans="1:14" x14ac:dyDescent="0.3">
      <c r="A22" s="4">
        <f t="shared" si="0"/>
        <v>8</v>
      </c>
      <c r="B22" s="940"/>
      <c r="C22" s="237"/>
      <c r="D22" s="236"/>
      <c r="E22" s="236"/>
      <c r="F22" s="236"/>
      <c r="G22" s="236"/>
      <c r="H22" s="236"/>
      <c r="I22" s="236"/>
      <c r="J22" s="236"/>
      <c r="K22" s="63"/>
      <c r="L22" s="940"/>
      <c r="M22" s="4">
        <f t="shared" si="1"/>
        <v>8</v>
      </c>
    </row>
    <row r="23" spans="1:14" x14ac:dyDescent="0.3">
      <c r="A23" s="4">
        <f t="shared" si="0"/>
        <v>9</v>
      </c>
      <c r="B23" s="955">
        <v>350</v>
      </c>
      <c r="C23" s="237" t="s">
        <v>347</v>
      </c>
      <c r="D23" s="235">
        <v>259692.10494000005</v>
      </c>
      <c r="E23" s="235">
        <v>0</v>
      </c>
      <c r="F23" s="235">
        <v>0</v>
      </c>
      <c r="G23" s="235">
        <v>0</v>
      </c>
      <c r="H23" s="235">
        <v>0</v>
      </c>
      <c r="I23" s="235">
        <v>0</v>
      </c>
      <c r="J23" s="235">
        <v>-13557.506586751999</v>
      </c>
      <c r="K23" s="59">
        <f t="shared" ref="K23:K34" si="3">SUM(D23:J23)</f>
        <v>246134.59835324806</v>
      </c>
      <c r="L23" s="940" t="s">
        <v>289</v>
      </c>
      <c r="M23" s="4">
        <f t="shared" si="1"/>
        <v>9</v>
      </c>
    </row>
    <row r="24" spans="1:14" x14ac:dyDescent="0.3">
      <c r="A24" s="4">
        <f t="shared" si="0"/>
        <v>10</v>
      </c>
      <c r="B24" s="955">
        <v>351.1</v>
      </c>
      <c r="C24" s="237" t="s">
        <v>1593</v>
      </c>
      <c r="D24" s="1173">
        <v>0</v>
      </c>
      <c r="E24" s="1173">
        <v>0</v>
      </c>
      <c r="F24" s="1173">
        <v>0</v>
      </c>
      <c r="G24" s="1173">
        <v>0</v>
      </c>
      <c r="H24" s="1173">
        <v>0</v>
      </c>
      <c r="I24" s="1173">
        <v>0</v>
      </c>
      <c r="J24" s="1173">
        <v>0</v>
      </c>
      <c r="K24" s="53">
        <f t="shared" si="3"/>
        <v>0</v>
      </c>
      <c r="L24" s="940" t="s">
        <v>289</v>
      </c>
      <c r="M24" s="4">
        <f t="shared" si="1"/>
        <v>10</v>
      </c>
    </row>
    <row r="25" spans="1:14" x14ac:dyDescent="0.3">
      <c r="A25" s="4">
        <f t="shared" si="0"/>
        <v>11</v>
      </c>
      <c r="B25" s="955">
        <v>351.2</v>
      </c>
      <c r="C25" s="237" t="s">
        <v>1594</v>
      </c>
      <c r="D25" s="1173">
        <v>0</v>
      </c>
      <c r="E25" s="1173">
        <v>0</v>
      </c>
      <c r="F25" s="1173">
        <v>0</v>
      </c>
      <c r="G25" s="1173">
        <v>0</v>
      </c>
      <c r="H25" s="1173">
        <v>0</v>
      </c>
      <c r="I25" s="1173">
        <v>0</v>
      </c>
      <c r="J25" s="1173">
        <v>0</v>
      </c>
      <c r="K25" s="53">
        <f t="shared" si="3"/>
        <v>0</v>
      </c>
      <c r="L25" s="940" t="s">
        <v>289</v>
      </c>
      <c r="M25" s="4">
        <f t="shared" si="1"/>
        <v>11</v>
      </c>
    </row>
    <row r="26" spans="1:14" x14ac:dyDescent="0.3">
      <c r="A26" s="4">
        <f t="shared" si="0"/>
        <v>12</v>
      </c>
      <c r="B26" s="955">
        <v>351.3</v>
      </c>
      <c r="C26" s="237" t="s">
        <v>1595</v>
      </c>
      <c r="D26" s="1173">
        <v>0</v>
      </c>
      <c r="E26" s="1173">
        <v>0</v>
      </c>
      <c r="F26" s="1173">
        <v>0</v>
      </c>
      <c r="G26" s="1173">
        <v>0</v>
      </c>
      <c r="H26" s="1173">
        <v>0</v>
      </c>
      <c r="I26" s="1173">
        <v>0</v>
      </c>
      <c r="J26" s="1173">
        <v>0</v>
      </c>
      <c r="K26" s="53">
        <f t="shared" si="3"/>
        <v>0</v>
      </c>
      <c r="L26" s="940" t="s">
        <v>289</v>
      </c>
      <c r="M26" s="4">
        <f t="shared" si="1"/>
        <v>12</v>
      </c>
    </row>
    <row r="27" spans="1:14" x14ac:dyDescent="0.3">
      <c r="A27" s="4">
        <f t="shared" si="0"/>
        <v>13</v>
      </c>
      <c r="B27" s="955">
        <v>352</v>
      </c>
      <c r="C27" s="237" t="s">
        <v>348</v>
      </c>
      <c r="D27" s="236">
        <v>884871.03006999998</v>
      </c>
      <c r="E27" s="236">
        <v>0</v>
      </c>
      <c r="F27" s="1173">
        <v>0</v>
      </c>
      <c r="G27" s="236">
        <v>-1928.2778199999998</v>
      </c>
      <c r="H27" s="236">
        <v>0</v>
      </c>
      <c r="I27" s="236">
        <v>0</v>
      </c>
      <c r="J27" s="236">
        <v>-121441.14931999987</v>
      </c>
      <c r="K27" s="53">
        <f t="shared" si="3"/>
        <v>761501.60293000017</v>
      </c>
      <c r="L27" s="940" t="s">
        <v>289</v>
      </c>
      <c r="M27" s="4">
        <f t="shared" si="1"/>
        <v>13</v>
      </c>
      <c r="N27" s="361"/>
    </row>
    <row r="28" spans="1:14" x14ac:dyDescent="0.3">
      <c r="A28" s="4">
        <f t="shared" si="0"/>
        <v>14</v>
      </c>
      <c r="B28" s="955">
        <v>353</v>
      </c>
      <c r="C28" s="237" t="s">
        <v>351</v>
      </c>
      <c r="D28" s="236">
        <v>2378839.4029300078</v>
      </c>
      <c r="E28" s="236">
        <v>0</v>
      </c>
      <c r="F28" s="1173">
        <v>0</v>
      </c>
      <c r="G28" s="236">
        <v>-12009.877779999999</v>
      </c>
      <c r="H28" s="236">
        <v>-1420.3928800000001</v>
      </c>
      <c r="I28" s="236">
        <v>0</v>
      </c>
      <c r="J28" s="236">
        <v>-2429.9854400000017</v>
      </c>
      <c r="K28" s="53">
        <f t="shared" si="3"/>
        <v>2362979.1468300074</v>
      </c>
      <c r="L28" s="940" t="s">
        <v>289</v>
      </c>
      <c r="M28" s="4">
        <f t="shared" si="1"/>
        <v>14</v>
      </c>
      <c r="N28" s="361"/>
    </row>
    <row r="29" spans="1:14" x14ac:dyDescent="0.3">
      <c r="A29" s="4">
        <f t="shared" si="0"/>
        <v>15</v>
      </c>
      <c r="B29" s="955">
        <v>354</v>
      </c>
      <c r="C29" s="237" t="s">
        <v>352</v>
      </c>
      <c r="D29" s="236">
        <v>939903.55375999701</v>
      </c>
      <c r="E29" s="236">
        <v>0</v>
      </c>
      <c r="F29" s="1173">
        <v>0</v>
      </c>
      <c r="G29" s="236">
        <v>0</v>
      </c>
      <c r="H29" s="236">
        <v>0</v>
      </c>
      <c r="I29" s="236">
        <v>0</v>
      </c>
      <c r="J29" s="236">
        <v>0</v>
      </c>
      <c r="K29" s="53">
        <f t="shared" si="3"/>
        <v>939903.55375999701</v>
      </c>
      <c r="L29" s="940" t="s">
        <v>289</v>
      </c>
      <c r="M29" s="4">
        <f t="shared" si="1"/>
        <v>15</v>
      </c>
      <c r="N29" s="361"/>
    </row>
    <row r="30" spans="1:14" x14ac:dyDescent="0.3">
      <c r="A30" s="4">
        <f t="shared" si="0"/>
        <v>16</v>
      </c>
      <c r="B30" s="955">
        <v>355</v>
      </c>
      <c r="C30" s="237" t="s">
        <v>353</v>
      </c>
      <c r="D30" s="236">
        <v>1231461.317300003</v>
      </c>
      <c r="E30" s="236">
        <v>0</v>
      </c>
      <c r="F30" s="1173">
        <v>0</v>
      </c>
      <c r="G30" s="236">
        <v>0</v>
      </c>
      <c r="H30" s="236">
        <v>0</v>
      </c>
      <c r="I30" s="236">
        <v>0</v>
      </c>
      <c r="J30" s="236">
        <v>0</v>
      </c>
      <c r="K30" s="53">
        <f t="shared" si="3"/>
        <v>1231461.317300003</v>
      </c>
      <c r="L30" s="940" t="s">
        <v>289</v>
      </c>
      <c r="M30" s="4">
        <f t="shared" si="1"/>
        <v>16</v>
      </c>
      <c r="N30" s="361"/>
    </row>
    <row r="31" spans="1:14" x14ac:dyDescent="0.3">
      <c r="A31" s="4">
        <f t="shared" si="0"/>
        <v>17</v>
      </c>
      <c r="B31" s="955">
        <v>356</v>
      </c>
      <c r="C31" s="237" t="s">
        <v>354</v>
      </c>
      <c r="D31" s="236">
        <v>1006112.7117600004</v>
      </c>
      <c r="E31" s="236">
        <v>0</v>
      </c>
      <c r="F31" s="1173">
        <v>0</v>
      </c>
      <c r="G31" s="236">
        <v>0</v>
      </c>
      <c r="H31" s="236">
        <v>0</v>
      </c>
      <c r="I31" s="236">
        <v>0</v>
      </c>
      <c r="J31" s="236">
        <v>0</v>
      </c>
      <c r="K31" s="53">
        <f t="shared" si="3"/>
        <v>1006112.7117600004</v>
      </c>
      <c r="L31" s="940" t="s">
        <v>289</v>
      </c>
      <c r="M31" s="4">
        <f t="shared" si="1"/>
        <v>17</v>
      </c>
      <c r="N31" s="361"/>
    </row>
    <row r="32" spans="1:14" x14ac:dyDescent="0.3">
      <c r="A32" s="4">
        <f t="shared" si="0"/>
        <v>18</v>
      </c>
      <c r="B32" s="955">
        <v>357</v>
      </c>
      <c r="C32" s="237" t="s">
        <v>355</v>
      </c>
      <c r="D32" s="236">
        <v>670833.92142000003</v>
      </c>
      <c r="E32" s="236">
        <v>0</v>
      </c>
      <c r="F32" s="1173">
        <v>0</v>
      </c>
      <c r="G32" s="236">
        <v>0</v>
      </c>
      <c r="H32" s="236">
        <v>0</v>
      </c>
      <c r="I32" s="236">
        <v>0</v>
      </c>
      <c r="J32" s="236">
        <v>0</v>
      </c>
      <c r="K32" s="53">
        <f t="shared" si="3"/>
        <v>670833.92142000003</v>
      </c>
      <c r="L32" s="940" t="s">
        <v>289</v>
      </c>
      <c r="M32" s="4">
        <f t="shared" si="1"/>
        <v>18</v>
      </c>
      <c r="N32" s="361"/>
    </row>
    <row r="33" spans="1:14" x14ac:dyDescent="0.3">
      <c r="A33" s="4">
        <f t="shared" si="0"/>
        <v>19</v>
      </c>
      <c r="B33" s="955">
        <v>358</v>
      </c>
      <c r="C33" s="237" t="s">
        <v>356</v>
      </c>
      <c r="D33" s="236">
        <v>634322.36363000027</v>
      </c>
      <c r="E33" s="236">
        <v>0</v>
      </c>
      <c r="F33" s="1173">
        <v>0</v>
      </c>
      <c r="G33" s="236">
        <v>-1726.37997</v>
      </c>
      <c r="H33" s="236">
        <v>0</v>
      </c>
      <c r="I33" s="236">
        <v>0</v>
      </c>
      <c r="J33" s="236">
        <v>0</v>
      </c>
      <c r="K33" s="53">
        <f t="shared" si="3"/>
        <v>632595.98366000026</v>
      </c>
      <c r="L33" s="940" t="s">
        <v>289</v>
      </c>
      <c r="M33" s="4">
        <f t="shared" si="1"/>
        <v>19</v>
      </c>
      <c r="N33" s="361"/>
    </row>
    <row r="34" spans="1:14" x14ac:dyDescent="0.3">
      <c r="A34" s="4">
        <f t="shared" si="0"/>
        <v>20</v>
      </c>
      <c r="B34" s="955">
        <v>359</v>
      </c>
      <c r="C34" s="237" t="s">
        <v>357</v>
      </c>
      <c r="D34" s="236">
        <v>375749.64848999982</v>
      </c>
      <c r="E34" s="236">
        <v>0</v>
      </c>
      <c r="F34" s="1173">
        <v>0</v>
      </c>
      <c r="G34" s="236">
        <v>0</v>
      </c>
      <c r="H34" s="236">
        <v>0</v>
      </c>
      <c r="I34" s="236">
        <v>0</v>
      </c>
      <c r="J34" s="236">
        <v>0</v>
      </c>
      <c r="K34" s="53">
        <f t="shared" si="3"/>
        <v>375749.64848999982</v>
      </c>
      <c r="L34" s="940" t="s">
        <v>289</v>
      </c>
      <c r="M34" s="4">
        <f t="shared" si="1"/>
        <v>20</v>
      </c>
      <c r="N34" s="361"/>
    </row>
    <row r="35" spans="1:14" x14ac:dyDescent="0.3">
      <c r="A35" s="4">
        <f t="shared" si="0"/>
        <v>21</v>
      </c>
      <c r="B35" s="955"/>
      <c r="C35" s="237"/>
      <c r="D35" s="236"/>
      <c r="F35" s="95"/>
      <c r="G35" s="95"/>
      <c r="H35" s="95"/>
      <c r="I35" s="95"/>
      <c r="J35" s="236"/>
      <c r="K35" s="54"/>
      <c r="L35" s="955"/>
      <c r="M35" s="4">
        <f t="shared" si="1"/>
        <v>21</v>
      </c>
      <c r="N35" s="361"/>
    </row>
    <row r="36" spans="1:14" x14ac:dyDescent="0.3">
      <c r="A36" s="4">
        <f t="shared" si="0"/>
        <v>22</v>
      </c>
      <c r="B36" s="963" t="s">
        <v>349</v>
      </c>
      <c r="C36" s="958" t="s">
        <v>320</v>
      </c>
      <c r="D36" s="959">
        <f>SUM(D23:D35)</f>
        <v>8381786.0543000074</v>
      </c>
      <c r="E36" s="959">
        <f t="shared" ref="E36:F36" si="4">SUM(E23:E35)</f>
        <v>0</v>
      </c>
      <c r="F36" s="959">
        <f t="shared" si="4"/>
        <v>0</v>
      </c>
      <c r="G36" s="959">
        <f>SUM(G23:G35)</f>
        <v>-15664.535569999998</v>
      </c>
      <c r="H36" s="959">
        <f>SUM(H23:H35)</f>
        <v>-1420.3928800000001</v>
      </c>
      <c r="I36" s="959">
        <f>SUM(I23:I35)</f>
        <v>0</v>
      </c>
      <c r="J36" s="959">
        <f>SUM(J23:J35)</f>
        <v>-137428.64134675186</v>
      </c>
      <c r="K36" s="239">
        <f>SUM(K23:K35)</f>
        <v>8227272.4845032562</v>
      </c>
      <c r="L36" s="964" t="s">
        <v>1608</v>
      </c>
      <c r="M36" s="4">
        <f t="shared" si="1"/>
        <v>22</v>
      </c>
      <c r="N36" s="361"/>
    </row>
    <row r="37" spans="1:14" x14ac:dyDescent="0.3">
      <c r="A37" s="4">
        <f t="shared" si="0"/>
        <v>23</v>
      </c>
      <c r="B37" s="300"/>
      <c r="D37" s="32"/>
      <c r="K37" s="6"/>
      <c r="L37" s="305"/>
      <c r="M37" s="4">
        <f t="shared" si="1"/>
        <v>23</v>
      </c>
      <c r="N37" s="361"/>
    </row>
    <row r="38" spans="1:14" x14ac:dyDescent="0.3">
      <c r="A38" s="4">
        <f t="shared" si="0"/>
        <v>24</v>
      </c>
      <c r="B38" s="306" t="s">
        <v>358</v>
      </c>
      <c r="C38" s="965"/>
      <c r="D38" s="579">
        <f>D36+D21</f>
        <v>8381786.0543000074</v>
      </c>
      <c r="E38" s="579">
        <f>E36+E21</f>
        <v>4.554831472</v>
      </c>
      <c r="F38" s="579">
        <f t="shared" ref="F38" si="5">F36+F21</f>
        <v>5122.6191499999986</v>
      </c>
      <c r="G38" s="579">
        <f>G36+G21</f>
        <v>-15664.535569999998</v>
      </c>
      <c r="H38" s="579">
        <f>H36+H21</f>
        <v>-1420.3928800000001</v>
      </c>
      <c r="I38" s="579">
        <f>I36+I21</f>
        <v>0</v>
      </c>
      <c r="J38" s="579">
        <f>J36+J21</f>
        <v>-137428.64134675186</v>
      </c>
      <c r="K38" s="64">
        <f>K36+K21</f>
        <v>8232399.6584847281</v>
      </c>
      <c r="L38" s="960" t="s">
        <v>1609</v>
      </c>
      <c r="M38" s="4">
        <f t="shared" si="1"/>
        <v>24</v>
      </c>
      <c r="N38" s="361"/>
    </row>
    <row r="39" spans="1:14" x14ac:dyDescent="0.3">
      <c r="D39" s="32"/>
    </row>
    <row r="40" spans="1:14" x14ac:dyDescent="0.3">
      <c r="D40" s="32"/>
    </row>
    <row r="41" spans="1:14" x14ac:dyDescent="0.3">
      <c r="B41" s="33" t="s">
        <v>359</v>
      </c>
      <c r="D41" s="32"/>
      <c r="K41" s="6"/>
      <c r="L41" s="6"/>
    </row>
    <row r="42" spans="1:14" x14ac:dyDescent="0.3">
      <c r="D42" s="32"/>
    </row>
    <row r="43" spans="1:14" x14ac:dyDescent="0.3">
      <c r="D43" s="32"/>
    </row>
    <row r="44" spans="1:14" x14ac:dyDescent="0.3">
      <c r="D44" s="32"/>
    </row>
    <row r="45" spans="1:14" x14ac:dyDescent="0.3">
      <c r="D45" s="32"/>
    </row>
    <row r="46" spans="1:14" x14ac:dyDescent="0.3">
      <c r="D46" s="32"/>
    </row>
    <row r="47" spans="1:14" x14ac:dyDescent="0.3">
      <c r="D47" s="32"/>
    </row>
    <row r="48" spans="1:14" x14ac:dyDescent="0.3">
      <c r="D48" s="32"/>
    </row>
    <row r="49" spans="4:4" x14ac:dyDescent="0.3">
      <c r="D49" s="32"/>
    </row>
    <row r="50" spans="4:4" x14ac:dyDescent="0.3">
      <c r="D50" s="32"/>
    </row>
    <row r="51" spans="4:4" x14ac:dyDescent="0.3">
      <c r="D51" s="32"/>
    </row>
    <row r="52" spans="4:4" x14ac:dyDescent="0.3">
      <c r="D52" s="32"/>
    </row>
    <row r="53" spans="4:4" x14ac:dyDescent="0.3">
      <c r="D53" s="32"/>
    </row>
    <row r="54" spans="4:4" x14ac:dyDescent="0.3">
      <c r="D54" s="32"/>
    </row>
    <row r="55" spans="4:4" x14ac:dyDescent="0.3">
      <c r="D55" s="32"/>
    </row>
    <row r="56" spans="4:4" x14ac:dyDescent="0.3">
      <c r="D56" s="32"/>
    </row>
    <row r="57" spans="4:4" x14ac:dyDescent="0.3">
      <c r="D57" s="32"/>
    </row>
    <row r="58" spans="4:4" x14ac:dyDescent="0.3">
      <c r="D58" s="32"/>
    </row>
    <row r="59" spans="4:4" x14ac:dyDescent="0.3">
      <c r="D59" s="32"/>
    </row>
    <row r="60" spans="4:4" x14ac:dyDescent="0.3">
      <c r="D60" s="32"/>
    </row>
    <row r="61" spans="4:4" x14ac:dyDescent="0.3">
      <c r="D61" s="32"/>
    </row>
    <row r="62" spans="4:4" x14ac:dyDescent="0.3">
      <c r="D62" s="32"/>
    </row>
    <row r="63" spans="4:4" x14ac:dyDescent="0.3">
      <c r="D63" s="32"/>
    </row>
    <row r="64" spans="4:4" x14ac:dyDescent="0.3">
      <c r="D64" s="32"/>
    </row>
    <row r="65" spans="4:4" x14ac:dyDescent="0.3">
      <c r="D65" s="32"/>
    </row>
    <row r="66" spans="4:4" x14ac:dyDescent="0.3">
      <c r="D66" s="32"/>
    </row>
    <row r="67" spans="4:4" x14ac:dyDescent="0.3">
      <c r="D67" s="32"/>
    </row>
    <row r="68" spans="4:4" x14ac:dyDescent="0.3">
      <c r="D68" s="32"/>
    </row>
    <row r="69" spans="4:4" x14ac:dyDescent="0.3">
      <c r="D69" s="32"/>
    </row>
    <row r="70" spans="4:4" x14ac:dyDescent="0.3">
      <c r="D70" s="32"/>
    </row>
    <row r="71" spans="4:4" x14ac:dyDescent="0.3">
      <c r="D71" s="32"/>
    </row>
    <row r="72" spans="4:4" x14ac:dyDescent="0.3">
      <c r="D72" s="32"/>
    </row>
    <row r="73" spans="4:4" x14ac:dyDescent="0.3">
      <c r="D73" s="32"/>
    </row>
    <row r="74" spans="4:4" x14ac:dyDescent="0.3">
      <c r="D74" s="32"/>
    </row>
    <row r="75" spans="4:4" x14ac:dyDescent="0.3">
      <c r="D75" s="32"/>
    </row>
    <row r="76" spans="4:4" x14ac:dyDescent="0.3">
      <c r="D76" s="32"/>
    </row>
    <row r="77" spans="4:4" x14ac:dyDescent="0.3">
      <c r="D77" s="32"/>
    </row>
    <row r="78" spans="4:4" x14ac:dyDescent="0.3">
      <c r="D78" s="32"/>
    </row>
    <row r="79" spans="4:4" x14ac:dyDescent="0.3">
      <c r="D79" s="32"/>
    </row>
    <row r="80" spans="4:4" x14ac:dyDescent="0.3">
      <c r="D80" s="32"/>
    </row>
    <row r="81" spans="4:4" x14ac:dyDescent="0.3">
      <c r="D81" s="32"/>
    </row>
    <row r="82" spans="4:4" x14ac:dyDescent="0.3">
      <c r="D82" s="32"/>
    </row>
    <row r="83" spans="4:4" x14ac:dyDescent="0.3">
      <c r="D83" s="32"/>
    </row>
    <row r="84" spans="4:4" x14ac:dyDescent="0.3">
      <c r="D84" s="32"/>
    </row>
    <row r="85" spans="4:4" x14ac:dyDescent="0.3">
      <c r="D85" s="32"/>
    </row>
    <row r="86" spans="4:4" x14ac:dyDescent="0.3">
      <c r="D86" s="32"/>
    </row>
    <row r="87" spans="4:4" x14ac:dyDescent="0.3">
      <c r="D87" s="32"/>
    </row>
    <row r="88" spans="4:4" x14ac:dyDescent="0.3">
      <c r="D88" s="32"/>
    </row>
    <row r="89" spans="4:4" x14ac:dyDescent="0.3">
      <c r="D89" s="32"/>
    </row>
    <row r="90" spans="4:4" x14ac:dyDescent="0.3">
      <c r="D90" s="32"/>
    </row>
    <row r="91" spans="4:4" x14ac:dyDescent="0.3">
      <c r="D91" s="32"/>
    </row>
    <row r="92" spans="4:4" x14ac:dyDescent="0.3">
      <c r="D92" s="32"/>
    </row>
    <row r="93" spans="4:4" x14ac:dyDescent="0.3">
      <c r="D93" s="32"/>
    </row>
    <row r="94" spans="4:4" x14ac:dyDescent="0.3">
      <c r="D94" s="32"/>
    </row>
    <row r="95" spans="4:4" x14ac:dyDescent="0.3">
      <c r="D95" s="32"/>
    </row>
    <row r="96" spans="4:4" x14ac:dyDescent="0.3">
      <c r="D96" s="32"/>
    </row>
    <row r="97" spans="4:4" x14ac:dyDescent="0.3">
      <c r="D97" s="32"/>
    </row>
    <row r="98" spans="4:4" x14ac:dyDescent="0.3">
      <c r="D98" s="32"/>
    </row>
    <row r="99" spans="4:4" x14ac:dyDescent="0.3">
      <c r="D99" s="32"/>
    </row>
    <row r="100" spans="4:4" x14ac:dyDescent="0.3">
      <c r="D100" s="32"/>
    </row>
    <row r="101" spans="4:4" x14ac:dyDescent="0.3">
      <c r="D101" s="32"/>
    </row>
    <row r="102" spans="4:4" x14ac:dyDescent="0.3">
      <c r="D102" s="32"/>
    </row>
    <row r="103" spans="4:4" x14ac:dyDescent="0.3">
      <c r="D103" s="32"/>
    </row>
    <row r="104" spans="4:4" x14ac:dyDescent="0.3">
      <c r="D104" s="32"/>
    </row>
    <row r="105" spans="4:4" x14ac:dyDescent="0.3">
      <c r="D105" s="32"/>
    </row>
    <row r="106" spans="4:4" x14ac:dyDescent="0.3">
      <c r="D106" s="32"/>
    </row>
    <row r="107" spans="4:4" x14ac:dyDescent="0.3">
      <c r="D107" s="32"/>
    </row>
    <row r="108" spans="4:4" x14ac:dyDescent="0.3">
      <c r="D108" s="32"/>
    </row>
    <row r="109" spans="4:4" x14ac:dyDescent="0.3">
      <c r="D109" s="32"/>
    </row>
    <row r="110" spans="4:4" x14ac:dyDescent="0.3">
      <c r="D110" s="32"/>
    </row>
    <row r="111" spans="4:4" x14ac:dyDescent="0.3">
      <c r="D111" s="32"/>
    </row>
    <row r="112" spans="4:4" x14ac:dyDescent="0.3">
      <c r="D112" s="32"/>
    </row>
    <row r="113" spans="4:4" x14ac:dyDescent="0.3">
      <c r="D113" s="32"/>
    </row>
    <row r="114" spans="4:4" x14ac:dyDescent="0.3">
      <c r="D114" s="32"/>
    </row>
    <row r="115" spans="4:4" x14ac:dyDescent="0.3">
      <c r="D115" s="32"/>
    </row>
    <row r="116" spans="4:4" x14ac:dyDescent="0.3">
      <c r="D116" s="32"/>
    </row>
    <row r="117" spans="4:4" x14ac:dyDescent="0.3">
      <c r="D117" s="32"/>
    </row>
    <row r="118" spans="4:4" x14ac:dyDescent="0.3">
      <c r="D118" s="32"/>
    </row>
    <row r="119" spans="4:4" x14ac:dyDescent="0.3">
      <c r="D119" s="32"/>
    </row>
    <row r="120" spans="4:4" x14ac:dyDescent="0.3">
      <c r="D120" s="32"/>
    </row>
    <row r="121" spans="4:4" x14ac:dyDescent="0.3">
      <c r="D121" s="32"/>
    </row>
    <row r="122" spans="4:4" x14ac:dyDescent="0.3">
      <c r="D122" s="32"/>
    </row>
    <row r="123" spans="4:4" x14ac:dyDescent="0.3">
      <c r="D123" s="32"/>
    </row>
    <row r="124" spans="4:4" x14ac:dyDescent="0.3">
      <c r="D124" s="32"/>
    </row>
    <row r="125" spans="4:4" x14ac:dyDescent="0.3">
      <c r="D125" s="32"/>
    </row>
    <row r="126" spans="4:4" x14ac:dyDescent="0.3">
      <c r="D126" s="32"/>
    </row>
    <row r="127" spans="4:4" x14ac:dyDescent="0.3">
      <c r="D127" s="32"/>
    </row>
    <row r="128" spans="4:4" x14ac:dyDescent="0.3">
      <c r="D128" s="32"/>
    </row>
    <row r="129" spans="4:4" x14ac:dyDescent="0.3">
      <c r="D129" s="32"/>
    </row>
    <row r="130" spans="4:4" x14ac:dyDescent="0.3">
      <c r="D130" s="32"/>
    </row>
    <row r="131" spans="4:4" x14ac:dyDescent="0.3">
      <c r="D131" s="32"/>
    </row>
    <row r="132" spans="4:4" x14ac:dyDescent="0.3">
      <c r="D132" s="32"/>
    </row>
    <row r="133" spans="4:4" x14ac:dyDescent="0.3">
      <c r="D133" s="32"/>
    </row>
    <row r="134" spans="4:4" x14ac:dyDescent="0.3">
      <c r="D134" s="32"/>
    </row>
    <row r="135" spans="4:4" x14ac:dyDescent="0.3">
      <c r="D135" s="32"/>
    </row>
    <row r="136" spans="4:4" x14ac:dyDescent="0.3">
      <c r="D136" s="32"/>
    </row>
    <row r="137" spans="4:4" x14ac:dyDescent="0.3">
      <c r="D137" s="32"/>
    </row>
    <row r="138" spans="4:4" x14ac:dyDescent="0.3">
      <c r="D138" s="32"/>
    </row>
    <row r="139" spans="4:4" x14ac:dyDescent="0.3">
      <c r="D139" s="32"/>
    </row>
    <row r="140" spans="4:4" x14ac:dyDescent="0.3">
      <c r="D140" s="32"/>
    </row>
    <row r="141" spans="4:4" x14ac:dyDescent="0.3">
      <c r="D141" s="32"/>
    </row>
    <row r="142" spans="4:4" x14ac:dyDescent="0.3">
      <c r="D142" s="32"/>
    </row>
    <row r="143" spans="4:4" x14ac:dyDescent="0.3">
      <c r="D143" s="32"/>
    </row>
    <row r="144" spans="4:4" x14ac:dyDescent="0.3">
      <c r="D144" s="32"/>
    </row>
    <row r="145" spans="4:4" x14ac:dyDescent="0.3">
      <c r="D145" s="32"/>
    </row>
    <row r="146" spans="4:4" x14ac:dyDescent="0.3">
      <c r="D146" s="32"/>
    </row>
    <row r="147" spans="4:4" x14ac:dyDescent="0.3">
      <c r="D147" s="32"/>
    </row>
    <row r="148" spans="4:4" x14ac:dyDescent="0.3">
      <c r="D148" s="32"/>
    </row>
    <row r="149" spans="4:4" x14ac:dyDescent="0.3">
      <c r="D149" s="32"/>
    </row>
    <row r="150" spans="4:4" x14ac:dyDescent="0.3">
      <c r="D150" s="32"/>
    </row>
    <row r="151" spans="4:4" x14ac:dyDescent="0.3">
      <c r="D151" s="32"/>
    </row>
    <row r="152" spans="4:4" x14ac:dyDescent="0.3">
      <c r="D152" s="32"/>
    </row>
    <row r="153" spans="4:4" x14ac:dyDescent="0.3">
      <c r="D153" s="32"/>
    </row>
    <row r="154" spans="4:4" x14ac:dyDescent="0.3">
      <c r="D154" s="32"/>
    </row>
    <row r="155" spans="4:4" x14ac:dyDescent="0.3">
      <c r="D155" s="32"/>
    </row>
    <row r="156" spans="4:4" x14ac:dyDescent="0.3">
      <c r="D156" s="32"/>
    </row>
    <row r="157" spans="4:4" x14ac:dyDescent="0.3">
      <c r="D157" s="32"/>
    </row>
    <row r="158" spans="4:4" x14ac:dyDescent="0.3">
      <c r="D158" s="32"/>
    </row>
    <row r="159" spans="4:4" x14ac:dyDescent="0.3">
      <c r="D159" s="32"/>
    </row>
    <row r="160" spans="4:4" x14ac:dyDescent="0.3">
      <c r="D160" s="32"/>
    </row>
    <row r="161" spans="4:4" x14ac:dyDescent="0.3">
      <c r="D161" s="32"/>
    </row>
    <row r="162" spans="4:4" x14ac:dyDescent="0.3">
      <c r="D162" s="32"/>
    </row>
    <row r="163" spans="4:4" x14ac:dyDescent="0.3">
      <c r="D163" s="32"/>
    </row>
    <row r="164" spans="4:4" x14ac:dyDescent="0.3">
      <c r="D164" s="32"/>
    </row>
    <row r="165" spans="4:4" x14ac:dyDescent="0.3">
      <c r="D165" s="32"/>
    </row>
    <row r="166" spans="4:4" x14ac:dyDescent="0.3">
      <c r="D166" s="32"/>
    </row>
    <row r="167" spans="4:4" x14ac:dyDescent="0.3">
      <c r="D167" s="32"/>
    </row>
    <row r="168" spans="4:4" x14ac:dyDescent="0.3">
      <c r="D168" s="32"/>
    </row>
    <row r="169" spans="4:4" x14ac:dyDescent="0.3">
      <c r="D169" s="32"/>
    </row>
    <row r="170" spans="4:4" x14ac:dyDescent="0.3">
      <c r="D170" s="32"/>
    </row>
    <row r="171" spans="4:4" x14ac:dyDescent="0.3">
      <c r="D171" s="32"/>
    </row>
    <row r="172" spans="4:4" x14ac:dyDescent="0.3">
      <c r="D172" s="32"/>
    </row>
  </sheetData>
  <mergeCells count="5">
    <mergeCell ref="B2:L2"/>
    <mergeCell ref="B3:L3"/>
    <mergeCell ref="B4:L4"/>
    <mergeCell ref="B5:L5"/>
    <mergeCell ref="B6:L6"/>
  </mergeCells>
  <printOptions horizontalCentered="1"/>
  <pageMargins left="0.5" right="0.5" top="0.5" bottom="0.5" header="0.25" footer="0.25"/>
  <pageSetup scale="56" orientation="landscape" r:id="rId1"/>
  <headerFooter scaleWithDoc="0">
    <oddFooter>&amp;C&amp;"Times New Roman,Regular"&amp;10&amp;A</oddFooter>
  </headerFooter>
  <customProperties>
    <customPr name="_pios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2:H39"/>
  <sheetViews>
    <sheetView zoomScale="80" zoomScaleNormal="80" workbookViewId="0"/>
  </sheetViews>
  <sheetFormatPr defaultColWidth="9.33203125" defaultRowHeight="15.6" x14ac:dyDescent="0.3"/>
  <cols>
    <col min="1" max="1" width="5.33203125" style="221" customWidth="1"/>
    <col min="2" max="2" width="35.33203125" style="1" customWidth="1"/>
    <col min="3" max="3" width="18.5546875" style="88" customWidth="1"/>
    <col min="4" max="4" width="25.33203125" style="88" customWidth="1"/>
    <col min="5" max="5" width="18.5546875" style="1" customWidth="1"/>
    <col min="6" max="6" width="62.5546875" style="1" customWidth="1"/>
    <col min="7" max="7" width="5.33203125" style="221" customWidth="1"/>
    <col min="8" max="8" width="24" style="1" customWidth="1"/>
    <col min="9" max="9" width="11" style="1" customWidth="1"/>
    <col min="10" max="10" width="7.33203125" style="1" customWidth="1"/>
    <col min="11" max="11" width="9.33203125" style="1" customWidth="1"/>
    <col min="12" max="12" width="14" style="1" customWidth="1"/>
    <col min="13" max="13" width="13.44140625" style="1" customWidth="1"/>
    <col min="14" max="16384" width="9.33203125" style="1"/>
  </cols>
  <sheetData>
    <row r="2" spans="1:8" x14ac:dyDescent="0.3">
      <c r="B2" s="1222" t="s">
        <v>0</v>
      </c>
      <c r="C2" s="1222"/>
      <c r="D2" s="1222"/>
      <c r="E2" s="1222"/>
      <c r="F2" s="1222"/>
    </row>
    <row r="3" spans="1:8" x14ac:dyDescent="0.3">
      <c r="B3" s="1222" t="s">
        <v>281</v>
      </c>
      <c r="C3" s="1222"/>
      <c r="D3" s="1222"/>
      <c r="E3" s="1222"/>
      <c r="F3" s="1222"/>
    </row>
    <row r="4" spans="1:8" x14ac:dyDescent="0.3">
      <c r="B4" s="1222" t="s">
        <v>282</v>
      </c>
      <c r="C4" s="1222"/>
      <c r="D4" s="1222"/>
      <c r="E4" s="1222"/>
      <c r="F4" s="1222"/>
    </row>
    <row r="5" spans="1:8" x14ac:dyDescent="0.3">
      <c r="B5" s="1222" t="str">
        <f>'AD-1'!B5</f>
        <v>BASE PERIOD / TRUE UP PERIOD - 12/31/2023 PER BOOK</v>
      </c>
      <c r="C5" s="1222"/>
      <c r="D5" s="1222"/>
      <c r="E5" s="1222"/>
      <c r="F5" s="1222"/>
    </row>
    <row r="6" spans="1:8" x14ac:dyDescent="0.3">
      <c r="B6" s="1226" t="s">
        <v>4</v>
      </c>
      <c r="C6" s="1226"/>
      <c r="D6" s="1226"/>
      <c r="E6" s="1226"/>
      <c r="F6" s="1226"/>
    </row>
    <row r="7" spans="1:8" x14ac:dyDescent="0.3">
      <c r="B7" s="270"/>
      <c r="C7" s="271"/>
      <c r="D7" s="271"/>
      <c r="E7" s="270"/>
      <c r="F7" s="270"/>
    </row>
    <row r="8" spans="1:8" x14ac:dyDescent="0.3">
      <c r="B8" s="1222" t="s">
        <v>360</v>
      </c>
      <c r="C8" s="1224"/>
      <c r="D8" s="1224"/>
      <c r="E8" s="1224"/>
      <c r="F8" s="1224"/>
    </row>
    <row r="10" spans="1:8" x14ac:dyDescent="0.3">
      <c r="B10" s="932"/>
      <c r="C10" s="272" t="s">
        <v>200</v>
      </c>
      <c r="D10" s="933"/>
      <c r="E10" s="272"/>
      <c r="F10" s="933"/>
    </row>
    <row r="11" spans="1:8" x14ac:dyDescent="0.3">
      <c r="B11" s="273"/>
      <c r="C11" s="277" t="s">
        <v>361</v>
      </c>
      <c r="D11" s="273"/>
      <c r="E11" s="277" t="s">
        <v>361</v>
      </c>
      <c r="F11" s="273"/>
    </row>
    <row r="12" spans="1:8" x14ac:dyDescent="0.3">
      <c r="A12" s="4"/>
      <c r="B12" s="276"/>
      <c r="C12" s="221" t="s">
        <v>321</v>
      </c>
      <c r="D12" s="273"/>
      <c r="E12" s="277" t="s">
        <v>362</v>
      </c>
      <c r="F12" s="273"/>
      <c r="G12" s="4"/>
    </row>
    <row r="13" spans="1:8" x14ac:dyDescent="0.3">
      <c r="A13" s="4" t="s">
        <v>5</v>
      </c>
      <c r="B13" s="276"/>
      <c r="C13" s="221" t="s">
        <v>317</v>
      </c>
      <c r="D13" s="273"/>
      <c r="E13" s="277" t="s">
        <v>317</v>
      </c>
      <c r="F13" s="273"/>
      <c r="G13" s="4" t="s">
        <v>5</v>
      </c>
    </row>
    <row r="14" spans="1:8" x14ac:dyDescent="0.3">
      <c r="A14" s="4" t="s">
        <v>6</v>
      </c>
      <c r="B14" s="278" t="s">
        <v>286</v>
      </c>
      <c r="C14" s="935" t="s">
        <v>287</v>
      </c>
      <c r="D14" s="278" t="s">
        <v>8</v>
      </c>
      <c r="E14" s="279" t="s">
        <v>363</v>
      </c>
      <c r="F14" s="278" t="s">
        <v>8</v>
      </c>
      <c r="G14" s="4" t="s">
        <v>6</v>
      </c>
    </row>
    <row r="15" spans="1:8" x14ac:dyDescent="0.3">
      <c r="A15" s="4">
        <v>1</v>
      </c>
      <c r="B15" s="936" t="str">
        <f>'AD-1'!B14</f>
        <v>Dec-22</v>
      </c>
      <c r="C15" s="59">
        <v>0</v>
      </c>
      <c r="D15" s="941" t="s">
        <v>289</v>
      </c>
      <c r="E15" s="65">
        <v>0</v>
      </c>
      <c r="F15" s="942" t="s">
        <v>289</v>
      </c>
      <c r="G15" s="4">
        <f>A15</f>
        <v>1</v>
      </c>
      <c r="H15" s="284"/>
    </row>
    <row r="16" spans="1:8" x14ac:dyDescent="0.3">
      <c r="A16" s="4">
        <f>A15+1</f>
        <v>2</v>
      </c>
      <c r="B16" s="936" t="str">
        <f>'AD-1'!B15</f>
        <v>Jan-23</v>
      </c>
      <c r="C16" s="53">
        <v>0</v>
      </c>
      <c r="D16" s="943"/>
      <c r="E16" s="66">
        <v>0</v>
      </c>
      <c r="F16" s="942"/>
      <c r="G16" s="4">
        <f>G15+1</f>
        <v>2</v>
      </c>
      <c r="H16" s="284"/>
    </row>
    <row r="17" spans="1:8" x14ac:dyDescent="0.3">
      <c r="A17" s="4">
        <f t="shared" ref="A17:A33" si="0">A16+1</f>
        <v>3</v>
      </c>
      <c r="B17" s="939" t="s">
        <v>291</v>
      </c>
      <c r="C17" s="53">
        <v>0</v>
      </c>
      <c r="D17" s="943"/>
      <c r="E17" s="66">
        <v>0</v>
      </c>
      <c r="F17" s="942"/>
      <c r="G17" s="4">
        <f t="shared" ref="G17:G33" si="1">G16+1</f>
        <v>3</v>
      </c>
      <c r="H17" s="284"/>
    </row>
    <row r="18" spans="1:8" x14ac:dyDescent="0.3">
      <c r="A18" s="4">
        <f t="shared" si="0"/>
        <v>4</v>
      </c>
      <c r="B18" s="939" t="s">
        <v>292</v>
      </c>
      <c r="C18" s="53">
        <v>0</v>
      </c>
      <c r="D18" s="943"/>
      <c r="E18" s="66">
        <v>0</v>
      </c>
      <c r="F18" s="942"/>
      <c r="G18" s="4">
        <f t="shared" si="1"/>
        <v>4</v>
      </c>
      <c r="H18" s="284"/>
    </row>
    <row r="19" spans="1:8" x14ac:dyDescent="0.3">
      <c r="A19" s="4">
        <f t="shared" si="0"/>
        <v>5</v>
      </c>
      <c r="B19" s="939" t="s">
        <v>293</v>
      </c>
      <c r="C19" s="53">
        <v>0</v>
      </c>
      <c r="D19" s="943"/>
      <c r="E19" s="66">
        <v>0</v>
      </c>
      <c r="F19" s="942"/>
      <c r="G19" s="4">
        <f t="shared" si="1"/>
        <v>5</v>
      </c>
      <c r="H19" s="284"/>
    </row>
    <row r="20" spans="1:8" x14ac:dyDescent="0.3">
      <c r="A20" s="4">
        <f t="shared" si="0"/>
        <v>6</v>
      </c>
      <c r="B20" s="939" t="s">
        <v>294</v>
      </c>
      <c r="C20" s="53">
        <v>0</v>
      </c>
      <c r="D20" s="943"/>
      <c r="E20" s="66">
        <v>0</v>
      </c>
      <c r="F20" s="942"/>
      <c r="G20" s="4">
        <f t="shared" si="1"/>
        <v>6</v>
      </c>
      <c r="H20" s="284"/>
    </row>
    <row r="21" spans="1:8" x14ac:dyDescent="0.3">
      <c r="A21" s="4">
        <f>A20+1</f>
        <v>7</v>
      </c>
      <c r="B21" s="939" t="s">
        <v>295</v>
      </c>
      <c r="C21" s="53">
        <v>0</v>
      </c>
      <c r="D21" s="943"/>
      <c r="E21" s="66">
        <v>0</v>
      </c>
      <c r="F21" s="942"/>
      <c r="G21" s="4">
        <f>G20+1</f>
        <v>7</v>
      </c>
      <c r="H21" s="284"/>
    </row>
    <row r="22" spans="1:8" x14ac:dyDescent="0.3">
      <c r="A22" s="4">
        <f t="shared" si="0"/>
        <v>8</v>
      </c>
      <c r="B22" s="939" t="s">
        <v>296</v>
      </c>
      <c r="C22" s="53">
        <v>0</v>
      </c>
      <c r="D22" s="943"/>
      <c r="E22" s="66">
        <v>0</v>
      </c>
      <c r="F22" s="942"/>
      <c r="G22" s="4">
        <f t="shared" si="1"/>
        <v>8</v>
      </c>
      <c r="H22" s="284"/>
    </row>
    <row r="23" spans="1:8" x14ac:dyDescent="0.3">
      <c r="A23" s="4">
        <f t="shared" si="0"/>
        <v>9</v>
      </c>
      <c r="B23" s="939" t="s">
        <v>297</v>
      </c>
      <c r="C23" s="53">
        <v>0</v>
      </c>
      <c r="D23" s="943"/>
      <c r="E23" s="66">
        <v>0</v>
      </c>
      <c r="F23" s="942"/>
      <c r="G23" s="4">
        <f t="shared" si="1"/>
        <v>9</v>
      </c>
      <c r="H23" s="284"/>
    </row>
    <row r="24" spans="1:8" x14ac:dyDescent="0.3">
      <c r="A24" s="4">
        <f t="shared" si="0"/>
        <v>10</v>
      </c>
      <c r="B24" s="939" t="s">
        <v>298</v>
      </c>
      <c r="C24" s="53">
        <v>0</v>
      </c>
      <c r="D24" s="943"/>
      <c r="E24" s="66">
        <v>0</v>
      </c>
      <c r="F24" s="942"/>
      <c r="G24" s="4">
        <f t="shared" si="1"/>
        <v>10</v>
      </c>
      <c r="H24" s="284"/>
    </row>
    <row r="25" spans="1:8" x14ac:dyDescent="0.3">
      <c r="A25" s="4">
        <f t="shared" si="0"/>
        <v>11</v>
      </c>
      <c r="B25" s="939" t="s">
        <v>299</v>
      </c>
      <c r="C25" s="53">
        <v>0</v>
      </c>
      <c r="D25" s="943"/>
      <c r="E25" s="66">
        <v>0</v>
      </c>
      <c r="F25" s="942"/>
      <c r="G25" s="4">
        <f t="shared" si="1"/>
        <v>11</v>
      </c>
      <c r="H25" s="284"/>
    </row>
    <row r="26" spans="1:8" x14ac:dyDescent="0.3">
      <c r="A26" s="4">
        <f t="shared" si="0"/>
        <v>12</v>
      </c>
      <c r="B26" s="939" t="s">
        <v>300</v>
      </c>
      <c r="C26" s="53">
        <v>0</v>
      </c>
      <c r="D26" s="943"/>
      <c r="E26" s="66">
        <v>0</v>
      </c>
      <c r="F26" s="942"/>
      <c r="G26" s="4">
        <f t="shared" si="1"/>
        <v>12</v>
      </c>
      <c r="H26" s="284"/>
    </row>
    <row r="27" spans="1:8" x14ac:dyDescent="0.3">
      <c r="A27" s="4">
        <f t="shared" si="0"/>
        <v>13</v>
      </c>
      <c r="B27" s="633" t="str">
        <f>'AD-1'!B26</f>
        <v>Dec-23</v>
      </c>
      <c r="C27" s="54">
        <v>0</v>
      </c>
      <c r="D27" s="69" t="s">
        <v>289</v>
      </c>
      <c r="E27" s="54">
        <v>0</v>
      </c>
      <c r="F27" s="593" t="s">
        <v>289</v>
      </c>
      <c r="G27" s="4">
        <f t="shared" si="1"/>
        <v>13</v>
      </c>
      <c r="H27" s="284"/>
    </row>
    <row r="28" spans="1:8" x14ac:dyDescent="0.3">
      <c r="A28" s="4">
        <f t="shared" si="0"/>
        <v>14</v>
      </c>
      <c r="B28" s="281"/>
      <c r="C28" s="60"/>
      <c r="D28" s="357"/>
      <c r="E28" s="61"/>
      <c r="F28" s="944"/>
      <c r="G28" s="4">
        <f t="shared" si="1"/>
        <v>14</v>
      </c>
      <c r="H28" s="284"/>
    </row>
    <row r="29" spans="1:8" x14ac:dyDescent="0.3">
      <c r="A29" s="4">
        <f t="shared" si="0"/>
        <v>15</v>
      </c>
      <c r="B29" s="281" t="s">
        <v>302</v>
      </c>
      <c r="C29" s="56">
        <f>SUM(C15:C27)</f>
        <v>0</v>
      </c>
      <c r="D29" s="941" t="s">
        <v>303</v>
      </c>
      <c r="E29" s="56">
        <f>SUM(E15:E27)</f>
        <v>0</v>
      </c>
      <c r="F29" s="942" t="s">
        <v>303</v>
      </c>
      <c r="G29" s="4">
        <f t="shared" si="1"/>
        <v>15</v>
      </c>
      <c r="H29" s="284"/>
    </row>
    <row r="30" spans="1:8" x14ac:dyDescent="0.3">
      <c r="A30" s="4">
        <f t="shared" si="0"/>
        <v>16</v>
      </c>
      <c r="B30" s="120"/>
      <c r="C30" s="62"/>
      <c r="D30" s="95"/>
      <c r="E30" s="62"/>
      <c r="F30" s="313"/>
      <c r="G30" s="4">
        <f t="shared" si="1"/>
        <v>16</v>
      </c>
      <c r="H30" s="284"/>
    </row>
    <row r="31" spans="1:8" x14ac:dyDescent="0.3">
      <c r="A31" s="4">
        <f t="shared" si="0"/>
        <v>17</v>
      </c>
      <c r="B31" s="281"/>
      <c r="C31" s="61"/>
      <c r="D31" s="236"/>
      <c r="E31" s="61"/>
      <c r="F31" s="967"/>
      <c r="G31" s="4">
        <f t="shared" si="1"/>
        <v>17</v>
      </c>
      <c r="H31" s="284"/>
    </row>
    <row r="32" spans="1:8" x14ac:dyDescent="0.3">
      <c r="A32" s="4">
        <f t="shared" si="0"/>
        <v>18</v>
      </c>
      <c r="B32" s="281" t="s">
        <v>304</v>
      </c>
      <c r="C32" s="56">
        <f>C29/13</f>
        <v>0</v>
      </c>
      <c r="D32" s="941" t="s">
        <v>305</v>
      </c>
      <c r="E32" s="56">
        <f>E29/13</f>
        <v>0</v>
      </c>
      <c r="F32" s="942" t="s">
        <v>305</v>
      </c>
      <c r="G32" s="4">
        <f t="shared" si="1"/>
        <v>18</v>
      </c>
      <c r="H32" s="284"/>
    </row>
    <row r="33" spans="1:8" x14ac:dyDescent="0.3">
      <c r="A33" s="4">
        <f t="shared" si="0"/>
        <v>19</v>
      </c>
      <c r="B33" s="120"/>
      <c r="C33" s="62"/>
      <c r="D33" s="95"/>
      <c r="E33" s="62"/>
      <c r="F33" s="313"/>
      <c r="G33" s="4">
        <f t="shared" si="1"/>
        <v>19</v>
      </c>
      <c r="H33" s="284"/>
    </row>
    <row r="34" spans="1:8" x14ac:dyDescent="0.3">
      <c r="B34" s="32"/>
      <c r="C34" s="6"/>
      <c r="D34" s="6"/>
      <c r="E34" s="6"/>
      <c r="F34" s="285"/>
      <c r="G34" s="585"/>
      <c r="H34" s="284"/>
    </row>
    <row r="35" spans="1:8" x14ac:dyDescent="0.3">
      <c r="B35" s="296"/>
      <c r="C35" s="285"/>
      <c r="D35" s="285"/>
      <c r="E35" s="285"/>
      <c r="F35" s="285"/>
      <c r="G35" s="583"/>
      <c r="H35" s="284"/>
    </row>
    <row r="36" spans="1:8" x14ac:dyDescent="0.3">
      <c r="B36" s="32"/>
      <c r="C36" s="285"/>
      <c r="D36" s="285"/>
      <c r="E36" s="285"/>
      <c r="F36" s="285"/>
      <c r="G36" s="583"/>
      <c r="H36" s="284"/>
    </row>
    <row r="37" spans="1:8" x14ac:dyDescent="0.3">
      <c r="B37" s="32"/>
      <c r="C37" s="285"/>
      <c r="D37" s="285"/>
      <c r="E37" s="285"/>
      <c r="F37" s="285"/>
      <c r="G37" s="583"/>
      <c r="H37" s="284"/>
    </row>
    <row r="38" spans="1:8" x14ac:dyDescent="0.3">
      <c r="B38" s="32"/>
      <c r="C38" s="285"/>
      <c r="D38" s="285"/>
      <c r="E38" s="285"/>
      <c r="F38" s="285"/>
      <c r="G38" s="583"/>
      <c r="H38" s="284"/>
    </row>
    <row r="39" spans="1:8" x14ac:dyDescent="0.3">
      <c r="C39" s="284"/>
      <c r="D39" s="284"/>
      <c r="E39" s="284"/>
      <c r="F39" s="284"/>
      <c r="G39" s="583"/>
      <c r="H39" s="284"/>
    </row>
  </sheetData>
  <mergeCells count="6">
    <mergeCell ref="B8:F8"/>
    <mergeCell ref="B2:F2"/>
    <mergeCell ref="B3:F3"/>
    <mergeCell ref="B4:F4"/>
    <mergeCell ref="B5:F5"/>
    <mergeCell ref="B6:F6"/>
  </mergeCells>
  <printOptions horizontalCentered="1"/>
  <pageMargins left="0.5" right="0.5" top="0.5" bottom="0.5" header="0.25" footer="0.25"/>
  <pageSetup scale="74" orientation="landscape" r:id="rId1"/>
  <headerFooter scaleWithDoc="0">
    <oddFooter>&amp;C&amp;"Times New Roman,Regular"&amp;10&amp;A</oddFooter>
  </headerFooter>
  <customProperties>
    <customPr name="_pios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2:F41"/>
  <sheetViews>
    <sheetView zoomScale="80" zoomScaleNormal="80" workbookViewId="0"/>
  </sheetViews>
  <sheetFormatPr defaultColWidth="9.33203125" defaultRowHeight="15.6" x14ac:dyDescent="0.3"/>
  <cols>
    <col min="1" max="1" width="5.33203125" style="221" customWidth="1"/>
    <col min="2" max="2" width="35.33203125" style="1" customWidth="1"/>
    <col min="3" max="3" width="18.5546875" style="1" customWidth="1"/>
    <col min="4" max="4" width="62.5546875" style="1" customWidth="1"/>
    <col min="5" max="5" width="5.33203125" style="221" customWidth="1"/>
    <col min="6" max="6" width="11" style="1" customWidth="1"/>
    <col min="7" max="7" width="7.33203125" style="1" customWidth="1"/>
    <col min="8" max="8" width="9.33203125" style="1" customWidth="1"/>
    <col min="9" max="9" width="14" style="1" customWidth="1"/>
    <col min="10" max="10" width="13.44140625" style="1" customWidth="1"/>
    <col min="11" max="16384" width="9.33203125" style="1"/>
  </cols>
  <sheetData>
    <row r="2" spans="1:6" x14ac:dyDescent="0.3">
      <c r="B2" s="1222" t="s">
        <v>0</v>
      </c>
      <c r="C2" s="1222"/>
      <c r="D2" s="1222"/>
    </row>
    <row r="3" spans="1:6" x14ac:dyDescent="0.3">
      <c r="B3" s="1222" t="s">
        <v>281</v>
      </c>
      <c r="C3" s="1222"/>
      <c r="D3" s="1222"/>
    </row>
    <row r="4" spans="1:6" x14ac:dyDescent="0.3">
      <c r="B4" s="1222" t="s">
        <v>282</v>
      </c>
      <c r="C4" s="1222"/>
      <c r="D4" s="1222"/>
    </row>
    <row r="5" spans="1:6" x14ac:dyDescent="0.3">
      <c r="B5" s="1222" t="str">
        <f>'AD-1'!B5</f>
        <v>BASE PERIOD / TRUE UP PERIOD - 12/31/2023 PER BOOK</v>
      </c>
      <c r="C5" s="1222"/>
      <c r="D5" s="1222"/>
    </row>
    <row r="6" spans="1:6" x14ac:dyDescent="0.3">
      <c r="B6" s="1226" t="s">
        <v>4</v>
      </c>
      <c r="C6" s="1226"/>
      <c r="D6" s="1226"/>
    </row>
    <row r="7" spans="1:6" x14ac:dyDescent="0.3">
      <c r="B7" s="270"/>
      <c r="C7" s="270"/>
      <c r="D7" s="270"/>
    </row>
    <row r="8" spans="1:6" x14ac:dyDescent="0.3">
      <c r="B8" s="1222" t="s">
        <v>364</v>
      </c>
      <c r="C8" s="1222"/>
      <c r="D8" s="1222"/>
    </row>
    <row r="10" spans="1:6" x14ac:dyDescent="0.3">
      <c r="B10" s="314"/>
      <c r="C10" s="326" t="s">
        <v>365</v>
      </c>
      <c r="D10" s="315"/>
      <c r="E10" s="4"/>
    </row>
    <row r="11" spans="1:6" x14ac:dyDescent="0.3">
      <c r="A11" s="4" t="s">
        <v>5</v>
      </c>
      <c r="B11" s="301"/>
      <c r="C11" s="273" t="s">
        <v>366</v>
      </c>
      <c r="D11" s="316"/>
      <c r="E11" s="4" t="s">
        <v>5</v>
      </c>
    </row>
    <row r="12" spans="1:6" x14ac:dyDescent="0.3">
      <c r="A12" s="4" t="s">
        <v>6</v>
      </c>
      <c r="B12" s="309" t="s">
        <v>286</v>
      </c>
      <c r="C12" s="278" t="s">
        <v>367</v>
      </c>
      <c r="D12" s="279" t="s">
        <v>8</v>
      </c>
      <c r="E12" s="4" t="s">
        <v>6</v>
      </c>
    </row>
    <row r="13" spans="1:6" x14ac:dyDescent="0.3">
      <c r="A13" s="4"/>
      <c r="B13" s="317"/>
      <c r="C13" s="968"/>
      <c r="D13" s="318"/>
      <c r="E13" s="4"/>
    </row>
    <row r="14" spans="1:6" x14ac:dyDescent="0.3">
      <c r="A14" s="4">
        <v>1</v>
      </c>
      <c r="B14" s="936" t="str">
        <f>'AD-5'!B15</f>
        <v>Dec-22</v>
      </c>
      <c r="C14" s="235">
        <v>112870.21667000001</v>
      </c>
      <c r="D14" s="319" t="s">
        <v>290</v>
      </c>
      <c r="E14" s="4">
        <f>A14</f>
        <v>1</v>
      </c>
      <c r="F14" s="280"/>
    </row>
    <row r="15" spans="1:6" x14ac:dyDescent="0.3">
      <c r="A15" s="4">
        <f>A14+1</f>
        <v>2</v>
      </c>
      <c r="B15" s="939"/>
      <c r="C15" s="950"/>
      <c r="D15" s="321"/>
      <c r="E15" s="4">
        <f>E14+1</f>
        <v>2</v>
      </c>
    </row>
    <row r="16" spans="1:6" x14ac:dyDescent="0.3">
      <c r="A16" s="4">
        <f t="shared" ref="A16:A20" si="0">A15+1</f>
        <v>3</v>
      </c>
      <c r="B16" s="936" t="str">
        <f>'AD-5'!B17</f>
        <v>Dec-23</v>
      </c>
      <c r="C16" s="236">
        <v>125194.79648999999</v>
      </c>
      <c r="D16" s="319" t="s">
        <v>301</v>
      </c>
      <c r="E16" s="4">
        <f t="shared" ref="E16:E20" si="1">E15+1</f>
        <v>3</v>
      </c>
      <c r="F16" s="280"/>
    </row>
    <row r="17" spans="1:5" x14ac:dyDescent="0.3">
      <c r="A17" s="4">
        <f t="shared" si="0"/>
        <v>4</v>
      </c>
      <c r="B17" s="322"/>
      <c r="C17" s="67"/>
      <c r="D17" s="323"/>
      <c r="E17" s="4">
        <f t="shared" si="1"/>
        <v>4</v>
      </c>
    </row>
    <row r="18" spans="1:5" x14ac:dyDescent="0.3">
      <c r="A18" s="4">
        <f t="shared" si="0"/>
        <v>5</v>
      </c>
      <c r="B18" s="314"/>
      <c r="C18" s="968"/>
      <c r="D18" s="318"/>
      <c r="E18" s="4">
        <f t="shared" si="1"/>
        <v>5</v>
      </c>
    </row>
    <row r="19" spans="1:5" x14ac:dyDescent="0.3">
      <c r="A19" s="4">
        <f t="shared" si="0"/>
        <v>6</v>
      </c>
      <c r="B19" s="322" t="s">
        <v>318</v>
      </c>
      <c r="C19" s="969">
        <f>(C14+C16)/2</f>
        <v>119032.50658</v>
      </c>
      <c r="D19" s="572" t="s">
        <v>319</v>
      </c>
      <c r="E19" s="4">
        <f t="shared" si="1"/>
        <v>6</v>
      </c>
    </row>
    <row r="20" spans="1:5" x14ac:dyDescent="0.3">
      <c r="A20" s="4">
        <f t="shared" si="0"/>
        <v>7</v>
      </c>
      <c r="B20" s="331"/>
      <c r="C20" s="68"/>
      <c r="D20" s="62"/>
      <c r="E20" s="4">
        <f t="shared" si="1"/>
        <v>7</v>
      </c>
    </row>
    <row r="21" spans="1:5" x14ac:dyDescent="0.3">
      <c r="A21" s="4"/>
      <c r="B21" s="32"/>
      <c r="C21" s="29"/>
      <c r="D21" s="32"/>
      <c r="E21" s="4"/>
    </row>
    <row r="22" spans="1:5" x14ac:dyDescent="0.3">
      <c r="B22" s="32"/>
      <c r="C22" s="32"/>
      <c r="D22" s="32"/>
      <c r="E22" s="4"/>
    </row>
    <row r="23" spans="1:5" x14ac:dyDescent="0.3">
      <c r="B23" s="32"/>
      <c r="C23" s="32"/>
      <c r="D23" s="32"/>
    </row>
    <row r="24" spans="1:5" x14ac:dyDescent="0.3">
      <c r="B24" s="32"/>
      <c r="C24" s="32"/>
      <c r="D24" s="32"/>
    </row>
    <row r="25" spans="1:5" x14ac:dyDescent="0.3">
      <c r="B25" s="32"/>
      <c r="C25" s="32"/>
      <c r="D25" s="32"/>
    </row>
    <row r="26" spans="1:5" x14ac:dyDescent="0.3">
      <c r="B26" s="32"/>
      <c r="C26" s="32"/>
      <c r="D26" s="32"/>
    </row>
    <row r="27" spans="1:5" x14ac:dyDescent="0.3">
      <c r="B27" s="32"/>
      <c r="C27" s="32"/>
      <c r="D27" s="32"/>
    </row>
    <row r="28" spans="1:5" x14ac:dyDescent="0.3">
      <c r="B28" s="32"/>
      <c r="C28" s="32"/>
      <c r="D28" s="32"/>
    </row>
    <row r="29" spans="1:5" x14ac:dyDescent="0.3">
      <c r="B29" s="32"/>
      <c r="C29" s="32"/>
      <c r="D29" s="32"/>
    </row>
    <row r="30" spans="1:5" x14ac:dyDescent="0.3">
      <c r="B30" s="32"/>
      <c r="C30" s="32"/>
      <c r="D30" s="32"/>
    </row>
    <row r="31" spans="1:5" x14ac:dyDescent="0.3">
      <c r="B31" s="32"/>
      <c r="C31" s="32"/>
      <c r="D31" s="32"/>
    </row>
    <row r="32" spans="1:5" x14ac:dyDescent="0.3">
      <c r="B32" s="32"/>
      <c r="C32" s="32"/>
      <c r="D32" s="32"/>
    </row>
    <row r="33" spans="1:5" x14ac:dyDescent="0.3">
      <c r="B33" s="32"/>
      <c r="C33" s="32"/>
      <c r="D33" s="32"/>
    </row>
    <row r="34" spans="1:5" x14ac:dyDescent="0.3">
      <c r="B34" s="32"/>
      <c r="C34" s="32"/>
      <c r="D34" s="32"/>
    </row>
    <row r="35" spans="1:5" s="32" customFormat="1" x14ac:dyDescent="0.3">
      <c r="A35" s="4"/>
      <c r="E35" s="4"/>
    </row>
    <row r="36" spans="1:5" s="32" customFormat="1" x14ac:dyDescent="0.3">
      <c r="A36" s="4"/>
      <c r="E36" s="4"/>
    </row>
    <row r="37" spans="1:5" s="32" customFormat="1" x14ac:dyDescent="0.3">
      <c r="A37" s="4"/>
      <c r="E37" s="4"/>
    </row>
    <row r="38" spans="1:5" s="32" customFormat="1" x14ac:dyDescent="0.3">
      <c r="A38" s="4"/>
      <c r="E38" s="4"/>
    </row>
    <row r="39" spans="1:5" s="32" customFormat="1" x14ac:dyDescent="0.3">
      <c r="A39" s="4"/>
      <c r="E39" s="4"/>
    </row>
    <row r="40" spans="1:5" s="32" customFormat="1" x14ac:dyDescent="0.3">
      <c r="A40" s="4"/>
      <c r="E40" s="4"/>
    </row>
    <row r="41" spans="1:5" s="32" customFormat="1" x14ac:dyDescent="0.3">
      <c r="A41" s="4"/>
      <c r="E41" s="4"/>
    </row>
  </sheetData>
  <mergeCells count="6">
    <mergeCell ref="B8:D8"/>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2:F41"/>
  <sheetViews>
    <sheetView zoomScale="80" zoomScaleNormal="80" workbookViewId="0"/>
  </sheetViews>
  <sheetFormatPr defaultColWidth="9.33203125" defaultRowHeight="15.6" x14ac:dyDescent="0.3"/>
  <cols>
    <col min="1" max="1" width="5.33203125" style="221" customWidth="1"/>
    <col min="2" max="2" width="35.33203125" style="1" customWidth="1"/>
    <col min="3" max="3" width="18.5546875" style="1" customWidth="1"/>
    <col min="4" max="4" width="62.5546875" style="1" customWidth="1"/>
    <col min="5" max="5" width="5.33203125" style="221" customWidth="1"/>
    <col min="6" max="6" width="25.33203125" style="1" customWidth="1"/>
    <col min="7" max="7" width="7.33203125" style="1" customWidth="1"/>
    <col min="8" max="8" width="17.44140625" style="1" customWidth="1"/>
    <col min="9" max="9" width="14" style="1" customWidth="1"/>
    <col min="10" max="10" width="13.44140625" style="1" customWidth="1"/>
    <col min="11" max="16384" width="9.33203125" style="1"/>
  </cols>
  <sheetData>
    <row r="2" spans="1:6" x14ac:dyDescent="0.3">
      <c r="B2" s="1222" t="s">
        <v>0</v>
      </c>
      <c r="C2" s="1222"/>
      <c r="D2" s="1222"/>
    </row>
    <row r="3" spans="1:6" x14ac:dyDescent="0.3">
      <c r="B3" s="1222" t="s">
        <v>281</v>
      </c>
      <c r="C3" s="1222"/>
      <c r="D3" s="1222"/>
    </row>
    <row r="4" spans="1:6" x14ac:dyDescent="0.3">
      <c r="B4" s="1222" t="s">
        <v>282</v>
      </c>
      <c r="C4" s="1222"/>
      <c r="D4" s="1222"/>
    </row>
    <row r="5" spans="1:6" x14ac:dyDescent="0.3">
      <c r="B5" s="1222" t="str">
        <f>'AD-1'!B5</f>
        <v>BASE PERIOD / TRUE UP PERIOD - 12/31/2023 PER BOOK</v>
      </c>
      <c r="C5" s="1222"/>
      <c r="D5" s="1222"/>
    </row>
    <row r="6" spans="1:6" x14ac:dyDescent="0.3">
      <c r="B6" s="1226" t="s">
        <v>4</v>
      </c>
      <c r="C6" s="1226"/>
      <c r="D6" s="1226"/>
    </row>
    <row r="7" spans="1:6" x14ac:dyDescent="0.3">
      <c r="B7" s="270"/>
      <c r="C7" s="270"/>
      <c r="D7" s="270"/>
    </row>
    <row r="8" spans="1:6" x14ac:dyDescent="0.3">
      <c r="B8" s="1222" t="s">
        <v>368</v>
      </c>
      <c r="C8" s="1222"/>
      <c r="D8" s="1222"/>
      <c r="E8" s="4"/>
    </row>
    <row r="9" spans="1:6" x14ac:dyDescent="0.3">
      <c r="A9" s="4"/>
      <c r="E9" s="4"/>
    </row>
    <row r="10" spans="1:6" x14ac:dyDescent="0.3">
      <c r="A10" s="4"/>
      <c r="B10" s="314"/>
      <c r="C10" s="326" t="s">
        <v>365</v>
      </c>
      <c r="D10" s="970"/>
      <c r="E10" s="4"/>
    </row>
    <row r="11" spans="1:6" x14ac:dyDescent="0.3">
      <c r="A11" s="4" t="s">
        <v>5</v>
      </c>
      <c r="B11" s="301"/>
      <c r="C11" s="273" t="s">
        <v>369</v>
      </c>
      <c r="D11" s="934"/>
      <c r="E11" s="4" t="s">
        <v>5</v>
      </c>
    </row>
    <row r="12" spans="1:6" x14ac:dyDescent="0.3">
      <c r="A12" s="4" t="s">
        <v>6</v>
      </c>
      <c r="B12" s="309" t="s">
        <v>286</v>
      </c>
      <c r="C12" s="278" t="s">
        <v>367</v>
      </c>
      <c r="D12" s="278" t="s">
        <v>8</v>
      </c>
      <c r="E12" s="4" t="s">
        <v>6</v>
      </c>
    </row>
    <row r="13" spans="1:6" x14ac:dyDescent="0.3">
      <c r="A13" s="4"/>
      <c r="B13" s="317"/>
      <c r="C13" s="968"/>
      <c r="D13" s="971"/>
      <c r="E13" s="4"/>
    </row>
    <row r="14" spans="1:6" x14ac:dyDescent="0.3">
      <c r="A14" s="4">
        <v>1</v>
      </c>
      <c r="B14" s="936" t="str">
        <f>'AD-8'!B14</f>
        <v>Dec-22</v>
      </c>
      <c r="C14" s="235">
        <v>571823.00716999953</v>
      </c>
      <c r="D14" s="946" t="s">
        <v>290</v>
      </c>
      <c r="E14" s="4">
        <f>A14</f>
        <v>1</v>
      </c>
      <c r="F14" s="280"/>
    </row>
    <row r="15" spans="1:6" x14ac:dyDescent="0.3">
      <c r="A15" s="4">
        <f>A14+1</f>
        <v>2</v>
      </c>
      <c r="B15" s="939"/>
      <c r="C15" s="950"/>
      <c r="D15" s="950"/>
      <c r="E15" s="4">
        <f>E14+1</f>
        <v>2</v>
      </c>
    </row>
    <row r="16" spans="1:6" x14ac:dyDescent="0.3">
      <c r="A16" s="4">
        <f t="shared" ref="A16:A20" si="0">A15+1</f>
        <v>3</v>
      </c>
      <c r="B16" s="936" t="str">
        <f>'AD-8'!B16</f>
        <v>Dec-23</v>
      </c>
      <c r="C16" s="236">
        <v>614792.31672999891</v>
      </c>
      <c r="D16" s="946" t="s">
        <v>301</v>
      </c>
      <c r="E16" s="4">
        <f t="shared" ref="E16:E20" si="1">E15+1</f>
        <v>3</v>
      </c>
      <c r="F16" s="280"/>
    </row>
    <row r="17" spans="1:5" x14ac:dyDescent="0.3">
      <c r="A17" s="4">
        <f t="shared" si="0"/>
        <v>4</v>
      </c>
      <c r="B17" s="322"/>
      <c r="C17" s="67"/>
      <c r="D17" s="67"/>
      <c r="E17" s="4">
        <f t="shared" si="1"/>
        <v>4</v>
      </c>
    </row>
    <row r="18" spans="1:5" x14ac:dyDescent="0.3">
      <c r="A18" s="4">
        <f t="shared" si="0"/>
        <v>5</v>
      </c>
      <c r="B18" s="314"/>
      <c r="C18" s="968"/>
      <c r="D18" s="971"/>
      <c r="E18" s="4">
        <f t="shared" si="1"/>
        <v>5</v>
      </c>
    </row>
    <row r="19" spans="1:5" x14ac:dyDescent="0.3">
      <c r="A19" s="4">
        <f t="shared" si="0"/>
        <v>6</v>
      </c>
      <c r="B19" s="322" t="s">
        <v>318</v>
      </c>
      <c r="C19" s="969">
        <f>(C14+C16)/2</f>
        <v>593307.66194999916</v>
      </c>
      <c r="D19" s="947" t="s">
        <v>319</v>
      </c>
      <c r="E19" s="4">
        <f t="shared" si="1"/>
        <v>6</v>
      </c>
    </row>
    <row r="20" spans="1:5" x14ac:dyDescent="0.3">
      <c r="A20" s="4">
        <f t="shared" si="0"/>
        <v>7</v>
      </c>
      <c r="B20" s="331"/>
      <c r="C20" s="68"/>
      <c r="D20" s="94"/>
      <c r="E20" s="4">
        <f t="shared" si="1"/>
        <v>7</v>
      </c>
    </row>
    <row r="21" spans="1:5" x14ac:dyDescent="0.3">
      <c r="A21" s="4"/>
      <c r="B21" s="32"/>
      <c r="C21" s="29"/>
      <c r="D21" s="32"/>
      <c r="E21" s="4"/>
    </row>
    <row r="22" spans="1:5" x14ac:dyDescent="0.3">
      <c r="B22" s="32"/>
      <c r="C22" s="32"/>
      <c r="D22" s="32"/>
    </row>
    <row r="23" spans="1:5" x14ac:dyDescent="0.3">
      <c r="B23" s="32"/>
      <c r="C23" s="32"/>
      <c r="D23" s="32"/>
    </row>
    <row r="24" spans="1:5" x14ac:dyDescent="0.3">
      <c r="B24" s="32"/>
      <c r="C24" s="32"/>
      <c r="D24" s="32"/>
    </row>
    <row r="25" spans="1:5" x14ac:dyDescent="0.3">
      <c r="B25" s="32"/>
      <c r="C25" s="32"/>
      <c r="D25" s="32"/>
    </row>
    <row r="26" spans="1:5" x14ac:dyDescent="0.3">
      <c r="B26" s="32"/>
      <c r="C26" s="32"/>
      <c r="D26" s="32"/>
    </row>
    <row r="27" spans="1:5" x14ac:dyDescent="0.3">
      <c r="B27" s="32"/>
      <c r="D27" s="32"/>
    </row>
    <row r="28" spans="1:5" x14ac:dyDescent="0.3">
      <c r="B28" s="32"/>
      <c r="C28" s="32"/>
      <c r="D28" s="32"/>
    </row>
    <row r="29" spans="1:5" x14ac:dyDescent="0.3">
      <c r="B29" s="32"/>
      <c r="C29" s="32"/>
      <c r="D29" s="32"/>
    </row>
    <row r="30" spans="1:5" x14ac:dyDescent="0.3">
      <c r="B30" s="32"/>
      <c r="C30" s="32"/>
      <c r="D30" s="32"/>
    </row>
    <row r="31" spans="1:5" x14ac:dyDescent="0.3">
      <c r="B31" s="32"/>
      <c r="C31" s="32"/>
      <c r="D31" s="32"/>
    </row>
    <row r="32" spans="1:5" x14ac:dyDescent="0.3">
      <c r="B32" s="32"/>
      <c r="C32" s="32"/>
      <c r="D32" s="32"/>
    </row>
    <row r="33" spans="1:5" x14ac:dyDescent="0.3">
      <c r="B33" s="32"/>
      <c r="C33" s="32"/>
      <c r="D33" s="32"/>
    </row>
    <row r="34" spans="1:5" x14ac:dyDescent="0.3">
      <c r="B34" s="32"/>
      <c r="C34" s="32"/>
      <c r="D34" s="32"/>
    </row>
    <row r="35" spans="1:5" s="32" customFormat="1" x14ac:dyDescent="0.3">
      <c r="A35" s="4"/>
      <c r="E35" s="4"/>
    </row>
    <row r="36" spans="1:5" s="32" customFormat="1" x14ac:dyDescent="0.3">
      <c r="A36" s="4"/>
      <c r="E36" s="4"/>
    </row>
    <row r="37" spans="1:5" s="32" customFormat="1" x14ac:dyDescent="0.3">
      <c r="A37" s="4"/>
      <c r="E37" s="4"/>
    </row>
    <row r="38" spans="1:5" s="32" customFormat="1" x14ac:dyDescent="0.3">
      <c r="A38" s="4"/>
      <c r="E38" s="4"/>
    </row>
    <row r="39" spans="1:5" s="32" customFormat="1" x14ac:dyDescent="0.3">
      <c r="A39" s="4"/>
      <c r="E39" s="4"/>
    </row>
    <row r="40" spans="1:5" s="32" customFormat="1" x14ac:dyDescent="0.3">
      <c r="A40" s="4"/>
      <c r="E40" s="4"/>
    </row>
    <row r="41" spans="1:5" s="32" customFormat="1" x14ac:dyDescent="0.3">
      <c r="A41" s="4"/>
      <c r="E41" s="4"/>
    </row>
  </sheetData>
  <mergeCells count="6">
    <mergeCell ref="B8:D8"/>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2:G26"/>
  <sheetViews>
    <sheetView zoomScale="80" zoomScaleNormal="80" workbookViewId="0"/>
  </sheetViews>
  <sheetFormatPr defaultColWidth="9.33203125" defaultRowHeight="15.6" x14ac:dyDescent="0.3"/>
  <cols>
    <col min="1" max="1" width="5.33203125" style="221" customWidth="1"/>
    <col min="2" max="2" width="8.5546875" style="1" customWidth="1"/>
    <col min="3" max="3" width="41.33203125" style="1" customWidth="1"/>
    <col min="4" max="4" width="18.5546875" style="1" customWidth="1"/>
    <col min="5" max="5" width="62.5546875" style="1" customWidth="1"/>
    <col min="6" max="6" width="5.33203125" style="221" customWidth="1"/>
    <col min="7" max="7" width="24" style="1" customWidth="1"/>
    <col min="8" max="8" width="11" style="1" customWidth="1"/>
    <col min="9" max="9" width="7.33203125" style="1" customWidth="1"/>
    <col min="10" max="10" width="9.33203125" style="1" customWidth="1"/>
    <col min="11" max="11" width="14" style="1" customWidth="1"/>
    <col min="12" max="12" width="13.44140625" style="1" customWidth="1"/>
    <col min="13" max="16384" width="9.33203125" style="1"/>
  </cols>
  <sheetData>
    <row r="2" spans="1:7" x14ac:dyDescent="0.3">
      <c r="B2" s="1222" t="s">
        <v>0</v>
      </c>
      <c r="C2" s="1222"/>
      <c r="D2" s="1222"/>
      <c r="E2" s="1222"/>
      <c r="G2"/>
    </row>
    <row r="3" spans="1:7" x14ac:dyDescent="0.3">
      <c r="B3" s="1222" t="s">
        <v>281</v>
      </c>
      <c r="C3" s="1222"/>
      <c r="D3" s="1222"/>
      <c r="E3" s="1222"/>
    </row>
    <row r="4" spans="1:7" x14ac:dyDescent="0.3">
      <c r="B4" s="1222" t="s">
        <v>282</v>
      </c>
      <c r="C4" s="1222"/>
      <c r="D4" s="1222"/>
      <c r="E4" s="1222"/>
    </row>
    <row r="5" spans="1:7" x14ac:dyDescent="0.3">
      <c r="B5" s="1222" t="str">
        <f>'AD-1'!B5</f>
        <v>BASE PERIOD / TRUE UP PERIOD - 12/31/2023 PER BOOK</v>
      </c>
      <c r="C5" s="1222"/>
      <c r="D5" s="1222"/>
      <c r="E5" s="1222"/>
    </row>
    <row r="6" spans="1:7" x14ac:dyDescent="0.3">
      <c r="B6" s="1226" t="s">
        <v>4</v>
      </c>
      <c r="C6" s="1226"/>
      <c r="D6" s="1226"/>
      <c r="E6" s="1226"/>
    </row>
    <row r="7" spans="1:7" x14ac:dyDescent="0.3">
      <c r="B7" s="270"/>
      <c r="C7" s="270"/>
      <c r="D7" s="270"/>
      <c r="E7" s="270"/>
    </row>
    <row r="8" spans="1:7" x14ac:dyDescent="0.3">
      <c r="B8" s="1222" t="s">
        <v>370</v>
      </c>
      <c r="C8" s="1222"/>
      <c r="D8" s="1222"/>
      <c r="E8" s="1222"/>
      <c r="F8" s="4"/>
    </row>
    <row r="9" spans="1:7" x14ac:dyDescent="0.3">
      <c r="A9" s="4"/>
      <c r="F9" s="4"/>
    </row>
    <row r="10" spans="1:7" x14ac:dyDescent="0.3">
      <c r="A10" s="4" t="s">
        <v>5</v>
      </c>
      <c r="B10" s="324"/>
      <c r="C10" s="324"/>
      <c r="D10" s="325"/>
      <c r="E10" s="326"/>
      <c r="F10" s="4" t="s">
        <v>5</v>
      </c>
    </row>
    <row r="11" spans="1:7" x14ac:dyDescent="0.3">
      <c r="A11" s="4" t="s">
        <v>6</v>
      </c>
      <c r="B11" s="309" t="s">
        <v>286</v>
      </c>
      <c r="C11" s="309" t="s">
        <v>337</v>
      </c>
      <c r="D11" s="309" t="s">
        <v>7</v>
      </c>
      <c r="E11" s="278" t="s">
        <v>8</v>
      </c>
      <c r="F11" s="4" t="s">
        <v>6</v>
      </c>
    </row>
    <row r="12" spans="1:7" x14ac:dyDescent="0.3">
      <c r="A12" s="4"/>
      <c r="B12" s="327"/>
      <c r="C12" s="327"/>
      <c r="D12" s="940"/>
      <c r="E12" s="328"/>
      <c r="F12" s="4"/>
    </row>
    <row r="13" spans="1:7" x14ac:dyDescent="0.3">
      <c r="A13" s="4">
        <v>1</v>
      </c>
      <c r="B13" s="632" t="str">
        <f>'AD-9'!B14</f>
        <v>Dec-22</v>
      </c>
      <c r="C13" s="329" t="s">
        <v>371</v>
      </c>
      <c r="D13" s="573">
        <v>2126037.125</v>
      </c>
      <c r="E13" s="573" t="s">
        <v>372</v>
      </c>
      <c r="F13" s="4">
        <f>A13</f>
        <v>1</v>
      </c>
    </row>
    <row r="14" spans="1:7" x14ac:dyDescent="0.3">
      <c r="A14" s="4">
        <f>A13+1</f>
        <v>2</v>
      </c>
      <c r="B14" s="329"/>
      <c r="C14" s="329" t="s">
        <v>373</v>
      </c>
      <c r="D14" s="250">
        <v>0.73170000000000002</v>
      </c>
      <c r="E14" s="972" t="s">
        <v>374</v>
      </c>
      <c r="F14" s="4">
        <f>F13+1</f>
        <v>2</v>
      </c>
    </row>
    <row r="15" spans="1:7" x14ac:dyDescent="0.3">
      <c r="A15" s="4">
        <f t="shared" ref="A15:A22" si="0">A14+1</f>
        <v>3</v>
      </c>
      <c r="B15" s="329"/>
      <c r="C15" s="329" t="s">
        <v>375</v>
      </c>
      <c r="D15" s="973">
        <f>D13*D14</f>
        <v>1555621.3643625001</v>
      </c>
      <c r="E15" s="946" t="s">
        <v>376</v>
      </c>
      <c r="F15" s="4">
        <f t="shared" ref="F15:F23" si="1">F14+1</f>
        <v>3</v>
      </c>
    </row>
    <row r="16" spans="1:7" x14ac:dyDescent="0.3">
      <c r="A16" s="4">
        <f t="shared" si="0"/>
        <v>4</v>
      </c>
      <c r="B16" s="329"/>
      <c r="C16" s="329"/>
      <c r="D16" s="941"/>
      <c r="E16" s="946"/>
      <c r="F16" s="4">
        <f t="shared" si="1"/>
        <v>4</v>
      </c>
    </row>
    <row r="17" spans="1:7" x14ac:dyDescent="0.3">
      <c r="A17" s="4">
        <f t="shared" si="0"/>
        <v>5</v>
      </c>
      <c r="B17" s="632" t="str">
        <f>'AD-9'!B16</f>
        <v>Dec-23</v>
      </c>
      <c r="C17" s="329" t="s">
        <v>371</v>
      </c>
      <c r="D17" s="573">
        <v>2451965.4819999998</v>
      </c>
      <c r="E17" s="573" t="s">
        <v>377</v>
      </c>
      <c r="F17" s="4">
        <f t="shared" si="1"/>
        <v>5</v>
      </c>
    </row>
    <row r="18" spans="1:7" x14ac:dyDescent="0.3">
      <c r="A18" s="4">
        <f t="shared" si="0"/>
        <v>6</v>
      </c>
      <c r="B18" s="329"/>
      <c r="C18" s="329" t="s">
        <v>373</v>
      </c>
      <c r="D18" s="250">
        <v>0.73899999999999999</v>
      </c>
      <c r="E18" s="972" t="s">
        <v>374</v>
      </c>
      <c r="F18" s="4">
        <f t="shared" si="1"/>
        <v>6</v>
      </c>
      <c r="G18" s="258"/>
    </row>
    <row r="19" spans="1:7" x14ac:dyDescent="0.3">
      <c r="A19" s="4">
        <f t="shared" si="0"/>
        <v>7</v>
      </c>
      <c r="B19" s="329"/>
      <c r="C19" s="329" t="s">
        <v>375</v>
      </c>
      <c r="D19" s="573">
        <f>D17*D18</f>
        <v>1812002.4911979998</v>
      </c>
      <c r="E19" s="947" t="s">
        <v>378</v>
      </c>
      <c r="F19" s="4">
        <f t="shared" si="1"/>
        <v>7</v>
      </c>
    </row>
    <row r="20" spans="1:7" x14ac:dyDescent="0.3">
      <c r="A20" s="4">
        <f t="shared" si="0"/>
        <v>8</v>
      </c>
      <c r="B20" s="330"/>
      <c r="C20" s="309"/>
      <c r="D20" s="69"/>
      <c r="E20" s="294"/>
      <c r="F20" s="4">
        <f t="shared" si="1"/>
        <v>8</v>
      </c>
    </row>
    <row r="21" spans="1:7" x14ac:dyDescent="0.3">
      <c r="A21" s="4">
        <f t="shared" si="0"/>
        <v>9</v>
      </c>
      <c r="B21" s="314"/>
      <c r="D21" s="357"/>
      <c r="E21" s="281"/>
      <c r="F21" s="4">
        <f t="shared" si="1"/>
        <v>9</v>
      </c>
    </row>
    <row r="22" spans="1:7" x14ac:dyDescent="0.3">
      <c r="A22" s="4">
        <f t="shared" si="0"/>
        <v>10</v>
      </c>
      <c r="B22" s="322" t="s">
        <v>318</v>
      </c>
      <c r="D22" s="969">
        <f>(D15+D19)/2</f>
        <v>1683811.9277802501</v>
      </c>
      <c r="E22" s="940" t="s">
        <v>379</v>
      </c>
      <c r="F22" s="4">
        <f t="shared" si="1"/>
        <v>10</v>
      </c>
    </row>
    <row r="23" spans="1:7" x14ac:dyDescent="0.3">
      <c r="A23" s="4">
        <f t="shared" ref="A23" si="2">A22+1</f>
        <v>11</v>
      </c>
      <c r="B23" s="331"/>
      <c r="C23" s="974"/>
      <c r="D23" s="68"/>
      <c r="E23" s="67"/>
      <c r="F23" s="4">
        <f t="shared" si="1"/>
        <v>11</v>
      </c>
    </row>
    <row r="24" spans="1:7" x14ac:dyDescent="0.3">
      <c r="A24" s="4"/>
      <c r="B24" s="32"/>
      <c r="C24" s="32"/>
      <c r="D24" s="32"/>
      <c r="E24" s="32"/>
      <c r="F24" s="4"/>
    </row>
    <row r="25" spans="1:7" x14ac:dyDescent="0.3">
      <c r="A25" s="4"/>
      <c r="B25" s="32"/>
      <c r="C25" s="32"/>
      <c r="D25" s="32"/>
      <c r="E25" s="32"/>
    </row>
    <row r="26" spans="1:7" x14ac:dyDescent="0.3">
      <c r="A26" s="4"/>
      <c r="B26" s="32"/>
      <c r="C26" s="32"/>
      <c r="D26" s="32"/>
      <c r="E26" s="32"/>
    </row>
  </sheetData>
  <mergeCells count="6">
    <mergeCell ref="B8:E8"/>
    <mergeCell ref="B2:E2"/>
    <mergeCell ref="B3:E3"/>
    <mergeCell ref="B4:E4"/>
    <mergeCell ref="B5:E5"/>
    <mergeCell ref="B6:E6"/>
  </mergeCells>
  <printOptions horizontalCentered="1"/>
  <pageMargins left="0.5" right="0.5" top="0.5" bottom="0.5" header="0.25" footer="0.25"/>
  <pageSetup scale="90" orientation="landscape" r:id="rId1"/>
  <headerFooter scaleWithDoc="0">
    <oddFooter>&amp;C&amp;"Times New Roman,Regular"&amp;10&amp;A</oddFooter>
  </headerFooter>
  <customProperties>
    <customPr name="_pios_i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N39"/>
  <sheetViews>
    <sheetView zoomScale="80" zoomScaleNormal="80" workbookViewId="0"/>
  </sheetViews>
  <sheetFormatPr defaultColWidth="8.6640625" defaultRowHeight="15.6" x14ac:dyDescent="0.3"/>
  <cols>
    <col min="1" max="1" width="5.33203125" style="4" bestFit="1" customWidth="1"/>
    <col min="2" max="2" width="67.5546875" style="32" customWidth="1"/>
    <col min="3" max="3" width="25.5546875" style="4" bestFit="1" customWidth="1"/>
    <col min="4" max="4" width="1.5546875" style="32" customWidth="1"/>
    <col min="5" max="5" width="16.6640625" style="32" customWidth="1"/>
    <col min="6" max="6" width="1.5546875" style="32" customWidth="1"/>
    <col min="7" max="7" width="16.6640625" style="32" customWidth="1"/>
    <col min="8" max="8" width="1.5546875" style="32" customWidth="1"/>
    <col min="9" max="9" width="16.6640625" style="32" customWidth="1"/>
    <col min="10" max="10" width="1.5546875" style="32" customWidth="1"/>
    <col min="11" max="11" width="34.5546875" style="32" customWidth="1"/>
    <col min="12" max="12" width="5.33203125" style="32" bestFit="1" customWidth="1"/>
    <col min="13" max="13" width="8.6640625" style="32"/>
    <col min="14" max="14" width="33.44140625" style="32" customWidth="1"/>
    <col min="15" max="16384" width="8.6640625" style="32"/>
  </cols>
  <sheetData>
    <row r="1" spans="1:14" x14ac:dyDescent="0.3">
      <c r="H1" s="4"/>
      <c r="I1" s="4"/>
      <c r="J1" s="4"/>
      <c r="K1" s="4"/>
      <c r="L1" s="4"/>
    </row>
    <row r="2" spans="1:14" x14ac:dyDescent="0.3">
      <c r="B2" s="1222" t="s">
        <v>0</v>
      </c>
      <c r="C2" s="1222"/>
      <c r="D2" s="1222"/>
      <c r="E2" s="1222"/>
      <c r="F2" s="1222"/>
      <c r="G2" s="1222"/>
      <c r="H2" s="1222"/>
      <c r="I2" s="1222"/>
      <c r="J2" s="1222"/>
      <c r="K2" s="1222"/>
      <c r="L2" s="4"/>
    </row>
    <row r="3" spans="1:14" x14ac:dyDescent="0.3">
      <c r="B3" s="1222" t="s">
        <v>380</v>
      </c>
      <c r="C3" s="1222"/>
      <c r="D3" s="1222"/>
      <c r="E3" s="1222"/>
      <c r="F3" s="1222"/>
      <c r="G3" s="1222"/>
      <c r="H3" s="1222"/>
      <c r="I3" s="1222"/>
      <c r="J3" s="1222"/>
      <c r="K3" s="1222"/>
      <c r="L3" s="4"/>
    </row>
    <row r="4" spans="1:14" x14ac:dyDescent="0.3">
      <c r="B4" s="1222" t="s">
        <v>381</v>
      </c>
      <c r="C4" s="1222"/>
      <c r="D4" s="1222"/>
      <c r="E4" s="1222"/>
      <c r="F4" s="1222"/>
      <c r="G4" s="1222"/>
      <c r="H4" s="1222"/>
      <c r="I4" s="1222"/>
      <c r="J4" s="1222"/>
      <c r="K4" s="1222"/>
      <c r="L4" s="4"/>
    </row>
    <row r="5" spans="1:14" x14ac:dyDescent="0.3">
      <c r="B5" s="1227" t="str">
        <f>'Stmt AD'!B5</f>
        <v>Base Period &amp; True-Up Period 12 - Months Ending December 31, 2023</v>
      </c>
      <c r="C5" s="1227"/>
      <c r="D5" s="1227"/>
      <c r="E5" s="1227"/>
      <c r="F5" s="1227"/>
      <c r="G5" s="1227"/>
      <c r="H5" s="1227"/>
      <c r="I5" s="1227"/>
      <c r="J5" s="1227"/>
      <c r="K5" s="1227"/>
      <c r="L5" s="4"/>
      <c r="N5" s="1"/>
    </row>
    <row r="6" spans="1:14" x14ac:dyDescent="0.3">
      <c r="B6" s="1226" t="s">
        <v>4</v>
      </c>
      <c r="C6" s="1223"/>
      <c r="D6" s="1223"/>
      <c r="E6" s="1223"/>
      <c r="F6" s="1223"/>
      <c r="G6" s="1223"/>
      <c r="H6" s="1223"/>
      <c r="I6" s="1223"/>
      <c r="J6" s="1223"/>
      <c r="K6" s="1223"/>
      <c r="L6" s="4"/>
      <c r="N6" s="332"/>
    </row>
    <row r="7" spans="1:14" x14ac:dyDescent="0.3">
      <c r="B7" s="4"/>
      <c r="D7" s="4"/>
      <c r="E7" s="4"/>
      <c r="F7" s="4"/>
      <c r="G7" s="4"/>
      <c r="H7" s="221"/>
      <c r="I7" s="221"/>
      <c r="J7" s="221"/>
      <c r="K7" s="4"/>
      <c r="L7" s="4"/>
    </row>
    <row r="8" spans="1:14" x14ac:dyDescent="0.3">
      <c r="A8" s="4" t="s">
        <v>5</v>
      </c>
      <c r="B8" s="221"/>
      <c r="C8" s="4" t="s">
        <v>236</v>
      </c>
      <c r="D8" s="221"/>
      <c r="E8" s="35" t="s">
        <v>210</v>
      </c>
      <c r="F8" s="4"/>
      <c r="G8" s="35" t="s">
        <v>211</v>
      </c>
      <c r="H8" s="4"/>
      <c r="I8" s="35" t="s">
        <v>237</v>
      </c>
      <c r="J8" s="221"/>
      <c r="K8" s="4"/>
      <c r="L8" s="4" t="s">
        <v>5</v>
      </c>
    </row>
    <row r="9" spans="1:14" x14ac:dyDescent="0.3">
      <c r="A9" s="4" t="s">
        <v>6</v>
      </c>
      <c r="B9" s="221"/>
      <c r="C9" s="852" t="s">
        <v>238</v>
      </c>
      <c r="D9" s="221"/>
      <c r="E9" s="975">
        <f>'Stmt AD'!E9</f>
        <v>44926</v>
      </c>
      <c r="F9" s="221"/>
      <c r="G9" s="975">
        <f>'Stmt AD'!G9</f>
        <v>45291</v>
      </c>
      <c r="H9" s="221"/>
      <c r="I9" s="853" t="s">
        <v>239</v>
      </c>
      <c r="J9" s="221"/>
      <c r="K9" s="852" t="s">
        <v>8</v>
      </c>
      <c r="L9" s="4" t="s">
        <v>6</v>
      </c>
      <c r="N9" s="1102"/>
    </row>
    <row r="10" spans="1:14" x14ac:dyDescent="0.3">
      <c r="B10" s="4"/>
      <c r="D10" s="4"/>
      <c r="E10" s="4"/>
      <c r="F10" s="4"/>
      <c r="G10" s="4"/>
      <c r="H10" s="4"/>
      <c r="I10" s="4"/>
      <c r="J10" s="4"/>
      <c r="K10" s="4"/>
      <c r="L10" s="4"/>
      <c r="N10" s="828"/>
    </row>
    <row r="11" spans="1:14" ht="18" x14ac:dyDescent="0.3">
      <c r="A11" s="4">
        <v>1</v>
      </c>
      <c r="B11" s="32" t="s">
        <v>382</v>
      </c>
      <c r="C11" s="4" t="s">
        <v>383</v>
      </c>
      <c r="D11" s="4"/>
      <c r="E11" s="70"/>
      <c r="F11" s="36"/>
      <c r="G11" s="70"/>
      <c r="H11" s="40"/>
      <c r="I11" s="41">
        <f>'AE-1'!F31</f>
        <v>1933499.1032278647</v>
      </c>
      <c r="J11" s="72"/>
      <c r="K11" s="4" t="s">
        <v>384</v>
      </c>
      <c r="L11" s="4">
        <f>A11</f>
        <v>1</v>
      </c>
      <c r="N11" s="1102"/>
    </row>
    <row r="12" spans="1:14" x14ac:dyDescent="0.3">
      <c r="A12" s="4">
        <f>A11+1</f>
        <v>2</v>
      </c>
      <c r="E12" s="71"/>
      <c r="G12" s="71"/>
      <c r="H12" s="42"/>
      <c r="I12" s="71"/>
      <c r="J12" s="42"/>
      <c r="K12" s="333"/>
      <c r="L12" s="4">
        <f>L11+1</f>
        <v>2</v>
      </c>
      <c r="N12" s="828"/>
    </row>
    <row r="13" spans="1:14" ht="18" x14ac:dyDescent="0.3">
      <c r="A13" s="4">
        <f t="shared" ref="A13:A29" si="0">+A12+1</f>
        <v>3</v>
      </c>
      <c r="B13" s="32" t="s">
        <v>385</v>
      </c>
      <c r="E13" s="41">
        <f>'AE-2'!C14</f>
        <v>69951.332410000017</v>
      </c>
      <c r="F13" s="70"/>
      <c r="G13" s="41">
        <f>'AE-2'!C16</f>
        <v>76610.14694999998</v>
      </c>
      <c r="H13" s="72"/>
      <c r="I13" s="39">
        <f>(E13+G13)/2</f>
        <v>73280.739679999999</v>
      </c>
      <c r="J13" s="72"/>
      <c r="K13" s="4" t="s">
        <v>386</v>
      </c>
      <c r="L13" s="4">
        <f t="shared" ref="L13:L29" si="1">+L12+1</f>
        <v>3</v>
      </c>
      <c r="N13" s="828"/>
    </row>
    <row r="14" spans="1:14" x14ac:dyDescent="0.3">
      <c r="A14" s="4">
        <f t="shared" si="0"/>
        <v>4</v>
      </c>
      <c r="E14" s="71"/>
      <c r="G14" s="71"/>
      <c r="H14" s="42"/>
      <c r="I14" s="39"/>
      <c r="J14" s="42"/>
      <c r="K14" s="45"/>
      <c r="L14" s="4">
        <f t="shared" si="1"/>
        <v>4</v>
      </c>
      <c r="N14" s="828"/>
    </row>
    <row r="15" spans="1:14" ht="18" x14ac:dyDescent="0.3">
      <c r="A15" s="4">
        <f t="shared" si="0"/>
        <v>5</v>
      </c>
      <c r="B15" s="32" t="s">
        <v>387</v>
      </c>
      <c r="E15" s="43">
        <f>'AE-3'!C14</f>
        <v>243049.82983647494</v>
      </c>
      <c r="G15" s="43">
        <f>'AE-3'!C16</f>
        <v>268071.91264152038</v>
      </c>
      <c r="H15" s="40"/>
      <c r="I15" s="39">
        <f>(E15+G15)/2</f>
        <v>255560.87123899767</v>
      </c>
      <c r="J15" s="42"/>
      <c r="K15" s="4" t="s">
        <v>388</v>
      </c>
      <c r="L15" s="4">
        <f t="shared" si="1"/>
        <v>5</v>
      </c>
      <c r="N15" s="828"/>
    </row>
    <row r="16" spans="1:14" x14ac:dyDescent="0.3">
      <c r="A16" s="4">
        <f t="shared" si="0"/>
        <v>6</v>
      </c>
      <c r="E16" s="39"/>
      <c r="G16" s="39"/>
      <c r="H16" s="42"/>
      <c r="I16" s="39"/>
      <c r="J16" s="42"/>
      <c r="K16" s="45"/>
      <c r="L16" s="4">
        <f t="shared" si="1"/>
        <v>6</v>
      </c>
      <c r="N16" s="828"/>
    </row>
    <row r="17" spans="1:14" ht="18" x14ac:dyDescent="0.3">
      <c r="A17" s="4">
        <f t="shared" si="0"/>
        <v>7</v>
      </c>
      <c r="B17" s="32" t="s">
        <v>389</v>
      </c>
      <c r="E17" s="43">
        <f>'AE-4'!D15</f>
        <v>646344.7064883</v>
      </c>
      <c r="G17" s="43">
        <f>'AE-4'!D19</f>
        <v>756371.15274399996</v>
      </c>
      <c r="H17" s="40"/>
      <c r="I17" s="39">
        <f>(E17+G17)/2</f>
        <v>701357.92961614998</v>
      </c>
      <c r="J17" s="42"/>
      <c r="K17" s="4" t="s">
        <v>390</v>
      </c>
      <c r="L17" s="4">
        <f t="shared" si="1"/>
        <v>7</v>
      </c>
      <c r="N17" s="828"/>
    </row>
    <row r="18" spans="1:14" x14ac:dyDescent="0.3">
      <c r="A18" s="4">
        <f t="shared" si="0"/>
        <v>8</v>
      </c>
      <c r="E18" s="71"/>
      <c r="G18" s="71"/>
      <c r="H18" s="42"/>
      <c r="I18" s="71"/>
      <c r="J18" s="42"/>
      <c r="K18" s="47"/>
      <c r="L18" s="4">
        <f t="shared" si="1"/>
        <v>8</v>
      </c>
      <c r="N18" s="828"/>
    </row>
    <row r="19" spans="1:14" x14ac:dyDescent="0.3">
      <c r="A19" s="4">
        <f t="shared" si="0"/>
        <v>9</v>
      </c>
      <c r="B19" s="32" t="s">
        <v>264</v>
      </c>
      <c r="E19" s="73"/>
      <c r="G19" s="73"/>
      <c r="H19" s="74"/>
      <c r="I19" s="976">
        <f>'Stmt AI'!E25</f>
        <v>0.20002998415514117</v>
      </c>
      <c r="J19" s="74"/>
      <c r="K19" s="45" t="s">
        <v>265</v>
      </c>
      <c r="L19" s="4">
        <f t="shared" si="1"/>
        <v>9</v>
      </c>
      <c r="N19"/>
    </row>
    <row r="20" spans="1:14" x14ac:dyDescent="0.3">
      <c r="A20" s="4">
        <f t="shared" si="0"/>
        <v>10</v>
      </c>
      <c r="E20" s="71"/>
      <c r="G20" s="71"/>
      <c r="H20" s="42"/>
      <c r="I20" s="75"/>
      <c r="J20" s="42"/>
      <c r="K20" s="47"/>
      <c r="L20" s="4">
        <f t="shared" si="1"/>
        <v>10</v>
      </c>
    </row>
    <row r="21" spans="1:14" x14ac:dyDescent="0.3">
      <c r="A21" s="4">
        <f t="shared" si="0"/>
        <v>11</v>
      </c>
      <c r="B21" s="32" t="s">
        <v>125</v>
      </c>
      <c r="E21" s="71"/>
      <c r="G21" s="71"/>
      <c r="H21" s="42"/>
      <c r="I21" s="76">
        <f>I13*I19</f>
        <v>14658.345197067425</v>
      </c>
      <c r="J21" s="72"/>
      <c r="K21" s="47" t="s">
        <v>391</v>
      </c>
      <c r="L21" s="4">
        <f t="shared" si="1"/>
        <v>11</v>
      </c>
    </row>
    <row r="22" spans="1:14" x14ac:dyDescent="0.3">
      <c r="A22" s="4">
        <f t="shared" si="0"/>
        <v>12</v>
      </c>
      <c r="E22" s="71"/>
      <c r="G22" s="71"/>
      <c r="H22" s="42"/>
      <c r="I22" s="75"/>
      <c r="J22" s="42"/>
      <c r="K22" s="47"/>
      <c r="L22" s="4">
        <f t="shared" si="1"/>
        <v>12</v>
      </c>
    </row>
    <row r="23" spans="1:14" x14ac:dyDescent="0.3">
      <c r="A23" s="4">
        <f t="shared" si="0"/>
        <v>13</v>
      </c>
      <c r="B23" s="32" t="s">
        <v>392</v>
      </c>
      <c r="E23" s="39"/>
      <c r="F23" s="6"/>
      <c r="G23" s="39"/>
      <c r="H23" s="76"/>
      <c r="I23" s="77">
        <f>I15*I19</f>
        <v>51119.837024610781</v>
      </c>
      <c r="J23" s="42"/>
      <c r="K23" s="47" t="s">
        <v>393</v>
      </c>
      <c r="L23" s="4">
        <f t="shared" si="1"/>
        <v>13</v>
      </c>
    </row>
    <row r="24" spans="1:14" x14ac:dyDescent="0.3">
      <c r="A24" s="4">
        <f t="shared" si="0"/>
        <v>14</v>
      </c>
      <c r="E24" s="39"/>
      <c r="F24" s="6"/>
      <c r="G24" s="39"/>
      <c r="H24" s="40"/>
      <c r="I24" s="77"/>
      <c r="J24" s="42"/>
      <c r="K24" s="47"/>
      <c r="L24" s="4">
        <f t="shared" si="1"/>
        <v>14</v>
      </c>
    </row>
    <row r="25" spans="1:14" x14ac:dyDescent="0.3">
      <c r="A25" s="4">
        <f t="shared" si="0"/>
        <v>15</v>
      </c>
      <c r="B25" s="32" t="s">
        <v>394</v>
      </c>
      <c r="E25" s="77"/>
      <c r="F25" s="6"/>
      <c r="G25" s="77"/>
      <c r="H25" s="40"/>
      <c r="I25" s="977">
        <f>I17*I19</f>
        <v>140292.61554820111</v>
      </c>
      <c r="J25" s="42"/>
      <c r="K25" s="47" t="s">
        <v>395</v>
      </c>
      <c r="L25" s="4">
        <f t="shared" si="1"/>
        <v>15</v>
      </c>
    </row>
    <row r="26" spans="1:14" x14ac:dyDescent="0.3">
      <c r="A26" s="4">
        <f t="shared" si="0"/>
        <v>16</v>
      </c>
      <c r="E26" s="77"/>
      <c r="F26" s="6"/>
      <c r="G26" s="77"/>
      <c r="H26" s="40"/>
      <c r="I26" s="77"/>
      <c r="J26" s="42"/>
      <c r="K26" s="47"/>
      <c r="L26" s="4">
        <f t="shared" si="1"/>
        <v>16</v>
      </c>
    </row>
    <row r="27" spans="1:14" ht="16.2" thickBot="1" x14ac:dyDescent="0.35">
      <c r="A27" s="4">
        <f t="shared" si="0"/>
        <v>17</v>
      </c>
      <c r="B27" s="32" t="s">
        <v>131</v>
      </c>
      <c r="E27" s="76"/>
      <c r="F27" s="6"/>
      <c r="G27" s="76"/>
      <c r="H27" s="40"/>
      <c r="I27" s="78">
        <f>I11+I21+I23+I25</f>
        <v>2139569.9009977439</v>
      </c>
      <c r="J27" s="72"/>
      <c r="K27" s="47" t="s">
        <v>396</v>
      </c>
      <c r="L27" s="4">
        <f t="shared" si="1"/>
        <v>17</v>
      </c>
    </row>
    <row r="28" spans="1:14" ht="16.2" thickTop="1" x14ac:dyDescent="0.3">
      <c r="A28" s="4">
        <f t="shared" si="0"/>
        <v>18</v>
      </c>
      <c r="G28" s="49"/>
      <c r="H28" s="42"/>
      <c r="I28" s="42"/>
      <c r="J28" s="42"/>
      <c r="K28" s="47"/>
      <c r="L28" s="4">
        <f t="shared" si="1"/>
        <v>18</v>
      </c>
    </row>
    <row r="29" spans="1:14" ht="18.600000000000001" thickBot="1" x14ac:dyDescent="0.35">
      <c r="A29" s="4">
        <f t="shared" si="0"/>
        <v>19</v>
      </c>
      <c r="B29" s="32" t="s">
        <v>397</v>
      </c>
      <c r="D29" s="4"/>
      <c r="E29" s="40"/>
      <c r="G29" s="40"/>
      <c r="H29" s="40"/>
      <c r="I29" s="79">
        <f>'AE-5'!E31</f>
        <v>0</v>
      </c>
      <c r="J29" s="4"/>
      <c r="K29" s="4" t="s">
        <v>398</v>
      </c>
      <c r="L29" s="4">
        <f t="shared" si="1"/>
        <v>19</v>
      </c>
    </row>
    <row r="30" spans="1:14" ht="16.2" thickTop="1" x14ac:dyDescent="0.3">
      <c r="G30" s="49"/>
      <c r="H30" s="42"/>
      <c r="I30" s="42"/>
      <c r="J30" s="42"/>
      <c r="K30" s="47"/>
      <c r="L30" s="4"/>
    </row>
    <row r="32" spans="1:14" ht="18" x14ac:dyDescent="0.3">
      <c r="A32" s="256">
        <v>1</v>
      </c>
      <c r="B32" s="32" t="s">
        <v>399</v>
      </c>
    </row>
    <row r="33" spans="1:2" ht="18" x14ac:dyDescent="0.3">
      <c r="A33" s="269">
        <v>2</v>
      </c>
      <c r="B33" s="32" t="s">
        <v>400</v>
      </c>
    </row>
    <row r="34" spans="1:2" ht="18" x14ac:dyDescent="0.3">
      <c r="A34" s="269">
        <v>3</v>
      </c>
      <c r="B34" s="32" t="s">
        <v>401</v>
      </c>
    </row>
    <row r="35" spans="1:2" ht="18" x14ac:dyDescent="0.3">
      <c r="A35" s="269">
        <v>4</v>
      </c>
      <c r="B35" s="32" t="s">
        <v>279</v>
      </c>
    </row>
    <row r="37" spans="1:2" ht="18" x14ac:dyDescent="0.3">
      <c r="A37" s="269"/>
    </row>
    <row r="39" spans="1:2" x14ac:dyDescent="0.3">
      <c r="A39" s="72"/>
      <c r="B39" s="1"/>
    </row>
  </sheetData>
  <mergeCells count="5">
    <mergeCell ref="B2:K2"/>
    <mergeCell ref="B3:K3"/>
    <mergeCell ref="B4:K4"/>
    <mergeCell ref="B5:K5"/>
    <mergeCell ref="B6:K6"/>
  </mergeCells>
  <printOptions horizontalCentered="1"/>
  <pageMargins left="0.5" right="0.5" top="0.5" bottom="0.5" header="0.25" footer="0.25"/>
  <pageSetup scale="49" orientation="portrait" r:id="rId1"/>
  <headerFooter scaleWithDoc="0">
    <oddFooter>&amp;C&amp;"Times New Roman,Regular"&amp;10&amp;A</oddFooter>
  </headerFooter>
  <customProperties>
    <customPr name="_pios_id"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2:J45"/>
  <sheetViews>
    <sheetView zoomScale="80" zoomScaleNormal="80" workbookViewId="0"/>
  </sheetViews>
  <sheetFormatPr defaultColWidth="9.33203125" defaultRowHeight="15.6" x14ac:dyDescent="0.3"/>
  <cols>
    <col min="1" max="1" width="5.33203125" style="221" customWidth="1"/>
    <col min="2" max="2" width="35.33203125" style="1" customWidth="1"/>
    <col min="3" max="3" width="18.5546875" style="88" customWidth="1"/>
    <col min="4" max="4" width="3" style="88" bestFit="1" customWidth="1"/>
    <col min="5" max="5" width="25.33203125" style="88" customWidth="1"/>
    <col min="6" max="6" width="18.5546875" style="1" customWidth="1"/>
    <col min="7" max="7" width="3" style="1" bestFit="1" customWidth="1"/>
    <col min="8" max="8" width="65" style="1" bestFit="1" customWidth="1"/>
    <col min="9" max="9" width="5.33203125" style="221" customWidth="1"/>
    <col min="10" max="10" width="24" style="1" customWidth="1"/>
    <col min="11" max="11" width="11" style="1" customWidth="1"/>
    <col min="12" max="12" width="7.33203125" style="1" customWidth="1"/>
    <col min="13" max="13" width="9.33203125" style="1" customWidth="1"/>
    <col min="14" max="14" width="14" style="1" customWidth="1"/>
    <col min="15" max="15" width="13.44140625" style="1" customWidth="1"/>
    <col min="16" max="16384" width="9.33203125" style="1"/>
  </cols>
  <sheetData>
    <row r="2" spans="1:10" x14ac:dyDescent="0.3">
      <c r="B2" s="1222" t="s">
        <v>0</v>
      </c>
      <c r="C2" s="1222"/>
      <c r="D2" s="1222"/>
      <c r="E2" s="1222"/>
      <c r="F2" s="1222"/>
      <c r="G2" s="1222"/>
      <c r="H2" s="1222"/>
    </row>
    <row r="3" spans="1:10" x14ac:dyDescent="0.3">
      <c r="B3" s="1222" t="s">
        <v>402</v>
      </c>
      <c r="C3" s="1222"/>
      <c r="D3" s="1222"/>
      <c r="E3" s="1222"/>
      <c r="F3" s="1222"/>
      <c r="G3" s="1222"/>
      <c r="H3" s="1222"/>
    </row>
    <row r="4" spans="1:10" x14ac:dyDescent="0.3">
      <c r="B4" s="1222" t="s">
        <v>403</v>
      </c>
      <c r="C4" s="1222"/>
      <c r="D4" s="1222"/>
      <c r="E4" s="1222"/>
      <c r="F4" s="1222"/>
      <c r="G4" s="1222"/>
      <c r="H4" s="1222"/>
    </row>
    <row r="5" spans="1:10" x14ac:dyDescent="0.3">
      <c r="B5" s="1222" t="str">
        <f>'AD-1'!B5</f>
        <v>BASE PERIOD / TRUE UP PERIOD - 12/31/2023 PER BOOK</v>
      </c>
      <c r="C5" s="1222"/>
      <c r="D5" s="1222"/>
      <c r="E5" s="1222"/>
      <c r="F5" s="1222"/>
      <c r="G5" s="1222"/>
      <c r="H5" s="1222"/>
    </row>
    <row r="6" spans="1:10" x14ac:dyDescent="0.3">
      <c r="B6" s="1226" t="s">
        <v>4</v>
      </c>
      <c r="C6" s="1226"/>
      <c r="D6" s="1226"/>
      <c r="E6" s="1226"/>
      <c r="F6" s="1226"/>
      <c r="G6" s="1226"/>
      <c r="H6" s="1226"/>
    </row>
    <row r="7" spans="1:10" x14ac:dyDescent="0.3">
      <c r="B7" s="270"/>
      <c r="C7" s="271"/>
      <c r="D7" s="271"/>
      <c r="E7" s="271"/>
      <c r="F7" s="270"/>
      <c r="G7" s="270"/>
      <c r="H7" s="270"/>
    </row>
    <row r="8" spans="1:10" x14ac:dyDescent="0.3">
      <c r="B8" s="1222" t="s">
        <v>320</v>
      </c>
      <c r="C8" s="1222"/>
      <c r="D8" s="1222"/>
      <c r="E8" s="1222"/>
      <c r="F8" s="1222"/>
      <c r="G8" s="1222"/>
      <c r="H8" s="1222"/>
    </row>
    <row r="9" spans="1:10" x14ac:dyDescent="0.3">
      <c r="C9" s="1050"/>
      <c r="G9" s="974"/>
    </row>
    <row r="10" spans="1:10" x14ac:dyDescent="0.3">
      <c r="A10" s="4"/>
      <c r="B10" s="314"/>
      <c r="C10" s="436" t="s">
        <v>200</v>
      </c>
      <c r="D10" s="272"/>
      <c r="E10" s="933"/>
      <c r="F10" s="1088"/>
      <c r="G10" s="265"/>
      <c r="H10" s="933"/>
    </row>
    <row r="11" spans="1:10" x14ac:dyDescent="0.3">
      <c r="A11" s="4"/>
      <c r="B11" s="301"/>
      <c r="C11" s="301" t="s">
        <v>321</v>
      </c>
      <c r="D11" s="221"/>
      <c r="E11" s="273"/>
      <c r="F11" s="221" t="s">
        <v>321</v>
      </c>
      <c r="G11" s="221"/>
      <c r="H11" s="273"/>
    </row>
    <row r="12" spans="1:10" x14ac:dyDescent="0.3">
      <c r="A12" s="4" t="s">
        <v>5</v>
      </c>
      <c r="B12" s="317"/>
      <c r="C12" s="301" t="s">
        <v>404</v>
      </c>
      <c r="D12" s="221"/>
      <c r="E12" s="934"/>
      <c r="F12" s="221" t="s">
        <v>404</v>
      </c>
      <c r="G12" s="221"/>
      <c r="H12" s="934"/>
      <c r="I12" s="4" t="s">
        <v>5</v>
      </c>
    </row>
    <row r="13" spans="1:10" ht="18" x14ac:dyDescent="0.3">
      <c r="A13" s="4" t="s">
        <v>6</v>
      </c>
      <c r="B13" s="309" t="s">
        <v>286</v>
      </c>
      <c r="C13" s="309" t="s">
        <v>287</v>
      </c>
      <c r="D13" s="935"/>
      <c r="E13" s="278" t="s">
        <v>8</v>
      </c>
      <c r="F13" s="935" t="s">
        <v>288</v>
      </c>
      <c r="G13" s="935"/>
      <c r="H13" s="278" t="s">
        <v>8</v>
      </c>
      <c r="I13" s="4" t="s">
        <v>6</v>
      </c>
    </row>
    <row r="14" spans="1:10" ht="18" x14ac:dyDescent="0.3">
      <c r="A14" s="4">
        <v>1</v>
      </c>
      <c r="B14" s="632" t="str">
        <f>'AD-1'!B14</f>
        <v>Dec-22</v>
      </c>
      <c r="C14" s="123">
        <v>1861233.6247662578</v>
      </c>
      <c r="D14" s="1099"/>
      <c r="E14" s="946" t="s">
        <v>289</v>
      </c>
      <c r="F14" s="36">
        <v>1830611.7677737514</v>
      </c>
      <c r="G14" s="1099"/>
      <c r="H14" s="946" t="s">
        <v>405</v>
      </c>
      <c r="I14" s="4">
        <f>A14</f>
        <v>1</v>
      </c>
      <c r="J14" s="280"/>
    </row>
    <row r="15" spans="1:10" ht="18" x14ac:dyDescent="0.3">
      <c r="A15" s="4">
        <f>A14+1</f>
        <v>2</v>
      </c>
      <c r="B15" s="632" t="str">
        <f>'AD-1'!B15</f>
        <v>Jan-23</v>
      </c>
      <c r="C15" s="128">
        <v>1880070.1156242921</v>
      </c>
      <c r="D15" s="1098"/>
      <c r="E15" s="948"/>
      <c r="F15" s="11">
        <v>1849307.4877329699</v>
      </c>
      <c r="G15" s="11"/>
      <c r="H15" s="948"/>
      <c r="I15" s="4">
        <f>I14+1</f>
        <v>2</v>
      </c>
    </row>
    <row r="16" spans="1:10" x14ac:dyDescent="0.3">
      <c r="A16" s="4">
        <f t="shared" ref="A16:A32" si="0">A15+1</f>
        <v>3</v>
      </c>
      <c r="B16" s="329" t="s">
        <v>291</v>
      </c>
      <c r="C16" s="128">
        <v>1897657.6080493645</v>
      </c>
      <c r="D16" s="53"/>
      <c r="E16" s="948"/>
      <c r="F16" s="11">
        <v>1866630.5275884364</v>
      </c>
      <c r="G16" s="11"/>
      <c r="H16" s="948"/>
      <c r="I16" s="4">
        <f t="shared" ref="I16:I32" si="1">I15+1</f>
        <v>3</v>
      </c>
    </row>
    <row r="17" spans="1:10" x14ac:dyDescent="0.3">
      <c r="A17" s="4">
        <f t="shared" si="0"/>
        <v>4</v>
      </c>
      <c r="B17" s="329" t="s">
        <v>292</v>
      </c>
      <c r="C17" s="128">
        <v>1912270.9467883788</v>
      </c>
      <c r="D17" s="53"/>
      <c r="E17" s="948"/>
      <c r="F17" s="11">
        <v>1881004.6130657229</v>
      </c>
      <c r="G17" s="11"/>
      <c r="H17" s="948"/>
      <c r="I17" s="4">
        <f t="shared" si="1"/>
        <v>4</v>
      </c>
    </row>
    <row r="18" spans="1:10" x14ac:dyDescent="0.3">
      <c r="A18" s="4">
        <f t="shared" si="0"/>
        <v>5</v>
      </c>
      <c r="B18" s="329" t="s">
        <v>293</v>
      </c>
      <c r="C18" s="128">
        <v>1931064.6400921703</v>
      </c>
      <c r="D18" s="53"/>
      <c r="E18" s="948"/>
      <c r="F18" s="11">
        <v>1899503.8567874092</v>
      </c>
      <c r="G18" s="11"/>
      <c r="H18" s="948"/>
      <c r="I18" s="4">
        <f t="shared" si="1"/>
        <v>5</v>
      </c>
      <c r="J18" s="334"/>
    </row>
    <row r="19" spans="1:10" x14ac:dyDescent="0.3">
      <c r="A19" s="4">
        <f t="shared" si="0"/>
        <v>6</v>
      </c>
      <c r="B19" s="329" t="s">
        <v>294</v>
      </c>
      <c r="C19" s="128">
        <v>1949077.9904054096</v>
      </c>
      <c r="D19" s="53"/>
      <c r="E19" s="948"/>
      <c r="F19" s="11">
        <v>1917253.2237507466</v>
      </c>
      <c r="G19" s="11"/>
      <c r="H19" s="948"/>
      <c r="I19" s="4">
        <f t="shared" si="1"/>
        <v>6</v>
      </c>
    </row>
    <row r="20" spans="1:10" x14ac:dyDescent="0.3">
      <c r="A20" s="4">
        <f>A19+1</f>
        <v>7</v>
      </c>
      <c r="B20" s="329" t="s">
        <v>295</v>
      </c>
      <c r="C20" s="128">
        <v>1966905.0596562906</v>
      </c>
      <c r="D20" s="53"/>
      <c r="E20" s="948"/>
      <c r="F20" s="11">
        <v>1934840.6500765169</v>
      </c>
      <c r="G20" s="11"/>
      <c r="H20" s="948"/>
      <c r="I20" s="4">
        <f>I19+1</f>
        <v>7</v>
      </c>
    </row>
    <row r="21" spans="1:10" x14ac:dyDescent="0.3">
      <c r="A21" s="4">
        <f t="shared" si="0"/>
        <v>8</v>
      </c>
      <c r="B21" s="329" t="s">
        <v>296</v>
      </c>
      <c r="C21" s="128">
        <v>1985071.6516110508</v>
      </c>
      <c r="D21" s="53"/>
      <c r="E21" s="948"/>
      <c r="F21" s="11">
        <v>1952798.204886605</v>
      </c>
      <c r="G21" s="11"/>
      <c r="H21" s="948"/>
      <c r="I21" s="4">
        <f t="shared" si="1"/>
        <v>8</v>
      </c>
    </row>
    <row r="22" spans="1:10" x14ac:dyDescent="0.3">
      <c r="A22" s="4">
        <f t="shared" si="0"/>
        <v>9</v>
      </c>
      <c r="B22" s="329" t="s">
        <v>297</v>
      </c>
      <c r="C22" s="128">
        <v>2002236.2543136892</v>
      </c>
      <c r="D22" s="53"/>
      <c r="E22" s="948"/>
      <c r="F22" s="11">
        <v>1969725.3921809513</v>
      </c>
      <c r="G22" s="11"/>
      <c r="H22" s="948"/>
      <c r="I22" s="4">
        <f t="shared" si="1"/>
        <v>9</v>
      </c>
    </row>
    <row r="23" spans="1:10" x14ac:dyDescent="0.3">
      <c r="A23" s="4">
        <f t="shared" si="0"/>
        <v>10</v>
      </c>
      <c r="B23" s="329" t="s">
        <v>298</v>
      </c>
      <c r="C23" s="128">
        <v>2019939.5623650129</v>
      </c>
      <c r="D23" s="53"/>
      <c r="E23" s="948"/>
      <c r="F23" s="11">
        <v>1987166.0647186595</v>
      </c>
      <c r="G23" s="11"/>
      <c r="H23" s="948"/>
      <c r="I23" s="4">
        <f t="shared" si="1"/>
        <v>10</v>
      </c>
    </row>
    <row r="24" spans="1:10" x14ac:dyDescent="0.3">
      <c r="A24" s="4">
        <f t="shared" si="0"/>
        <v>11</v>
      </c>
      <c r="B24" s="329" t="s">
        <v>299</v>
      </c>
      <c r="C24" s="128">
        <v>2037756.3971913543</v>
      </c>
      <c r="D24" s="53"/>
      <c r="E24" s="948"/>
      <c r="F24" s="11">
        <v>2004750.7065916029</v>
      </c>
      <c r="G24" s="11"/>
      <c r="H24" s="948"/>
      <c r="I24" s="4">
        <f t="shared" si="1"/>
        <v>11</v>
      </c>
    </row>
    <row r="25" spans="1:10" x14ac:dyDescent="0.3">
      <c r="A25" s="4">
        <f t="shared" si="0"/>
        <v>12</v>
      </c>
      <c r="B25" s="329" t="s">
        <v>300</v>
      </c>
      <c r="C25" s="128">
        <v>2052373.5204306187</v>
      </c>
      <c r="D25" s="53"/>
      <c r="E25" s="948"/>
      <c r="F25" s="11">
        <v>2019261.2575534177</v>
      </c>
      <c r="G25" s="11"/>
      <c r="H25" s="948"/>
      <c r="I25" s="4">
        <f t="shared" si="1"/>
        <v>12</v>
      </c>
    </row>
    <row r="26" spans="1:10" x14ac:dyDescent="0.3">
      <c r="A26" s="4">
        <f t="shared" si="0"/>
        <v>13</v>
      </c>
      <c r="B26" s="1092" t="str">
        <f>'AD-1'!B26</f>
        <v>Dec-23</v>
      </c>
      <c r="C26" s="904">
        <v>2056225.609540567</v>
      </c>
      <c r="D26" s="54"/>
      <c r="E26" s="294" t="s">
        <v>289</v>
      </c>
      <c r="F26" s="881">
        <v>2022634.589255455</v>
      </c>
      <c r="G26" s="54"/>
      <c r="H26" s="946" t="s">
        <v>1535</v>
      </c>
      <c r="I26" s="4">
        <f t="shared" si="1"/>
        <v>13</v>
      </c>
      <c r="J26" s="280"/>
    </row>
    <row r="27" spans="1:10" x14ac:dyDescent="0.3">
      <c r="A27" s="4">
        <f t="shared" si="0"/>
        <v>14</v>
      </c>
      <c r="B27" s="322"/>
      <c r="C27" s="597"/>
      <c r="D27" s="60"/>
      <c r="E27" s="932"/>
      <c r="F27" s="88"/>
      <c r="G27" s="88"/>
      <c r="H27" s="932"/>
      <c r="I27" s="4">
        <f t="shared" si="1"/>
        <v>14</v>
      </c>
    </row>
    <row r="28" spans="1:10" x14ac:dyDescent="0.3">
      <c r="A28" s="4">
        <f t="shared" si="0"/>
        <v>15</v>
      </c>
      <c r="B28" s="322" t="s">
        <v>302</v>
      </c>
      <c r="C28" s="1095">
        <f>SUM(C14:C26)</f>
        <v>25551882.980834454</v>
      </c>
      <c r="D28" s="56"/>
      <c r="E28" s="947" t="s">
        <v>303</v>
      </c>
      <c r="F28" s="44">
        <f>SUM(F14:F26)</f>
        <v>25135488.341962241</v>
      </c>
      <c r="G28" s="44"/>
      <c r="H28" s="947" t="s">
        <v>303</v>
      </c>
      <c r="I28" s="4">
        <f t="shared" si="1"/>
        <v>15</v>
      </c>
    </row>
    <row r="29" spans="1:10" x14ac:dyDescent="0.3">
      <c r="A29" s="4">
        <f t="shared" si="0"/>
        <v>16</v>
      </c>
      <c r="B29" s="331"/>
      <c r="C29" s="1097"/>
      <c r="D29" s="57"/>
      <c r="E29" s="82"/>
      <c r="F29" s="1090"/>
      <c r="G29" s="57"/>
      <c r="H29" s="82"/>
      <c r="I29" s="4">
        <f t="shared" si="1"/>
        <v>16</v>
      </c>
    </row>
    <row r="30" spans="1:10" x14ac:dyDescent="0.3">
      <c r="A30" s="4">
        <f t="shared" si="0"/>
        <v>17</v>
      </c>
      <c r="B30" s="322"/>
      <c r="C30" s="1096"/>
      <c r="D30" s="80"/>
      <c r="E30" s="675"/>
      <c r="F30" s="283"/>
      <c r="G30" s="283"/>
      <c r="H30" s="675"/>
      <c r="I30" s="4">
        <f t="shared" si="1"/>
        <v>17</v>
      </c>
    </row>
    <row r="31" spans="1:10" x14ac:dyDescent="0.3">
      <c r="A31" s="4">
        <f t="shared" si="0"/>
        <v>18</v>
      </c>
      <c r="B31" s="322" t="s">
        <v>304</v>
      </c>
      <c r="C31" s="1095">
        <f>C28/13</f>
        <v>1965529.4600641888</v>
      </c>
      <c r="D31" s="56"/>
      <c r="E31" s="947" t="s">
        <v>305</v>
      </c>
      <c r="F31" s="44">
        <f>F28/13</f>
        <v>1933499.1032278647</v>
      </c>
      <c r="G31" s="44"/>
      <c r="H31" s="946" t="s">
        <v>1535</v>
      </c>
      <c r="I31" s="4">
        <f t="shared" si="1"/>
        <v>18</v>
      </c>
      <c r="J31" s="280"/>
    </row>
    <row r="32" spans="1:10" x14ac:dyDescent="0.3">
      <c r="A32" s="4">
        <f t="shared" si="0"/>
        <v>19</v>
      </c>
      <c r="B32" s="331"/>
      <c r="C32" s="1087"/>
      <c r="D32" s="282"/>
      <c r="E32" s="295"/>
      <c r="F32" s="1091"/>
      <c r="G32" s="282"/>
      <c r="H32" s="295"/>
      <c r="I32" s="4">
        <f t="shared" si="1"/>
        <v>19</v>
      </c>
    </row>
    <row r="33" spans="1:10" x14ac:dyDescent="0.3">
      <c r="A33" s="4"/>
      <c r="B33" s="32"/>
      <c r="C33" s="32"/>
      <c r="D33" s="32"/>
      <c r="E33" s="32"/>
      <c r="F33" s="32"/>
      <c r="G33" s="32"/>
      <c r="H33" s="32"/>
    </row>
    <row r="34" spans="1:10" x14ac:dyDescent="0.3">
      <c r="C34" s="32"/>
      <c r="D34" s="32"/>
      <c r="E34" s="32"/>
      <c r="F34" s="107"/>
      <c r="G34" s="107"/>
      <c r="H34" s="32"/>
    </row>
    <row r="35" spans="1:10" ht="18" x14ac:dyDescent="0.3">
      <c r="A35" s="269">
        <v>1</v>
      </c>
      <c r="B35" s="32" t="s">
        <v>406</v>
      </c>
      <c r="C35" s="32"/>
      <c r="D35" s="32"/>
      <c r="E35" s="32"/>
      <c r="F35" s="32"/>
      <c r="G35" s="32"/>
      <c r="H35" s="32"/>
    </row>
    <row r="36" spans="1:10" x14ac:dyDescent="0.3">
      <c r="B36" s="32" t="s">
        <v>407</v>
      </c>
      <c r="C36" s="32"/>
      <c r="D36" s="32"/>
      <c r="E36" s="32"/>
      <c r="F36" s="32"/>
      <c r="G36" s="32"/>
      <c r="H36" s="32"/>
    </row>
    <row r="37" spans="1:10" x14ac:dyDescent="0.3">
      <c r="A37"/>
      <c r="B37"/>
      <c r="C37"/>
      <c r="D37"/>
      <c r="E37"/>
      <c r="F37"/>
      <c r="G37"/>
      <c r="H37"/>
      <c r="I37"/>
      <c r="J37"/>
    </row>
    <row r="38" spans="1:10" x14ac:dyDescent="0.3">
      <c r="A38"/>
      <c r="B38"/>
      <c r="C38"/>
      <c r="D38"/>
      <c r="E38"/>
      <c r="F38"/>
      <c r="G38"/>
      <c r="H38"/>
      <c r="I38"/>
      <c r="J38"/>
    </row>
    <row r="39" spans="1:10" x14ac:dyDescent="0.3">
      <c r="A39" s="265"/>
    </row>
    <row r="40" spans="1:10" x14ac:dyDescent="0.3">
      <c r="B40" s="32"/>
    </row>
    <row r="41" spans="1:10" x14ac:dyDescent="0.3">
      <c r="B41" s="32"/>
    </row>
    <row r="42" spans="1:10" x14ac:dyDescent="0.3">
      <c r="A42" s="265"/>
    </row>
    <row r="45" spans="1:10" x14ac:dyDescent="0.3">
      <c r="A45" s="265"/>
    </row>
  </sheetData>
  <mergeCells count="6">
    <mergeCell ref="B8:H8"/>
    <mergeCell ref="B2:H2"/>
    <mergeCell ref="B3:H3"/>
    <mergeCell ref="B4:H4"/>
    <mergeCell ref="B5:H5"/>
    <mergeCell ref="B6:H6"/>
  </mergeCells>
  <printOptions horizontalCentered="1"/>
  <pageMargins left="0.5" right="0.5" top="0.5" bottom="0.5" header="0.25" footer="0.25"/>
  <pageSetup scale="71" orientation="landscape" r:id="rId1"/>
  <headerFooter scaleWithDoc="0">
    <oddFooter>&amp;C&amp;"Times New Roman,Regular"&amp;10&amp;A</oddFooter>
  </headerFooter>
  <customProperties>
    <customPr name="_pios_id" r:id="rId2"/>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Q174"/>
  <sheetViews>
    <sheetView zoomScale="80" zoomScaleNormal="80" workbookViewId="0"/>
  </sheetViews>
  <sheetFormatPr defaultColWidth="9.33203125" defaultRowHeight="15.6" x14ac:dyDescent="0.3"/>
  <cols>
    <col min="1" max="1" width="5.33203125" style="4" customWidth="1"/>
    <col min="2" max="2" width="11.33203125" style="32" customWidth="1"/>
    <col min="3" max="3" width="32.44140625" style="32" customWidth="1"/>
    <col min="4" max="11" width="18.5546875" style="6" customWidth="1"/>
    <col min="12" max="12" width="24" style="6" customWidth="1"/>
    <col min="13" max="14" width="5.33203125" style="4" customWidth="1"/>
    <col min="15" max="15" width="14.44140625" style="32" bestFit="1" customWidth="1"/>
    <col min="16" max="16384" width="9.33203125" style="32"/>
  </cols>
  <sheetData>
    <row r="1" spans="1:14" x14ac:dyDescent="0.3">
      <c r="M1" s="221"/>
      <c r="N1" s="221"/>
    </row>
    <row r="2" spans="1:14" s="1" customFormat="1" ht="15.75" customHeight="1" x14ac:dyDescent="0.3">
      <c r="A2" s="221"/>
      <c r="B2" s="1222" t="s">
        <v>0</v>
      </c>
      <c r="C2" s="1222"/>
      <c r="D2" s="1222"/>
      <c r="E2" s="1222"/>
      <c r="F2" s="1222"/>
      <c r="G2" s="1222"/>
      <c r="H2" s="1222"/>
      <c r="I2" s="1222"/>
      <c r="J2" s="1222"/>
      <c r="K2" s="1222"/>
      <c r="L2" s="1222"/>
      <c r="M2" s="221"/>
      <c r="N2" s="221"/>
    </row>
    <row r="3" spans="1:14" s="1" customFormat="1" x14ac:dyDescent="0.3">
      <c r="A3" s="221"/>
      <c r="B3" s="1222" t="s">
        <v>322</v>
      </c>
      <c r="C3" s="1222"/>
      <c r="D3" s="1222"/>
      <c r="E3" s="1222"/>
      <c r="F3" s="1222"/>
      <c r="G3" s="1222"/>
      <c r="H3" s="1222"/>
      <c r="I3" s="1222"/>
      <c r="J3" s="1222"/>
      <c r="K3" s="1222"/>
      <c r="L3" s="1222"/>
      <c r="M3" s="221"/>
      <c r="N3" s="221"/>
    </row>
    <row r="4" spans="1:14" x14ac:dyDescent="0.3">
      <c r="B4" s="1222" t="s">
        <v>408</v>
      </c>
      <c r="C4" s="1222"/>
      <c r="D4" s="1222"/>
      <c r="E4" s="1222"/>
      <c r="F4" s="1222"/>
      <c r="G4" s="1222"/>
      <c r="H4" s="1222"/>
      <c r="I4" s="1222"/>
      <c r="J4" s="1222"/>
      <c r="K4" s="1222"/>
      <c r="L4" s="1222"/>
    </row>
    <row r="5" spans="1:14" x14ac:dyDescent="0.3">
      <c r="B5" s="1222" t="s">
        <v>403</v>
      </c>
      <c r="C5" s="1222"/>
      <c r="D5" s="1222"/>
      <c r="E5" s="1222"/>
      <c r="F5" s="1222"/>
      <c r="G5" s="1222"/>
      <c r="H5" s="1222"/>
      <c r="I5" s="1222"/>
      <c r="J5" s="1222"/>
      <c r="K5" s="1222"/>
      <c r="L5" s="1222"/>
    </row>
    <row r="6" spans="1:14" x14ac:dyDescent="0.3">
      <c r="B6" s="1222" t="str">
        <f>'AD-6A'!B5</f>
        <v>BALANCES AS OF 12/31/2022</v>
      </c>
      <c r="C6" s="1222"/>
      <c r="D6" s="1222"/>
      <c r="E6" s="1222"/>
      <c r="F6" s="1222"/>
      <c r="G6" s="1222"/>
      <c r="H6" s="1222"/>
      <c r="I6" s="1222"/>
      <c r="J6" s="1222"/>
      <c r="K6" s="1222"/>
      <c r="L6" s="1222"/>
    </row>
    <row r="7" spans="1:14" x14ac:dyDescent="0.3">
      <c r="B7" s="1226" t="s">
        <v>4</v>
      </c>
      <c r="C7" s="1222"/>
      <c r="D7" s="1222"/>
      <c r="E7" s="1222"/>
      <c r="F7" s="1222"/>
      <c r="G7" s="1222"/>
      <c r="H7" s="1222"/>
      <c r="I7" s="1222"/>
      <c r="J7" s="1222"/>
      <c r="K7" s="1222"/>
      <c r="L7" s="1222"/>
    </row>
    <row r="8" spans="1:14" x14ac:dyDescent="0.3">
      <c r="C8" s="270"/>
      <c r="D8" s="271"/>
      <c r="E8" s="297"/>
      <c r="F8" s="297"/>
      <c r="G8" s="297"/>
      <c r="H8" s="297"/>
      <c r="I8" s="297"/>
      <c r="J8" s="297"/>
      <c r="K8" s="297"/>
      <c r="L8" s="297"/>
    </row>
    <row r="9" spans="1:14" s="221" customFormat="1" x14ac:dyDescent="0.3">
      <c r="B9" s="970"/>
      <c r="C9" s="951"/>
      <c r="D9" s="952" t="s">
        <v>324</v>
      </c>
      <c r="E9" s="952" t="s">
        <v>325</v>
      </c>
      <c r="F9" s="952" t="s">
        <v>326</v>
      </c>
      <c r="G9" s="952" t="s">
        <v>327</v>
      </c>
      <c r="H9" s="952" t="s">
        <v>328</v>
      </c>
      <c r="I9" s="952" t="s">
        <v>329</v>
      </c>
      <c r="J9" s="952" t="s">
        <v>330</v>
      </c>
      <c r="K9" s="952" t="s">
        <v>331</v>
      </c>
      <c r="L9" s="933"/>
      <c r="M9" s="221" t="s">
        <v>1</v>
      </c>
    </row>
    <row r="10" spans="1:14" x14ac:dyDescent="0.3">
      <c r="B10" s="978"/>
      <c r="C10" s="934"/>
      <c r="D10" s="298"/>
      <c r="E10" s="298"/>
      <c r="F10" s="302"/>
      <c r="G10" s="298"/>
      <c r="H10" s="298"/>
      <c r="I10" s="298"/>
      <c r="J10" s="298"/>
      <c r="K10" s="298" t="s">
        <v>200</v>
      </c>
      <c r="L10" s="953"/>
      <c r="M10" s="4" t="s">
        <v>1</v>
      </c>
    </row>
    <row r="11" spans="1:14" x14ac:dyDescent="0.3">
      <c r="B11" s="978"/>
      <c r="C11" s="934"/>
      <c r="D11" s="298"/>
      <c r="E11" s="298" t="s">
        <v>332</v>
      </c>
      <c r="F11" s="302" t="s">
        <v>316</v>
      </c>
      <c r="G11" s="298" t="s">
        <v>321</v>
      </c>
      <c r="H11" s="298" t="s">
        <v>321</v>
      </c>
      <c r="I11" s="298" t="s">
        <v>321</v>
      </c>
      <c r="J11" s="298" t="s">
        <v>321</v>
      </c>
      <c r="K11" s="298" t="s">
        <v>321</v>
      </c>
      <c r="L11" s="940"/>
      <c r="M11" s="4" t="s">
        <v>1</v>
      </c>
    </row>
    <row r="12" spans="1:14" x14ac:dyDescent="0.3">
      <c r="B12" s="335"/>
      <c r="C12" s="237"/>
      <c r="D12" s="302" t="s">
        <v>200</v>
      </c>
      <c r="E12" s="298" t="s">
        <v>409</v>
      </c>
      <c r="F12" s="298" t="s">
        <v>409</v>
      </c>
      <c r="G12" s="298" t="s">
        <v>409</v>
      </c>
      <c r="H12" s="298" t="s">
        <v>409</v>
      </c>
      <c r="I12" s="298" t="s">
        <v>409</v>
      </c>
      <c r="J12" s="298" t="s">
        <v>409</v>
      </c>
      <c r="K12" s="298" t="s">
        <v>404</v>
      </c>
      <c r="L12" s="273"/>
    </row>
    <row r="13" spans="1:14" x14ac:dyDescent="0.3">
      <c r="A13" s="4" t="s">
        <v>5</v>
      </c>
      <c r="B13" s="322"/>
      <c r="C13" s="281"/>
      <c r="D13" s="302" t="s">
        <v>321</v>
      </c>
      <c r="E13" s="298" t="s">
        <v>410</v>
      </c>
      <c r="F13" s="298" t="s">
        <v>410</v>
      </c>
      <c r="G13" s="298" t="s">
        <v>410</v>
      </c>
      <c r="H13" s="298" t="s">
        <v>410</v>
      </c>
      <c r="I13" s="298" t="s">
        <v>410</v>
      </c>
      <c r="J13" s="298" t="s">
        <v>410</v>
      </c>
      <c r="K13" s="298" t="s">
        <v>363</v>
      </c>
      <c r="L13" s="273"/>
      <c r="M13" s="4" t="s">
        <v>5</v>
      </c>
    </row>
    <row r="14" spans="1:14" x14ac:dyDescent="0.3">
      <c r="A14" s="4" t="s">
        <v>6</v>
      </c>
      <c r="B14" s="309" t="s">
        <v>336</v>
      </c>
      <c r="C14" s="278" t="s">
        <v>337</v>
      </c>
      <c r="D14" s="310" t="s">
        <v>409</v>
      </c>
      <c r="E14" s="304" t="s">
        <v>338</v>
      </c>
      <c r="F14" s="304" t="s">
        <v>339</v>
      </c>
      <c r="G14" s="304" t="s">
        <v>411</v>
      </c>
      <c r="H14" s="304" t="s">
        <v>412</v>
      </c>
      <c r="I14" s="304" t="s">
        <v>413</v>
      </c>
      <c r="J14" s="304" t="s">
        <v>342</v>
      </c>
      <c r="K14" s="278" t="s">
        <v>343</v>
      </c>
      <c r="L14" s="278" t="s">
        <v>8</v>
      </c>
      <c r="M14" s="4" t="s">
        <v>6</v>
      </c>
    </row>
    <row r="15" spans="1:14" x14ac:dyDescent="0.3">
      <c r="B15" s="237"/>
      <c r="C15" s="237" t="s">
        <v>344</v>
      </c>
      <c r="D15" s="237"/>
      <c r="E15" s="237"/>
      <c r="F15" s="237"/>
      <c r="G15" s="237"/>
      <c r="H15" s="237"/>
      <c r="I15" s="237"/>
      <c r="J15" s="237"/>
      <c r="K15" s="237"/>
      <c r="L15" s="940"/>
    </row>
    <row r="16" spans="1:14" x14ac:dyDescent="0.3">
      <c r="A16" s="4">
        <v>1</v>
      </c>
      <c r="B16" s="955">
        <v>303</v>
      </c>
      <c r="C16" s="237" t="s">
        <v>345</v>
      </c>
      <c r="D16" s="235">
        <v>0</v>
      </c>
      <c r="E16" s="235">
        <v>0</v>
      </c>
      <c r="F16" s="235">
        <v>0</v>
      </c>
      <c r="G16" s="235">
        <v>0</v>
      </c>
      <c r="H16" s="235">
        <v>0</v>
      </c>
      <c r="I16" s="235">
        <v>0</v>
      </c>
      <c r="J16" s="235">
        <v>0</v>
      </c>
      <c r="K16" s="235">
        <f>SUM(D16:J16)</f>
        <v>0</v>
      </c>
      <c r="L16" s="940" t="s">
        <v>289</v>
      </c>
      <c r="M16" s="4">
        <f>A16</f>
        <v>1</v>
      </c>
    </row>
    <row r="17" spans="1:17" x14ac:dyDescent="0.3">
      <c r="A17" s="4">
        <f>A16+1</f>
        <v>2</v>
      </c>
      <c r="B17" s="940">
        <v>310.10000000000002</v>
      </c>
      <c r="C17" s="237" t="s">
        <v>346</v>
      </c>
      <c r="D17" s="236">
        <v>0</v>
      </c>
      <c r="E17" s="236">
        <v>0</v>
      </c>
      <c r="F17" s="236">
        <v>0</v>
      </c>
      <c r="G17" s="236">
        <v>0</v>
      </c>
      <c r="H17" s="236">
        <v>0</v>
      </c>
      <c r="I17" s="236">
        <v>0</v>
      </c>
      <c r="J17" s="236">
        <v>0</v>
      </c>
      <c r="K17" s="236">
        <f>SUM(D17:J17)</f>
        <v>0</v>
      </c>
      <c r="L17" s="940" t="s">
        <v>289</v>
      </c>
      <c r="M17" s="4">
        <f>M16+1</f>
        <v>2</v>
      </c>
    </row>
    <row r="18" spans="1:17" x14ac:dyDescent="0.3">
      <c r="A18" s="4">
        <f t="shared" ref="A18:A39" si="0">A17+1</f>
        <v>3</v>
      </c>
      <c r="B18" s="955">
        <v>340</v>
      </c>
      <c r="C18" s="956" t="s">
        <v>347</v>
      </c>
      <c r="D18" s="236">
        <v>0</v>
      </c>
      <c r="E18" s="236">
        <v>1.1260899999999998</v>
      </c>
      <c r="F18" s="236">
        <v>0</v>
      </c>
      <c r="G18" s="236">
        <v>0</v>
      </c>
      <c r="H18" s="236">
        <v>0</v>
      </c>
      <c r="I18" s="236">
        <v>0</v>
      </c>
      <c r="J18" s="236">
        <v>0</v>
      </c>
      <c r="K18" s="236">
        <f>SUM(D18:J18)</f>
        <v>1.1260899999999998</v>
      </c>
      <c r="L18" s="940" t="s">
        <v>289</v>
      </c>
      <c r="M18" s="4">
        <f t="shared" ref="M18:M39" si="1">M17+1</f>
        <v>3</v>
      </c>
    </row>
    <row r="19" spans="1:17" x14ac:dyDescent="0.3">
      <c r="A19" s="4">
        <f t="shared" si="0"/>
        <v>4</v>
      </c>
      <c r="B19" s="955">
        <v>360</v>
      </c>
      <c r="C19" s="956" t="s">
        <v>347</v>
      </c>
      <c r="D19" s="236">
        <v>0</v>
      </c>
      <c r="E19" s="236">
        <v>0</v>
      </c>
      <c r="F19" s="236">
        <v>48.730400000000003</v>
      </c>
      <c r="G19" s="236">
        <v>0</v>
      </c>
      <c r="H19" s="236">
        <v>0</v>
      </c>
      <c r="I19" s="236">
        <v>0</v>
      </c>
      <c r="J19" s="236">
        <v>0</v>
      </c>
      <c r="K19" s="236">
        <f>SUM(D19:J19)</f>
        <v>48.730400000000003</v>
      </c>
      <c r="L19" s="940" t="s">
        <v>289</v>
      </c>
      <c r="M19" s="4">
        <f t="shared" si="1"/>
        <v>4</v>
      </c>
    </row>
    <row r="20" spans="1:17" x14ac:dyDescent="0.3">
      <c r="A20" s="4">
        <f t="shared" si="0"/>
        <v>5</v>
      </c>
      <c r="B20" s="955">
        <v>361</v>
      </c>
      <c r="C20" s="237" t="s">
        <v>348</v>
      </c>
      <c r="D20" s="236">
        <v>0</v>
      </c>
      <c r="E20" s="236">
        <v>0</v>
      </c>
      <c r="F20" s="236">
        <v>681.28647999999998</v>
      </c>
      <c r="G20" s="236">
        <v>0</v>
      </c>
      <c r="H20" s="236">
        <v>0</v>
      </c>
      <c r="I20" s="236">
        <v>0</v>
      </c>
      <c r="J20" s="236">
        <v>0</v>
      </c>
      <c r="K20" s="236">
        <f>SUM(D20:J20)</f>
        <v>681.28647999999998</v>
      </c>
      <c r="L20" s="940" t="s">
        <v>289</v>
      </c>
      <c r="M20" s="4">
        <f t="shared" si="1"/>
        <v>5</v>
      </c>
    </row>
    <row r="21" spans="1:17" x14ac:dyDescent="0.3">
      <c r="A21" s="4">
        <f t="shared" si="0"/>
        <v>6</v>
      </c>
      <c r="B21" s="940"/>
      <c r="C21" s="237"/>
      <c r="D21" s="237"/>
      <c r="E21" s="237"/>
      <c r="F21" s="237"/>
      <c r="G21" s="237"/>
      <c r="H21" s="237"/>
      <c r="I21" s="237"/>
      <c r="J21" s="237"/>
      <c r="K21" s="236"/>
      <c r="L21" s="940"/>
      <c r="M21" s="4">
        <f t="shared" si="1"/>
        <v>6</v>
      </c>
    </row>
    <row r="22" spans="1:17" s="1" customFormat="1" x14ac:dyDescent="0.3">
      <c r="A22" s="4">
        <f t="shared" si="0"/>
        <v>7</v>
      </c>
      <c r="B22" s="957" t="s">
        <v>349</v>
      </c>
      <c r="C22" s="958" t="s">
        <v>350</v>
      </c>
      <c r="D22" s="959">
        <f>SUM(D16:D21)</f>
        <v>0</v>
      </c>
      <c r="E22" s="959">
        <f t="shared" ref="E22" si="2">SUM(E16:E21)</f>
        <v>1.1260899999999998</v>
      </c>
      <c r="F22" s="959">
        <f t="shared" ref="F22" si="3">SUM(F16:F21)</f>
        <v>730.01688000000001</v>
      </c>
      <c r="G22" s="959">
        <f t="shared" ref="G22" si="4">SUM(G16:G21)</f>
        <v>0</v>
      </c>
      <c r="H22" s="959">
        <f t="shared" ref="H22" si="5">SUM(H16:H21)</f>
        <v>0</v>
      </c>
      <c r="I22" s="959">
        <f t="shared" ref="I22" si="6">SUM(I16:I21)</f>
        <v>0</v>
      </c>
      <c r="J22" s="959">
        <f>SUM(J16:J21)</f>
        <v>0</v>
      </c>
      <c r="K22" s="959">
        <f>SUM(K16:K21)</f>
        <v>731.14296999999999</v>
      </c>
      <c r="L22" s="960" t="s">
        <v>14</v>
      </c>
      <c r="M22" s="4">
        <f t="shared" si="1"/>
        <v>7</v>
      </c>
      <c r="N22" s="4"/>
    </row>
    <row r="23" spans="1:17" x14ac:dyDescent="0.3">
      <c r="A23" s="4">
        <f t="shared" si="0"/>
        <v>8</v>
      </c>
      <c r="B23" s="940"/>
      <c r="C23" s="237"/>
      <c r="D23" s="236"/>
      <c r="E23" s="236"/>
      <c r="F23" s="236"/>
      <c r="G23" s="236"/>
      <c r="H23" s="236"/>
      <c r="I23" s="236"/>
      <c r="J23" s="236"/>
      <c r="K23" s="238"/>
      <c r="L23" s="940"/>
      <c r="M23" s="4">
        <f t="shared" si="1"/>
        <v>8</v>
      </c>
    </row>
    <row r="24" spans="1:17" x14ac:dyDescent="0.3">
      <c r="A24" s="4">
        <f t="shared" si="0"/>
        <v>9</v>
      </c>
      <c r="B24" s="955">
        <v>350</v>
      </c>
      <c r="C24" s="237" t="s">
        <v>347</v>
      </c>
      <c r="D24" s="235">
        <v>32112.64817</v>
      </c>
      <c r="E24" s="235">
        <v>0</v>
      </c>
      <c r="F24" s="235">
        <v>0</v>
      </c>
      <c r="G24" s="235">
        <v>0</v>
      </c>
      <c r="H24" s="235">
        <v>0</v>
      </c>
      <c r="I24" s="235">
        <v>0</v>
      </c>
      <c r="J24" s="235">
        <v>-387.33722999999998</v>
      </c>
      <c r="K24" s="235">
        <f t="shared" ref="K24:K35" si="7">SUM(D24:J24)</f>
        <v>31725.310939999999</v>
      </c>
      <c r="L24" s="940" t="s">
        <v>289</v>
      </c>
      <c r="M24" s="4">
        <f t="shared" si="1"/>
        <v>9</v>
      </c>
    </row>
    <row r="25" spans="1:17" x14ac:dyDescent="0.3">
      <c r="A25" s="4">
        <f t="shared" si="0"/>
        <v>10</v>
      </c>
      <c r="B25" s="955">
        <v>351.1</v>
      </c>
      <c r="C25" s="237" t="s">
        <v>1593</v>
      </c>
      <c r="D25" s="236">
        <v>0</v>
      </c>
      <c r="E25" s="236">
        <v>0</v>
      </c>
      <c r="F25" s="236">
        <v>0</v>
      </c>
      <c r="G25" s="236">
        <v>0</v>
      </c>
      <c r="H25" s="236">
        <v>0</v>
      </c>
      <c r="I25" s="236">
        <v>0</v>
      </c>
      <c r="J25" s="236">
        <v>0</v>
      </c>
      <c r="K25" s="236">
        <f t="shared" si="7"/>
        <v>0</v>
      </c>
      <c r="L25" s="940" t="s">
        <v>289</v>
      </c>
      <c r="M25" s="4">
        <f t="shared" si="1"/>
        <v>10</v>
      </c>
    </row>
    <row r="26" spans="1:17" x14ac:dyDescent="0.3">
      <c r="A26" s="4">
        <f t="shared" si="0"/>
        <v>11</v>
      </c>
      <c r="B26" s="955">
        <v>351.2</v>
      </c>
      <c r="C26" s="237" t="s">
        <v>1594</v>
      </c>
      <c r="D26" s="236">
        <v>0</v>
      </c>
      <c r="E26" s="236">
        <v>0</v>
      </c>
      <c r="F26" s="236">
        <v>0</v>
      </c>
      <c r="G26" s="236">
        <v>0</v>
      </c>
      <c r="H26" s="236">
        <v>0</v>
      </c>
      <c r="I26" s="236">
        <v>0</v>
      </c>
      <c r="J26" s="236">
        <v>0</v>
      </c>
      <c r="K26" s="236">
        <f t="shared" si="7"/>
        <v>0</v>
      </c>
      <c r="L26" s="940" t="s">
        <v>289</v>
      </c>
      <c r="M26" s="4">
        <f t="shared" si="1"/>
        <v>11</v>
      </c>
    </row>
    <row r="27" spans="1:17" x14ac:dyDescent="0.3">
      <c r="A27" s="4">
        <f t="shared" si="0"/>
        <v>12</v>
      </c>
      <c r="B27" s="955">
        <v>351.3</v>
      </c>
      <c r="C27" s="237" t="s">
        <v>1595</v>
      </c>
      <c r="D27" s="236">
        <v>0</v>
      </c>
      <c r="E27" s="236">
        <v>0</v>
      </c>
      <c r="F27" s="236">
        <v>0</v>
      </c>
      <c r="G27" s="236">
        <v>0</v>
      </c>
      <c r="H27" s="236">
        <v>0</v>
      </c>
      <c r="I27" s="236">
        <v>0</v>
      </c>
      <c r="J27" s="236">
        <v>0</v>
      </c>
      <c r="K27" s="236">
        <f t="shared" si="7"/>
        <v>0</v>
      </c>
      <c r="L27" s="940" t="s">
        <v>289</v>
      </c>
      <c r="M27" s="4">
        <f t="shared" si="1"/>
        <v>12</v>
      </c>
    </row>
    <row r="28" spans="1:17" x14ac:dyDescent="0.3">
      <c r="A28" s="4">
        <f t="shared" si="0"/>
        <v>13</v>
      </c>
      <c r="B28" s="955">
        <v>352</v>
      </c>
      <c r="C28" s="237" t="s">
        <v>348</v>
      </c>
      <c r="D28" s="236">
        <v>139587.35045999999</v>
      </c>
      <c r="E28" s="236">
        <v>0</v>
      </c>
      <c r="F28" s="236">
        <v>0</v>
      </c>
      <c r="G28" s="236">
        <v>-581.32852000000003</v>
      </c>
      <c r="H28" s="236">
        <v>0</v>
      </c>
      <c r="I28" s="236">
        <v>0</v>
      </c>
      <c r="J28" s="236">
        <v>-23517.656760000002</v>
      </c>
      <c r="K28" s="236">
        <f t="shared" si="7"/>
        <v>115488.36517999998</v>
      </c>
      <c r="L28" s="940" t="s">
        <v>289</v>
      </c>
      <c r="M28" s="4">
        <f t="shared" si="1"/>
        <v>13</v>
      </c>
      <c r="N28" s="361"/>
      <c r="O28" s="2"/>
      <c r="Q28" s="6"/>
    </row>
    <row r="29" spans="1:17" x14ac:dyDescent="0.3">
      <c r="A29" s="4">
        <f t="shared" si="0"/>
        <v>14</v>
      </c>
      <c r="B29" s="955">
        <v>353</v>
      </c>
      <c r="C29" s="237" t="s">
        <v>351</v>
      </c>
      <c r="D29" s="236">
        <v>603767.11250000005</v>
      </c>
      <c r="E29" s="236">
        <v>0</v>
      </c>
      <c r="F29" s="236">
        <v>0</v>
      </c>
      <c r="G29" s="236">
        <v>-3921.8576200000002</v>
      </c>
      <c r="H29" s="236">
        <v>-596.89500999999996</v>
      </c>
      <c r="I29" s="236">
        <v>0</v>
      </c>
      <c r="J29" s="236">
        <v>-1704.54414</v>
      </c>
      <c r="K29" s="236">
        <f t="shared" si="7"/>
        <v>597543.81573000003</v>
      </c>
      <c r="L29" s="940" t="s">
        <v>289</v>
      </c>
      <c r="M29" s="4">
        <f t="shared" si="1"/>
        <v>14</v>
      </c>
      <c r="N29" s="361"/>
    </row>
    <row r="30" spans="1:17" x14ac:dyDescent="0.3">
      <c r="A30" s="4">
        <f t="shared" si="0"/>
        <v>15</v>
      </c>
      <c r="B30" s="955">
        <v>354</v>
      </c>
      <c r="C30" s="237" t="s">
        <v>352</v>
      </c>
      <c r="D30" s="236">
        <v>277447.47269000002</v>
      </c>
      <c r="E30" s="236">
        <v>0</v>
      </c>
      <c r="F30" s="236">
        <v>0</v>
      </c>
      <c r="G30" s="236">
        <v>0</v>
      </c>
      <c r="H30" s="236">
        <v>0</v>
      </c>
      <c r="I30" s="236">
        <v>0</v>
      </c>
      <c r="J30" s="236">
        <v>0</v>
      </c>
      <c r="K30" s="236">
        <f t="shared" si="7"/>
        <v>277447.47269000002</v>
      </c>
      <c r="L30" s="940" t="s">
        <v>289</v>
      </c>
      <c r="M30" s="4">
        <f t="shared" si="1"/>
        <v>15</v>
      </c>
      <c r="N30" s="361"/>
    </row>
    <row r="31" spans="1:17" x14ac:dyDescent="0.3">
      <c r="A31" s="4">
        <f t="shared" si="0"/>
        <v>16</v>
      </c>
      <c r="B31" s="955">
        <v>355</v>
      </c>
      <c r="C31" s="237" t="s">
        <v>353</v>
      </c>
      <c r="D31" s="236">
        <v>209140.11919</v>
      </c>
      <c r="E31" s="236">
        <v>0</v>
      </c>
      <c r="F31" s="236">
        <v>0</v>
      </c>
      <c r="G31" s="236">
        <v>0</v>
      </c>
      <c r="H31" s="236">
        <v>0</v>
      </c>
      <c r="I31" s="236">
        <v>0</v>
      </c>
      <c r="J31" s="236">
        <v>0</v>
      </c>
      <c r="K31" s="236">
        <f t="shared" si="7"/>
        <v>209140.11919</v>
      </c>
      <c r="L31" s="940" t="s">
        <v>289</v>
      </c>
      <c r="M31" s="4">
        <f t="shared" si="1"/>
        <v>16</v>
      </c>
      <c r="N31" s="361"/>
    </row>
    <row r="32" spans="1:17" x14ac:dyDescent="0.3">
      <c r="A32" s="4">
        <f t="shared" si="0"/>
        <v>17</v>
      </c>
      <c r="B32" s="955">
        <v>356</v>
      </c>
      <c r="C32" s="237" t="s">
        <v>354</v>
      </c>
      <c r="D32" s="236">
        <v>307343.48389999999</v>
      </c>
      <c r="E32" s="236">
        <v>0</v>
      </c>
      <c r="F32" s="236">
        <v>0</v>
      </c>
      <c r="G32" s="236">
        <v>0</v>
      </c>
      <c r="H32" s="236">
        <v>0</v>
      </c>
      <c r="I32" s="236">
        <v>0</v>
      </c>
      <c r="J32" s="236">
        <v>0</v>
      </c>
      <c r="K32" s="236">
        <f t="shared" si="7"/>
        <v>307343.48389999999</v>
      </c>
      <c r="L32" s="940" t="s">
        <v>289</v>
      </c>
      <c r="M32" s="4">
        <f t="shared" si="1"/>
        <v>17</v>
      </c>
      <c r="N32" s="361"/>
    </row>
    <row r="33" spans="1:14" x14ac:dyDescent="0.3">
      <c r="A33" s="4">
        <f t="shared" si="0"/>
        <v>18</v>
      </c>
      <c r="B33" s="955">
        <v>357</v>
      </c>
      <c r="C33" s="237" t="s">
        <v>355</v>
      </c>
      <c r="D33" s="236">
        <v>115076.96838999999</v>
      </c>
      <c r="E33" s="236">
        <v>0</v>
      </c>
      <c r="F33" s="236">
        <v>0</v>
      </c>
      <c r="G33" s="236">
        <v>0</v>
      </c>
      <c r="H33" s="236">
        <v>0</v>
      </c>
      <c r="I33" s="236">
        <v>0</v>
      </c>
      <c r="J33" s="236">
        <v>0</v>
      </c>
      <c r="K33" s="236">
        <f t="shared" si="7"/>
        <v>115076.96838999999</v>
      </c>
      <c r="L33" s="940" t="s">
        <v>289</v>
      </c>
      <c r="M33" s="4">
        <f t="shared" si="1"/>
        <v>18</v>
      </c>
      <c r="N33" s="361"/>
    </row>
    <row r="34" spans="1:14" x14ac:dyDescent="0.3">
      <c r="A34" s="4">
        <f t="shared" si="0"/>
        <v>19</v>
      </c>
      <c r="B34" s="955">
        <v>358</v>
      </c>
      <c r="C34" s="237" t="s">
        <v>356</v>
      </c>
      <c r="D34" s="236">
        <v>114872.02962</v>
      </c>
      <c r="E34" s="236">
        <v>0</v>
      </c>
      <c r="F34" s="236">
        <v>0</v>
      </c>
      <c r="G34" s="236">
        <v>-643.37243999999998</v>
      </c>
      <c r="H34" s="236">
        <v>0</v>
      </c>
      <c r="I34" s="236">
        <v>0</v>
      </c>
      <c r="J34" s="236">
        <v>0</v>
      </c>
      <c r="K34" s="236">
        <f t="shared" si="7"/>
        <v>114228.65717999999</v>
      </c>
      <c r="L34" s="940" t="s">
        <v>289</v>
      </c>
      <c r="M34" s="4">
        <f t="shared" si="1"/>
        <v>19</v>
      </c>
      <c r="N34" s="361"/>
    </row>
    <row r="35" spans="1:14" x14ac:dyDescent="0.3">
      <c r="A35" s="4">
        <f t="shared" si="0"/>
        <v>20</v>
      </c>
      <c r="B35" s="955">
        <v>359</v>
      </c>
      <c r="C35" s="237" t="s">
        <v>357</v>
      </c>
      <c r="D35" s="236">
        <v>61886.441469999998</v>
      </c>
      <c r="E35" s="236">
        <v>0</v>
      </c>
      <c r="F35" s="236">
        <v>0</v>
      </c>
      <c r="G35" s="236">
        <v>0</v>
      </c>
      <c r="H35" s="236">
        <v>0</v>
      </c>
      <c r="I35" s="236">
        <v>0</v>
      </c>
      <c r="J35" s="236">
        <v>0</v>
      </c>
      <c r="K35" s="236">
        <f t="shared" si="7"/>
        <v>61886.441469999998</v>
      </c>
      <c r="L35" s="940" t="s">
        <v>289</v>
      </c>
      <c r="M35" s="4">
        <f t="shared" si="1"/>
        <v>20</v>
      </c>
      <c r="N35" s="361"/>
    </row>
    <row r="36" spans="1:14" x14ac:dyDescent="0.3">
      <c r="A36" s="4">
        <f t="shared" si="0"/>
        <v>21</v>
      </c>
      <c r="B36" s="979"/>
      <c r="C36" s="237"/>
      <c r="D36" s="236"/>
      <c r="F36" s="95"/>
      <c r="G36" s="95"/>
      <c r="H36" s="95"/>
      <c r="I36" s="95"/>
      <c r="J36" s="236"/>
      <c r="K36" s="95"/>
      <c r="L36" s="955"/>
      <c r="M36" s="4">
        <f t="shared" si="1"/>
        <v>21</v>
      </c>
      <c r="N36" s="361"/>
    </row>
    <row r="37" spans="1:14" x14ac:dyDescent="0.3">
      <c r="A37" s="4">
        <f t="shared" si="0"/>
        <v>22</v>
      </c>
      <c r="B37" s="963" t="s">
        <v>349</v>
      </c>
      <c r="C37" s="958" t="s">
        <v>320</v>
      </c>
      <c r="D37" s="959">
        <f t="shared" ref="D37:K37" si="8">SUM(D24:D36)</f>
        <v>1861233.6263900001</v>
      </c>
      <c r="E37" s="959">
        <f t="shared" si="8"/>
        <v>0</v>
      </c>
      <c r="F37" s="959">
        <f t="shared" si="8"/>
        <v>0</v>
      </c>
      <c r="G37" s="959">
        <f t="shared" si="8"/>
        <v>-5146.5585799999999</v>
      </c>
      <c r="H37" s="959">
        <f t="shared" si="8"/>
        <v>-596.89500999999996</v>
      </c>
      <c r="I37" s="959">
        <f t="shared" si="8"/>
        <v>0</v>
      </c>
      <c r="J37" s="959">
        <f t="shared" si="8"/>
        <v>-25609.538130000001</v>
      </c>
      <c r="K37" s="959">
        <f t="shared" si="8"/>
        <v>1829880.6346700001</v>
      </c>
      <c r="L37" s="964" t="s">
        <v>1608</v>
      </c>
      <c r="M37" s="4">
        <f t="shared" si="1"/>
        <v>22</v>
      </c>
      <c r="N37" s="361"/>
    </row>
    <row r="38" spans="1:14" x14ac:dyDescent="0.3">
      <c r="A38" s="4">
        <f t="shared" si="0"/>
        <v>23</v>
      </c>
      <c r="B38" s="335"/>
      <c r="D38" s="32"/>
      <c r="L38" s="305"/>
      <c r="M38" s="4">
        <f t="shared" si="1"/>
        <v>23</v>
      </c>
      <c r="N38" s="361"/>
    </row>
    <row r="39" spans="1:14" x14ac:dyDescent="0.3">
      <c r="A39" s="4">
        <f t="shared" si="0"/>
        <v>24</v>
      </c>
      <c r="B39" s="336" t="s">
        <v>358</v>
      </c>
      <c r="C39" s="965"/>
      <c r="D39" s="579">
        <f t="shared" ref="D39:K39" si="9">D37+D22</f>
        <v>1861233.6263900001</v>
      </c>
      <c r="E39" s="579">
        <f t="shared" si="9"/>
        <v>1.1260899999999998</v>
      </c>
      <c r="F39" s="579">
        <f t="shared" si="9"/>
        <v>730.01688000000001</v>
      </c>
      <c r="G39" s="579">
        <f t="shared" si="9"/>
        <v>-5146.5585799999999</v>
      </c>
      <c r="H39" s="579">
        <f t="shared" si="9"/>
        <v>-596.89500999999996</v>
      </c>
      <c r="I39" s="579">
        <f t="shared" si="9"/>
        <v>0</v>
      </c>
      <c r="J39" s="64">
        <f t="shared" si="9"/>
        <v>-25609.538130000001</v>
      </c>
      <c r="K39" s="579">
        <f t="shared" si="9"/>
        <v>1830611.77764</v>
      </c>
      <c r="L39" s="960" t="s">
        <v>1609</v>
      </c>
      <c r="M39" s="4">
        <f t="shared" si="1"/>
        <v>24</v>
      </c>
      <c r="N39" s="361"/>
    </row>
    <row r="40" spans="1:14" x14ac:dyDescent="0.3">
      <c r="D40" s="32"/>
      <c r="K40" s="337"/>
      <c r="L40" s="337"/>
    </row>
    <row r="41" spans="1:14" x14ac:dyDescent="0.3">
      <c r="D41" s="32"/>
      <c r="K41" s="337"/>
      <c r="L41" s="337"/>
    </row>
    <row r="42" spans="1:14" x14ac:dyDescent="0.3">
      <c r="B42" s="32" t="s">
        <v>414</v>
      </c>
      <c r="D42" s="32"/>
    </row>
    <row r="43" spans="1:14" x14ac:dyDescent="0.3">
      <c r="D43" s="32"/>
    </row>
    <row r="44" spans="1:14" x14ac:dyDescent="0.3">
      <c r="D44" s="32"/>
    </row>
    <row r="45" spans="1:14" x14ac:dyDescent="0.3">
      <c r="D45" s="32"/>
    </row>
    <row r="46" spans="1:14" x14ac:dyDescent="0.3">
      <c r="D46" s="32"/>
    </row>
    <row r="47" spans="1:14" x14ac:dyDescent="0.3">
      <c r="D47" s="32"/>
    </row>
    <row r="48" spans="1:14" x14ac:dyDescent="0.3">
      <c r="D48" s="32"/>
    </row>
    <row r="49" spans="4:4" x14ac:dyDescent="0.3">
      <c r="D49" s="32"/>
    </row>
    <row r="50" spans="4:4" x14ac:dyDescent="0.3">
      <c r="D50" s="32"/>
    </row>
    <row r="51" spans="4:4" x14ac:dyDescent="0.3">
      <c r="D51" s="32"/>
    </row>
    <row r="52" spans="4:4" x14ac:dyDescent="0.3">
      <c r="D52" s="32"/>
    </row>
    <row r="53" spans="4:4" x14ac:dyDescent="0.3">
      <c r="D53" s="32"/>
    </row>
    <row r="54" spans="4:4" x14ac:dyDescent="0.3">
      <c r="D54" s="32"/>
    </row>
    <row r="55" spans="4:4" x14ac:dyDescent="0.3">
      <c r="D55" s="32"/>
    </row>
    <row r="56" spans="4:4" x14ac:dyDescent="0.3">
      <c r="D56" s="32"/>
    </row>
    <row r="57" spans="4:4" x14ac:dyDescent="0.3">
      <c r="D57" s="32"/>
    </row>
    <row r="58" spans="4:4" x14ac:dyDescent="0.3">
      <c r="D58" s="32"/>
    </row>
    <row r="59" spans="4:4" x14ac:dyDescent="0.3">
      <c r="D59" s="32"/>
    </row>
    <row r="60" spans="4:4" x14ac:dyDescent="0.3">
      <c r="D60" s="32"/>
    </row>
    <row r="61" spans="4:4" x14ac:dyDescent="0.3">
      <c r="D61" s="32"/>
    </row>
    <row r="62" spans="4:4" x14ac:dyDescent="0.3">
      <c r="D62" s="32"/>
    </row>
    <row r="63" spans="4:4" x14ac:dyDescent="0.3">
      <c r="D63" s="32"/>
    </row>
    <row r="64" spans="4:4" x14ac:dyDescent="0.3">
      <c r="D64" s="32"/>
    </row>
    <row r="65" spans="4:4" x14ac:dyDescent="0.3">
      <c r="D65" s="32"/>
    </row>
    <row r="66" spans="4:4" x14ac:dyDescent="0.3">
      <c r="D66" s="32"/>
    </row>
    <row r="67" spans="4:4" x14ac:dyDescent="0.3">
      <c r="D67" s="32"/>
    </row>
    <row r="68" spans="4:4" x14ac:dyDescent="0.3">
      <c r="D68" s="32"/>
    </row>
    <row r="69" spans="4:4" x14ac:dyDescent="0.3">
      <c r="D69" s="32"/>
    </row>
    <row r="70" spans="4:4" x14ac:dyDescent="0.3">
      <c r="D70" s="32"/>
    </row>
    <row r="71" spans="4:4" x14ac:dyDescent="0.3">
      <c r="D71" s="32"/>
    </row>
    <row r="72" spans="4:4" x14ac:dyDescent="0.3">
      <c r="D72" s="32"/>
    </row>
    <row r="73" spans="4:4" x14ac:dyDescent="0.3">
      <c r="D73" s="32"/>
    </row>
    <row r="74" spans="4:4" x14ac:dyDescent="0.3">
      <c r="D74" s="32"/>
    </row>
    <row r="75" spans="4:4" x14ac:dyDescent="0.3">
      <c r="D75" s="32"/>
    </row>
    <row r="76" spans="4:4" x14ac:dyDescent="0.3">
      <c r="D76" s="32"/>
    </row>
    <row r="77" spans="4:4" x14ac:dyDescent="0.3">
      <c r="D77" s="32"/>
    </row>
    <row r="78" spans="4:4" x14ac:dyDescent="0.3">
      <c r="D78" s="32"/>
    </row>
    <row r="79" spans="4:4" x14ac:dyDescent="0.3">
      <c r="D79" s="32"/>
    </row>
    <row r="80" spans="4:4" x14ac:dyDescent="0.3">
      <c r="D80" s="32"/>
    </row>
    <row r="81" spans="4:4" x14ac:dyDescent="0.3">
      <c r="D81" s="32"/>
    </row>
    <row r="82" spans="4:4" x14ac:dyDescent="0.3">
      <c r="D82" s="32"/>
    </row>
    <row r="83" spans="4:4" x14ac:dyDescent="0.3">
      <c r="D83" s="32"/>
    </row>
    <row r="84" spans="4:4" x14ac:dyDescent="0.3">
      <c r="D84" s="32"/>
    </row>
    <row r="85" spans="4:4" x14ac:dyDescent="0.3">
      <c r="D85" s="32"/>
    </row>
    <row r="86" spans="4:4" x14ac:dyDescent="0.3">
      <c r="D86" s="32"/>
    </row>
    <row r="87" spans="4:4" x14ac:dyDescent="0.3">
      <c r="D87" s="32"/>
    </row>
    <row r="88" spans="4:4" x14ac:dyDescent="0.3">
      <c r="D88" s="32"/>
    </row>
    <row r="89" spans="4:4" x14ac:dyDescent="0.3">
      <c r="D89" s="32"/>
    </row>
    <row r="90" spans="4:4" x14ac:dyDescent="0.3">
      <c r="D90" s="32"/>
    </row>
    <row r="91" spans="4:4" x14ac:dyDescent="0.3">
      <c r="D91" s="32"/>
    </row>
    <row r="92" spans="4:4" x14ac:dyDescent="0.3">
      <c r="D92" s="32"/>
    </row>
    <row r="93" spans="4:4" x14ac:dyDescent="0.3">
      <c r="D93" s="32"/>
    </row>
    <row r="94" spans="4:4" x14ac:dyDescent="0.3">
      <c r="D94" s="32"/>
    </row>
    <row r="95" spans="4:4" x14ac:dyDescent="0.3">
      <c r="D95" s="32"/>
    </row>
    <row r="96" spans="4:4" x14ac:dyDescent="0.3">
      <c r="D96" s="32"/>
    </row>
    <row r="97" spans="4:4" x14ac:dyDescent="0.3">
      <c r="D97" s="32"/>
    </row>
    <row r="98" spans="4:4" x14ac:dyDescent="0.3">
      <c r="D98" s="32"/>
    </row>
    <row r="99" spans="4:4" x14ac:dyDescent="0.3">
      <c r="D99" s="32"/>
    </row>
    <row r="100" spans="4:4" x14ac:dyDescent="0.3">
      <c r="D100" s="32"/>
    </row>
    <row r="101" spans="4:4" x14ac:dyDescent="0.3">
      <c r="D101" s="32"/>
    </row>
    <row r="102" spans="4:4" x14ac:dyDescent="0.3">
      <c r="D102" s="32"/>
    </row>
    <row r="103" spans="4:4" x14ac:dyDescent="0.3">
      <c r="D103" s="32"/>
    </row>
    <row r="104" spans="4:4" x14ac:dyDescent="0.3">
      <c r="D104" s="32"/>
    </row>
    <row r="105" spans="4:4" x14ac:dyDescent="0.3">
      <c r="D105" s="32"/>
    </row>
    <row r="106" spans="4:4" x14ac:dyDescent="0.3">
      <c r="D106" s="32"/>
    </row>
    <row r="107" spans="4:4" x14ac:dyDescent="0.3">
      <c r="D107" s="32"/>
    </row>
    <row r="108" spans="4:4" x14ac:dyDescent="0.3">
      <c r="D108" s="32"/>
    </row>
    <row r="109" spans="4:4" x14ac:dyDescent="0.3">
      <c r="D109" s="32"/>
    </row>
    <row r="110" spans="4:4" x14ac:dyDescent="0.3">
      <c r="D110" s="32"/>
    </row>
    <row r="111" spans="4:4" x14ac:dyDescent="0.3">
      <c r="D111" s="32"/>
    </row>
    <row r="112" spans="4:4" x14ac:dyDescent="0.3">
      <c r="D112" s="32"/>
    </row>
    <row r="113" spans="4:4" x14ac:dyDescent="0.3">
      <c r="D113" s="32"/>
    </row>
    <row r="114" spans="4:4" x14ac:dyDescent="0.3">
      <c r="D114" s="32"/>
    </row>
    <row r="115" spans="4:4" x14ac:dyDescent="0.3">
      <c r="D115" s="32"/>
    </row>
    <row r="116" spans="4:4" x14ac:dyDescent="0.3">
      <c r="D116" s="32"/>
    </row>
    <row r="117" spans="4:4" x14ac:dyDescent="0.3">
      <c r="D117" s="32"/>
    </row>
    <row r="118" spans="4:4" x14ac:dyDescent="0.3">
      <c r="D118" s="32"/>
    </row>
    <row r="119" spans="4:4" x14ac:dyDescent="0.3">
      <c r="D119" s="32"/>
    </row>
    <row r="120" spans="4:4" x14ac:dyDescent="0.3">
      <c r="D120" s="32"/>
    </row>
    <row r="121" spans="4:4" x14ac:dyDescent="0.3">
      <c r="D121" s="32"/>
    </row>
    <row r="122" spans="4:4" x14ac:dyDescent="0.3">
      <c r="D122" s="32"/>
    </row>
    <row r="123" spans="4:4" x14ac:dyDescent="0.3">
      <c r="D123" s="32"/>
    </row>
    <row r="124" spans="4:4" x14ac:dyDescent="0.3">
      <c r="D124" s="32"/>
    </row>
    <row r="125" spans="4:4" x14ac:dyDescent="0.3">
      <c r="D125" s="32"/>
    </row>
    <row r="126" spans="4:4" x14ac:dyDescent="0.3">
      <c r="D126" s="32"/>
    </row>
    <row r="127" spans="4:4" x14ac:dyDescent="0.3">
      <c r="D127" s="32"/>
    </row>
    <row r="128" spans="4:4" x14ac:dyDescent="0.3">
      <c r="D128" s="32"/>
    </row>
    <row r="129" spans="4:4" x14ac:dyDescent="0.3">
      <c r="D129" s="32"/>
    </row>
    <row r="130" spans="4:4" x14ac:dyDescent="0.3">
      <c r="D130" s="32"/>
    </row>
    <row r="131" spans="4:4" x14ac:dyDescent="0.3">
      <c r="D131" s="32"/>
    </row>
    <row r="132" spans="4:4" x14ac:dyDescent="0.3">
      <c r="D132" s="32"/>
    </row>
    <row r="133" spans="4:4" x14ac:dyDescent="0.3">
      <c r="D133" s="32"/>
    </row>
    <row r="134" spans="4:4" x14ac:dyDescent="0.3">
      <c r="D134" s="32"/>
    </row>
    <row r="135" spans="4:4" x14ac:dyDescent="0.3">
      <c r="D135" s="32"/>
    </row>
    <row r="136" spans="4:4" x14ac:dyDescent="0.3">
      <c r="D136" s="32"/>
    </row>
    <row r="137" spans="4:4" x14ac:dyDescent="0.3">
      <c r="D137" s="32"/>
    </row>
    <row r="138" spans="4:4" x14ac:dyDescent="0.3">
      <c r="D138" s="32"/>
    </row>
    <row r="139" spans="4:4" x14ac:dyDescent="0.3">
      <c r="D139" s="32"/>
    </row>
    <row r="140" spans="4:4" x14ac:dyDescent="0.3">
      <c r="D140" s="32"/>
    </row>
    <row r="141" spans="4:4" x14ac:dyDescent="0.3">
      <c r="D141" s="32"/>
    </row>
    <row r="142" spans="4:4" x14ac:dyDescent="0.3">
      <c r="D142" s="32"/>
    </row>
    <row r="143" spans="4:4" x14ac:dyDescent="0.3">
      <c r="D143" s="32"/>
    </row>
    <row r="144" spans="4:4" x14ac:dyDescent="0.3">
      <c r="D144" s="32"/>
    </row>
    <row r="145" spans="4:4" x14ac:dyDescent="0.3">
      <c r="D145" s="32"/>
    </row>
    <row r="146" spans="4:4" x14ac:dyDescent="0.3">
      <c r="D146" s="32"/>
    </row>
    <row r="147" spans="4:4" x14ac:dyDescent="0.3">
      <c r="D147" s="32"/>
    </row>
    <row r="148" spans="4:4" x14ac:dyDescent="0.3">
      <c r="D148" s="32"/>
    </row>
    <row r="149" spans="4:4" x14ac:dyDescent="0.3">
      <c r="D149" s="32"/>
    </row>
    <row r="150" spans="4:4" x14ac:dyDescent="0.3">
      <c r="D150" s="32"/>
    </row>
    <row r="151" spans="4:4" x14ac:dyDescent="0.3">
      <c r="D151" s="32"/>
    </row>
    <row r="152" spans="4:4" x14ac:dyDescent="0.3">
      <c r="D152" s="32"/>
    </row>
    <row r="153" spans="4:4" x14ac:dyDescent="0.3">
      <c r="D153" s="32"/>
    </row>
    <row r="154" spans="4:4" x14ac:dyDescent="0.3">
      <c r="D154" s="32"/>
    </row>
    <row r="155" spans="4:4" x14ac:dyDescent="0.3">
      <c r="D155" s="32"/>
    </row>
    <row r="156" spans="4:4" x14ac:dyDescent="0.3">
      <c r="D156" s="32"/>
    </row>
    <row r="157" spans="4:4" x14ac:dyDescent="0.3">
      <c r="D157" s="32"/>
    </row>
    <row r="158" spans="4:4" x14ac:dyDescent="0.3">
      <c r="D158" s="32"/>
    </row>
    <row r="159" spans="4:4" x14ac:dyDescent="0.3">
      <c r="D159" s="32"/>
    </row>
    <row r="160" spans="4:4" x14ac:dyDescent="0.3">
      <c r="D160" s="32"/>
    </row>
    <row r="161" spans="4:4" x14ac:dyDescent="0.3">
      <c r="D161" s="32"/>
    </row>
    <row r="162" spans="4:4" x14ac:dyDescent="0.3">
      <c r="D162" s="32"/>
    </row>
    <row r="163" spans="4:4" x14ac:dyDescent="0.3">
      <c r="D163" s="32"/>
    </row>
    <row r="164" spans="4:4" x14ac:dyDescent="0.3">
      <c r="D164" s="32"/>
    </row>
    <row r="165" spans="4:4" x14ac:dyDescent="0.3">
      <c r="D165" s="32"/>
    </row>
    <row r="166" spans="4:4" x14ac:dyDescent="0.3">
      <c r="D166" s="32"/>
    </row>
    <row r="167" spans="4:4" x14ac:dyDescent="0.3">
      <c r="D167" s="32"/>
    </row>
    <row r="168" spans="4:4" x14ac:dyDescent="0.3">
      <c r="D168" s="32"/>
    </row>
    <row r="169" spans="4:4" x14ac:dyDescent="0.3">
      <c r="D169" s="32"/>
    </row>
    <row r="170" spans="4:4" x14ac:dyDescent="0.3">
      <c r="D170" s="32"/>
    </row>
    <row r="171" spans="4:4" x14ac:dyDescent="0.3">
      <c r="D171" s="32"/>
    </row>
    <row r="172" spans="4:4" x14ac:dyDescent="0.3">
      <c r="D172" s="32"/>
    </row>
    <row r="173" spans="4:4" x14ac:dyDescent="0.3">
      <c r="D173" s="32"/>
    </row>
    <row r="174" spans="4:4" x14ac:dyDescent="0.3">
      <c r="D174" s="32"/>
    </row>
  </sheetData>
  <mergeCells count="6">
    <mergeCell ref="B6:L6"/>
    <mergeCell ref="B7:L7"/>
    <mergeCell ref="B2:L2"/>
    <mergeCell ref="B3:L3"/>
    <mergeCell ref="B4:L4"/>
    <mergeCell ref="B5:L5"/>
  </mergeCells>
  <printOptions horizontalCentered="1"/>
  <pageMargins left="0.5" right="0.5" top="0.5" bottom="0.5" header="0.25" footer="0.25"/>
  <pageSetup scale="56" orientation="landscape" r:id="rId1"/>
  <headerFooter scaleWithDoc="0">
    <oddFooter>&amp;C&amp;"Times New Roman,Regular"&amp;10&amp;A</oddFooter>
  </headerFooter>
  <customProperties>
    <customPr name="_pios_id" r:id="rId2"/>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2:P174"/>
  <sheetViews>
    <sheetView zoomScale="80" zoomScaleNormal="80" workbookViewId="0"/>
  </sheetViews>
  <sheetFormatPr defaultColWidth="9.33203125" defaultRowHeight="15.6" x14ac:dyDescent="0.3"/>
  <cols>
    <col min="1" max="1" width="5.33203125" style="4" customWidth="1"/>
    <col min="2" max="2" width="11.33203125" style="32" customWidth="1"/>
    <col min="3" max="3" width="32.5546875" style="32" customWidth="1"/>
    <col min="4" max="11" width="18.5546875" style="6" customWidth="1"/>
    <col min="12" max="12" width="24" style="6" customWidth="1"/>
    <col min="13" max="14" width="5.33203125" style="4" customWidth="1"/>
    <col min="15" max="16384" width="9.33203125" style="32"/>
  </cols>
  <sheetData>
    <row r="2" spans="1:14" s="1" customFormat="1" x14ac:dyDescent="0.3">
      <c r="A2" s="221"/>
      <c r="B2" s="1222" t="s">
        <v>0</v>
      </c>
      <c r="C2" s="1222"/>
      <c r="D2" s="1222"/>
      <c r="E2" s="1222"/>
      <c r="F2" s="1222"/>
      <c r="G2" s="1222"/>
      <c r="H2" s="1222"/>
      <c r="I2" s="1222"/>
      <c r="J2" s="1222"/>
      <c r="K2" s="1222"/>
      <c r="L2" s="1222"/>
      <c r="M2" s="221"/>
      <c r="N2" s="221"/>
    </row>
    <row r="3" spans="1:14" s="1" customFormat="1" x14ac:dyDescent="0.3">
      <c r="A3" s="221"/>
      <c r="B3" s="1222" t="s">
        <v>322</v>
      </c>
      <c r="C3" s="1222"/>
      <c r="D3" s="1222"/>
      <c r="E3" s="1222"/>
      <c r="F3" s="1222"/>
      <c r="G3" s="1222"/>
      <c r="H3" s="1222"/>
      <c r="I3" s="1222"/>
      <c r="J3" s="1222"/>
      <c r="K3" s="1222"/>
      <c r="L3" s="1222"/>
      <c r="M3" s="221"/>
      <c r="N3" s="221"/>
    </row>
    <row r="4" spans="1:14" x14ac:dyDescent="0.3">
      <c r="B4" s="1222" t="s">
        <v>408</v>
      </c>
      <c r="C4" s="1222"/>
      <c r="D4" s="1222"/>
      <c r="E4" s="1222"/>
      <c r="F4" s="1222"/>
      <c r="G4" s="1222"/>
      <c r="H4" s="1222"/>
      <c r="I4" s="1222"/>
      <c r="J4" s="1222"/>
      <c r="K4" s="1222"/>
      <c r="L4" s="1222"/>
    </row>
    <row r="5" spans="1:14" x14ac:dyDescent="0.3">
      <c r="B5" s="1222" t="s">
        <v>403</v>
      </c>
      <c r="C5" s="1222"/>
      <c r="D5" s="1222"/>
      <c r="E5" s="1222"/>
      <c r="F5" s="1222"/>
      <c r="G5" s="1222"/>
      <c r="H5" s="1222"/>
      <c r="I5" s="1222"/>
      <c r="J5" s="1222"/>
      <c r="K5" s="1222"/>
      <c r="L5" s="1222"/>
    </row>
    <row r="6" spans="1:14" x14ac:dyDescent="0.3">
      <c r="B6" s="1222" t="str">
        <f>'AD-6B'!B5</f>
        <v>BALANCES AS OF 12/31/2023</v>
      </c>
      <c r="C6" s="1222"/>
      <c r="D6" s="1222"/>
      <c r="E6" s="1222"/>
      <c r="F6" s="1222"/>
      <c r="G6" s="1222"/>
      <c r="H6" s="1222"/>
      <c r="I6" s="1222"/>
      <c r="J6" s="1222"/>
      <c r="K6" s="1222"/>
      <c r="L6" s="1222"/>
    </row>
    <row r="7" spans="1:14" x14ac:dyDescent="0.3">
      <c r="B7" s="1226" t="s">
        <v>4</v>
      </c>
      <c r="C7" s="1222"/>
      <c r="D7" s="1222"/>
      <c r="E7" s="1222"/>
      <c r="F7" s="1222"/>
      <c r="G7" s="1222"/>
      <c r="H7" s="1222"/>
      <c r="I7" s="1222"/>
      <c r="J7" s="1222"/>
      <c r="K7" s="1222"/>
      <c r="L7" s="1222"/>
    </row>
    <row r="8" spans="1:14" x14ac:dyDescent="0.3">
      <c r="C8" s="270"/>
      <c r="D8" s="271"/>
      <c r="E8" s="297"/>
      <c r="F8" s="297"/>
      <c r="G8" s="297"/>
      <c r="H8" s="297"/>
      <c r="I8" s="297"/>
      <c r="J8" s="297"/>
      <c r="K8" s="297"/>
      <c r="L8" s="297"/>
    </row>
    <row r="9" spans="1:14" s="221" customFormat="1" x14ac:dyDescent="0.3">
      <c r="B9" s="970"/>
      <c r="C9" s="951"/>
      <c r="D9" s="952" t="s">
        <v>324</v>
      </c>
      <c r="E9" s="952" t="s">
        <v>325</v>
      </c>
      <c r="F9" s="952" t="s">
        <v>326</v>
      </c>
      <c r="G9" s="952" t="s">
        <v>327</v>
      </c>
      <c r="H9" s="952" t="s">
        <v>328</v>
      </c>
      <c r="I9" s="952" t="s">
        <v>329</v>
      </c>
      <c r="J9" s="952" t="s">
        <v>330</v>
      </c>
      <c r="K9" s="338" t="s">
        <v>331</v>
      </c>
      <c r="L9" s="933"/>
    </row>
    <row r="10" spans="1:14" x14ac:dyDescent="0.3">
      <c r="B10" s="978"/>
      <c r="C10" s="934"/>
      <c r="D10" s="298"/>
      <c r="E10" s="298"/>
      <c r="F10" s="302"/>
      <c r="G10" s="298"/>
      <c r="H10" s="298"/>
      <c r="I10" s="298"/>
      <c r="J10" s="298"/>
      <c r="K10" s="303" t="s">
        <v>200</v>
      </c>
      <c r="L10" s="953"/>
    </row>
    <row r="11" spans="1:14" x14ac:dyDescent="0.3">
      <c r="B11" s="978"/>
      <c r="C11" s="934"/>
      <c r="D11" s="298"/>
      <c r="E11" s="298" t="s">
        <v>332</v>
      </c>
      <c r="F11" s="302" t="s">
        <v>316</v>
      </c>
      <c r="G11" s="298" t="s">
        <v>321</v>
      </c>
      <c r="H11" s="298" t="s">
        <v>321</v>
      </c>
      <c r="I11" s="298" t="s">
        <v>321</v>
      </c>
      <c r="J11" s="298" t="s">
        <v>321</v>
      </c>
      <c r="K11" s="302" t="s">
        <v>321</v>
      </c>
      <c r="L11" s="940"/>
    </row>
    <row r="12" spans="1:14" x14ac:dyDescent="0.3">
      <c r="B12" s="335"/>
      <c r="C12" s="237"/>
      <c r="D12" s="302" t="s">
        <v>200</v>
      </c>
      <c r="E12" s="298" t="s">
        <v>409</v>
      </c>
      <c r="F12" s="298" t="s">
        <v>409</v>
      </c>
      <c r="G12" s="298" t="s">
        <v>409</v>
      </c>
      <c r="H12" s="298" t="s">
        <v>409</v>
      </c>
      <c r="I12" s="298" t="s">
        <v>409</v>
      </c>
      <c r="J12" s="298" t="s">
        <v>409</v>
      </c>
      <c r="K12" s="302" t="s">
        <v>404</v>
      </c>
      <c r="L12" s="273"/>
    </row>
    <row r="13" spans="1:14" x14ac:dyDescent="0.3">
      <c r="A13" s="4" t="s">
        <v>5</v>
      </c>
      <c r="B13" s="322"/>
      <c r="C13" s="281"/>
      <c r="D13" s="302" t="s">
        <v>321</v>
      </c>
      <c r="E13" s="298" t="s">
        <v>410</v>
      </c>
      <c r="F13" s="298" t="s">
        <v>410</v>
      </c>
      <c r="G13" s="298" t="s">
        <v>410</v>
      </c>
      <c r="H13" s="298" t="s">
        <v>410</v>
      </c>
      <c r="I13" s="298" t="s">
        <v>410</v>
      </c>
      <c r="J13" s="298" t="s">
        <v>410</v>
      </c>
      <c r="K13" s="302" t="s">
        <v>363</v>
      </c>
      <c r="L13" s="273"/>
      <c r="M13" s="4" t="s">
        <v>5</v>
      </c>
    </row>
    <row r="14" spans="1:14" x14ac:dyDescent="0.3">
      <c r="A14" s="4" t="s">
        <v>6</v>
      </c>
      <c r="B14" s="309" t="s">
        <v>336</v>
      </c>
      <c r="C14" s="278" t="s">
        <v>337</v>
      </c>
      <c r="D14" s="310" t="s">
        <v>409</v>
      </c>
      <c r="E14" s="304" t="s">
        <v>338</v>
      </c>
      <c r="F14" s="304" t="s">
        <v>339</v>
      </c>
      <c r="G14" s="304" t="s">
        <v>411</v>
      </c>
      <c r="H14" s="304" t="s">
        <v>412</v>
      </c>
      <c r="I14" s="304" t="s">
        <v>413</v>
      </c>
      <c r="J14" s="304" t="s">
        <v>342</v>
      </c>
      <c r="K14" s="279" t="s">
        <v>343</v>
      </c>
      <c r="L14" s="278" t="s">
        <v>8</v>
      </c>
      <c r="M14" s="4" t="s">
        <v>6</v>
      </c>
    </row>
    <row r="15" spans="1:14" x14ac:dyDescent="0.3">
      <c r="B15" s="237"/>
      <c r="C15" s="237" t="s">
        <v>344</v>
      </c>
      <c r="D15" s="237"/>
      <c r="E15" s="237"/>
      <c r="F15" s="237"/>
      <c r="G15" s="237"/>
      <c r="H15" s="237"/>
      <c r="I15" s="237"/>
      <c r="J15" s="237"/>
      <c r="K15" s="63"/>
      <c r="L15" s="940"/>
    </row>
    <row r="16" spans="1:14" x14ac:dyDescent="0.3">
      <c r="A16" s="4">
        <v>1</v>
      </c>
      <c r="B16" s="955">
        <v>303</v>
      </c>
      <c r="C16" s="237" t="s">
        <v>345</v>
      </c>
      <c r="D16" s="235">
        <v>0</v>
      </c>
      <c r="E16" s="235">
        <v>0</v>
      </c>
      <c r="F16" s="235">
        <v>0</v>
      </c>
      <c r="G16" s="235">
        <v>0</v>
      </c>
      <c r="H16" s="235">
        <v>0</v>
      </c>
      <c r="I16" s="235">
        <v>0</v>
      </c>
      <c r="J16" s="235">
        <v>0</v>
      </c>
      <c r="K16" s="59">
        <f>SUM(D16:J16)</f>
        <v>0</v>
      </c>
      <c r="L16" s="940" t="s">
        <v>289</v>
      </c>
      <c r="M16" s="4">
        <f>A16</f>
        <v>1</v>
      </c>
    </row>
    <row r="17" spans="1:16" x14ac:dyDescent="0.3">
      <c r="A17" s="4">
        <f>A16+1</f>
        <v>2</v>
      </c>
      <c r="B17" s="940">
        <v>310.10000000000002</v>
      </c>
      <c r="C17" s="237" t="s">
        <v>346</v>
      </c>
      <c r="D17" s="236">
        <v>0</v>
      </c>
      <c r="E17" s="236">
        <v>0</v>
      </c>
      <c r="F17" s="236">
        <v>0</v>
      </c>
      <c r="G17" s="236">
        <v>0</v>
      </c>
      <c r="H17" s="236">
        <v>0</v>
      </c>
      <c r="I17" s="236">
        <v>0</v>
      </c>
      <c r="J17" s="236">
        <v>0</v>
      </c>
      <c r="K17" s="53">
        <f>SUM(D17:J17)</f>
        <v>0</v>
      </c>
      <c r="L17" s="940" t="s">
        <v>289</v>
      </c>
      <c r="M17" s="4">
        <f>M16+1</f>
        <v>2</v>
      </c>
    </row>
    <row r="18" spans="1:16" x14ac:dyDescent="0.3">
      <c r="A18" s="4">
        <f t="shared" ref="A18:A39" si="0">A17+1</f>
        <v>3</v>
      </c>
      <c r="B18" s="955">
        <v>340</v>
      </c>
      <c r="C18" s="956" t="s">
        <v>347</v>
      </c>
      <c r="D18" s="236">
        <v>0</v>
      </c>
      <c r="E18" s="236">
        <v>1.1003514720000001</v>
      </c>
      <c r="F18" s="236">
        <v>0</v>
      </c>
      <c r="G18" s="236">
        <v>0</v>
      </c>
      <c r="H18" s="236">
        <v>0</v>
      </c>
      <c r="I18" s="236">
        <v>0</v>
      </c>
      <c r="J18" s="236">
        <v>0</v>
      </c>
      <c r="K18" s="53">
        <f>SUM(D18:J18)</f>
        <v>1.1003514720000001</v>
      </c>
      <c r="L18" s="940" t="s">
        <v>289</v>
      </c>
      <c r="M18" s="4">
        <f t="shared" ref="M18:M39" si="1">M17+1</f>
        <v>3</v>
      </c>
    </row>
    <row r="19" spans="1:16" x14ac:dyDescent="0.3">
      <c r="A19" s="4">
        <f t="shared" si="0"/>
        <v>4</v>
      </c>
      <c r="B19" s="955">
        <v>360</v>
      </c>
      <c r="C19" s="956" t="s">
        <v>347</v>
      </c>
      <c r="D19" s="236">
        <v>0</v>
      </c>
      <c r="E19" s="236">
        <v>0</v>
      </c>
      <c r="F19" s="236">
        <v>49.343540000000004</v>
      </c>
      <c r="G19" s="236">
        <v>0</v>
      </c>
      <c r="H19" s="236">
        <v>0</v>
      </c>
      <c r="I19" s="236">
        <v>0</v>
      </c>
      <c r="J19" s="236">
        <v>0</v>
      </c>
      <c r="K19" s="53">
        <f>SUM(D19:J19)</f>
        <v>49.343540000000004</v>
      </c>
      <c r="L19" s="940" t="s">
        <v>289</v>
      </c>
      <c r="M19" s="4">
        <f t="shared" si="1"/>
        <v>4</v>
      </c>
    </row>
    <row r="20" spans="1:16" x14ac:dyDescent="0.3">
      <c r="A20" s="4">
        <f t="shared" si="0"/>
        <v>5</v>
      </c>
      <c r="B20" s="955">
        <v>361</v>
      </c>
      <c r="C20" s="237" t="s">
        <v>348</v>
      </c>
      <c r="D20" s="236">
        <v>0</v>
      </c>
      <c r="E20" s="236">
        <v>0</v>
      </c>
      <c r="F20" s="236">
        <v>785.35741082426387</v>
      </c>
      <c r="G20" s="236">
        <v>0</v>
      </c>
      <c r="H20" s="236">
        <v>0</v>
      </c>
      <c r="I20" s="236">
        <v>0</v>
      </c>
      <c r="J20" s="236">
        <v>0</v>
      </c>
      <c r="K20" s="53">
        <f>SUM(D20:J20)</f>
        <v>785.35741082426387</v>
      </c>
      <c r="L20" s="940" t="s">
        <v>289</v>
      </c>
      <c r="M20" s="4">
        <f t="shared" si="1"/>
        <v>5</v>
      </c>
    </row>
    <row r="21" spans="1:16" x14ac:dyDescent="0.3">
      <c r="A21" s="4">
        <f t="shared" si="0"/>
        <v>6</v>
      </c>
      <c r="B21" s="940"/>
      <c r="C21" s="237"/>
      <c r="D21" s="237"/>
      <c r="E21" s="237"/>
      <c r="F21" s="237"/>
      <c r="G21" s="237"/>
      <c r="H21" s="237"/>
      <c r="I21" s="237"/>
      <c r="J21" s="237"/>
      <c r="K21" s="53"/>
      <c r="L21" s="940"/>
      <c r="M21" s="4">
        <f t="shared" si="1"/>
        <v>6</v>
      </c>
    </row>
    <row r="22" spans="1:16" s="1" customFormat="1" x14ac:dyDescent="0.3">
      <c r="A22" s="4">
        <f t="shared" si="0"/>
        <v>7</v>
      </c>
      <c r="B22" s="957" t="s">
        <v>349</v>
      </c>
      <c r="C22" s="958" t="s">
        <v>350</v>
      </c>
      <c r="D22" s="959">
        <f t="shared" ref="D22:I22" si="2">SUM(D16:D21)</f>
        <v>0</v>
      </c>
      <c r="E22" s="959">
        <f t="shared" si="2"/>
        <v>1.1003514720000001</v>
      </c>
      <c r="F22" s="959">
        <f t="shared" si="2"/>
        <v>834.70095082426383</v>
      </c>
      <c r="G22" s="959">
        <f t="shared" si="2"/>
        <v>0</v>
      </c>
      <c r="H22" s="959">
        <f t="shared" si="2"/>
        <v>0</v>
      </c>
      <c r="I22" s="959">
        <f t="shared" si="2"/>
        <v>0</v>
      </c>
      <c r="J22" s="959">
        <f>SUM(J16:J21)</f>
        <v>0</v>
      </c>
      <c r="K22" s="239">
        <f>SUM(K16:K21)</f>
        <v>835.80130229626388</v>
      </c>
      <c r="L22" s="960" t="s">
        <v>14</v>
      </c>
      <c r="M22" s="4">
        <f t="shared" si="1"/>
        <v>7</v>
      </c>
      <c r="N22" s="4"/>
    </row>
    <row r="23" spans="1:16" x14ac:dyDescent="0.3">
      <c r="A23" s="4">
        <f t="shared" si="0"/>
        <v>8</v>
      </c>
      <c r="B23" s="940"/>
      <c r="C23" s="237"/>
      <c r="D23" s="236"/>
      <c r="E23" s="236"/>
      <c r="F23" s="236"/>
      <c r="G23" s="236"/>
      <c r="H23" s="236"/>
      <c r="I23" s="236"/>
      <c r="J23" s="236"/>
      <c r="K23" s="81"/>
      <c r="L23" s="940"/>
      <c r="M23" s="4">
        <f t="shared" si="1"/>
        <v>8</v>
      </c>
    </row>
    <row r="24" spans="1:16" x14ac:dyDescent="0.3">
      <c r="A24" s="4">
        <f t="shared" si="0"/>
        <v>9</v>
      </c>
      <c r="B24" s="955">
        <v>350</v>
      </c>
      <c r="C24" s="237" t="s">
        <v>347</v>
      </c>
      <c r="D24" s="235">
        <v>34192.177180000013</v>
      </c>
      <c r="E24" s="235">
        <v>0</v>
      </c>
      <c r="F24" s="235">
        <v>0</v>
      </c>
      <c r="G24" s="235">
        <v>0</v>
      </c>
      <c r="H24" s="235">
        <v>0</v>
      </c>
      <c r="I24" s="235">
        <v>0</v>
      </c>
      <c r="J24" s="235">
        <v>-398.91016672000012</v>
      </c>
      <c r="K24" s="59">
        <f t="shared" ref="K24:K35" si="3">SUM(D24:J24)</f>
        <v>33793.267013280012</v>
      </c>
      <c r="L24" s="940" t="s">
        <v>289</v>
      </c>
      <c r="M24" s="4">
        <f t="shared" si="1"/>
        <v>9</v>
      </c>
    </row>
    <row r="25" spans="1:16" x14ac:dyDescent="0.3">
      <c r="A25" s="4">
        <f t="shared" si="0"/>
        <v>10</v>
      </c>
      <c r="B25" s="955">
        <v>351.1</v>
      </c>
      <c r="C25" s="237" t="s">
        <v>1593</v>
      </c>
      <c r="D25" s="1119">
        <v>0</v>
      </c>
      <c r="E25" s="1119">
        <v>0</v>
      </c>
      <c r="F25" s="1119">
        <v>0</v>
      </c>
      <c r="G25" s="1119">
        <v>0</v>
      </c>
      <c r="H25" s="1119">
        <v>0</v>
      </c>
      <c r="I25" s="1119">
        <v>0</v>
      </c>
      <c r="J25" s="1119">
        <v>0</v>
      </c>
      <c r="K25" s="53">
        <f t="shared" si="3"/>
        <v>0</v>
      </c>
      <c r="L25" s="940" t="s">
        <v>289</v>
      </c>
      <c r="M25" s="4">
        <f t="shared" si="1"/>
        <v>10</v>
      </c>
      <c r="N25" s="361"/>
      <c r="O25" s="361"/>
    </row>
    <row r="26" spans="1:16" x14ac:dyDescent="0.3">
      <c r="A26" s="4">
        <f t="shared" si="0"/>
        <v>11</v>
      </c>
      <c r="B26" s="955">
        <v>351.2</v>
      </c>
      <c r="C26" s="237" t="s">
        <v>1594</v>
      </c>
      <c r="D26" s="1119">
        <v>0</v>
      </c>
      <c r="E26" s="1119">
        <v>0</v>
      </c>
      <c r="F26" s="1119">
        <v>0</v>
      </c>
      <c r="G26" s="1119">
        <v>0</v>
      </c>
      <c r="H26" s="1119">
        <v>0</v>
      </c>
      <c r="I26" s="1119">
        <v>0</v>
      </c>
      <c r="J26" s="1119">
        <v>0</v>
      </c>
      <c r="K26" s="53">
        <f t="shared" si="3"/>
        <v>0</v>
      </c>
      <c r="L26" s="940" t="s">
        <v>289</v>
      </c>
      <c r="M26" s="4">
        <f t="shared" si="1"/>
        <v>11</v>
      </c>
      <c r="N26" s="361"/>
      <c r="O26" s="361"/>
    </row>
    <row r="27" spans="1:16" x14ac:dyDescent="0.3">
      <c r="A27" s="4">
        <f t="shared" si="0"/>
        <v>12</v>
      </c>
      <c r="B27" s="955">
        <v>351.3</v>
      </c>
      <c r="C27" s="237" t="s">
        <v>1595</v>
      </c>
      <c r="D27" s="1119">
        <v>0</v>
      </c>
      <c r="E27" s="1119">
        <v>0</v>
      </c>
      <c r="F27" s="1119">
        <v>0</v>
      </c>
      <c r="G27" s="1119">
        <v>0</v>
      </c>
      <c r="H27" s="1119">
        <v>0</v>
      </c>
      <c r="I27" s="1119">
        <v>0</v>
      </c>
      <c r="J27" s="1119">
        <v>0</v>
      </c>
      <c r="K27" s="53">
        <f t="shared" si="3"/>
        <v>0</v>
      </c>
      <c r="L27" s="940" t="s">
        <v>289</v>
      </c>
      <c r="M27" s="4">
        <f t="shared" si="1"/>
        <v>12</v>
      </c>
      <c r="N27" s="361"/>
      <c r="O27" s="361"/>
    </row>
    <row r="28" spans="1:16" x14ac:dyDescent="0.3">
      <c r="A28" s="4">
        <f t="shared" si="0"/>
        <v>13</v>
      </c>
      <c r="B28" s="955">
        <v>352</v>
      </c>
      <c r="C28" s="237" t="s">
        <v>348</v>
      </c>
      <c r="D28" s="236">
        <v>158132.68946523691</v>
      </c>
      <c r="E28" s="236">
        <v>0</v>
      </c>
      <c r="F28" s="236">
        <v>0</v>
      </c>
      <c r="G28" s="236">
        <v>-619.54469105066437</v>
      </c>
      <c r="H28" s="236">
        <v>0</v>
      </c>
      <c r="I28" s="236">
        <v>0</v>
      </c>
      <c r="J28" s="236">
        <v>-25973.644242050963</v>
      </c>
      <c r="K28" s="53">
        <f t="shared" si="3"/>
        <v>131539.50053213528</v>
      </c>
      <c r="L28" s="940" t="s">
        <v>289</v>
      </c>
      <c r="M28" s="4">
        <f t="shared" si="1"/>
        <v>13</v>
      </c>
      <c r="N28" s="361"/>
      <c r="P28" s="6"/>
    </row>
    <row r="29" spans="1:16" x14ac:dyDescent="0.3">
      <c r="A29" s="4">
        <f t="shared" si="0"/>
        <v>14</v>
      </c>
      <c r="B29" s="955">
        <v>353</v>
      </c>
      <c r="C29" s="237" t="s">
        <v>351</v>
      </c>
      <c r="D29" s="236">
        <v>675429.88923556637</v>
      </c>
      <c r="E29" s="236">
        <v>0</v>
      </c>
      <c r="F29" s="236">
        <v>0</v>
      </c>
      <c r="G29" s="236">
        <v>-4307.0072822957945</v>
      </c>
      <c r="H29" s="236">
        <v>-648.59725349409518</v>
      </c>
      <c r="I29" s="236">
        <v>0</v>
      </c>
      <c r="J29" s="236">
        <v>-1801.597698374565</v>
      </c>
      <c r="K29" s="53">
        <f t="shared" si="3"/>
        <v>668672.68700140191</v>
      </c>
      <c r="L29" s="940" t="s">
        <v>289</v>
      </c>
      <c r="M29" s="4">
        <f t="shared" si="1"/>
        <v>14</v>
      </c>
      <c r="N29" s="361"/>
    </row>
    <row r="30" spans="1:16" x14ac:dyDescent="0.3">
      <c r="A30" s="4">
        <f t="shared" si="0"/>
        <v>15</v>
      </c>
      <c r="B30" s="955">
        <v>354</v>
      </c>
      <c r="C30" s="237" t="s">
        <v>352</v>
      </c>
      <c r="D30" s="236">
        <v>300967.89680160215</v>
      </c>
      <c r="E30" s="236">
        <v>0</v>
      </c>
      <c r="F30" s="236">
        <v>0</v>
      </c>
      <c r="G30" s="236">
        <v>0</v>
      </c>
      <c r="H30" s="236">
        <v>0</v>
      </c>
      <c r="I30" s="236">
        <v>0</v>
      </c>
      <c r="J30" s="236">
        <v>0</v>
      </c>
      <c r="K30" s="53">
        <f t="shared" si="3"/>
        <v>300967.89680160215</v>
      </c>
      <c r="L30" s="940" t="s">
        <v>289</v>
      </c>
      <c r="M30" s="4">
        <f t="shared" si="1"/>
        <v>15</v>
      </c>
      <c r="N30" s="361"/>
    </row>
    <row r="31" spans="1:16" x14ac:dyDescent="0.3">
      <c r="A31" s="4">
        <f t="shared" si="0"/>
        <v>16</v>
      </c>
      <c r="B31" s="955">
        <v>355</v>
      </c>
      <c r="C31" s="237" t="s">
        <v>353</v>
      </c>
      <c r="D31" s="236">
        <v>242890.36550048084</v>
      </c>
      <c r="E31" s="236">
        <v>0</v>
      </c>
      <c r="F31" s="236">
        <v>0</v>
      </c>
      <c r="G31" s="236">
        <v>0</v>
      </c>
      <c r="H31" s="236">
        <v>0</v>
      </c>
      <c r="I31" s="236">
        <v>0</v>
      </c>
      <c r="J31" s="236">
        <v>0</v>
      </c>
      <c r="K31" s="53">
        <f t="shared" si="3"/>
        <v>242890.36550048084</v>
      </c>
      <c r="L31" s="940" t="s">
        <v>289</v>
      </c>
      <c r="M31" s="4">
        <f t="shared" si="1"/>
        <v>16</v>
      </c>
      <c r="N31" s="361"/>
    </row>
    <row r="32" spans="1:16" x14ac:dyDescent="0.3">
      <c r="A32" s="4">
        <f t="shared" si="0"/>
        <v>17</v>
      </c>
      <c r="B32" s="955">
        <v>356</v>
      </c>
      <c r="C32" s="237" t="s">
        <v>354</v>
      </c>
      <c r="D32" s="236">
        <v>319418.18373260985</v>
      </c>
      <c r="E32" s="236">
        <v>0</v>
      </c>
      <c r="F32" s="236">
        <v>0</v>
      </c>
      <c r="G32" s="236">
        <v>0</v>
      </c>
      <c r="H32" s="236">
        <v>0</v>
      </c>
      <c r="I32" s="236">
        <v>0</v>
      </c>
      <c r="J32" s="236">
        <v>0</v>
      </c>
      <c r="K32" s="53">
        <f t="shared" si="3"/>
        <v>319418.18373260985</v>
      </c>
      <c r="L32" s="940" t="s">
        <v>289</v>
      </c>
      <c r="M32" s="4">
        <f t="shared" si="1"/>
        <v>17</v>
      </c>
      <c r="N32" s="361"/>
    </row>
    <row r="33" spans="1:14" x14ac:dyDescent="0.3">
      <c r="A33" s="4">
        <f t="shared" si="0"/>
        <v>18</v>
      </c>
      <c r="B33" s="955">
        <v>357</v>
      </c>
      <c r="C33" s="237" t="s">
        <v>355</v>
      </c>
      <c r="D33" s="236">
        <v>128993.86591752002</v>
      </c>
      <c r="E33" s="236">
        <v>0</v>
      </c>
      <c r="F33" s="236">
        <v>0</v>
      </c>
      <c r="G33" s="236">
        <v>0</v>
      </c>
      <c r="H33" s="236">
        <v>0</v>
      </c>
      <c r="I33" s="236">
        <v>0</v>
      </c>
      <c r="J33" s="236">
        <v>0</v>
      </c>
      <c r="K33" s="53">
        <f t="shared" si="3"/>
        <v>128993.86591752002</v>
      </c>
      <c r="L33" s="940" t="s">
        <v>289</v>
      </c>
      <c r="M33" s="4">
        <f t="shared" si="1"/>
        <v>18</v>
      </c>
      <c r="N33" s="361"/>
    </row>
    <row r="34" spans="1:14" x14ac:dyDescent="0.3">
      <c r="A34" s="4">
        <f t="shared" si="0"/>
        <v>19</v>
      </c>
      <c r="B34" s="955">
        <v>358</v>
      </c>
      <c r="C34" s="237" t="s">
        <v>356</v>
      </c>
      <c r="D34" s="236">
        <v>127912.44765813717</v>
      </c>
      <c r="E34" s="236">
        <v>0</v>
      </c>
      <c r="F34" s="236">
        <v>0</v>
      </c>
      <c r="G34" s="236">
        <v>-677.52025342225772</v>
      </c>
      <c r="H34" s="236">
        <v>0</v>
      </c>
      <c r="I34" s="236">
        <v>0</v>
      </c>
      <c r="J34" s="236">
        <v>0</v>
      </c>
      <c r="K34" s="53">
        <f t="shared" si="3"/>
        <v>127234.92740471491</v>
      </c>
      <c r="L34" s="940" t="s">
        <v>289</v>
      </c>
      <c r="M34" s="4">
        <f t="shared" si="1"/>
        <v>19</v>
      </c>
      <c r="N34" s="361"/>
    </row>
    <row r="35" spans="1:14" x14ac:dyDescent="0.3">
      <c r="A35" s="4">
        <f t="shared" si="0"/>
        <v>20</v>
      </c>
      <c r="B35" s="955">
        <v>359</v>
      </c>
      <c r="C35" s="237" t="s">
        <v>357</v>
      </c>
      <c r="D35" s="236">
        <v>68288.094049413616</v>
      </c>
      <c r="E35" s="236">
        <v>0</v>
      </c>
      <c r="F35" s="236">
        <v>0</v>
      </c>
      <c r="G35" s="236">
        <v>0</v>
      </c>
      <c r="H35" s="236">
        <v>0</v>
      </c>
      <c r="I35" s="236">
        <v>0</v>
      </c>
      <c r="J35" s="236">
        <v>0</v>
      </c>
      <c r="K35" s="53">
        <f t="shared" si="3"/>
        <v>68288.094049413616</v>
      </c>
      <c r="L35" s="940" t="s">
        <v>289</v>
      </c>
      <c r="M35" s="4">
        <f t="shared" si="1"/>
        <v>20</v>
      </c>
      <c r="N35" s="361"/>
    </row>
    <row r="36" spans="1:14" x14ac:dyDescent="0.3">
      <c r="A36" s="4">
        <f t="shared" si="0"/>
        <v>21</v>
      </c>
      <c r="B36" s="979"/>
      <c r="C36" s="237"/>
      <c r="D36" s="236"/>
      <c r="F36" s="95"/>
      <c r="G36" s="95"/>
      <c r="H36" s="95"/>
      <c r="I36" s="95"/>
      <c r="J36" s="236"/>
      <c r="K36" s="54"/>
      <c r="L36" s="955"/>
      <c r="M36" s="4">
        <f t="shared" si="1"/>
        <v>21</v>
      </c>
      <c r="N36" s="361"/>
    </row>
    <row r="37" spans="1:14" x14ac:dyDescent="0.3">
      <c r="A37" s="4">
        <f t="shared" si="0"/>
        <v>22</v>
      </c>
      <c r="B37" s="963" t="s">
        <v>349</v>
      </c>
      <c r="C37" s="958" t="s">
        <v>320</v>
      </c>
      <c r="D37" s="959">
        <f>SUM(D24:D36)</f>
        <v>2056225.609540567</v>
      </c>
      <c r="E37" s="959">
        <f>SUM(E24:E36)</f>
        <v>0</v>
      </c>
      <c r="F37" s="959">
        <f>SUM(F24:F36)</f>
        <v>0</v>
      </c>
      <c r="G37" s="959">
        <f>SUM(G24:G36)</f>
        <v>-5604.072226768717</v>
      </c>
      <c r="H37" s="959">
        <f>SUM(H24:H36)</f>
        <v>-648.59725349409518</v>
      </c>
      <c r="I37" s="959">
        <f t="shared" ref="I37" si="4">SUM(I24:I36)</f>
        <v>0</v>
      </c>
      <c r="J37" s="959">
        <f>SUM(J24:J36)</f>
        <v>-28174.152107145528</v>
      </c>
      <c r="K37" s="239">
        <f>SUM(K24:K36)</f>
        <v>2021798.7879531591</v>
      </c>
      <c r="L37" s="964" t="s">
        <v>1608</v>
      </c>
      <c r="M37" s="4">
        <f t="shared" si="1"/>
        <v>22</v>
      </c>
      <c r="N37" s="361"/>
    </row>
    <row r="38" spans="1:14" x14ac:dyDescent="0.3">
      <c r="A38" s="4">
        <f t="shared" si="0"/>
        <v>23</v>
      </c>
      <c r="B38" s="335"/>
      <c r="D38" s="32"/>
      <c r="L38" s="305"/>
      <c r="M38" s="4">
        <f t="shared" si="1"/>
        <v>23</v>
      </c>
      <c r="N38" s="361"/>
    </row>
    <row r="39" spans="1:14" x14ac:dyDescent="0.3">
      <c r="A39" s="4">
        <f t="shared" si="0"/>
        <v>24</v>
      </c>
      <c r="B39" s="336" t="s">
        <v>358</v>
      </c>
      <c r="C39" s="965"/>
      <c r="D39" s="579">
        <f>D37+D22</f>
        <v>2056225.609540567</v>
      </c>
      <c r="E39" s="579">
        <f>E37+E22</f>
        <v>1.1003514720000001</v>
      </c>
      <c r="F39" s="579">
        <f>F37+F22</f>
        <v>834.70095082426383</v>
      </c>
      <c r="G39" s="579">
        <f>G37+G22</f>
        <v>-5604.072226768717</v>
      </c>
      <c r="H39" s="579">
        <f>H37+H22</f>
        <v>-648.59725349409518</v>
      </c>
      <c r="I39" s="579">
        <f t="shared" ref="I39" si="5">I37+I22</f>
        <v>0</v>
      </c>
      <c r="J39" s="579">
        <f>J37+J22</f>
        <v>-28174.152107145528</v>
      </c>
      <c r="K39" s="579">
        <f>K37+K22</f>
        <v>2022634.5892554554</v>
      </c>
      <c r="L39" s="960" t="s">
        <v>1609</v>
      </c>
      <c r="M39" s="4">
        <f t="shared" si="1"/>
        <v>24</v>
      </c>
      <c r="N39" s="361"/>
    </row>
    <row r="40" spans="1:14" x14ac:dyDescent="0.3">
      <c r="D40" s="32"/>
      <c r="K40" s="337"/>
      <c r="L40" s="337"/>
    </row>
    <row r="41" spans="1:14" x14ac:dyDescent="0.3">
      <c r="D41" s="32"/>
      <c r="K41" s="337"/>
      <c r="L41" s="337"/>
    </row>
    <row r="42" spans="1:14" x14ac:dyDescent="0.3">
      <c r="B42" s="32" t="s">
        <v>414</v>
      </c>
      <c r="D42" s="32"/>
    </row>
    <row r="43" spans="1:14" x14ac:dyDescent="0.3">
      <c r="D43" s="32"/>
    </row>
    <row r="44" spans="1:14" x14ac:dyDescent="0.3">
      <c r="D44" s="32"/>
    </row>
    <row r="45" spans="1:14" x14ac:dyDescent="0.3">
      <c r="D45" s="32"/>
    </row>
    <row r="46" spans="1:14" x14ac:dyDescent="0.3">
      <c r="D46" s="32"/>
    </row>
    <row r="47" spans="1:14" x14ac:dyDescent="0.3">
      <c r="D47" s="32"/>
    </row>
    <row r="48" spans="1:14" x14ac:dyDescent="0.3">
      <c r="D48" s="32"/>
    </row>
    <row r="49" spans="4:4" x14ac:dyDescent="0.3">
      <c r="D49" s="32"/>
    </row>
    <row r="50" spans="4:4" x14ac:dyDescent="0.3">
      <c r="D50" s="32"/>
    </row>
    <row r="51" spans="4:4" x14ac:dyDescent="0.3">
      <c r="D51" s="32"/>
    </row>
    <row r="52" spans="4:4" x14ac:dyDescent="0.3">
      <c r="D52" s="32"/>
    </row>
    <row r="53" spans="4:4" x14ac:dyDescent="0.3">
      <c r="D53" s="32"/>
    </row>
    <row r="54" spans="4:4" x14ac:dyDescent="0.3">
      <c r="D54" s="32"/>
    </row>
    <row r="55" spans="4:4" x14ac:dyDescent="0.3">
      <c r="D55" s="32"/>
    </row>
    <row r="56" spans="4:4" x14ac:dyDescent="0.3">
      <c r="D56" s="32"/>
    </row>
    <row r="57" spans="4:4" x14ac:dyDescent="0.3">
      <c r="D57" s="32"/>
    </row>
    <row r="58" spans="4:4" x14ac:dyDescent="0.3">
      <c r="D58" s="32"/>
    </row>
    <row r="59" spans="4:4" x14ac:dyDescent="0.3">
      <c r="D59" s="32"/>
    </row>
    <row r="60" spans="4:4" x14ac:dyDescent="0.3">
      <c r="D60" s="32"/>
    </row>
    <row r="61" spans="4:4" x14ac:dyDescent="0.3">
      <c r="D61" s="32"/>
    </row>
    <row r="62" spans="4:4" x14ac:dyDescent="0.3">
      <c r="D62" s="32"/>
    </row>
    <row r="63" spans="4:4" x14ac:dyDescent="0.3">
      <c r="D63" s="32"/>
    </row>
    <row r="64" spans="4:4" x14ac:dyDescent="0.3">
      <c r="D64" s="32"/>
    </row>
    <row r="65" spans="4:4" x14ac:dyDescent="0.3">
      <c r="D65" s="32"/>
    </row>
    <row r="66" spans="4:4" x14ac:dyDescent="0.3">
      <c r="D66" s="32"/>
    </row>
    <row r="67" spans="4:4" x14ac:dyDescent="0.3">
      <c r="D67" s="32"/>
    </row>
    <row r="68" spans="4:4" x14ac:dyDescent="0.3">
      <c r="D68" s="32"/>
    </row>
    <row r="69" spans="4:4" x14ac:dyDescent="0.3">
      <c r="D69" s="32"/>
    </row>
    <row r="70" spans="4:4" x14ac:dyDescent="0.3">
      <c r="D70" s="32"/>
    </row>
    <row r="71" spans="4:4" x14ac:dyDescent="0.3">
      <c r="D71" s="32"/>
    </row>
    <row r="72" spans="4:4" x14ac:dyDescent="0.3">
      <c r="D72" s="32"/>
    </row>
    <row r="73" spans="4:4" x14ac:dyDescent="0.3">
      <c r="D73" s="32"/>
    </row>
    <row r="74" spans="4:4" x14ac:dyDescent="0.3">
      <c r="D74" s="32"/>
    </row>
    <row r="75" spans="4:4" x14ac:dyDescent="0.3">
      <c r="D75" s="32"/>
    </row>
    <row r="76" spans="4:4" x14ac:dyDescent="0.3">
      <c r="D76" s="32"/>
    </row>
    <row r="77" spans="4:4" x14ac:dyDescent="0.3">
      <c r="D77" s="32"/>
    </row>
    <row r="78" spans="4:4" x14ac:dyDescent="0.3">
      <c r="D78" s="32"/>
    </row>
    <row r="79" spans="4:4" x14ac:dyDescent="0.3">
      <c r="D79" s="32"/>
    </row>
    <row r="80" spans="4:4" x14ac:dyDescent="0.3">
      <c r="D80" s="32"/>
    </row>
    <row r="81" spans="4:4" x14ac:dyDescent="0.3">
      <c r="D81" s="32"/>
    </row>
    <row r="82" spans="4:4" x14ac:dyDescent="0.3">
      <c r="D82" s="32"/>
    </row>
    <row r="83" spans="4:4" x14ac:dyDescent="0.3">
      <c r="D83" s="32"/>
    </row>
    <row r="84" spans="4:4" x14ac:dyDescent="0.3">
      <c r="D84" s="32"/>
    </row>
    <row r="85" spans="4:4" x14ac:dyDescent="0.3">
      <c r="D85" s="32"/>
    </row>
    <row r="86" spans="4:4" x14ac:dyDescent="0.3">
      <c r="D86" s="32"/>
    </row>
    <row r="87" spans="4:4" x14ac:dyDescent="0.3">
      <c r="D87" s="32"/>
    </row>
    <row r="88" spans="4:4" x14ac:dyDescent="0.3">
      <c r="D88" s="32"/>
    </row>
    <row r="89" spans="4:4" x14ac:dyDescent="0.3">
      <c r="D89" s="32"/>
    </row>
    <row r="90" spans="4:4" x14ac:dyDescent="0.3">
      <c r="D90" s="32"/>
    </row>
    <row r="91" spans="4:4" x14ac:dyDescent="0.3">
      <c r="D91" s="32"/>
    </row>
    <row r="92" spans="4:4" x14ac:dyDescent="0.3">
      <c r="D92" s="32"/>
    </row>
    <row r="93" spans="4:4" x14ac:dyDescent="0.3">
      <c r="D93" s="32"/>
    </row>
    <row r="94" spans="4:4" x14ac:dyDescent="0.3">
      <c r="D94" s="32"/>
    </row>
    <row r="95" spans="4:4" x14ac:dyDescent="0.3">
      <c r="D95" s="32"/>
    </row>
    <row r="96" spans="4:4" x14ac:dyDescent="0.3">
      <c r="D96" s="32"/>
    </row>
    <row r="97" spans="4:4" x14ac:dyDescent="0.3">
      <c r="D97" s="32"/>
    </row>
    <row r="98" spans="4:4" x14ac:dyDescent="0.3">
      <c r="D98" s="32"/>
    </row>
    <row r="99" spans="4:4" x14ac:dyDescent="0.3">
      <c r="D99" s="32"/>
    </row>
    <row r="100" spans="4:4" x14ac:dyDescent="0.3">
      <c r="D100" s="32"/>
    </row>
    <row r="101" spans="4:4" x14ac:dyDescent="0.3">
      <c r="D101" s="32"/>
    </row>
    <row r="102" spans="4:4" x14ac:dyDescent="0.3">
      <c r="D102" s="32"/>
    </row>
    <row r="103" spans="4:4" x14ac:dyDescent="0.3">
      <c r="D103" s="32"/>
    </row>
    <row r="104" spans="4:4" x14ac:dyDescent="0.3">
      <c r="D104" s="32"/>
    </row>
    <row r="105" spans="4:4" x14ac:dyDescent="0.3">
      <c r="D105" s="32"/>
    </row>
    <row r="106" spans="4:4" x14ac:dyDescent="0.3">
      <c r="D106" s="32"/>
    </row>
    <row r="107" spans="4:4" x14ac:dyDescent="0.3">
      <c r="D107" s="32"/>
    </row>
    <row r="108" spans="4:4" x14ac:dyDescent="0.3">
      <c r="D108" s="32"/>
    </row>
    <row r="109" spans="4:4" x14ac:dyDescent="0.3">
      <c r="D109" s="32"/>
    </row>
    <row r="110" spans="4:4" x14ac:dyDescent="0.3">
      <c r="D110" s="32"/>
    </row>
    <row r="111" spans="4:4" x14ac:dyDescent="0.3">
      <c r="D111" s="32"/>
    </row>
    <row r="112" spans="4:4" x14ac:dyDescent="0.3">
      <c r="D112" s="32"/>
    </row>
    <row r="113" spans="4:4" x14ac:dyDescent="0.3">
      <c r="D113" s="32"/>
    </row>
    <row r="114" spans="4:4" x14ac:dyDescent="0.3">
      <c r="D114" s="32"/>
    </row>
    <row r="115" spans="4:4" x14ac:dyDescent="0.3">
      <c r="D115" s="32"/>
    </row>
    <row r="116" spans="4:4" x14ac:dyDescent="0.3">
      <c r="D116" s="32"/>
    </row>
    <row r="117" spans="4:4" x14ac:dyDescent="0.3">
      <c r="D117" s="32"/>
    </row>
    <row r="118" spans="4:4" x14ac:dyDescent="0.3">
      <c r="D118" s="32"/>
    </row>
    <row r="119" spans="4:4" x14ac:dyDescent="0.3">
      <c r="D119" s="32"/>
    </row>
    <row r="120" spans="4:4" x14ac:dyDescent="0.3">
      <c r="D120" s="32"/>
    </row>
    <row r="121" spans="4:4" x14ac:dyDescent="0.3">
      <c r="D121" s="32"/>
    </row>
    <row r="122" spans="4:4" x14ac:dyDescent="0.3">
      <c r="D122" s="32"/>
    </row>
    <row r="123" spans="4:4" x14ac:dyDescent="0.3">
      <c r="D123" s="32"/>
    </row>
    <row r="124" spans="4:4" x14ac:dyDescent="0.3">
      <c r="D124" s="32"/>
    </row>
    <row r="125" spans="4:4" x14ac:dyDescent="0.3">
      <c r="D125" s="32"/>
    </row>
    <row r="126" spans="4:4" x14ac:dyDescent="0.3">
      <c r="D126" s="32"/>
    </row>
    <row r="127" spans="4:4" x14ac:dyDescent="0.3">
      <c r="D127" s="32"/>
    </row>
    <row r="128" spans="4:4" x14ac:dyDescent="0.3">
      <c r="D128" s="32"/>
    </row>
    <row r="129" spans="4:4" x14ac:dyDescent="0.3">
      <c r="D129" s="32"/>
    </row>
    <row r="130" spans="4:4" x14ac:dyDescent="0.3">
      <c r="D130" s="32"/>
    </row>
    <row r="131" spans="4:4" x14ac:dyDescent="0.3">
      <c r="D131" s="32"/>
    </row>
    <row r="132" spans="4:4" x14ac:dyDescent="0.3">
      <c r="D132" s="32"/>
    </row>
    <row r="133" spans="4:4" x14ac:dyDescent="0.3">
      <c r="D133" s="32"/>
    </row>
    <row r="134" spans="4:4" x14ac:dyDescent="0.3">
      <c r="D134" s="32"/>
    </row>
    <row r="135" spans="4:4" x14ac:dyDescent="0.3">
      <c r="D135" s="32"/>
    </row>
    <row r="136" spans="4:4" x14ac:dyDescent="0.3">
      <c r="D136" s="32"/>
    </row>
    <row r="137" spans="4:4" x14ac:dyDescent="0.3">
      <c r="D137" s="32"/>
    </row>
    <row r="138" spans="4:4" x14ac:dyDescent="0.3">
      <c r="D138" s="32"/>
    </row>
    <row r="139" spans="4:4" x14ac:dyDescent="0.3">
      <c r="D139" s="32"/>
    </row>
    <row r="140" spans="4:4" x14ac:dyDescent="0.3">
      <c r="D140" s="32"/>
    </row>
    <row r="141" spans="4:4" x14ac:dyDescent="0.3">
      <c r="D141" s="32"/>
    </row>
    <row r="142" spans="4:4" x14ac:dyDescent="0.3">
      <c r="D142" s="32"/>
    </row>
    <row r="143" spans="4:4" x14ac:dyDescent="0.3">
      <c r="D143" s="32"/>
    </row>
    <row r="144" spans="4:4" x14ac:dyDescent="0.3">
      <c r="D144" s="32"/>
    </row>
    <row r="145" spans="4:4" x14ac:dyDescent="0.3">
      <c r="D145" s="32"/>
    </row>
    <row r="146" spans="4:4" x14ac:dyDescent="0.3">
      <c r="D146" s="32"/>
    </row>
    <row r="147" spans="4:4" x14ac:dyDescent="0.3">
      <c r="D147" s="32"/>
    </row>
    <row r="148" spans="4:4" x14ac:dyDescent="0.3">
      <c r="D148" s="32"/>
    </row>
    <row r="149" spans="4:4" x14ac:dyDescent="0.3">
      <c r="D149" s="32"/>
    </row>
    <row r="150" spans="4:4" x14ac:dyDescent="0.3">
      <c r="D150" s="32"/>
    </row>
    <row r="151" spans="4:4" x14ac:dyDescent="0.3">
      <c r="D151" s="32"/>
    </row>
    <row r="152" spans="4:4" x14ac:dyDescent="0.3">
      <c r="D152" s="32"/>
    </row>
    <row r="153" spans="4:4" x14ac:dyDescent="0.3">
      <c r="D153" s="32"/>
    </row>
    <row r="154" spans="4:4" x14ac:dyDescent="0.3">
      <c r="D154" s="32"/>
    </row>
    <row r="155" spans="4:4" x14ac:dyDescent="0.3">
      <c r="D155" s="32"/>
    </row>
    <row r="156" spans="4:4" x14ac:dyDescent="0.3">
      <c r="D156" s="32"/>
    </row>
    <row r="157" spans="4:4" x14ac:dyDescent="0.3">
      <c r="D157" s="32"/>
    </row>
    <row r="158" spans="4:4" x14ac:dyDescent="0.3">
      <c r="D158" s="32"/>
    </row>
    <row r="159" spans="4:4" x14ac:dyDescent="0.3">
      <c r="D159" s="32"/>
    </row>
    <row r="160" spans="4:4" x14ac:dyDescent="0.3">
      <c r="D160" s="32"/>
    </row>
    <row r="161" spans="4:4" x14ac:dyDescent="0.3">
      <c r="D161" s="32"/>
    </row>
    <row r="162" spans="4:4" x14ac:dyDescent="0.3">
      <c r="D162" s="32"/>
    </row>
    <row r="163" spans="4:4" x14ac:dyDescent="0.3">
      <c r="D163" s="32"/>
    </row>
    <row r="164" spans="4:4" x14ac:dyDescent="0.3">
      <c r="D164" s="32"/>
    </row>
    <row r="165" spans="4:4" x14ac:dyDescent="0.3">
      <c r="D165" s="32"/>
    </row>
    <row r="166" spans="4:4" x14ac:dyDescent="0.3">
      <c r="D166" s="32"/>
    </row>
    <row r="167" spans="4:4" x14ac:dyDescent="0.3">
      <c r="D167" s="32"/>
    </row>
    <row r="168" spans="4:4" x14ac:dyDescent="0.3">
      <c r="D168" s="32"/>
    </row>
    <row r="169" spans="4:4" x14ac:dyDescent="0.3">
      <c r="D169" s="32"/>
    </row>
    <row r="170" spans="4:4" x14ac:dyDescent="0.3">
      <c r="D170" s="32"/>
    </row>
    <row r="171" spans="4:4" x14ac:dyDescent="0.3">
      <c r="D171" s="32"/>
    </row>
    <row r="172" spans="4:4" x14ac:dyDescent="0.3">
      <c r="D172" s="32"/>
    </row>
    <row r="173" spans="4:4" x14ac:dyDescent="0.3">
      <c r="D173" s="32"/>
    </row>
    <row r="174" spans="4:4" x14ac:dyDescent="0.3">
      <c r="D174" s="32"/>
    </row>
  </sheetData>
  <mergeCells count="6">
    <mergeCell ref="B7:L7"/>
    <mergeCell ref="B2:L2"/>
    <mergeCell ref="B3:L3"/>
    <mergeCell ref="B4:L4"/>
    <mergeCell ref="B5:L5"/>
    <mergeCell ref="B6:L6"/>
  </mergeCells>
  <printOptions horizontalCentered="1"/>
  <pageMargins left="0.5" right="0.5" top="0.5" bottom="0.5" header="0.25" footer="0.25"/>
  <pageSetup scale="56" orientation="landscape" r:id="rId1"/>
  <headerFooter scaleWithDoc="0">
    <oddFooter>&amp;C&amp;"Times New Roman,Regular"&amp;10&amp;A</oddFooter>
  </headerFooter>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N51"/>
  <sheetViews>
    <sheetView zoomScale="80" zoomScaleNormal="80" workbookViewId="0">
      <selection activeCell="M25" sqref="M25"/>
    </sheetView>
  </sheetViews>
  <sheetFormatPr defaultColWidth="15.44140625" defaultRowHeight="15.6" x14ac:dyDescent="0.3"/>
  <cols>
    <col min="1" max="1" width="5.33203125" style="4" customWidth="1"/>
    <col min="2" max="2" width="73.6640625" style="32" customWidth="1"/>
    <col min="3" max="3" width="10.44140625" style="32" customWidth="1"/>
    <col min="4" max="4" width="1.5546875" style="32" customWidth="1"/>
    <col min="5" max="5" width="16.6640625" style="32" customWidth="1"/>
    <col min="6" max="6" width="1.5546875" style="32" customWidth="1"/>
    <col min="7" max="7" width="15.6640625" style="32" customWidth="1"/>
    <col min="8" max="8" width="15.5546875" style="32" customWidth="1"/>
    <col min="9" max="9" width="41" style="32" customWidth="1"/>
    <col min="10" max="10" width="5.33203125" style="4" bestFit="1" customWidth="1"/>
    <col min="11" max="11" width="5.33203125" style="4" customWidth="1"/>
    <col min="12" max="12" width="11.44140625" style="32" bestFit="1" customWidth="1"/>
    <col min="13" max="16384" width="15.44140625" style="32"/>
  </cols>
  <sheetData>
    <row r="2" spans="1:10" x14ac:dyDescent="0.3">
      <c r="B2" s="1222" t="s">
        <v>0</v>
      </c>
      <c r="C2" s="1222"/>
      <c r="D2" s="1222"/>
      <c r="E2" s="1223"/>
      <c r="F2" s="1223"/>
      <c r="G2" s="1223"/>
      <c r="H2" s="1223"/>
      <c r="I2" s="1223"/>
    </row>
    <row r="3" spans="1:10" x14ac:dyDescent="0.3">
      <c r="B3" s="1222" t="s">
        <v>198</v>
      </c>
      <c r="C3" s="1222"/>
      <c r="D3" s="1222"/>
      <c r="E3" s="1223"/>
      <c r="F3" s="1223"/>
      <c r="G3" s="1223"/>
      <c r="H3" s="1223"/>
      <c r="I3" s="1223"/>
    </row>
    <row r="4" spans="1:10" ht="18" x14ac:dyDescent="0.3">
      <c r="B4" s="1222" t="s">
        <v>199</v>
      </c>
      <c r="C4" s="1222"/>
      <c r="D4" s="1222"/>
      <c r="E4" s="1223"/>
      <c r="F4" s="1223"/>
      <c r="G4" s="1223"/>
      <c r="H4" s="1223"/>
      <c r="I4" s="1223"/>
    </row>
    <row r="5" spans="1:10" x14ac:dyDescent="0.3">
      <c r="B5" s="1227" t="str">
        <f>'BK-1 Retail TRR'!B307:G307</f>
        <v>For the Rate Effective Period January 1, 2025 - December 31, 2025</v>
      </c>
      <c r="C5" s="1227"/>
      <c r="D5" s="1227"/>
      <c r="E5" s="1228"/>
      <c r="F5" s="1228"/>
      <c r="G5" s="1228"/>
      <c r="H5" s="1228"/>
      <c r="I5" s="1228"/>
    </row>
    <row r="6" spans="1:10" x14ac:dyDescent="0.3">
      <c r="B6" s="1226" t="s">
        <v>4</v>
      </c>
      <c r="C6" s="1226"/>
      <c r="D6" s="1226"/>
      <c r="E6" s="1223"/>
      <c r="F6" s="1223"/>
      <c r="G6" s="1223"/>
      <c r="H6" s="1223"/>
      <c r="I6" s="1223"/>
    </row>
    <row r="7" spans="1:10" x14ac:dyDescent="0.3">
      <c r="B7" s="34"/>
      <c r="C7" s="34"/>
      <c r="D7" s="34"/>
      <c r="E7" s="10"/>
      <c r="H7" s="33"/>
      <c r="I7" s="4"/>
    </row>
    <row r="8" spans="1:10" x14ac:dyDescent="0.3">
      <c r="A8" s="4" t="s">
        <v>5</v>
      </c>
      <c r="B8" s="34"/>
      <c r="C8" s="34"/>
      <c r="D8" s="34"/>
      <c r="E8" s="10"/>
      <c r="H8" s="33"/>
      <c r="I8" s="4"/>
      <c r="J8" s="4" t="s">
        <v>5</v>
      </c>
    </row>
    <row r="9" spans="1:10" x14ac:dyDescent="0.3">
      <c r="A9" s="4" t="s">
        <v>6</v>
      </c>
      <c r="B9" s="34"/>
      <c r="C9" s="257"/>
      <c r="D9" s="257"/>
      <c r="E9" s="923" t="s">
        <v>200</v>
      </c>
      <c r="G9" s="1232" t="s">
        <v>8</v>
      </c>
      <c r="H9" s="1232"/>
      <c r="I9" s="924"/>
      <c r="J9" s="4" t="s">
        <v>6</v>
      </c>
    </row>
    <row r="10" spans="1:10" x14ac:dyDescent="0.3">
      <c r="B10" s="34" t="s">
        <v>201</v>
      </c>
      <c r="C10" s="34"/>
      <c r="D10" s="34"/>
      <c r="E10" s="45"/>
      <c r="G10" s="4"/>
      <c r="H10" s="33"/>
    </row>
    <row r="11" spans="1:10" x14ac:dyDescent="0.3">
      <c r="A11" s="4">
        <v>1</v>
      </c>
      <c r="B11" s="32" t="s">
        <v>202</v>
      </c>
      <c r="E11" s="7">
        <f>'BK-1 Retail TRR'!E329</f>
        <v>1245153.6301734403</v>
      </c>
      <c r="F11" s="221"/>
      <c r="G11" s="1231" t="s">
        <v>203</v>
      </c>
      <c r="H11" s="1231"/>
      <c r="I11" s="33"/>
      <c r="J11" s="4">
        <f>A11</f>
        <v>1</v>
      </c>
    </row>
    <row r="12" spans="1:10" x14ac:dyDescent="0.3">
      <c r="A12" s="4">
        <f>A11+1</f>
        <v>2</v>
      </c>
      <c r="B12" s="33"/>
      <c r="C12" s="33"/>
      <c r="D12" s="33"/>
      <c r="G12" s="33"/>
      <c r="H12" s="33"/>
      <c r="I12" s="33"/>
      <c r="J12" s="4">
        <f>J11+1</f>
        <v>2</v>
      </c>
    </row>
    <row r="13" spans="1:10" x14ac:dyDescent="0.3">
      <c r="A13" s="4">
        <f t="shared" ref="A13:A44" si="0">A12+1</f>
        <v>3</v>
      </c>
      <c r="B13" s="33" t="s">
        <v>204</v>
      </c>
      <c r="C13" s="33"/>
      <c r="D13" s="33"/>
      <c r="E13" s="8">
        <f>-'BK-1 Retail TRR'!E15</f>
        <v>0</v>
      </c>
      <c r="G13" s="1231" t="s">
        <v>205</v>
      </c>
      <c r="H13" s="1231"/>
      <c r="I13" s="1231"/>
      <c r="J13" s="4">
        <f t="shared" ref="J13:J44" si="1">J12+1</f>
        <v>3</v>
      </c>
    </row>
    <row r="14" spans="1:10" x14ac:dyDescent="0.3">
      <c r="A14" s="4">
        <f t="shared" si="0"/>
        <v>4</v>
      </c>
      <c r="B14" s="33"/>
      <c r="C14" s="33"/>
      <c r="D14" s="33"/>
      <c r="E14" s="8"/>
      <c r="G14" s="33"/>
      <c r="H14" s="33"/>
      <c r="I14" s="33"/>
      <c r="J14" s="4">
        <f t="shared" si="1"/>
        <v>4</v>
      </c>
    </row>
    <row r="15" spans="1:10" x14ac:dyDescent="0.3">
      <c r="A15" s="4">
        <f t="shared" si="0"/>
        <v>5</v>
      </c>
      <c r="B15" s="32" t="s">
        <v>1866</v>
      </c>
      <c r="C15" s="33"/>
      <c r="D15" s="33"/>
      <c r="E15" s="8">
        <f>'Stmt AL'!E40</f>
        <v>0</v>
      </c>
      <c r="G15" s="32" t="s">
        <v>1747</v>
      </c>
      <c r="I15" s="33"/>
      <c r="J15" s="4">
        <f t="shared" si="1"/>
        <v>5</v>
      </c>
    </row>
    <row r="16" spans="1:10" x14ac:dyDescent="0.3">
      <c r="A16" s="4">
        <f t="shared" si="0"/>
        <v>6</v>
      </c>
      <c r="B16" s="417"/>
      <c r="C16" s="33"/>
      <c r="D16" s="33"/>
      <c r="E16" s="8"/>
      <c r="I16" s="33"/>
      <c r="J16" s="4">
        <f t="shared" si="1"/>
        <v>6</v>
      </c>
    </row>
    <row r="17" spans="1:12" x14ac:dyDescent="0.3">
      <c r="A17" s="4">
        <f t="shared" si="0"/>
        <v>7</v>
      </c>
      <c r="B17" s="32" t="s">
        <v>1867</v>
      </c>
      <c r="C17" s="33"/>
      <c r="D17" s="33"/>
      <c r="E17" s="8">
        <f>'Stmt AL'!E44</f>
        <v>0</v>
      </c>
      <c r="G17" s="32" t="s">
        <v>1868</v>
      </c>
      <c r="I17" s="33"/>
      <c r="J17" s="4">
        <f t="shared" si="1"/>
        <v>7</v>
      </c>
    </row>
    <row r="18" spans="1:12" x14ac:dyDescent="0.3">
      <c r="A18" s="4">
        <f t="shared" si="0"/>
        <v>8</v>
      </c>
      <c r="B18" s="417"/>
      <c r="C18" s="33"/>
      <c r="D18" s="33"/>
      <c r="E18" s="8"/>
      <c r="I18" s="33"/>
      <c r="J18" s="4">
        <f t="shared" si="1"/>
        <v>8</v>
      </c>
    </row>
    <row r="19" spans="1:12" x14ac:dyDescent="0.3">
      <c r="A19" s="4">
        <f t="shared" si="0"/>
        <v>9</v>
      </c>
      <c r="B19" s="33" t="s">
        <v>206</v>
      </c>
      <c r="C19" s="33"/>
      <c r="D19" s="33"/>
      <c r="E19" s="8">
        <f>-'Stmt AQ'!E11</f>
        <v>-1304.0991895338727</v>
      </c>
      <c r="G19" s="32" t="s">
        <v>207</v>
      </c>
      <c r="I19" s="33"/>
      <c r="J19" s="4">
        <f t="shared" si="1"/>
        <v>9</v>
      </c>
    </row>
    <row r="20" spans="1:12" x14ac:dyDescent="0.3">
      <c r="A20" s="4">
        <f t="shared" si="0"/>
        <v>10</v>
      </c>
      <c r="C20" s="33"/>
      <c r="D20" s="33"/>
      <c r="E20" s="8"/>
      <c r="I20" s="33"/>
      <c r="J20" s="4">
        <f t="shared" si="1"/>
        <v>10</v>
      </c>
      <c r="K20" s="361"/>
    </row>
    <row r="21" spans="1:12" x14ac:dyDescent="0.3">
      <c r="A21" s="4">
        <f t="shared" si="0"/>
        <v>11</v>
      </c>
      <c r="B21" s="32" t="s">
        <v>1953</v>
      </c>
      <c r="C21" s="33"/>
      <c r="D21" s="33"/>
      <c r="E21" s="1199">
        <v>-252.2003661</v>
      </c>
      <c r="G21" s="32" t="s">
        <v>289</v>
      </c>
      <c r="I21" s="33"/>
      <c r="J21" s="4">
        <f t="shared" si="1"/>
        <v>11</v>
      </c>
      <c r="K21" s="361"/>
    </row>
    <row r="22" spans="1:12" x14ac:dyDescent="0.3">
      <c r="A22" s="4">
        <f t="shared" si="0"/>
        <v>12</v>
      </c>
      <c r="E22" s="10"/>
      <c r="G22" s="33"/>
      <c r="H22" s="33"/>
      <c r="I22" s="33"/>
      <c r="J22" s="4">
        <f t="shared" si="1"/>
        <v>12</v>
      </c>
      <c r="K22" s="361"/>
      <c r="L22" s="258"/>
    </row>
    <row r="23" spans="1:12" ht="16.2" thickBot="1" x14ac:dyDescent="0.35">
      <c r="A23" s="4">
        <f t="shared" si="0"/>
        <v>13</v>
      </c>
      <c r="B23" s="32" t="s">
        <v>208</v>
      </c>
      <c r="E23" s="24">
        <f>SUM(E11:E21)</f>
        <v>1243597.3306178064</v>
      </c>
      <c r="F23" s="221"/>
      <c r="G23" s="1231" t="s">
        <v>653</v>
      </c>
      <c r="H23" s="1231"/>
      <c r="I23" s="33"/>
      <c r="J23" s="4">
        <f t="shared" si="1"/>
        <v>13</v>
      </c>
      <c r="K23" s="361"/>
    </row>
    <row r="24" spans="1:12" ht="16.2" thickTop="1" x14ac:dyDescent="0.3">
      <c r="A24" s="4">
        <f t="shared" si="0"/>
        <v>14</v>
      </c>
      <c r="B24" s="34"/>
      <c r="C24" s="34"/>
      <c r="D24" s="34"/>
      <c r="E24" s="10"/>
      <c r="G24" s="625"/>
      <c r="H24" s="625"/>
      <c r="I24" s="4"/>
      <c r="J24" s="4">
        <f t="shared" si="1"/>
        <v>14</v>
      </c>
      <c r="K24" s="361"/>
    </row>
    <row r="25" spans="1:12" ht="18" x14ac:dyDescent="0.3">
      <c r="A25" s="4">
        <f t="shared" si="0"/>
        <v>15</v>
      </c>
      <c r="B25" s="34" t="s">
        <v>209</v>
      </c>
      <c r="C25" s="34"/>
      <c r="D25" s="34"/>
      <c r="E25" s="35" t="s">
        <v>210</v>
      </c>
      <c r="F25" s="4"/>
      <c r="G25" s="4" t="s">
        <v>211</v>
      </c>
      <c r="H25" s="4" t="s">
        <v>212</v>
      </c>
      <c r="I25" s="4"/>
      <c r="J25" s="4">
        <f t="shared" si="1"/>
        <v>15</v>
      </c>
      <c r="K25" s="361"/>
    </row>
    <row r="26" spans="1:12" x14ac:dyDescent="0.3">
      <c r="A26" s="4">
        <f t="shared" si="0"/>
        <v>16</v>
      </c>
      <c r="B26" s="1" t="s">
        <v>213</v>
      </c>
      <c r="C26" s="1"/>
      <c r="D26" s="1"/>
      <c r="E26" s="852" t="s">
        <v>200</v>
      </c>
      <c r="F26" s="4"/>
      <c r="G26" s="852" t="s">
        <v>214</v>
      </c>
      <c r="H26" s="852" t="s">
        <v>215</v>
      </c>
      <c r="I26" s="852" t="s">
        <v>8</v>
      </c>
      <c r="J26" s="4">
        <f t="shared" si="1"/>
        <v>16</v>
      </c>
      <c r="K26" s="361"/>
    </row>
    <row r="27" spans="1:12" x14ac:dyDescent="0.3">
      <c r="A27" s="4">
        <f t="shared" si="0"/>
        <v>17</v>
      </c>
      <c r="B27" s="1" t="s">
        <v>216</v>
      </c>
      <c r="C27" s="1"/>
      <c r="D27" s="1"/>
      <c r="I27" s="4"/>
      <c r="J27" s="4">
        <f t="shared" si="1"/>
        <v>17</v>
      </c>
      <c r="K27" s="361"/>
      <c r="L27" s="258"/>
    </row>
    <row r="28" spans="1:12" ht="31.2" x14ac:dyDescent="0.3">
      <c r="A28" s="4">
        <f t="shared" si="0"/>
        <v>18</v>
      </c>
      <c r="B28" s="32" t="s">
        <v>217</v>
      </c>
      <c r="E28" s="27">
        <f>G28+H28</f>
        <v>0.99999999999999989</v>
      </c>
      <c r="F28" s="27"/>
      <c r="G28" s="1166">
        <f>'HV-LV Plant Study'!F44</f>
        <v>0.4969168783119442</v>
      </c>
      <c r="H28" s="1166">
        <f>'HV-LV Plant Study'!E44</f>
        <v>0.50308312168805569</v>
      </c>
      <c r="I28" s="92" t="s">
        <v>1734</v>
      </c>
      <c r="J28" s="4">
        <f t="shared" si="1"/>
        <v>18</v>
      </c>
      <c r="K28" s="361"/>
      <c r="L28" s="258"/>
    </row>
    <row r="29" spans="1:12" x14ac:dyDescent="0.3">
      <c r="A29" s="4">
        <f t="shared" si="0"/>
        <v>19</v>
      </c>
      <c r="B29" s="32" t="s">
        <v>218</v>
      </c>
      <c r="E29" s="915">
        <f>E23-E33</f>
        <v>1154783.2753564378</v>
      </c>
      <c r="F29" s="221"/>
      <c r="G29" s="915">
        <f>G28*E29</f>
        <v>573831.30031696334</v>
      </c>
      <c r="H29" s="915">
        <f>H28*E29</f>
        <v>580951.97503947432</v>
      </c>
      <c r="I29" s="4" t="s">
        <v>1869</v>
      </c>
      <c r="J29" s="4">
        <f t="shared" si="1"/>
        <v>19</v>
      </c>
      <c r="K29" s="361"/>
    </row>
    <row r="30" spans="1:12" x14ac:dyDescent="0.3">
      <c r="A30" s="4">
        <f t="shared" si="0"/>
        <v>20</v>
      </c>
      <c r="E30" s="36"/>
      <c r="G30" s="36"/>
      <c r="H30" s="10"/>
      <c r="I30" s="4" t="s">
        <v>1870</v>
      </c>
      <c r="J30" s="4">
        <f t="shared" si="1"/>
        <v>20</v>
      </c>
      <c r="K30" s="361"/>
    </row>
    <row r="31" spans="1:12" ht="15.75" customHeight="1" x14ac:dyDescent="0.3">
      <c r="A31" s="4">
        <f t="shared" si="0"/>
        <v>21</v>
      </c>
      <c r="B31" s="1" t="s">
        <v>219</v>
      </c>
      <c r="C31" s="1"/>
      <c r="D31" s="1"/>
      <c r="H31" s="29"/>
      <c r="I31" s="259"/>
      <c r="J31" s="4">
        <f t="shared" si="1"/>
        <v>21</v>
      </c>
      <c r="K31" s="361"/>
      <c r="L31" s="258"/>
    </row>
    <row r="32" spans="1:12" ht="31.2" x14ac:dyDescent="0.3">
      <c r="A32" s="4">
        <f t="shared" si="0"/>
        <v>22</v>
      </c>
      <c r="B32" s="32" t="s">
        <v>220</v>
      </c>
      <c r="E32" s="27">
        <f>+G32+H32</f>
        <v>1.0000000000000002</v>
      </c>
      <c r="F32" s="4"/>
      <c r="G32" s="136">
        <f>'Summary of HV-LV Splits'!G29</f>
        <v>0.32280321945424506</v>
      </c>
      <c r="H32" s="136">
        <f>'Summary of HV-LV Splits'!H29</f>
        <v>0.67719678054575516</v>
      </c>
      <c r="I32" s="92" t="s">
        <v>221</v>
      </c>
      <c r="J32" s="4">
        <f t="shared" si="1"/>
        <v>22</v>
      </c>
      <c r="K32" s="361"/>
      <c r="L32" s="571"/>
    </row>
    <row r="33" spans="1:14" ht="31.2" x14ac:dyDescent="0.3">
      <c r="A33" s="4">
        <f t="shared" si="0"/>
        <v>23</v>
      </c>
      <c r="B33" s="32" t="s">
        <v>222</v>
      </c>
      <c r="E33" s="925">
        <f>'BK-1 Retail TRR'!E323+'BK-1 Retail TRR'!E325+'BK-1 Retail TRR'!E327</f>
        <v>88814.055261368718</v>
      </c>
      <c r="F33" s="4"/>
      <c r="G33" s="915">
        <f>G32*E33</f>
        <v>28669.462971157056</v>
      </c>
      <c r="H33" s="915">
        <f>H32*E33</f>
        <v>60144.59229021168</v>
      </c>
      <c r="I33" s="92" t="s">
        <v>223</v>
      </c>
      <c r="J33" s="4">
        <f t="shared" si="1"/>
        <v>23</v>
      </c>
      <c r="K33" s="361"/>
    </row>
    <row r="34" spans="1:14" x14ac:dyDescent="0.3">
      <c r="A34" s="4">
        <f t="shared" si="0"/>
        <v>24</v>
      </c>
      <c r="E34" s="36"/>
      <c r="I34" s="4" t="s">
        <v>1871</v>
      </c>
      <c r="J34" s="4">
        <f t="shared" si="1"/>
        <v>24</v>
      </c>
      <c r="K34" s="361"/>
      <c r="L34" s="258"/>
    </row>
    <row r="35" spans="1:14" x14ac:dyDescent="0.3">
      <c r="A35" s="4">
        <f t="shared" si="0"/>
        <v>25</v>
      </c>
      <c r="B35" s="34" t="s">
        <v>224</v>
      </c>
      <c r="C35" s="625"/>
      <c r="D35" s="625"/>
      <c r="I35" s="4"/>
      <c r="J35" s="4">
        <f t="shared" si="1"/>
        <v>25</v>
      </c>
      <c r="K35" s="361"/>
    </row>
    <row r="36" spans="1:14" x14ac:dyDescent="0.3">
      <c r="A36" s="4">
        <f t="shared" si="0"/>
        <v>26</v>
      </c>
      <c r="B36" s="34" t="s">
        <v>225</v>
      </c>
      <c r="C36" s="625"/>
      <c r="D36" s="625"/>
      <c r="I36" s="4"/>
      <c r="J36" s="4">
        <f t="shared" si="1"/>
        <v>26</v>
      </c>
      <c r="K36" s="361"/>
      <c r="L36" s="1"/>
    </row>
    <row r="37" spans="1:14" ht="18" x14ac:dyDescent="0.3">
      <c r="A37" s="4">
        <f t="shared" si="0"/>
        <v>27</v>
      </c>
      <c r="B37" s="32" t="s">
        <v>226</v>
      </c>
      <c r="E37" s="10">
        <f>+E29+E33</f>
        <v>1243597.3306178064</v>
      </c>
      <c r="F37" s="4"/>
      <c r="G37" s="10">
        <f>+G29+G33</f>
        <v>602500.76328812039</v>
      </c>
      <c r="H37" s="10">
        <f>+H29+H33</f>
        <v>641096.56732968602</v>
      </c>
      <c r="I37" s="4" t="s">
        <v>1872</v>
      </c>
      <c r="J37" s="4">
        <f t="shared" si="1"/>
        <v>27</v>
      </c>
      <c r="K37" s="361"/>
      <c r="L37" s="1"/>
      <c r="N37" s="36"/>
    </row>
    <row r="38" spans="1:14" ht="18" x14ac:dyDescent="0.3">
      <c r="A38" s="4">
        <f t="shared" si="0"/>
        <v>28</v>
      </c>
      <c r="B38" s="32" t="s">
        <v>227</v>
      </c>
      <c r="C38" s="31">
        <v>1.0207000000000001E-2</v>
      </c>
      <c r="D38" s="269">
        <v>3</v>
      </c>
      <c r="E38" s="918">
        <f>G38+H38</f>
        <v>12693.397953615951</v>
      </c>
      <c r="F38" s="4"/>
      <c r="G38" s="918">
        <f>G37*C38</f>
        <v>6149.7252908818455</v>
      </c>
      <c r="H38" s="918">
        <f>H37*C38</f>
        <v>6543.6726627341059</v>
      </c>
      <c r="I38" s="4" t="s">
        <v>1873</v>
      </c>
      <c r="J38" s="4">
        <f t="shared" si="1"/>
        <v>28</v>
      </c>
      <c r="K38" s="361"/>
      <c r="L38" s="1"/>
    </row>
    <row r="39" spans="1:14" x14ac:dyDescent="0.3">
      <c r="A39" s="4">
        <f t="shared" si="0"/>
        <v>29</v>
      </c>
      <c r="B39" s="32" t="s">
        <v>228</v>
      </c>
      <c r="E39" s="10">
        <f>E37+E38</f>
        <v>1256290.7285714224</v>
      </c>
      <c r="F39" s="4"/>
      <c r="G39" s="10">
        <f>G37+G38</f>
        <v>608650.48857900221</v>
      </c>
      <c r="H39" s="10">
        <f>H37+H38</f>
        <v>647640.23999242007</v>
      </c>
      <c r="I39" s="4" t="s">
        <v>1874</v>
      </c>
      <c r="J39" s="4">
        <f t="shared" si="1"/>
        <v>29</v>
      </c>
      <c r="K39" s="361"/>
      <c r="L39" s="877"/>
      <c r="N39" s="36"/>
    </row>
    <row r="40" spans="1:14" x14ac:dyDescent="0.3">
      <c r="A40" s="4">
        <f t="shared" si="0"/>
        <v>30</v>
      </c>
      <c r="E40" s="10"/>
      <c r="F40" s="4"/>
      <c r="G40" s="10"/>
      <c r="H40" s="10"/>
      <c r="I40" s="4"/>
      <c r="J40" s="4">
        <f t="shared" si="1"/>
        <v>30</v>
      </c>
      <c r="K40" s="361"/>
      <c r="L40" s="877"/>
    </row>
    <row r="41" spans="1:14" x14ac:dyDescent="0.3">
      <c r="A41" s="4">
        <f t="shared" si="0"/>
        <v>31</v>
      </c>
      <c r="B41" s="34" t="s">
        <v>229</v>
      </c>
      <c r="E41" s="926">
        <v>1574</v>
      </c>
      <c r="F41" s="260"/>
      <c r="G41" s="927">
        <f>E41*G28</f>
        <v>782.14716646300019</v>
      </c>
      <c r="H41" s="927">
        <f>E41*H28</f>
        <v>791.8528335369997</v>
      </c>
      <c r="I41" s="92" t="s">
        <v>230</v>
      </c>
      <c r="J41" s="4">
        <f t="shared" si="1"/>
        <v>31</v>
      </c>
      <c r="K41" s="361"/>
      <c r="L41"/>
    </row>
    <row r="42" spans="1:14" x14ac:dyDescent="0.3">
      <c r="A42" s="4">
        <f t="shared" si="0"/>
        <v>32</v>
      </c>
      <c r="E42" s="6"/>
      <c r="F42" s="260"/>
      <c r="G42" s="6"/>
      <c r="H42" s="6"/>
      <c r="I42" s="4" t="s">
        <v>1875</v>
      </c>
      <c r="J42" s="4">
        <f t="shared" si="1"/>
        <v>32</v>
      </c>
      <c r="K42" s="361"/>
      <c r="L42" s="877"/>
    </row>
    <row r="43" spans="1:14" x14ac:dyDescent="0.3">
      <c r="A43" s="4">
        <f t="shared" si="0"/>
        <v>33</v>
      </c>
      <c r="E43" s="6"/>
      <c r="F43" s="260"/>
      <c r="G43" s="6"/>
      <c r="H43" s="6"/>
      <c r="I43" s="4"/>
      <c r="J43" s="4">
        <f t="shared" si="1"/>
        <v>33</v>
      </c>
      <c r="K43" s="361"/>
      <c r="L43" s="877"/>
    </row>
    <row r="44" spans="1:14" ht="18.600000000000001" thickBot="1" x14ac:dyDescent="0.35">
      <c r="A44" s="4">
        <f t="shared" si="0"/>
        <v>34</v>
      </c>
      <c r="B44" s="34" t="s">
        <v>1782</v>
      </c>
      <c r="E44" s="38">
        <f>E39+E41</f>
        <v>1257864.7285714224</v>
      </c>
      <c r="F44" s="260"/>
      <c r="G44" s="38">
        <f>G39+G41</f>
        <v>609432.63574546517</v>
      </c>
      <c r="H44" s="38">
        <f>H39+H41</f>
        <v>648432.09282595711</v>
      </c>
      <c r="I44" s="92" t="s">
        <v>1876</v>
      </c>
      <c r="J44" s="4">
        <f t="shared" si="1"/>
        <v>34</v>
      </c>
      <c r="K44" s="361"/>
      <c r="L44" s="877"/>
    </row>
    <row r="45" spans="1:14" ht="16.2" thickTop="1" x14ac:dyDescent="0.3">
      <c r="B45" s="34"/>
      <c r="E45" s="36"/>
      <c r="F45" s="260"/>
      <c r="G45" s="36"/>
      <c r="H45" s="36"/>
      <c r="I45" s="92"/>
      <c r="K45" s="361"/>
      <c r="L45" s="877"/>
    </row>
    <row r="46" spans="1:14" x14ac:dyDescent="0.3">
      <c r="B46" s="34"/>
      <c r="E46" s="36"/>
      <c r="F46" s="260"/>
      <c r="G46" s="36"/>
      <c r="H46" s="36"/>
      <c r="I46" s="92"/>
      <c r="K46" s="361"/>
      <c r="L46" s="877"/>
    </row>
    <row r="47" spans="1:14" ht="18" x14ac:dyDescent="0.3">
      <c r="A47" s="256">
        <v>1</v>
      </c>
      <c r="B47" s="32" t="s">
        <v>231</v>
      </c>
      <c r="I47" s="4"/>
    </row>
    <row r="48" spans="1:14" ht="18" x14ac:dyDescent="0.3">
      <c r="A48" s="256">
        <v>2</v>
      </c>
      <c r="B48" s="32" t="s">
        <v>232</v>
      </c>
    </row>
    <row r="49" spans="1:2" ht="18" x14ac:dyDescent="0.3">
      <c r="A49" s="269">
        <v>3</v>
      </c>
      <c r="B49" s="32" t="s">
        <v>1776</v>
      </c>
    </row>
    <row r="50" spans="1:2" ht="18" x14ac:dyDescent="0.3">
      <c r="A50" s="256">
        <v>4</v>
      </c>
      <c r="B50" s="32" t="s">
        <v>233</v>
      </c>
    </row>
    <row r="51" spans="1:2" x14ac:dyDescent="0.3">
      <c r="A51" s="32"/>
    </row>
  </sheetData>
  <mergeCells count="9">
    <mergeCell ref="G23:H23"/>
    <mergeCell ref="B2:I2"/>
    <mergeCell ref="B3:I3"/>
    <mergeCell ref="B4:I4"/>
    <mergeCell ref="B5:I5"/>
    <mergeCell ref="B6:I6"/>
    <mergeCell ref="G11:H11"/>
    <mergeCell ref="G9:H9"/>
    <mergeCell ref="G13:I13"/>
  </mergeCells>
  <printOptions horizontalCentered="1"/>
  <pageMargins left="0.5" right="0.5" top="0.5" bottom="0.5" header="0.25" footer="0.25"/>
  <pageSetup scale="51" orientation="portrait" r:id="rId1"/>
  <headerFooter scaleWithDoc="0">
    <oddFooter>&amp;C&amp;"Times New Roman,Regular"&amp;10BK-2
Page 1 of 1</oddFooter>
  </headerFooter>
  <customProperties>
    <customPr name="_pios_id" r:id="rId2"/>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2:G41"/>
  <sheetViews>
    <sheetView zoomScale="80" zoomScaleNormal="80" workbookViewId="0"/>
  </sheetViews>
  <sheetFormatPr defaultColWidth="9.33203125" defaultRowHeight="15.6" x14ac:dyDescent="0.3"/>
  <cols>
    <col min="1" max="1" width="5.33203125" style="221" customWidth="1"/>
    <col min="2" max="2" width="35.33203125" style="1" customWidth="1"/>
    <col min="3" max="3" width="18.5546875" style="1" customWidth="1"/>
    <col min="4" max="4" width="62.5546875" style="1" customWidth="1"/>
    <col min="5" max="5" width="5.33203125" style="221" customWidth="1"/>
    <col min="6" max="6" width="11" style="1" customWidth="1"/>
    <col min="7" max="7" width="7.33203125" style="1" customWidth="1"/>
    <col min="8" max="8" width="9.33203125" style="1" customWidth="1"/>
    <col min="9" max="9" width="14" style="1" customWidth="1"/>
    <col min="10" max="10" width="13.44140625" style="1" customWidth="1"/>
    <col min="11" max="16384" width="9.33203125" style="1"/>
  </cols>
  <sheetData>
    <row r="2" spans="1:6" x14ac:dyDescent="0.3">
      <c r="B2" s="1222" t="s">
        <v>0</v>
      </c>
      <c r="C2" s="1222"/>
      <c r="D2" s="1222"/>
    </row>
    <row r="3" spans="1:6" x14ac:dyDescent="0.3">
      <c r="B3" s="1222" t="s">
        <v>402</v>
      </c>
      <c r="C3" s="1222"/>
      <c r="D3" s="1222"/>
    </row>
    <row r="4" spans="1:6" x14ac:dyDescent="0.3">
      <c r="B4" s="1222" t="s">
        <v>403</v>
      </c>
      <c r="C4" s="1222"/>
      <c r="D4" s="1222"/>
    </row>
    <row r="5" spans="1:6" x14ac:dyDescent="0.3">
      <c r="B5" s="1222" t="str">
        <f>'AD-1'!B5</f>
        <v>BASE PERIOD / TRUE UP PERIOD - 12/31/2023 PER BOOK</v>
      </c>
      <c r="C5" s="1222"/>
      <c r="D5" s="1222"/>
    </row>
    <row r="6" spans="1:6" x14ac:dyDescent="0.3">
      <c r="B6" s="1226" t="s">
        <v>4</v>
      </c>
      <c r="C6" s="1226"/>
      <c r="D6" s="1226"/>
    </row>
    <row r="7" spans="1:6" x14ac:dyDescent="0.3">
      <c r="B7" s="270"/>
      <c r="C7" s="270"/>
      <c r="D7" s="270"/>
    </row>
    <row r="8" spans="1:6" x14ac:dyDescent="0.3">
      <c r="B8" s="1222" t="s">
        <v>364</v>
      </c>
      <c r="C8" s="1222"/>
      <c r="D8" s="1222"/>
    </row>
    <row r="9" spans="1:6" x14ac:dyDescent="0.3">
      <c r="A9" s="4"/>
    </row>
    <row r="10" spans="1:6" x14ac:dyDescent="0.3">
      <c r="A10" s="4"/>
      <c r="B10" s="314"/>
      <c r="C10" s="326" t="s">
        <v>365</v>
      </c>
      <c r="D10" s="970"/>
      <c r="E10" s="4"/>
    </row>
    <row r="11" spans="1:6" x14ac:dyDescent="0.3">
      <c r="A11" s="4" t="s">
        <v>5</v>
      </c>
      <c r="B11" s="301"/>
      <c r="C11" s="273" t="s">
        <v>415</v>
      </c>
      <c r="D11" s="934"/>
      <c r="E11" s="4" t="s">
        <v>5</v>
      </c>
    </row>
    <row r="12" spans="1:6" x14ac:dyDescent="0.3">
      <c r="A12" s="4" t="s">
        <v>6</v>
      </c>
      <c r="B12" s="309" t="s">
        <v>286</v>
      </c>
      <c r="C12" s="278" t="s">
        <v>367</v>
      </c>
      <c r="D12" s="278" t="s">
        <v>8</v>
      </c>
      <c r="E12" s="4" t="s">
        <v>6</v>
      </c>
    </row>
    <row r="13" spans="1:6" x14ac:dyDescent="0.3">
      <c r="A13" s="4"/>
      <c r="B13" s="317"/>
      <c r="C13" s="968"/>
      <c r="D13" s="971"/>
      <c r="E13" s="4"/>
    </row>
    <row r="14" spans="1:6" x14ac:dyDescent="0.3">
      <c r="A14" s="4">
        <v>1</v>
      </c>
      <c r="B14" s="632" t="str">
        <f>'AE-1'!B14</f>
        <v>Dec-22</v>
      </c>
      <c r="C14" s="235">
        <v>69951.332410000017</v>
      </c>
      <c r="D14" s="946" t="s">
        <v>405</v>
      </c>
      <c r="E14" s="4">
        <f>A14</f>
        <v>1</v>
      </c>
      <c r="F14" s="280"/>
    </row>
    <row r="15" spans="1:6" x14ac:dyDescent="0.3">
      <c r="A15" s="4">
        <f>A14+1</f>
        <v>2</v>
      </c>
      <c r="B15" s="320"/>
      <c r="C15" s="950"/>
      <c r="D15" s="950"/>
      <c r="E15" s="4">
        <f>E14+1</f>
        <v>2</v>
      </c>
    </row>
    <row r="16" spans="1:6" x14ac:dyDescent="0.3">
      <c r="A16" s="4">
        <f t="shared" ref="A16:A20" si="0">A15+1</f>
        <v>3</v>
      </c>
      <c r="B16" s="632" t="str">
        <f>'AE-1'!B26</f>
        <v>Dec-23</v>
      </c>
      <c r="C16" s="236">
        <v>76610.14694999998</v>
      </c>
      <c r="D16" s="946" t="s">
        <v>1535</v>
      </c>
      <c r="E16" s="4">
        <f t="shared" ref="E16:E20" si="1">E15+1</f>
        <v>3</v>
      </c>
      <c r="F16" s="280"/>
    </row>
    <row r="17" spans="1:7" x14ac:dyDescent="0.3">
      <c r="A17" s="4">
        <f t="shared" si="0"/>
        <v>4</v>
      </c>
      <c r="B17" s="335"/>
      <c r="C17" s="82"/>
      <c r="D17" s="82"/>
      <c r="E17" s="4">
        <f t="shared" si="1"/>
        <v>4</v>
      </c>
    </row>
    <row r="18" spans="1:7" x14ac:dyDescent="0.3">
      <c r="A18" s="4">
        <f t="shared" si="0"/>
        <v>5</v>
      </c>
      <c r="B18" s="314"/>
      <c r="C18" s="968"/>
      <c r="D18" s="971"/>
      <c r="E18" s="4">
        <f t="shared" si="1"/>
        <v>5</v>
      </c>
    </row>
    <row r="19" spans="1:7" x14ac:dyDescent="0.3">
      <c r="A19" s="4">
        <f t="shared" si="0"/>
        <v>6</v>
      </c>
      <c r="B19" s="322" t="s">
        <v>318</v>
      </c>
      <c r="C19" s="969">
        <f>(C14+C16)/2</f>
        <v>73280.739679999999</v>
      </c>
      <c r="D19" s="947" t="s">
        <v>319</v>
      </c>
      <c r="E19" s="4">
        <f t="shared" si="1"/>
        <v>6</v>
      </c>
    </row>
    <row r="20" spans="1:7" x14ac:dyDescent="0.3">
      <c r="A20" s="4">
        <f t="shared" si="0"/>
        <v>7</v>
      </c>
      <c r="B20" s="331"/>
      <c r="C20" s="68"/>
      <c r="D20" s="94"/>
      <c r="E20" s="4">
        <f t="shared" si="1"/>
        <v>7</v>
      </c>
    </row>
    <row r="21" spans="1:7" x14ac:dyDescent="0.3">
      <c r="A21" s="4"/>
      <c r="B21" s="32"/>
      <c r="C21" s="29"/>
      <c r="D21" s="32"/>
      <c r="E21" s="4"/>
    </row>
    <row r="22" spans="1:7" x14ac:dyDescent="0.3">
      <c r="A22" s="4"/>
      <c r="B22" s="32"/>
      <c r="C22" s="32"/>
      <c r="D22" s="32"/>
    </row>
    <row r="23" spans="1:7" ht="18" x14ac:dyDescent="0.3">
      <c r="A23" s="875"/>
      <c r="B23"/>
      <c r="C23"/>
      <c r="D23"/>
      <c r="E23"/>
      <c r="G23" s="258"/>
    </row>
    <row r="24" spans="1:7" x14ac:dyDescent="0.3">
      <c r="A24" s="876"/>
      <c r="B24"/>
      <c r="C24"/>
      <c r="D24"/>
      <c r="E24"/>
    </row>
    <row r="25" spans="1:7" x14ac:dyDescent="0.3">
      <c r="A25" s="876"/>
      <c r="B25"/>
      <c r="C25"/>
      <c r="D25"/>
      <c r="E25"/>
    </row>
    <row r="26" spans="1:7" x14ac:dyDescent="0.3">
      <c r="B26" s="32"/>
      <c r="C26" s="32"/>
      <c r="D26" s="32"/>
    </row>
    <row r="27" spans="1:7" x14ac:dyDescent="0.3">
      <c r="B27" s="32"/>
      <c r="C27" s="32"/>
      <c r="D27" s="32"/>
    </row>
    <row r="28" spans="1:7" x14ac:dyDescent="0.3">
      <c r="B28" s="32"/>
      <c r="C28" s="32"/>
      <c r="D28" s="32"/>
    </row>
    <row r="29" spans="1:7" x14ac:dyDescent="0.3">
      <c r="B29" s="32"/>
      <c r="C29" s="32"/>
      <c r="D29" s="32"/>
    </row>
    <row r="30" spans="1:7" x14ac:dyDescent="0.3">
      <c r="B30" s="32"/>
      <c r="C30" s="32"/>
      <c r="D30" s="32"/>
    </row>
    <row r="31" spans="1:7" x14ac:dyDescent="0.3">
      <c r="B31" s="32"/>
      <c r="C31" s="32"/>
      <c r="D31" s="32"/>
    </row>
    <row r="32" spans="1:7" x14ac:dyDescent="0.3">
      <c r="B32" s="32"/>
      <c r="C32" s="32"/>
      <c r="D32" s="32"/>
    </row>
    <row r="33" spans="1:5" x14ac:dyDescent="0.3">
      <c r="B33" s="32"/>
      <c r="C33" s="32"/>
      <c r="D33" s="32"/>
    </row>
    <row r="34" spans="1:5" x14ac:dyDescent="0.3">
      <c r="B34" s="32"/>
      <c r="C34" s="32"/>
      <c r="D34" s="32"/>
    </row>
    <row r="35" spans="1:5" s="32" customFormat="1" x14ac:dyDescent="0.3">
      <c r="A35" s="4"/>
      <c r="E35" s="4"/>
    </row>
    <row r="36" spans="1:5" s="32" customFormat="1" x14ac:dyDescent="0.3">
      <c r="A36" s="4"/>
      <c r="E36" s="4"/>
    </row>
    <row r="37" spans="1:5" s="32" customFormat="1" x14ac:dyDescent="0.3">
      <c r="A37" s="4"/>
      <c r="E37" s="4"/>
    </row>
    <row r="38" spans="1:5" s="32" customFormat="1" x14ac:dyDescent="0.3">
      <c r="A38" s="4"/>
      <c r="E38" s="4"/>
    </row>
    <row r="39" spans="1:5" s="32" customFormat="1" x14ac:dyDescent="0.3">
      <c r="A39" s="4"/>
      <c r="E39" s="4"/>
    </row>
    <row r="40" spans="1:5" s="32" customFormat="1" x14ac:dyDescent="0.3">
      <c r="A40" s="4"/>
      <c r="E40" s="4"/>
    </row>
    <row r="41" spans="1:5" s="32" customFormat="1" x14ac:dyDescent="0.3">
      <c r="A41" s="4"/>
      <c r="E41" s="4"/>
    </row>
  </sheetData>
  <mergeCells count="6">
    <mergeCell ref="B8:D8"/>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2:F41"/>
  <sheetViews>
    <sheetView zoomScale="80" zoomScaleNormal="80" workbookViewId="0"/>
  </sheetViews>
  <sheetFormatPr defaultColWidth="9.33203125" defaultRowHeight="15.6" x14ac:dyDescent="0.3"/>
  <cols>
    <col min="1" max="1" width="5.33203125" style="221" customWidth="1"/>
    <col min="2" max="2" width="35.33203125" style="1" customWidth="1"/>
    <col min="3" max="3" width="18.5546875" style="1" customWidth="1"/>
    <col min="4" max="4" width="62.5546875" style="1" customWidth="1"/>
    <col min="5" max="5" width="5.33203125" style="221" customWidth="1"/>
    <col min="6" max="6" width="11" style="1" customWidth="1"/>
    <col min="7" max="7" width="7.33203125" style="1" customWidth="1"/>
    <col min="8" max="8" width="9.33203125" style="1" customWidth="1"/>
    <col min="9" max="9" width="14" style="1" customWidth="1"/>
    <col min="10" max="10" width="13.44140625" style="1" customWidth="1"/>
    <col min="11" max="16384" width="9.33203125" style="1"/>
  </cols>
  <sheetData>
    <row r="2" spans="1:6" x14ac:dyDescent="0.3">
      <c r="B2" s="1222" t="s">
        <v>0</v>
      </c>
      <c r="C2" s="1222"/>
      <c r="D2" s="1222"/>
    </row>
    <row r="3" spans="1:6" x14ac:dyDescent="0.3">
      <c r="B3" s="1222" t="s">
        <v>402</v>
      </c>
      <c r="C3" s="1222"/>
      <c r="D3" s="1222"/>
    </row>
    <row r="4" spans="1:6" x14ac:dyDescent="0.3">
      <c r="B4" s="1222" t="s">
        <v>403</v>
      </c>
      <c r="C4" s="1222"/>
      <c r="D4" s="1222"/>
    </row>
    <row r="5" spans="1:6" x14ac:dyDescent="0.3">
      <c r="B5" s="1222" t="str">
        <f>'AD-1'!B5</f>
        <v>BASE PERIOD / TRUE UP PERIOD - 12/31/2023 PER BOOK</v>
      </c>
      <c r="C5" s="1222"/>
      <c r="D5" s="1222"/>
    </row>
    <row r="6" spans="1:6" x14ac:dyDescent="0.3">
      <c r="B6" s="1226" t="s">
        <v>4</v>
      </c>
      <c r="C6" s="1226"/>
      <c r="D6" s="1226"/>
    </row>
    <row r="7" spans="1:6" x14ac:dyDescent="0.3">
      <c r="B7" s="270"/>
      <c r="C7" s="270"/>
      <c r="D7" s="270"/>
    </row>
    <row r="8" spans="1:6" x14ac:dyDescent="0.3">
      <c r="A8" s="4"/>
      <c r="B8" s="1222" t="s">
        <v>368</v>
      </c>
      <c r="C8" s="1222"/>
      <c r="D8" s="1222"/>
    </row>
    <row r="9" spans="1:6" x14ac:dyDescent="0.3">
      <c r="A9" s="4"/>
      <c r="E9" s="4"/>
    </row>
    <row r="10" spans="1:6" x14ac:dyDescent="0.3">
      <c r="A10" s="4"/>
      <c r="B10" s="314"/>
      <c r="C10" s="980" t="s">
        <v>365</v>
      </c>
      <c r="D10" s="970"/>
      <c r="E10" s="4"/>
    </row>
    <row r="11" spans="1:6" x14ac:dyDescent="0.3">
      <c r="A11" s="4" t="s">
        <v>5</v>
      </c>
      <c r="B11" s="301"/>
      <c r="C11" s="273" t="s">
        <v>416</v>
      </c>
      <c r="D11" s="934"/>
      <c r="E11" s="4" t="s">
        <v>5</v>
      </c>
    </row>
    <row r="12" spans="1:6" x14ac:dyDescent="0.3">
      <c r="A12" s="4" t="s">
        <v>6</v>
      </c>
      <c r="B12" s="309" t="s">
        <v>286</v>
      </c>
      <c r="C12" s="278" t="s">
        <v>367</v>
      </c>
      <c r="D12" s="278" t="s">
        <v>8</v>
      </c>
      <c r="E12" s="4" t="s">
        <v>6</v>
      </c>
    </row>
    <row r="13" spans="1:6" x14ac:dyDescent="0.3">
      <c r="A13" s="4"/>
      <c r="B13" s="317"/>
      <c r="C13" s="968"/>
      <c r="D13" s="971"/>
      <c r="E13" s="4"/>
    </row>
    <row r="14" spans="1:6" x14ac:dyDescent="0.3">
      <c r="A14" s="4">
        <v>1</v>
      </c>
      <c r="B14" s="632" t="str">
        <f>'AE-2'!B14</f>
        <v>Dec-22</v>
      </c>
      <c r="C14" s="235">
        <v>243049.82983647494</v>
      </c>
      <c r="D14" s="946" t="s">
        <v>405</v>
      </c>
      <c r="E14" s="4">
        <f>A14</f>
        <v>1</v>
      </c>
      <c r="F14" s="280"/>
    </row>
    <row r="15" spans="1:6" x14ac:dyDescent="0.3">
      <c r="A15" s="4">
        <f>A14+1</f>
        <v>2</v>
      </c>
      <c r="B15" s="320"/>
      <c r="C15" s="950"/>
      <c r="D15" s="950"/>
      <c r="E15" s="4">
        <f>E14+1</f>
        <v>2</v>
      </c>
    </row>
    <row r="16" spans="1:6" x14ac:dyDescent="0.3">
      <c r="A16" s="4">
        <f t="shared" ref="A16:A20" si="0">A15+1</f>
        <v>3</v>
      </c>
      <c r="B16" s="632" t="str">
        <f>'AE-2'!B16</f>
        <v>Dec-23</v>
      </c>
      <c r="C16" s="236">
        <v>268071.91264152038</v>
      </c>
      <c r="D16" s="946" t="s">
        <v>1535</v>
      </c>
      <c r="E16" s="4">
        <f t="shared" ref="E16:E20" si="1">E15+1</f>
        <v>3</v>
      </c>
      <c r="F16" s="280"/>
    </row>
    <row r="17" spans="1:5" x14ac:dyDescent="0.3">
      <c r="A17" s="4">
        <f t="shared" si="0"/>
        <v>4</v>
      </c>
      <c r="B17" s="331"/>
      <c r="C17" s="83"/>
      <c r="D17" s="67"/>
      <c r="E17" s="4">
        <f t="shared" si="1"/>
        <v>4</v>
      </c>
    </row>
    <row r="18" spans="1:5" x14ac:dyDescent="0.3">
      <c r="A18" s="4">
        <f t="shared" si="0"/>
        <v>5</v>
      </c>
      <c r="B18" s="322"/>
      <c r="C18" s="968"/>
      <c r="D18" s="971"/>
      <c r="E18" s="4">
        <f t="shared" si="1"/>
        <v>5</v>
      </c>
    </row>
    <row r="19" spans="1:5" x14ac:dyDescent="0.3">
      <c r="A19" s="4">
        <f t="shared" si="0"/>
        <v>6</v>
      </c>
      <c r="B19" s="322" t="s">
        <v>318</v>
      </c>
      <c r="C19" s="969">
        <f>(C14+C16)/2</f>
        <v>255560.87123899767</v>
      </c>
      <c r="D19" s="947" t="s">
        <v>319</v>
      </c>
      <c r="E19" s="4">
        <f t="shared" si="1"/>
        <v>6</v>
      </c>
    </row>
    <row r="20" spans="1:5" x14ac:dyDescent="0.3">
      <c r="A20" s="4">
        <f t="shared" si="0"/>
        <v>7</v>
      </c>
      <c r="B20" s="331"/>
      <c r="C20" s="68"/>
      <c r="D20" s="94"/>
      <c r="E20" s="4">
        <f t="shared" si="1"/>
        <v>7</v>
      </c>
    </row>
    <row r="21" spans="1:5" x14ac:dyDescent="0.3">
      <c r="A21" s="4"/>
      <c r="B21" s="32"/>
      <c r="C21" s="29"/>
      <c r="D21" s="32"/>
      <c r="E21" s="4"/>
    </row>
    <row r="22" spans="1:5" x14ac:dyDescent="0.3">
      <c r="A22" s="4"/>
      <c r="B22" s="32"/>
      <c r="C22" s="32"/>
      <c r="D22" s="32"/>
    </row>
    <row r="23" spans="1:5" x14ac:dyDescent="0.3">
      <c r="B23" s="32"/>
      <c r="C23" s="32"/>
      <c r="D23" s="32"/>
    </row>
    <row r="24" spans="1:5" x14ac:dyDescent="0.3">
      <c r="B24" s="32"/>
      <c r="C24" s="32"/>
      <c r="D24" s="32"/>
    </row>
    <row r="25" spans="1:5" x14ac:dyDescent="0.3">
      <c r="B25" s="32"/>
      <c r="C25" s="32"/>
      <c r="D25" s="32"/>
    </row>
    <row r="26" spans="1:5" x14ac:dyDescent="0.3">
      <c r="B26" s="32"/>
      <c r="C26" s="32"/>
      <c r="D26" s="32"/>
    </row>
    <row r="27" spans="1:5" x14ac:dyDescent="0.3">
      <c r="B27" s="32"/>
      <c r="C27" s="32"/>
      <c r="D27" s="32"/>
    </row>
    <row r="28" spans="1:5" x14ac:dyDescent="0.3">
      <c r="B28" s="32"/>
      <c r="C28" s="32"/>
      <c r="D28" s="32"/>
    </row>
    <row r="29" spans="1:5" x14ac:dyDescent="0.3">
      <c r="B29" s="32"/>
      <c r="C29" s="32"/>
      <c r="D29" s="32"/>
    </row>
    <row r="30" spans="1:5" x14ac:dyDescent="0.3">
      <c r="B30" s="32"/>
      <c r="C30" s="32"/>
      <c r="D30" s="32"/>
    </row>
    <row r="31" spans="1:5" x14ac:dyDescent="0.3">
      <c r="B31" s="32"/>
      <c r="C31" s="32"/>
      <c r="D31" s="32"/>
    </row>
    <row r="32" spans="1:5" x14ac:dyDescent="0.3">
      <c r="B32" s="32"/>
      <c r="C32" s="32"/>
      <c r="D32" s="32"/>
    </row>
    <row r="33" spans="1:5" x14ac:dyDescent="0.3">
      <c r="B33" s="32"/>
      <c r="C33" s="32"/>
      <c r="D33" s="32"/>
    </row>
    <row r="34" spans="1:5" x14ac:dyDescent="0.3">
      <c r="B34" s="32"/>
      <c r="C34" s="32"/>
      <c r="D34" s="32"/>
    </row>
    <row r="35" spans="1:5" s="32" customFormat="1" x14ac:dyDescent="0.3">
      <c r="A35" s="4"/>
      <c r="E35" s="4"/>
    </row>
    <row r="36" spans="1:5" s="32" customFormat="1" x14ac:dyDescent="0.3">
      <c r="A36" s="4"/>
      <c r="E36" s="4"/>
    </row>
    <row r="37" spans="1:5" s="32" customFormat="1" x14ac:dyDescent="0.3">
      <c r="A37" s="4"/>
      <c r="E37" s="4"/>
    </row>
    <row r="38" spans="1:5" s="32" customFormat="1" x14ac:dyDescent="0.3">
      <c r="A38" s="4"/>
      <c r="E38" s="4"/>
    </row>
    <row r="39" spans="1:5" s="32" customFormat="1" x14ac:dyDescent="0.3">
      <c r="A39" s="4"/>
      <c r="E39" s="4"/>
    </row>
    <row r="40" spans="1:5" s="32" customFormat="1" x14ac:dyDescent="0.3">
      <c r="A40" s="4"/>
      <c r="E40" s="4"/>
    </row>
    <row r="41" spans="1:5" s="32" customFormat="1" x14ac:dyDescent="0.3">
      <c r="A41" s="4"/>
      <c r="E41" s="4"/>
    </row>
  </sheetData>
  <mergeCells count="6">
    <mergeCell ref="B8:D8"/>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2:G27"/>
  <sheetViews>
    <sheetView zoomScale="80" zoomScaleNormal="80" workbookViewId="0"/>
  </sheetViews>
  <sheetFormatPr defaultColWidth="9.33203125" defaultRowHeight="15.6" x14ac:dyDescent="0.3"/>
  <cols>
    <col min="1" max="1" width="5.33203125" style="221" customWidth="1"/>
    <col min="2" max="2" width="8.5546875" style="1" customWidth="1"/>
    <col min="3" max="3" width="41.33203125" style="1" customWidth="1"/>
    <col min="4" max="4" width="18.5546875" style="1" customWidth="1"/>
    <col min="5" max="5" width="62.5546875" style="1" customWidth="1"/>
    <col min="6" max="6" width="5.33203125" style="221" customWidth="1"/>
    <col min="7" max="7" width="24" style="1" customWidth="1"/>
    <col min="8" max="8" width="11" style="1" customWidth="1"/>
    <col min="9" max="9" width="7.33203125" style="1" customWidth="1"/>
    <col min="10" max="10" width="9.33203125" style="1" customWidth="1"/>
    <col min="11" max="11" width="14" style="1" customWidth="1"/>
    <col min="12" max="12" width="13.44140625" style="1" customWidth="1"/>
    <col min="13" max="16384" width="9.33203125" style="1"/>
  </cols>
  <sheetData>
    <row r="2" spans="1:7" x14ac:dyDescent="0.3">
      <c r="B2" s="1222" t="s">
        <v>0</v>
      </c>
      <c r="C2" s="1222"/>
      <c r="D2" s="1222"/>
      <c r="E2" s="1222"/>
      <c r="G2"/>
    </row>
    <row r="3" spans="1:7" x14ac:dyDescent="0.3">
      <c r="B3" s="1222" t="s">
        <v>402</v>
      </c>
      <c r="C3" s="1222"/>
      <c r="D3" s="1222"/>
      <c r="E3" s="1222"/>
    </row>
    <row r="4" spans="1:7" x14ac:dyDescent="0.3">
      <c r="B4" s="1222" t="s">
        <v>403</v>
      </c>
      <c r="C4" s="1222"/>
      <c r="D4" s="1222"/>
      <c r="E4" s="1222"/>
    </row>
    <row r="5" spans="1:7" x14ac:dyDescent="0.3">
      <c r="B5" s="1222" t="str">
        <f>'AD-1'!B5</f>
        <v>BASE PERIOD / TRUE UP PERIOD - 12/31/2023 PER BOOK</v>
      </c>
      <c r="C5" s="1222"/>
      <c r="D5" s="1222"/>
      <c r="E5" s="1222"/>
    </row>
    <row r="6" spans="1:7" x14ac:dyDescent="0.3">
      <c r="B6" s="1226" t="s">
        <v>4</v>
      </c>
      <c r="C6" s="1226"/>
      <c r="D6" s="1226"/>
      <c r="E6" s="1226"/>
    </row>
    <row r="7" spans="1:7" x14ac:dyDescent="0.3">
      <c r="B7" s="270"/>
      <c r="C7" s="270"/>
      <c r="D7" s="270"/>
      <c r="E7" s="270"/>
    </row>
    <row r="8" spans="1:7" x14ac:dyDescent="0.3">
      <c r="B8" s="1222" t="s">
        <v>370</v>
      </c>
      <c r="C8" s="1222"/>
      <c r="D8" s="1222"/>
      <c r="E8" s="1222"/>
    </row>
    <row r="9" spans="1:7" x14ac:dyDescent="0.3">
      <c r="A9" s="4"/>
      <c r="F9" s="4"/>
    </row>
    <row r="10" spans="1:7" x14ac:dyDescent="0.3">
      <c r="A10" s="4" t="s">
        <v>5</v>
      </c>
      <c r="B10" s="324"/>
      <c r="C10" s="324"/>
      <c r="D10" s="325"/>
      <c r="E10" s="326"/>
      <c r="F10" s="4" t="s">
        <v>5</v>
      </c>
    </row>
    <row r="11" spans="1:7" x14ac:dyDescent="0.3">
      <c r="A11" s="4" t="s">
        <v>6</v>
      </c>
      <c r="B11" s="309" t="s">
        <v>286</v>
      </c>
      <c r="C11" s="309" t="s">
        <v>337</v>
      </c>
      <c r="D11" s="309" t="s">
        <v>7</v>
      </c>
      <c r="E11" s="278" t="s">
        <v>8</v>
      </c>
      <c r="F11" s="4" t="s">
        <v>6</v>
      </c>
      <c r="G11" s="280"/>
    </row>
    <row r="12" spans="1:7" x14ac:dyDescent="0.3">
      <c r="A12" s="4"/>
      <c r="B12" s="327"/>
      <c r="C12" s="327"/>
      <c r="D12" s="327"/>
      <c r="E12" s="328"/>
      <c r="F12" s="4"/>
    </row>
    <row r="13" spans="1:7" x14ac:dyDescent="0.3">
      <c r="A13" s="4">
        <v>1</v>
      </c>
      <c r="B13" s="632" t="str">
        <f>'AE-3'!B14</f>
        <v>Dec-22</v>
      </c>
      <c r="C13" s="329" t="s">
        <v>371</v>
      </c>
      <c r="D13" s="339">
        <v>883346.59900000005</v>
      </c>
      <c r="E13" s="573" t="s">
        <v>418</v>
      </c>
      <c r="F13" s="4">
        <f>A13</f>
        <v>1</v>
      </c>
    </row>
    <row r="14" spans="1:7" x14ac:dyDescent="0.3">
      <c r="A14" s="4">
        <f>A13+1</f>
        <v>2</v>
      </c>
      <c r="B14" s="329"/>
      <c r="C14" s="329" t="s">
        <v>373</v>
      </c>
      <c r="D14" s="250">
        <v>0.73170000000000002</v>
      </c>
      <c r="E14" s="972" t="s">
        <v>419</v>
      </c>
      <c r="F14" s="4">
        <f>F13+1</f>
        <v>2</v>
      </c>
    </row>
    <row r="15" spans="1:7" x14ac:dyDescent="0.3">
      <c r="A15" s="4">
        <f t="shared" ref="A15:A23" si="0">A14+1</f>
        <v>3</v>
      </c>
      <c r="B15" s="329"/>
      <c r="C15" s="329" t="s">
        <v>417</v>
      </c>
      <c r="D15" s="573">
        <f>D13*D14</f>
        <v>646344.7064883</v>
      </c>
      <c r="E15" s="946" t="s">
        <v>376</v>
      </c>
      <c r="F15" s="4">
        <f t="shared" ref="F15:F22" si="1">F14+1</f>
        <v>3</v>
      </c>
    </row>
    <row r="16" spans="1:7" x14ac:dyDescent="0.3">
      <c r="A16" s="4">
        <f t="shared" si="0"/>
        <v>4</v>
      </c>
      <c r="B16" s="329"/>
      <c r="C16" s="329"/>
      <c r="D16" s="573"/>
      <c r="E16" s="946"/>
      <c r="F16" s="4">
        <f t="shared" si="1"/>
        <v>4</v>
      </c>
    </row>
    <row r="17" spans="1:7" x14ac:dyDescent="0.3">
      <c r="A17" s="4">
        <f t="shared" si="0"/>
        <v>5</v>
      </c>
      <c r="B17" s="632" t="str">
        <f>'AE-3'!B16</f>
        <v>Dec-23</v>
      </c>
      <c r="C17" s="329" t="s">
        <v>371</v>
      </c>
      <c r="D17" s="339">
        <v>1023506.296</v>
      </c>
      <c r="E17" s="573" t="s">
        <v>1518</v>
      </c>
      <c r="F17" s="4">
        <f t="shared" si="1"/>
        <v>5</v>
      </c>
      <c r="G17" s="258"/>
    </row>
    <row r="18" spans="1:7" x14ac:dyDescent="0.3">
      <c r="A18" s="4">
        <f t="shared" si="0"/>
        <v>6</v>
      </c>
      <c r="B18" s="329"/>
      <c r="C18" s="329" t="s">
        <v>373</v>
      </c>
      <c r="D18" s="250">
        <v>0.73899999999999999</v>
      </c>
      <c r="E18" s="972" t="s">
        <v>1519</v>
      </c>
      <c r="F18" s="4">
        <f t="shared" si="1"/>
        <v>6</v>
      </c>
      <c r="G18" s="258"/>
    </row>
    <row r="19" spans="1:7" x14ac:dyDescent="0.3">
      <c r="A19" s="4">
        <f t="shared" si="0"/>
        <v>7</v>
      </c>
      <c r="B19" s="329"/>
      <c r="C19" s="329" t="s">
        <v>417</v>
      </c>
      <c r="D19" s="573">
        <f>D17*D18</f>
        <v>756371.15274399996</v>
      </c>
      <c r="E19" s="946" t="s">
        <v>378</v>
      </c>
      <c r="F19" s="4">
        <f t="shared" si="1"/>
        <v>7</v>
      </c>
    </row>
    <row r="20" spans="1:7" x14ac:dyDescent="0.3">
      <c r="A20" s="4">
        <f t="shared" si="0"/>
        <v>8</v>
      </c>
      <c r="B20" s="330"/>
      <c r="C20" s="309"/>
      <c r="D20" s="330"/>
      <c r="E20" s="294"/>
      <c r="F20" s="4">
        <f t="shared" si="1"/>
        <v>8</v>
      </c>
    </row>
    <row r="21" spans="1:7" x14ac:dyDescent="0.3">
      <c r="A21" s="4">
        <f t="shared" si="0"/>
        <v>9</v>
      </c>
      <c r="B21" s="314"/>
      <c r="D21" s="322"/>
      <c r="E21" s="281"/>
      <c r="F21" s="4">
        <f t="shared" si="1"/>
        <v>9</v>
      </c>
    </row>
    <row r="22" spans="1:7" x14ac:dyDescent="0.3">
      <c r="A22" s="4">
        <f t="shared" si="0"/>
        <v>10</v>
      </c>
      <c r="B22" s="322" t="s">
        <v>318</v>
      </c>
      <c r="D22" s="969">
        <f>(D15+D19)/2</f>
        <v>701357.92961614998</v>
      </c>
      <c r="E22" s="940" t="s">
        <v>379</v>
      </c>
      <c r="F22" s="4">
        <f t="shared" si="1"/>
        <v>10</v>
      </c>
    </row>
    <row r="23" spans="1:7" x14ac:dyDescent="0.3">
      <c r="A23" s="4">
        <f t="shared" si="0"/>
        <v>11</v>
      </c>
      <c r="B23" s="331"/>
      <c r="C23" s="974"/>
      <c r="D23" s="331"/>
      <c r="E23" s="67"/>
      <c r="F23" s="4">
        <f t="shared" ref="F23" si="2">F22+1</f>
        <v>11</v>
      </c>
    </row>
    <row r="24" spans="1:7" x14ac:dyDescent="0.3">
      <c r="A24" s="4"/>
      <c r="B24" s="296"/>
      <c r="C24" s="296"/>
      <c r="D24" s="32"/>
      <c r="E24" s="32"/>
    </row>
    <row r="25" spans="1:7" x14ac:dyDescent="0.3">
      <c r="B25" s="32"/>
      <c r="C25" s="32"/>
      <c r="D25" s="32"/>
      <c r="E25" s="32"/>
    </row>
    <row r="26" spans="1:7" x14ac:dyDescent="0.3">
      <c r="B26" s="32"/>
      <c r="C26" s="32"/>
      <c r="D26" s="32"/>
      <c r="E26" s="32"/>
    </row>
    <row r="27" spans="1:7" x14ac:dyDescent="0.3">
      <c r="B27" s="32"/>
      <c r="C27" s="32"/>
      <c r="D27" s="32"/>
      <c r="E27" s="32"/>
    </row>
  </sheetData>
  <mergeCells count="6">
    <mergeCell ref="B8:E8"/>
    <mergeCell ref="B2:E2"/>
    <mergeCell ref="B3:E3"/>
    <mergeCell ref="B4:E4"/>
    <mergeCell ref="B5:E5"/>
    <mergeCell ref="B6:E6"/>
  </mergeCells>
  <printOptions horizontalCentered="1"/>
  <pageMargins left="0.5" right="0.5" top="0.5" bottom="0.5" header="0.25" footer="0.25"/>
  <pageSetup scale="90" orientation="landscape" r:id="rId1"/>
  <headerFooter scaleWithDoc="0">
    <oddFooter>&amp;C&amp;"Times New Roman,Regular"&amp;10&amp;A</oddFooter>
  </headerFooter>
  <customProperties>
    <customPr name="_pios_id" r:id="rId2"/>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2:G38"/>
  <sheetViews>
    <sheetView zoomScale="80" zoomScaleNormal="80" workbookViewId="0">
      <selection activeCell="I23" sqref="I23"/>
    </sheetView>
  </sheetViews>
  <sheetFormatPr defaultColWidth="9.33203125" defaultRowHeight="15.6" x14ac:dyDescent="0.3"/>
  <cols>
    <col min="1" max="1" width="5.33203125" style="221" customWidth="1"/>
    <col min="2" max="2" width="35.33203125" style="1" customWidth="1"/>
    <col min="3" max="3" width="18.5546875" style="88" customWidth="1"/>
    <col min="4" max="4" width="25.33203125" style="88" customWidth="1"/>
    <col min="5" max="5" width="18.5546875" style="1" customWidth="1"/>
    <col min="6" max="6" width="62.5546875" style="1" customWidth="1"/>
    <col min="7" max="7" width="5.33203125" style="221" customWidth="1"/>
    <col min="8" max="8" width="24" style="1" customWidth="1"/>
    <col min="9" max="9" width="11" style="1" customWidth="1"/>
    <col min="10" max="10" width="7.33203125" style="1" customWidth="1"/>
    <col min="11" max="11" width="9.33203125" style="1" customWidth="1"/>
    <col min="12" max="12" width="14" style="1" customWidth="1"/>
    <col min="13" max="13" width="13.44140625" style="1" customWidth="1"/>
    <col min="14" max="16384" width="9.33203125" style="1"/>
  </cols>
  <sheetData>
    <row r="2" spans="1:7" x14ac:dyDescent="0.3">
      <c r="B2" s="1222" t="s">
        <v>0</v>
      </c>
      <c r="C2" s="1222"/>
      <c r="D2" s="1222"/>
      <c r="E2" s="1222"/>
      <c r="F2" s="1222"/>
    </row>
    <row r="3" spans="1:7" x14ac:dyDescent="0.3">
      <c r="B3" s="1222" t="s">
        <v>402</v>
      </c>
      <c r="C3" s="1222"/>
      <c r="D3" s="1222"/>
      <c r="E3" s="1222"/>
      <c r="F3" s="1222"/>
    </row>
    <row r="4" spans="1:7" x14ac:dyDescent="0.3">
      <c r="B4" s="1222" t="s">
        <v>420</v>
      </c>
      <c r="C4" s="1222"/>
      <c r="D4" s="1222"/>
      <c r="E4" s="1222"/>
      <c r="F4" s="1222"/>
    </row>
    <row r="5" spans="1:7" x14ac:dyDescent="0.3">
      <c r="B5" s="1222" t="str">
        <f>'AD-1'!B5</f>
        <v>BASE PERIOD / TRUE UP PERIOD - 12/31/2023 PER BOOK</v>
      </c>
      <c r="C5" s="1222"/>
      <c r="D5" s="1222"/>
      <c r="E5" s="1222"/>
      <c r="F5" s="1222"/>
      <c r="G5" s="4"/>
    </row>
    <row r="6" spans="1:7" x14ac:dyDescent="0.3">
      <c r="B6" s="1226" t="s">
        <v>4</v>
      </c>
      <c r="C6" s="1226"/>
      <c r="D6" s="1226"/>
      <c r="E6" s="1226"/>
      <c r="F6" s="1226"/>
      <c r="G6" s="4"/>
    </row>
    <row r="7" spans="1:7" x14ac:dyDescent="0.3">
      <c r="B7" s="340"/>
      <c r="C7" s="271"/>
      <c r="D7" s="271"/>
      <c r="E7" s="270"/>
      <c r="F7" s="270"/>
      <c r="G7" s="4"/>
    </row>
    <row r="8" spans="1:7" x14ac:dyDescent="0.3">
      <c r="B8" s="1233" t="s">
        <v>360</v>
      </c>
      <c r="C8" s="1234"/>
      <c r="D8" s="1234"/>
      <c r="E8" s="1234"/>
      <c r="F8" s="1234"/>
      <c r="G8" s="4"/>
    </row>
    <row r="9" spans="1:7" x14ac:dyDescent="0.3">
      <c r="G9" s="4"/>
    </row>
    <row r="10" spans="1:7" x14ac:dyDescent="0.3">
      <c r="A10" s="4"/>
      <c r="B10" s="932"/>
      <c r="C10" s="272" t="s">
        <v>421</v>
      </c>
      <c r="D10" s="933"/>
      <c r="E10" s="272" t="s">
        <v>361</v>
      </c>
      <c r="F10" s="933"/>
      <c r="G10" s="4"/>
    </row>
    <row r="11" spans="1:7" x14ac:dyDescent="0.3">
      <c r="A11" s="4"/>
      <c r="B11" s="273"/>
      <c r="C11" s="221" t="s">
        <v>321</v>
      </c>
      <c r="D11" s="273"/>
      <c r="E11" s="277" t="s">
        <v>362</v>
      </c>
      <c r="F11" s="273"/>
      <c r="G11" s="4"/>
    </row>
    <row r="12" spans="1:7" x14ac:dyDescent="0.3">
      <c r="A12" s="4" t="s">
        <v>5</v>
      </c>
      <c r="B12" s="276"/>
      <c r="C12" s="221" t="s">
        <v>404</v>
      </c>
      <c r="D12" s="273"/>
      <c r="E12" s="277" t="s">
        <v>404</v>
      </c>
      <c r="F12" s="273"/>
      <c r="G12" s="4" t="s">
        <v>5</v>
      </c>
    </row>
    <row r="13" spans="1:7" x14ac:dyDescent="0.3">
      <c r="A13" s="4" t="s">
        <v>6</v>
      </c>
      <c r="B13" s="278" t="s">
        <v>286</v>
      </c>
      <c r="C13" s="935" t="s">
        <v>287</v>
      </c>
      <c r="D13" s="278" t="s">
        <v>8</v>
      </c>
      <c r="E13" s="279" t="s">
        <v>363</v>
      </c>
      <c r="F13" s="278" t="s">
        <v>8</v>
      </c>
      <c r="G13" s="4" t="s">
        <v>6</v>
      </c>
    </row>
    <row r="14" spans="1:7" x14ac:dyDescent="0.3">
      <c r="A14" s="4">
        <v>1</v>
      </c>
      <c r="B14" s="936" t="str">
        <f>'AE-1'!B14</f>
        <v>Dec-22</v>
      </c>
      <c r="C14" s="59">
        <v>0</v>
      </c>
      <c r="D14" s="947" t="s">
        <v>289</v>
      </c>
      <c r="E14" s="59">
        <v>0</v>
      </c>
      <c r="F14" s="947" t="s">
        <v>289</v>
      </c>
      <c r="G14" s="4">
        <f>A14</f>
        <v>1</v>
      </c>
    </row>
    <row r="15" spans="1:7" x14ac:dyDescent="0.3">
      <c r="A15" s="4">
        <f>A14+1</f>
        <v>2</v>
      </c>
      <c r="B15" s="936" t="str">
        <f>'AE-1'!B15</f>
        <v>Jan-23</v>
      </c>
      <c r="C15" s="53">
        <v>0</v>
      </c>
      <c r="D15" s="946"/>
      <c r="E15" s="53">
        <v>0</v>
      </c>
      <c r="F15" s="946"/>
      <c r="G15" s="4">
        <f>G14+1</f>
        <v>2</v>
      </c>
    </row>
    <row r="16" spans="1:7" x14ac:dyDescent="0.3">
      <c r="A16" s="4">
        <f t="shared" ref="A16:A32" si="0">A15+1</f>
        <v>3</v>
      </c>
      <c r="B16" s="939" t="s">
        <v>291</v>
      </c>
      <c r="C16" s="53">
        <v>0</v>
      </c>
      <c r="D16" s="946"/>
      <c r="E16" s="53">
        <v>0</v>
      </c>
      <c r="F16" s="946"/>
      <c r="G16" s="4">
        <f t="shared" ref="G16:G32" si="1">G15+1</f>
        <v>3</v>
      </c>
    </row>
    <row r="17" spans="1:7" x14ac:dyDescent="0.3">
      <c r="A17" s="4">
        <f t="shared" si="0"/>
        <v>4</v>
      </c>
      <c r="B17" s="939" t="s">
        <v>292</v>
      </c>
      <c r="C17" s="53">
        <v>0</v>
      </c>
      <c r="D17" s="946"/>
      <c r="E17" s="66">
        <v>0</v>
      </c>
      <c r="F17" s="946"/>
      <c r="G17" s="4">
        <f t="shared" si="1"/>
        <v>4</v>
      </c>
    </row>
    <row r="18" spans="1:7" x14ac:dyDescent="0.3">
      <c r="A18" s="4">
        <f t="shared" si="0"/>
        <v>5</v>
      </c>
      <c r="B18" s="939" t="s">
        <v>293</v>
      </c>
      <c r="C18" s="53">
        <v>0</v>
      </c>
      <c r="D18" s="946"/>
      <c r="E18" s="66">
        <v>0</v>
      </c>
      <c r="F18" s="946"/>
      <c r="G18" s="4">
        <f t="shared" si="1"/>
        <v>5</v>
      </c>
    </row>
    <row r="19" spans="1:7" x14ac:dyDescent="0.3">
      <c r="A19" s="4">
        <f t="shared" si="0"/>
        <v>6</v>
      </c>
      <c r="B19" s="939" t="s">
        <v>294</v>
      </c>
      <c r="C19" s="53">
        <v>0</v>
      </c>
      <c r="D19" s="946"/>
      <c r="E19" s="66">
        <v>0</v>
      </c>
      <c r="F19" s="946"/>
      <c r="G19" s="4">
        <f t="shared" si="1"/>
        <v>6</v>
      </c>
    </row>
    <row r="20" spans="1:7" x14ac:dyDescent="0.3">
      <c r="A20" s="4">
        <f>A19+1</f>
        <v>7</v>
      </c>
      <c r="B20" s="939" t="s">
        <v>295</v>
      </c>
      <c r="C20" s="53">
        <v>0</v>
      </c>
      <c r="D20" s="946"/>
      <c r="E20" s="66">
        <v>0</v>
      </c>
      <c r="F20" s="946"/>
      <c r="G20" s="4">
        <f>G19+1</f>
        <v>7</v>
      </c>
    </row>
    <row r="21" spans="1:7" x14ac:dyDescent="0.3">
      <c r="A21" s="4">
        <f t="shared" si="0"/>
        <v>8</v>
      </c>
      <c r="B21" s="939" t="s">
        <v>296</v>
      </c>
      <c r="C21" s="53">
        <v>0</v>
      </c>
      <c r="D21" s="946"/>
      <c r="E21" s="66">
        <v>0</v>
      </c>
      <c r="F21" s="946"/>
      <c r="G21" s="4">
        <f t="shared" si="1"/>
        <v>8</v>
      </c>
    </row>
    <row r="22" spans="1:7" x14ac:dyDescent="0.3">
      <c r="A22" s="4">
        <f t="shared" si="0"/>
        <v>9</v>
      </c>
      <c r="B22" s="939" t="s">
        <v>297</v>
      </c>
      <c r="C22" s="53">
        <v>0</v>
      </c>
      <c r="D22" s="946"/>
      <c r="E22" s="66">
        <v>0</v>
      </c>
      <c r="F22" s="946"/>
      <c r="G22" s="4">
        <f t="shared" si="1"/>
        <v>9</v>
      </c>
    </row>
    <row r="23" spans="1:7" x14ac:dyDescent="0.3">
      <c r="A23" s="4">
        <f t="shared" si="0"/>
        <v>10</v>
      </c>
      <c r="B23" s="939" t="s">
        <v>298</v>
      </c>
      <c r="C23" s="53">
        <v>0</v>
      </c>
      <c r="D23" s="946"/>
      <c r="E23" s="66">
        <v>0</v>
      </c>
      <c r="F23" s="946"/>
      <c r="G23" s="4">
        <f t="shared" si="1"/>
        <v>10</v>
      </c>
    </row>
    <row r="24" spans="1:7" x14ac:dyDescent="0.3">
      <c r="A24" s="4">
        <f t="shared" si="0"/>
        <v>11</v>
      </c>
      <c r="B24" s="939" t="s">
        <v>299</v>
      </c>
      <c r="C24" s="53">
        <v>0</v>
      </c>
      <c r="D24" s="946"/>
      <c r="E24" s="66">
        <v>0</v>
      </c>
      <c r="F24" s="946"/>
      <c r="G24" s="4">
        <f t="shared" si="1"/>
        <v>11</v>
      </c>
    </row>
    <row r="25" spans="1:7" x14ac:dyDescent="0.3">
      <c r="A25" s="4">
        <f t="shared" si="0"/>
        <v>12</v>
      </c>
      <c r="B25" s="939" t="s">
        <v>300</v>
      </c>
      <c r="C25" s="53">
        <v>0</v>
      </c>
      <c r="D25" s="946"/>
      <c r="E25" s="66">
        <v>0</v>
      </c>
      <c r="F25" s="946"/>
      <c r="G25" s="4">
        <f t="shared" si="1"/>
        <v>12</v>
      </c>
    </row>
    <row r="26" spans="1:7" x14ac:dyDescent="0.3">
      <c r="A26" s="4">
        <f t="shared" si="0"/>
        <v>13</v>
      </c>
      <c r="B26" s="633" t="str">
        <f>'AE-1'!B26</f>
        <v>Dec-23</v>
      </c>
      <c r="C26" s="54">
        <v>0</v>
      </c>
      <c r="D26" s="594" t="s">
        <v>289</v>
      </c>
      <c r="E26" s="54">
        <v>0</v>
      </c>
      <c r="F26" s="947" t="s">
        <v>289</v>
      </c>
      <c r="G26" s="4">
        <f t="shared" si="1"/>
        <v>13</v>
      </c>
    </row>
    <row r="27" spans="1:7" x14ac:dyDescent="0.3">
      <c r="A27" s="4">
        <f t="shared" si="0"/>
        <v>14</v>
      </c>
      <c r="B27" s="281"/>
      <c r="C27" s="60"/>
      <c r="D27" s="932"/>
      <c r="E27" s="61"/>
      <c r="F27" s="951"/>
      <c r="G27" s="4">
        <f t="shared" si="1"/>
        <v>14</v>
      </c>
    </row>
    <row r="28" spans="1:7" x14ac:dyDescent="0.3">
      <c r="A28" s="4">
        <f t="shared" si="0"/>
        <v>15</v>
      </c>
      <c r="B28" s="281" t="s">
        <v>302</v>
      </c>
      <c r="C28" s="56">
        <f>SUM(C14:C26)</f>
        <v>0</v>
      </c>
      <c r="D28" s="947" t="s">
        <v>303</v>
      </c>
      <c r="E28" s="56">
        <f>SUM(E14:E26)</f>
        <v>0</v>
      </c>
      <c r="F28" s="947" t="s">
        <v>303</v>
      </c>
      <c r="G28" s="4">
        <f t="shared" si="1"/>
        <v>15</v>
      </c>
    </row>
    <row r="29" spans="1:7" x14ac:dyDescent="0.3">
      <c r="A29" s="4">
        <f t="shared" si="0"/>
        <v>16</v>
      </c>
      <c r="B29" s="120"/>
      <c r="C29" s="62"/>
      <c r="D29" s="82"/>
      <c r="E29" s="62"/>
      <c r="F29" s="82"/>
      <c r="G29" s="4">
        <f t="shared" si="1"/>
        <v>16</v>
      </c>
    </row>
    <row r="30" spans="1:7" x14ac:dyDescent="0.3">
      <c r="A30" s="4">
        <f t="shared" si="0"/>
        <v>17</v>
      </c>
      <c r="B30" s="281"/>
      <c r="C30" s="80"/>
      <c r="D30" s="675"/>
      <c r="E30" s="80"/>
      <c r="F30" s="675"/>
      <c r="G30" s="4">
        <f t="shared" si="1"/>
        <v>17</v>
      </c>
    </row>
    <row r="31" spans="1:7" x14ac:dyDescent="0.3">
      <c r="A31" s="4">
        <f t="shared" si="0"/>
        <v>18</v>
      </c>
      <c r="B31" s="281" t="s">
        <v>304</v>
      </c>
      <c r="C31" s="56">
        <f>C28/13</f>
        <v>0</v>
      </c>
      <c r="D31" s="674" t="s">
        <v>305</v>
      </c>
      <c r="E31" s="56">
        <f>E28/13</f>
        <v>0</v>
      </c>
      <c r="F31" s="674" t="s">
        <v>305</v>
      </c>
      <c r="G31" s="4">
        <f t="shared" si="1"/>
        <v>18</v>
      </c>
    </row>
    <row r="32" spans="1:7" x14ac:dyDescent="0.3">
      <c r="A32" s="4">
        <f t="shared" si="0"/>
        <v>19</v>
      </c>
      <c r="B32" s="120"/>
      <c r="C32" s="282"/>
      <c r="D32" s="295"/>
      <c r="E32" s="282"/>
      <c r="F32" s="295"/>
      <c r="G32" s="4">
        <f t="shared" si="1"/>
        <v>19</v>
      </c>
    </row>
    <row r="33" spans="1:7" x14ac:dyDescent="0.3">
      <c r="A33" s="4"/>
      <c r="B33" s="32"/>
      <c r="C33" s="32"/>
      <c r="D33" s="32"/>
      <c r="E33" s="32"/>
      <c r="F33" s="32"/>
      <c r="G33" s="4"/>
    </row>
    <row r="34" spans="1:7" x14ac:dyDescent="0.3">
      <c r="A34" s="4"/>
      <c r="B34" s="296"/>
      <c r="C34" s="32"/>
      <c r="D34" s="32"/>
      <c r="E34" s="107"/>
      <c r="F34" s="32"/>
      <c r="G34" s="4"/>
    </row>
    <row r="35" spans="1:7" x14ac:dyDescent="0.3">
      <c r="A35" s="4"/>
      <c r="B35" s="296"/>
      <c r="C35" s="32"/>
      <c r="D35" s="32"/>
      <c r="E35" s="32"/>
      <c r="F35" s="32"/>
      <c r="G35" s="4"/>
    </row>
    <row r="36" spans="1:7" x14ac:dyDescent="0.3">
      <c r="A36" s="4"/>
      <c r="B36" s="32"/>
      <c r="C36" s="32"/>
      <c r="D36" s="32"/>
      <c r="E36" s="32"/>
      <c r="F36" s="32"/>
      <c r="G36" s="4"/>
    </row>
    <row r="37" spans="1:7" x14ac:dyDescent="0.3">
      <c r="B37" s="32"/>
      <c r="C37" s="32"/>
      <c r="D37" s="32"/>
      <c r="E37" s="32"/>
      <c r="F37" s="32"/>
      <c r="G37" s="4"/>
    </row>
    <row r="38" spans="1:7" x14ac:dyDescent="0.3">
      <c r="B38" s="32"/>
      <c r="C38" s="32"/>
      <c r="D38" s="32"/>
      <c r="E38" s="32"/>
      <c r="F38" s="32"/>
    </row>
  </sheetData>
  <mergeCells count="6">
    <mergeCell ref="B8:F8"/>
    <mergeCell ref="B2:F2"/>
    <mergeCell ref="B3:F3"/>
    <mergeCell ref="B4:F4"/>
    <mergeCell ref="B5:F5"/>
    <mergeCell ref="B6:F6"/>
  </mergeCells>
  <printOptions horizontalCentered="1"/>
  <pageMargins left="0.5" right="0.5" top="0.5" bottom="0.5" header="0.25" footer="0.25"/>
  <pageSetup scale="74" orientation="landscape" r:id="rId1"/>
  <headerFooter scaleWithDoc="0">
    <oddFooter>&amp;C&amp;"Times New Roman,Regular"&amp;10&amp;A</oddFooter>
  </headerFooter>
  <customProperties>
    <customPr name="_pios_id" r:id="rId2"/>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N30"/>
  <sheetViews>
    <sheetView zoomScale="80" zoomScaleNormal="80" workbookViewId="0"/>
  </sheetViews>
  <sheetFormatPr defaultColWidth="9.33203125" defaultRowHeight="15.6" x14ac:dyDescent="0.3"/>
  <cols>
    <col min="1" max="1" width="5.33203125" style="4" customWidth="1"/>
    <col min="2" max="2" width="56" style="32" customWidth="1"/>
    <col min="3" max="3" width="33" style="32" bestFit="1" customWidth="1"/>
    <col min="4" max="4" width="1.5546875" style="32" customWidth="1"/>
    <col min="5" max="5" width="16.6640625" style="32" customWidth="1"/>
    <col min="6" max="6" width="1.5546875" style="32" customWidth="1"/>
    <col min="7" max="7" width="16.6640625" style="32" customWidth="1"/>
    <col min="8" max="8" width="1.5546875" style="32" customWidth="1"/>
    <col min="9" max="9" width="16.6640625" style="32" customWidth="1"/>
    <col min="10" max="10" width="1.5546875" style="32" customWidth="1"/>
    <col min="11" max="11" width="40.33203125" style="32" customWidth="1"/>
    <col min="12" max="12" width="5.33203125" style="32" customWidth="1"/>
    <col min="13" max="13" width="9.33203125" style="32"/>
    <col min="14" max="14" width="20.44140625" style="32" bestFit="1" customWidth="1"/>
    <col min="15" max="16384" width="9.33203125" style="32"/>
  </cols>
  <sheetData>
    <row r="1" spans="1:14" x14ac:dyDescent="0.3">
      <c r="H1" s="4"/>
      <c r="I1" s="4"/>
      <c r="J1" s="4"/>
      <c r="K1" s="4"/>
      <c r="L1" s="4"/>
    </row>
    <row r="2" spans="1:14" x14ac:dyDescent="0.3">
      <c r="B2" s="1222" t="s">
        <v>0</v>
      </c>
      <c r="C2" s="1222"/>
      <c r="D2" s="1222"/>
      <c r="E2" s="1222"/>
      <c r="F2" s="1222"/>
      <c r="G2" s="1222"/>
      <c r="H2" s="1222"/>
      <c r="I2" s="1222"/>
      <c r="J2" s="1222"/>
      <c r="K2" s="1222"/>
      <c r="L2" s="4"/>
    </row>
    <row r="3" spans="1:14" x14ac:dyDescent="0.3">
      <c r="B3" s="1222" t="s">
        <v>422</v>
      </c>
      <c r="C3" s="1222"/>
      <c r="D3" s="1222"/>
      <c r="E3" s="1222"/>
      <c r="F3" s="1222"/>
      <c r="G3" s="1222"/>
      <c r="H3" s="1222"/>
      <c r="I3" s="1222"/>
      <c r="J3" s="1222"/>
      <c r="K3" s="1222"/>
      <c r="L3" s="4"/>
    </row>
    <row r="4" spans="1:14" x14ac:dyDescent="0.3">
      <c r="B4" s="1222" t="s">
        <v>423</v>
      </c>
      <c r="C4" s="1222"/>
      <c r="D4" s="1222"/>
      <c r="E4" s="1222"/>
      <c r="F4" s="1222"/>
      <c r="G4" s="1222"/>
      <c r="H4" s="1222"/>
      <c r="I4" s="1222"/>
      <c r="J4" s="1222"/>
      <c r="K4" s="1222"/>
      <c r="L4" s="4"/>
    </row>
    <row r="5" spans="1:14" x14ac:dyDescent="0.3">
      <c r="B5" s="1227" t="str">
        <f>'Stmt AD'!B5</f>
        <v>Base Period &amp; True-Up Period 12 - Months Ending December 31, 2023</v>
      </c>
      <c r="C5" s="1227"/>
      <c r="D5" s="1227"/>
      <c r="E5" s="1227"/>
      <c r="F5" s="1227"/>
      <c r="G5" s="1227"/>
      <c r="H5" s="1227"/>
      <c r="I5" s="1227"/>
      <c r="J5" s="1227"/>
      <c r="K5" s="1227"/>
      <c r="L5" s="4"/>
    </row>
    <row r="6" spans="1:14" x14ac:dyDescent="0.3">
      <c r="B6" s="1226" t="s">
        <v>4</v>
      </c>
      <c r="C6" s="1223"/>
      <c r="D6" s="1223"/>
      <c r="E6" s="1223"/>
      <c r="F6" s="1223"/>
      <c r="G6" s="1223"/>
      <c r="H6" s="1223"/>
      <c r="I6" s="1223"/>
      <c r="J6" s="1223"/>
      <c r="K6" s="1223"/>
      <c r="L6" s="4"/>
    </row>
    <row r="7" spans="1:14" x14ac:dyDescent="0.3">
      <c r="B7" s="4"/>
      <c r="C7" s="4"/>
      <c r="D7" s="4"/>
      <c r="E7" s="4"/>
      <c r="F7" s="4"/>
      <c r="G7" s="4"/>
      <c r="H7" s="4"/>
      <c r="I7" s="4"/>
      <c r="J7" s="4"/>
      <c r="K7" s="4"/>
      <c r="L7" s="4"/>
    </row>
    <row r="8" spans="1:14" x14ac:dyDescent="0.3">
      <c r="A8" s="4" t="s">
        <v>5</v>
      </c>
      <c r="B8" s="221"/>
      <c r="C8" s="4" t="s">
        <v>236</v>
      </c>
      <c r="D8" s="221"/>
      <c r="E8" s="35" t="s">
        <v>210</v>
      </c>
      <c r="F8" s="4"/>
      <c r="G8" s="35" t="s">
        <v>211</v>
      </c>
      <c r="H8" s="4"/>
      <c r="I8" s="35" t="s">
        <v>237</v>
      </c>
      <c r="J8" s="4"/>
      <c r="K8" s="4"/>
      <c r="L8" s="4" t="s">
        <v>5</v>
      </c>
    </row>
    <row r="9" spans="1:14" x14ac:dyDescent="0.3">
      <c r="A9" s="4" t="s">
        <v>6</v>
      </c>
      <c r="C9" s="852" t="s">
        <v>238</v>
      </c>
      <c r="E9" s="975">
        <f>'Stmt AD'!E9</f>
        <v>44926</v>
      </c>
      <c r="F9" s="221"/>
      <c r="G9" s="975">
        <f>'Stmt AD'!G9</f>
        <v>45291</v>
      </c>
      <c r="H9" s="221"/>
      <c r="I9" s="853" t="s">
        <v>239</v>
      </c>
      <c r="J9" s="221"/>
      <c r="K9" s="852" t="s">
        <v>8</v>
      </c>
      <c r="L9" s="4" t="s">
        <v>6</v>
      </c>
    </row>
    <row r="10" spans="1:14" x14ac:dyDescent="0.3">
      <c r="H10" s="4"/>
      <c r="I10" s="4"/>
      <c r="J10" s="4"/>
      <c r="K10" s="4"/>
      <c r="L10" s="4"/>
    </row>
    <row r="11" spans="1:14" s="258" customFormat="1" x14ac:dyDescent="0.3">
      <c r="A11" s="4">
        <v>1</v>
      </c>
      <c r="B11" s="32" t="s">
        <v>424</v>
      </c>
      <c r="C11" s="4" t="s">
        <v>425</v>
      </c>
      <c r="D11" s="32"/>
      <c r="E11" s="1103">
        <f>'AF-1'!I18</f>
        <v>105148.9305942592</v>
      </c>
      <c r="F11" s="1100" t="s">
        <v>1507</v>
      </c>
      <c r="G11" s="84">
        <f>'AF-2'!I18</f>
        <v>103537.42708935875</v>
      </c>
      <c r="H11" s="4"/>
      <c r="I11" s="36">
        <f>(E11+G11)/2</f>
        <v>104343.17884180899</v>
      </c>
      <c r="J11" s="4"/>
      <c r="K11" s="4" t="s">
        <v>426</v>
      </c>
      <c r="L11" s="4">
        <f>A11</f>
        <v>1</v>
      </c>
      <c r="M11" s="32"/>
    </row>
    <row r="12" spans="1:14" s="258" customFormat="1" x14ac:dyDescent="0.3">
      <c r="A12" s="4">
        <f>A11+1</f>
        <v>2</v>
      </c>
      <c r="B12" s="32"/>
      <c r="C12" s="32"/>
      <c r="D12" s="32"/>
      <c r="E12" s="32"/>
      <c r="F12" s="32"/>
      <c r="G12" s="32"/>
      <c r="H12" s="4"/>
      <c r="I12" s="4"/>
      <c r="J12" s="4"/>
      <c r="K12" s="4"/>
      <c r="L12" s="4">
        <f>L11+1</f>
        <v>2</v>
      </c>
    </row>
    <row r="13" spans="1:14" s="258" customFormat="1" x14ac:dyDescent="0.3">
      <c r="A13" s="4">
        <f>A12+1</f>
        <v>3</v>
      </c>
      <c r="B13" s="32" t="s">
        <v>427</v>
      </c>
      <c r="C13" s="4" t="s">
        <v>428</v>
      </c>
      <c r="D13" s="32"/>
      <c r="E13" s="85">
        <f>'AF-1'!I25</f>
        <v>-1202338.2788327192</v>
      </c>
      <c r="F13" s="1100"/>
      <c r="G13" s="85">
        <f>'AF-2'!I25</f>
        <v>-1224604.6554616399</v>
      </c>
      <c r="H13" s="4"/>
      <c r="I13" s="86">
        <f>(E13+G13)/2</f>
        <v>-1213471.4671471794</v>
      </c>
      <c r="J13" s="4"/>
      <c r="K13" s="4" t="s">
        <v>429</v>
      </c>
      <c r="L13" s="4">
        <f>L12+1</f>
        <v>3</v>
      </c>
      <c r="M13" s="32"/>
    </row>
    <row r="14" spans="1:14" s="258" customFormat="1" x14ac:dyDescent="0.3">
      <c r="A14" s="4">
        <f t="shared" ref="A14:A15" si="0">A13+1</f>
        <v>4</v>
      </c>
      <c r="B14" s="32"/>
      <c r="C14" s="32"/>
      <c r="D14" s="32"/>
      <c r="E14" s="32"/>
      <c r="F14" s="32"/>
      <c r="G14" s="32"/>
      <c r="H14" s="4"/>
      <c r="I14" s="4"/>
      <c r="J14" s="4"/>
      <c r="K14" s="4"/>
      <c r="L14" s="4">
        <f t="shared" ref="L14:L20" si="1">L13+1</f>
        <v>4</v>
      </c>
      <c r="M14" s="32"/>
    </row>
    <row r="15" spans="1:14" s="258" customFormat="1" x14ac:dyDescent="0.3">
      <c r="A15" s="4">
        <f t="shared" si="0"/>
        <v>5</v>
      </c>
      <c r="B15" s="32" t="s">
        <v>430</v>
      </c>
      <c r="C15" s="4" t="s">
        <v>431</v>
      </c>
      <c r="D15" s="32"/>
      <c r="E15" s="926">
        <f>'AF-1'!I33</f>
        <v>-8583.7620040680013</v>
      </c>
      <c r="F15" s="32"/>
      <c r="G15" s="926">
        <f>'AF-2'!I33</f>
        <v>-9530.1858252439943</v>
      </c>
      <c r="H15" s="4"/>
      <c r="I15" s="981">
        <f>(E15+G15)/2</f>
        <v>-9056.9739146559987</v>
      </c>
      <c r="J15" s="4"/>
      <c r="K15" s="4" t="s">
        <v>432</v>
      </c>
      <c r="L15" s="4">
        <f t="shared" si="1"/>
        <v>5</v>
      </c>
      <c r="M15" s="32"/>
      <c r="N15" s="32"/>
    </row>
    <row r="16" spans="1:14" x14ac:dyDescent="0.3">
      <c r="A16" s="4">
        <f>A15+1</f>
        <v>6</v>
      </c>
      <c r="E16" s="36"/>
      <c r="F16" s="36"/>
      <c r="G16" s="36"/>
      <c r="I16" s="36"/>
      <c r="J16" s="4"/>
      <c r="K16" s="4"/>
      <c r="L16" s="4">
        <f>L15+1</f>
        <v>6</v>
      </c>
    </row>
    <row r="17" spans="1:12" ht="18.600000000000001" thickBot="1" x14ac:dyDescent="0.35">
      <c r="A17" s="4">
        <f t="shared" ref="A17:A19" si="2">A16+1</f>
        <v>7</v>
      </c>
      <c r="B17" s="32" t="s">
        <v>433</v>
      </c>
      <c r="C17" s="4"/>
      <c r="E17" s="103">
        <f>SUM(E11:E15)</f>
        <v>-1105773.1102425279</v>
      </c>
      <c r="F17" s="1100" t="s">
        <v>1507</v>
      </c>
      <c r="G17" s="38">
        <f>SUM(G11:G15)</f>
        <v>-1130597.4141975252</v>
      </c>
      <c r="H17" s="87"/>
      <c r="I17" s="38">
        <f>SUM(I11:I15)</f>
        <v>-1118185.2622200265</v>
      </c>
      <c r="J17" s="4"/>
      <c r="K17" s="47" t="s">
        <v>14</v>
      </c>
      <c r="L17" s="4">
        <f t="shared" si="1"/>
        <v>7</v>
      </c>
    </row>
    <row r="18" spans="1:12" ht="16.2" thickTop="1" x14ac:dyDescent="0.3">
      <c r="A18" s="4">
        <f t="shared" si="2"/>
        <v>8</v>
      </c>
      <c r="J18" s="4"/>
      <c r="K18" s="341"/>
      <c r="L18" s="4">
        <f t="shared" si="1"/>
        <v>8</v>
      </c>
    </row>
    <row r="19" spans="1:12" ht="16.2" thickBot="1" x14ac:dyDescent="0.35">
      <c r="A19" s="4">
        <f t="shared" si="2"/>
        <v>9</v>
      </c>
      <c r="B19" s="32" t="s">
        <v>434</v>
      </c>
      <c r="E19" s="93">
        <f>'AF-3'!C11</f>
        <v>0</v>
      </c>
      <c r="F19" s="36"/>
      <c r="G19" s="93">
        <f>'AF-3'!E11</f>
        <v>0</v>
      </c>
      <c r="H19" s="36"/>
      <c r="I19" s="38">
        <f>(E19+G19)/2</f>
        <v>0</v>
      </c>
      <c r="K19" s="4" t="s">
        <v>435</v>
      </c>
      <c r="L19" s="4">
        <f t="shared" si="1"/>
        <v>9</v>
      </c>
    </row>
    <row r="20" spans="1:12" ht="16.2" thickTop="1" x14ac:dyDescent="0.3">
      <c r="A20" s="4">
        <f t="shared" ref="A20:A25" si="3">A19+1</f>
        <v>10</v>
      </c>
      <c r="E20" s="1"/>
      <c r="F20" s="1"/>
      <c r="G20" s="1"/>
      <c r="H20" s="1"/>
      <c r="I20" s="1"/>
      <c r="K20" s="4"/>
      <c r="L20" s="4">
        <f t="shared" si="1"/>
        <v>10</v>
      </c>
    </row>
    <row r="21" spans="1:12" ht="16.2" thickBot="1" x14ac:dyDescent="0.35">
      <c r="A21" s="4">
        <f t="shared" si="3"/>
        <v>11</v>
      </c>
      <c r="B21" s="32" t="s">
        <v>436</v>
      </c>
      <c r="E21" s="93">
        <f>'AF-3'!C13</f>
        <v>0</v>
      </c>
      <c r="F21" s="88"/>
      <c r="G21" s="93">
        <f>'AF-3'!E13</f>
        <v>0</v>
      </c>
      <c r="H21" s="88"/>
      <c r="I21" s="38">
        <f>(E21+G21)/2</f>
        <v>0</v>
      </c>
      <c r="K21" s="4" t="s">
        <v>437</v>
      </c>
      <c r="L21" s="4">
        <f t="shared" ref="L21:L25" si="4">L20+1</f>
        <v>11</v>
      </c>
    </row>
    <row r="22" spans="1:12" ht="16.2" thickTop="1" x14ac:dyDescent="0.3">
      <c r="A22" s="4">
        <f t="shared" si="3"/>
        <v>12</v>
      </c>
      <c r="E22" s="1"/>
      <c r="F22" s="1"/>
      <c r="G22" s="1"/>
      <c r="H22" s="1"/>
      <c r="I22" s="1"/>
      <c r="L22" s="4">
        <f t="shared" si="4"/>
        <v>12</v>
      </c>
    </row>
    <row r="23" spans="1:12" ht="16.2" thickBot="1" x14ac:dyDescent="0.35">
      <c r="A23" s="4">
        <f t="shared" si="3"/>
        <v>13</v>
      </c>
      <c r="B23" s="32" t="s">
        <v>438</v>
      </c>
      <c r="E23" s="93">
        <f>'AF-3'!C15</f>
        <v>0</v>
      </c>
      <c r="F23" s="36"/>
      <c r="G23" s="93">
        <f>'AF-3'!E15</f>
        <v>0</v>
      </c>
      <c r="H23" s="36"/>
      <c r="I23" s="38">
        <f>(E23+G23)/2</f>
        <v>0</v>
      </c>
      <c r="K23" s="4" t="s">
        <v>439</v>
      </c>
      <c r="L23" s="4">
        <f t="shared" si="4"/>
        <v>13</v>
      </c>
    </row>
    <row r="24" spans="1:12" ht="16.2" thickTop="1" x14ac:dyDescent="0.3">
      <c r="A24" s="4">
        <f t="shared" si="3"/>
        <v>14</v>
      </c>
      <c r="L24" s="4">
        <f t="shared" si="4"/>
        <v>14</v>
      </c>
    </row>
    <row r="25" spans="1:12" ht="16.2" thickBot="1" x14ac:dyDescent="0.35">
      <c r="A25" s="4">
        <f t="shared" si="3"/>
        <v>15</v>
      </c>
      <c r="B25" s="32" t="s">
        <v>1771</v>
      </c>
      <c r="E25" s="1170">
        <f>'AF-4'!C11</f>
        <v>-651642.851874299</v>
      </c>
      <c r="F25" s="1204"/>
      <c r="G25" s="1170">
        <f>'AF-4'!E11</f>
        <v>-713526.22864224005</v>
      </c>
      <c r="I25" s="38">
        <f>(E25+G25)/2</f>
        <v>-682584.54025826952</v>
      </c>
      <c r="K25" s="4" t="s">
        <v>1770</v>
      </c>
      <c r="L25" s="4">
        <f t="shared" si="4"/>
        <v>15</v>
      </c>
    </row>
    <row r="26" spans="1:12" ht="16.2" thickTop="1" x14ac:dyDescent="0.3"/>
    <row r="28" spans="1:12" x14ac:dyDescent="0.3">
      <c r="A28" s="1100" t="s">
        <v>1507</v>
      </c>
      <c r="B28" s="1101" t="s">
        <v>1545</v>
      </c>
    </row>
    <row r="29" spans="1:12" ht="18" x14ac:dyDescent="0.3">
      <c r="A29" s="256">
        <v>1</v>
      </c>
      <c r="B29" s="32" t="s">
        <v>440</v>
      </c>
    </row>
    <row r="30" spans="1:12" ht="18" x14ac:dyDescent="0.3">
      <c r="A30" s="256">
        <v>2</v>
      </c>
      <c r="B30" s="32" t="s">
        <v>113</v>
      </c>
    </row>
  </sheetData>
  <mergeCells count="5">
    <mergeCell ref="B2:K2"/>
    <mergeCell ref="B3:K3"/>
    <mergeCell ref="B4:K4"/>
    <mergeCell ref="B5:K5"/>
    <mergeCell ref="B6:K6"/>
  </mergeCells>
  <printOptions horizontalCentered="1"/>
  <pageMargins left="0.5" right="0.5" top="0.5" bottom="0.5" header="0.25" footer="0.25"/>
  <pageSetup scale="48" orientation="portrait" r:id="rId1"/>
  <headerFooter scaleWithDoc="0">
    <oddFooter>&amp;C&amp;"Times New Roman,Regular"&amp;10&amp;A</oddFooter>
  </headerFooter>
  <customProperties>
    <customPr name="_pios_id" r:id="rId2"/>
  </customPropertie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5DEA9-CD86-4474-BC18-A6F152E25925}">
  <sheetPr>
    <pageSetUpPr fitToPage="1"/>
  </sheetPr>
  <dimension ref="A2:N44"/>
  <sheetViews>
    <sheetView topLeftCell="A7" zoomScale="80" zoomScaleNormal="80" workbookViewId="0"/>
  </sheetViews>
  <sheetFormatPr defaultColWidth="8.5546875" defaultRowHeight="15.6" x14ac:dyDescent="0.3"/>
  <cols>
    <col min="1" max="1" width="5.5546875" style="4" customWidth="1"/>
    <col min="2" max="2" width="52.33203125" style="32" customWidth="1"/>
    <col min="3" max="3" width="16.6640625" style="32" customWidth="1"/>
    <col min="4" max="4" width="1.5546875" style="32" customWidth="1"/>
    <col min="5" max="5" width="20.44140625" style="32" customWidth="1"/>
    <col min="6" max="6" width="1.5546875" style="32" customWidth="1"/>
    <col min="7" max="7" width="20.44140625" style="32" customWidth="1"/>
    <col min="8" max="8" width="1.5546875" style="32" customWidth="1"/>
    <col min="9" max="9" width="23.44140625" style="32" bestFit="1" customWidth="1"/>
    <col min="10" max="10" width="2.33203125" style="32" bestFit="1" customWidth="1"/>
    <col min="11" max="11" width="62.5546875" style="32" customWidth="1"/>
    <col min="12" max="12" width="5.44140625" style="4" customWidth="1"/>
    <col min="13" max="13" width="18.44140625" style="32" bestFit="1" customWidth="1"/>
    <col min="14" max="16384" width="8.5546875" style="32"/>
  </cols>
  <sheetData>
    <row r="2" spans="1:14" x14ac:dyDescent="0.3">
      <c r="B2" s="1222" t="s">
        <v>0</v>
      </c>
      <c r="C2" s="1222"/>
      <c r="D2" s="1222"/>
      <c r="E2" s="1222"/>
      <c r="F2" s="1222"/>
      <c r="G2" s="1222"/>
      <c r="H2" s="1222"/>
      <c r="I2" s="1222"/>
      <c r="J2" s="1222"/>
      <c r="K2" s="1222"/>
    </row>
    <row r="3" spans="1:14" x14ac:dyDescent="0.3">
      <c r="B3" s="1222" t="s">
        <v>441</v>
      </c>
      <c r="C3" s="1222"/>
      <c r="D3" s="1222"/>
      <c r="E3" s="1222"/>
      <c r="F3" s="1222"/>
      <c r="G3" s="1222"/>
      <c r="H3" s="1222"/>
      <c r="I3" s="1222"/>
      <c r="J3" s="1222"/>
      <c r="K3" s="1222"/>
    </row>
    <row r="4" spans="1:14" x14ac:dyDescent="0.3">
      <c r="B4" s="1222" t="s">
        <v>442</v>
      </c>
      <c r="C4" s="1222"/>
      <c r="D4" s="1222"/>
      <c r="E4" s="1222"/>
      <c r="F4" s="1222"/>
      <c r="G4" s="1222"/>
      <c r="H4" s="1222"/>
      <c r="I4" s="1222"/>
      <c r="J4" s="1222"/>
      <c r="K4" s="1222"/>
    </row>
    <row r="5" spans="1:14" x14ac:dyDescent="0.3">
      <c r="B5" s="1222" t="s">
        <v>1741</v>
      </c>
      <c r="C5" s="1222"/>
      <c r="D5" s="1222"/>
      <c r="E5" s="1222"/>
      <c r="F5" s="1222"/>
      <c r="G5" s="1222"/>
      <c r="H5" s="1222"/>
      <c r="I5" s="1222"/>
      <c r="J5" s="1222"/>
      <c r="K5" s="1222"/>
    </row>
    <row r="6" spans="1:14" ht="15.75" customHeight="1" x14ac:dyDescent="0.3">
      <c r="B6" s="1226" t="s">
        <v>4</v>
      </c>
      <c r="C6" s="1226"/>
      <c r="D6" s="1226"/>
      <c r="E6" s="1226"/>
      <c r="F6" s="1226"/>
      <c r="G6" s="1226"/>
      <c r="H6" s="1226"/>
      <c r="I6" s="1226"/>
      <c r="J6" s="1226"/>
      <c r="K6" s="1226"/>
    </row>
    <row r="8" spans="1:14" x14ac:dyDescent="0.3">
      <c r="B8" s="1"/>
      <c r="C8" s="265" t="s">
        <v>210</v>
      </c>
      <c r="D8" s="265"/>
      <c r="E8" s="265" t="s">
        <v>211</v>
      </c>
      <c r="F8" s="265"/>
      <c r="G8" s="265" t="s">
        <v>212</v>
      </c>
      <c r="H8" s="265"/>
      <c r="I8" s="265" t="s">
        <v>443</v>
      </c>
      <c r="J8" s="265"/>
      <c r="K8" s="265"/>
    </row>
    <row r="9" spans="1:14" ht="18" x14ac:dyDescent="0.3">
      <c r="A9" s="4" t="s">
        <v>5</v>
      </c>
      <c r="B9" s="1"/>
      <c r="C9" s="265" t="s">
        <v>444</v>
      </c>
      <c r="D9" s="265"/>
      <c r="E9" s="265" t="s">
        <v>445</v>
      </c>
      <c r="F9" s="265"/>
      <c r="G9" s="265" t="s">
        <v>446</v>
      </c>
      <c r="H9" s="265"/>
      <c r="I9" s="265"/>
      <c r="J9" s="265"/>
      <c r="K9" s="265"/>
      <c r="L9" s="4" t="s">
        <v>5</v>
      </c>
    </row>
    <row r="10" spans="1:14" x14ac:dyDescent="0.3">
      <c r="A10" s="4" t="s">
        <v>6</v>
      </c>
      <c r="B10" s="935" t="s">
        <v>337</v>
      </c>
      <c r="C10" s="731" t="s">
        <v>447</v>
      </c>
      <c r="D10" s="731"/>
      <c r="E10" s="731" t="s">
        <v>448</v>
      </c>
      <c r="F10" s="731"/>
      <c r="G10" s="731" t="s">
        <v>449</v>
      </c>
      <c r="H10" s="731"/>
      <c r="I10" s="935" t="s">
        <v>200</v>
      </c>
      <c r="J10" s="935"/>
      <c r="K10" s="935" t="s">
        <v>8</v>
      </c>
      <c r="L10" s="4" t="s">
        <v>6</v>
      </c>
    </row>
    <row r="11" spans="1:14" x14ac:dyDescent="0.3">
      <c r="B11" s="1"/>
      <c r="C11" s="342"/>
      <c r="D11" s="342"/>
      <c r="E11" s="342"/>
      <c r="F11" s="342"/>
      <c r="G11" s="342"/>
      <c r="H11" s="342"/>
      <c r="I11" s="92"/>
      <c r="J11" s="92"/>
      <c r="K11" s="92"/>
    </row>
    <row r="12" spans="1:14" x14ac:dyDescent="0.3">
      <c r="A12" s="4">
        <v>1</v>
      </c>
      <c r="B12" s="33" t="s">
        <v>450</v>
      </c>
      <c r="C12" s="91"/>
      <c r="D12" s="91"/>
      <c r="E12" s="91"/>
      <c r="F12" s="91"/>
      <c r="G12" s="91"/>
      <c r="H12" s="91"/>
      <c r="I12" s="92"/>
      <c r="J12" s="92"/>
      <c r="K12" s="92"/>
      <c r="L12" s="4">
        <f>A12</f>
        <v>1</v>
      </c>
    </row>
    <row r="13" spans="1:14" x14ac:dyDescent="0.3">
      <c r="A13" s="4">
        <f>A12+1</f>
        <v>2</v>
      </c>
      <c r="B13" s="33" t="s">
        <v>451</v>
      </c>
      <c r="C13" s="44">
        <v>1253.3836893890293</v>
      </c>
      <c r="D13" s="1100" t="s">
        <v>1507</v>
      </c>
      <c r="E13" s="36">
        <f>SUM('Order 864-1'!M15:M17,'Order 864-1'!M19)</f>
        <v>0</v>
      </c>
      <c r="F13" s="36"/>
      <c r="G13" s="36">
        <f>SUM('Order 864-1'!N15:N17,'Order 864-1'!N19)</f>
        <v>0</v>
      </c>
      <c r="H13" s="89"/>
      <c r="I13" s="44">
        <f>SUM(C13:G13)</f>
        <v>1253.3836893890293</v>
      </c>
      <c r="J13" s="1100" t="s">
        <v>1507</v>
      </c>
      <c r="K13" s="45" t="s">
        <v>1543</v>
      </c>
      <c r="L13" s="4">
        <f>L12+1</f>
        <v>2</v>
      </c>
    </row>
    <row r="14" spans="1:14" x14ac:dyDescent="0.3">
      <c r="A14" s="4">
        <f>A13+1</f>
        <v>3</v>
      </c>
      <c r="B14" s="33" t="s">
        <v>452</v>
      </c>
      <c r="C14" s="6">
        <v>0</v>
      </c>
      <c r="D14" s="6"/>
      <c r="E14" s="6">
        <f>'Order 864-1'!M27</f>
        <v>103895.54690487018</v>
      </c>
      <c r="F14" s="6"/>
      <c r="G14" s="6">
        <f>'Order 864-1'!N27</f>
        <v>0</v>
      </c>
      <c r="H14" s="6"/>
      <c r="I14" s="6">
        <f>SUM(C14:G14)</f>
        <v>103895.54690487018</v>
      </c>
      <c r="J14" s="6"/>
      <c r="K14" s="45" t="s">
        <v>1543</v>
      </c>
      <c r="L14" s="4">
        <f>L13+1</f>
        <v>3</v>
      </c>
      <c r="M14" s="889"/>
      <c r="N14" s="811"/>
    </row>
    <row r="15" spans="1:14" ht="18" x14ac:dyDescent="0.3">
      <c r="A15" s="4">
        <f>A14+1</f>
        <v>4</v>
      </c>
      <c r="B15" s="33" t="s">
        <v>1834</v>
      </c>
      <c r="C15" s="6">
        <v>0</v>
      </c>
      <c r="D15" s="36"/>
      <c r="E15" s="6">
        <v>0</v>
      </c>
      <c r="F15" s="36"/>
      <c r="G15" s="6">
        <v>0</v>
      </c>
      <c r="H15" s="89"/>
      <c r="I15" s="6">
        <f>SUM(C15:G15)</f>
        <v>0</v>
      </c>
      <c r="J15" s="6"/>
      <c r="K15" s="45" t="s">
        <v>1835</v>
      </c>
      <c r="L15" s="4">
        <f t="shared" ref="L15:L17" si="0">L14+1</f>
        <v>4</v>
      </c>
      <c r="M15" s="890"/>
      <c r="N15" s="811"/>
    </row>
    <row r="16" spans="1:14" x14ac:dyDescent="0.3">
      <c r="A16" s="4">
        <f>A15+1</f>
        <v>5</v>
      </c>
      <c r="B16" s="33"/>
      <c r="C16" s="6">
        <v>0</v>
      </c>
      <c r="D16" s="6"/>
      <c r="E16" s="6">
        <v>0</v>
      </c>
      <c r="F16" s="6"/>
      <c r="G16" s="6">
        <v>0</v>
      </c>
      <c r="H16" s="6"/>
      <c r="I16" s="6">
        <f>SUM(C16:G16)</f>
        <v>0</v>
      </c>
      <c r="J16" s="6"/>
      <c r="K16" s="6"/>
      <c r="L16" s="4">
        <f t="shared" si="0"/>
        <v>5</v>
      </c>
      <c r="M16" s="361"/>
    </row>
    <row r="17" spans="1:13" x14ac:dyDescent="0.3">
      <c r="A17" s="4">
        <f t="shared" ref="A17:A35" si="1">A16+1</f>
        <v>6</v>
      </c>
      <c r="C17" s="6">
        <v>0</v>
      </c>
      <c r="D17" s="6"/>
      <c r="E17" s="6">
        <v>0</v>
      </c>
      <c r="F17" s="6"/>
      <c r="G17" s="6">
        <v>0</v>
      </c>
      <c r="H17" s="6"/>
      <c r="I17" s="6">
        <f>SUM(C17:G17)</f>
        <v>0</v>
      </c>
      <c r="J17" s="6"/>
      <c r="K17" s="6"/>
      <c r="L17" s="4">
        <f t="shared" si="0"/>
        <v>6</v>
      </c>
      <c r="M17" s="890"/>
    </row>
    <row r="18" spans="1:13" ht="16.2" thickBot="1" x14ac:dyDescent="0.35">
      <c r="A18" s="4">
        <f t="shared" si="1"/>
        <v>7</v>
      </c>
      <c r="B18" s="343" t="s">
        <v>453</v>
      </c>
      <c r="C18" s="90">
        <f>SUM(C13:C17)</f>
        <v>1253.3836893890293</v>
      </c>
      <c r="D18" s="1100" t="s">
        <v>1507</v>
      </c>
      <c r="E18" s="90">
        <f>SUM(E13:E17)</f>
        <v>103895.54690487018</v>
      </c>
      <c r="F18" s="44"/>
      <c r="G18" s="90">
        <f>SUM(G13:G17)</f>
        <v>0</v>
      </c>
      <c r="H18" s="6"/>
      <c r="I18" s="90">
        <f>SUM(I13:I17)</f>
        <v>105148.9305942592</v>
      </c>
      <c r="J18" s="1100" t="s">
        <v>1507</v>
      </c>
      <c r="K18" s="45" t="s">
        <v>454</v>
      </c>
      <c r="L18" s="4">
        <f t="shared" ref="L18:L35" si="2">L17+1</f>
        <v>7</v>
      </c>
    </row>
    <row r="19" spans="1:13" ht="16.2" thickTop="1" x14ac:dyDescent="0.3">
      <c r="A19" s="4">
        <f t="shared" si="1"/>
        <v>8</v>
      </c>
      <c r="C19" s="86"/>
      <c r="D19" s="86"/>
      <c r="E19" s="86"/>
      <c r="F19" s="86"/>
      <c r="G19" s="86"/>
      <c r="H19" s="86"/>
      <c r="I19" s="86"/>
      <c r="J19" s="86"/>
      <c r="K19" s="86"/>
      <c r="L19" s="4">
        <f t="shared" si="2"/>
        <v>8</v>
      </c>
    </row>
    <row r="20" spans="1:13" x14ac:dyDescent="0.3">
      <c r="A20" s="4">
        <f t="shared" si="1"/>
        <v>9</v>
      </c>
      <c r="B20" s="33" t="s">
        <v>455</v>
      </c>
      <c r="C20" s="91"/>
      <c r="D20" s="91"/>
      <c r="E20" s="91"/>
      <c r="F20" s="91"/>
      <c r="G20" s="91"/>
      <c r="H20" s="91"/>
      <c r="I20" s="92"/>
      <c r="J20" s="92"/>
      <c r="K20" s="92"/>
      <c r="L20" s="4">
        <f t="shared" si="2"/>
        <v>9</v>
      </c>
    </row>
    <row r="21" spans="1:13" x14ac:dyDescent="0.3">
      <c r="A21" s="4">
        <f t="shared" si="1"/>
        <v>10</v>
      </c>
      <c r="B21" s="727" t="s">
        <v>452</v>
      </c>
      <c r="C21" s="36">
        <v>-844678.63211961079</v>
      </c>
      <c r="D21" s="1100"/>
      <c r="E21" s="36">
        <f>SUM('Order 864-1'!M29:M30,'Order 864-1'!M37,'Order 864-1'!M40)</f>
        <v>51366.178021585656</v>
      </c>
      <c r="F21" s="36"/>
      <c r="G21" s="36">
        <f>SUM('Order 864-1'!N29:N30,'Order 864-1'!N37,'Order 864-1'!N40)</f>
        <v>-409025.82473469403</v>
      </c>
      <c r="H21" s="36"/>
      <c r="I21" s="36">
        <f t="shared" ref="I21:I24" si="3">SUM(C21:G21)</f>
        <v>-1202338.2788327192</v>
      </c>
      <c r="J21" s="1100"/>
      <c r="K21" s="45" t="s">
        <v>289</v>
      </c>
      <c r="L21" s="4">
        <f t="shared" si="2"/>
        <v>10</v>
      </c>
    </row>
    <row r="22" spans="1:13" ht="18" x14ac:dyDescent="0.3">
      <c r="A22" s="4">
        <f t="shared" si="1"/>
        <v>11</v>
      </c>
      <c r="B22" s="33" t="s">
        <v>1834</v>
      </c>
      <c r="C22" s="6">
        <v>0</v>
      </c>
      <c r="D22" s="6"/>
      <c r="E22" s="6">
        <v>0</v>
      </c>
      <c r="F22" s="6"/>
      <c r="G22" s="6">
        <v>0</v>
      </c>
      <c r="H22" s="6"/>
      <c r="I22" s="6">
        <f t="shared" si="3"/>
        <v>0</v>
      </c>
      <c r="J22" s="6"/>
      <c r="K22" s="45" t="s">
        <v>1835</v>
      </c>
      <c r="L22" s="4">
        <f t="shared" si="2"/>
        <v>11</v>
      </c>
    </row>
    <row r="23" spans="1:13" x14ac:dyDescent="0.3">
      <c r="A23" s="4">
        <f t="shared" si="1"/>
        <v>12</v>
      </c>
      <c r="B23" s="727"/>
      <c r="C23" s="6">
        <v>0</v>
      </c>
      <c r="D23" s="6"/>
      <c r="E23" s="6">
        <v>0</v>
      </c>
      <c r="F23" s="6"/>
      <c r="G23" s="6">
        <v>0</v>
      </c>
      <c r="H23" s="6"/>
      <c r="I23" s="6">
        <f t="shared" si="3"/>
        <v>0</v>
      </c>
      <c r="J23" s="6"/>
      <c r="K23" s="810"/>
      <c r="L23" s="4">
        <f t="shared" si="2"/>
        <v>12</v>
      </c>
    </row>
    <row r="24" spans="1:13" x14ac:dyDescent="0.3">
      <c r="A24" s="4">
        <f t="shared" si="1"/>
        <v>13</v>
      </c>
      <c r="B24" s="727"/>
      <c r="C24" s="6">
        <v>0</v>
      </c>
      <c r="D24" s="6"/>
      <c r="E24" s="6">
        <v>0</v>
      </c>
      <c r="F24" s="6"/>
      <c r="G24" s="6">
        <v>0</v>
      </c>
      <c r="H24" s="6"/>
      <c r="I24" s="6">
        <f t="shared" si="3"/>
        <v>0</v>
      </c>
      <c r="J24" s="6"/>
      <c r="K24" s="810"/>
      <c r="L24" s="4">
        <f t="shared" si="2"/>
        <v>13</v>
      </c>
    </row>
    <row r="25" spans="1:13" ht="16.2" thickBot="1" x14ac:dyDescent="0.35">
      <c r="A25" s="4">
        <f t="shared" si="1"/>
        <v>14</v>
      </c>
      <c r="B25" s="343" t="s">
        <v>456</v>
      </c>
      <c r="C25" s="90">
        <f>SUM(C21:C24)</f>
        <v>-844678.63211961079</v>
      </c>
      <c r="D25" s="1100"/>
      <c r="E25" s="90">
        <f>SUM(E21:E24)</f>
        <v>51366.178021585656</v>
      </c>
      <c r="F25" s="44"/>
      <c r="G25" s="90">
        <f>SUM(G21:G24)</f>
        <v>-409025.82473469403</v>
      </c>
      <c r="H25" s="6"/>
      <c r="I25" s="90">
        <f>SUM(I21:I24)</f>
        <v>-1202338.2788327192</v>
      </c>
      <c r="J25" s="1100"/>
      <c r="K25" s="45" t="s">
        <v>457</v>
      </c>
      <c r="L25" s="4">
        <f t="shared" si="2"/>
        <v>14</v>
      </c>
    </row>
    <row r="26" spans="1:13" ht="16.2" thickTop="1" x14ac:dyDescent="0.3">
      <c r="A26" s="4">
        <f t="shared" si="1"/>
        <v>15</v>
      </c>
      <c r="L26" s="4">
        <f t="shared" si="2"/>
        <v>15</v>
      </c>
    </row>
    <row r="27" spans="1:13" x14ac:dyDescent="0.3">
      <c r="A27" s="4">
        <f t="shared" si="1"/>
        <v>16</v>
      </c>
      <c r="B27" s="33" t="s">
        <v>458</v>
      </c>
      <c r="C27" s="91"/>
      <c r="D27" s="91"/>
      <c r="E27" s="91"/>
      <c r="F27" s="91"/>
      <c r="G27" s="91"/>
      <c r="H27" s="91"/>
      <c r="I27" s="92"/>
      <c r="J27" s="92"/>
      <c r="K27" s="4"/>
      <c r="L27" s="4">
        <f t="shared" si="2"/>
        <v>16</v>
      </c>
    </row>
    <row r="28" spans="1:13" x14ac:dyDescent="0.3">
      <c r="A28" s="4">
        <f t="shared" si="1"/>
        <v>17</v>
      </c>
      <c r="B28" s="33" t="s">
        <v>451</v>
      </c>
      <c r="C28" s="36">
        <v>-8583.7620040680013</v>
      </c>
      <c r="D28" s="36"/>
      <c r="E28" s="36">
        <f>SUM('Order 864-1'!M21:M22)</f>
        <v>0</v>
      </c>
      <c r="F28" s="36"/>
      <c r="G28" s="36">
        <f>SUM('Order 864-1'!N21:N22)</f>
        <v>0</v>
      </c>
      <c r="H28" s="89"/>
      <c r="I28" s="36">
        <f>SUM(C28:G28)</f>
        <v>-8583.7620040680013</v>
      </c>
      <c r="J28" s="36"/>
      <c r="K28" s="45" t="s">
        <v>1544</v>
      </c>
      <c r="L28" s="4">
        <f t="shared" si="2"/>
        <v>17</v>
      </c>
    </row>
    <row r="29" spans="1:13" ht="18" x14ac:dyDescent="0.3">
      <c r="A29" s="4">
        <f t="shared" si="1"/>
        <v>18</v>
      </c>
      <c r="B29" s="33" t="s">
        <v>1834</v>
      </c>
      <c r="C29" s="6">
        <v>0</v>
      </c>
      <c r="D29" s="6"/>
      <c r="E29" s="6">
        <v>0</v>
      </c>
      <c r="F29" s="6"/>
      <c r="G29" s="6">
        <v>0</v>
      </c>
      <c r="H29" s="6"/>
      <c r="I29" s="6">
        <f>SUM(C29:G29)</f>
        <v>0</v>
      </c>
      <c r="J29" s="6"/>
      <c r="K29" s="45" t="s">
        <v>1835</v>
      </c>
      <c r="L29" s="4">
        <f t="shared" si="2"/>
        <v>18</v>
      </c>
    </row>
    <row r="30" spans="1:13" x14ac:dyDescent="0.3">
      <c r="A30" s="4">
        <f t="shared" si="1"/>
        <v>19</v>
      </c>
      <c r="B30" s="33"/>
      <c r="C30" s="6">
        <v>0</v>
      </c>
      <c r="D30" s="6"/>
      <c r="E30" s="6">
        <v>0</v>
      </c>
      <c r="F30" s="6"/>
      <c r="G30" s="6">
        <v>0</v>
      </c>
      <c r="H30" s="6"/>
      <c r="I30" s="6">
        <f>SUM(C30:G30)</f>
        <v>0</v>
      </c>
      <c r="J30" s="6"/>
      <c r="K30" s="6"/>
      <c r="L30" s="4">
        <f t="shared" si="2"/>
        <v>19</v>
      </c>
    </row>
    <row r="31" spans="1:13" x14ac:dyDescent="0.3">
      <c r="A31" s="4">
        <f t="shared" si="1"/>
        <v>20</v>
      </c>
      <c r="B31" s="33"/>
      <c r="C31" s="6">
        <v>0</v>
      </c>
      <c r="D31" s="6"/>
      <c r="E31" s="6">
        <v>0</v>
      </c>
      <c r="F31" s="6"/>
      <c r="G31" s="6">
        <v>0</v>
      </c>
      <c r="H31" s="6"/>
      <c r="I31" s="6">
        <f>SUM(C31:G31)</f>
        <v>0</v>
      </c>
      <c r="J31" s="6"/>
      <c r="K31" s="6"/>
      <c r="L31" s="4">
        <f t="shared" si="2"/>
        <v>20</v>
      </c>
    </row>
    <row r="32" spans="1:13" x14ac:dyDescent="0.3">
      <c r="A32" s="4">
        <f t="shared" si="1"/>
        <v>21</v>
      </c>
      <c r="B32" s="33"/>
      <c r="C32" s="6">
        <v>0</v>
      </c>
      <c r="D32" s="6"/>
      <c r="E32" s="6">
        <v>0</v>
      </c>
      <c r="F32" s="6"/>
      <c r="G32" s="6">
        <v>0</v>
      </c>
      <c r="H32" s="6"/>
      <c r="I32" s="6">
        <f>SUM(C32:G32)</f>
        <v>0</v>
      </c>
      <c r="J32" s="6"/>
      <c r="K32" s="6"/>
      <c r="L32" s="4">
        <f t="shared" si="2"/>
        <v>21</v>
      </c>
    </row>
    <row r="33" spans="1:12" ht="16.2" thickBot="1" x14ac:dyDescent="0.35">
      <c r="A33" s="4">
        <f t="shared" si="1"/>
        <v>22</v>
      </c>
      <c r="B33" s="343" t="s">
        <v>459</v>
      </c>
      <c r="C33" s="90">
        <f>SUM(C28:C32)</f>
        <v>-8583.7620040680013</v>
      </c>
      <c r="D33" s="6"/>
      <c r="E33" s="90">
        <f>SUM(E28:E32)</f>
        <v>0</v>
      </c>
      <c r="F33" s="44"/>
      <c r="G33" s="90">
        <f>SUM(G28:G32)</f>
        <v>0</v>
      </c>
      <c r="H33" s="6"/>
      <c r="I33" s="90">
        <f>SUM(I28:I32)</f>
        <v>-8583.7620040680013</v>
      </c>
      <c r="J33" s="44"/>
      <c r="K33" s="45" t="s">
        <v>460</v>
      </c>
      <c r="L33" s="4">
        <f t="shared" si="2"/>
        <v>22</v>
      </c>
    </row>
    <row r="34" spans="1:12" ht="16.2" thickTop="1" x14ac:dyDescent="0.3">
      <c r="A34" s="4">
        <f t="shared" si="1"/>
        <v>23</v>
      </c>
      <c r="L34" s="4">
        <f t="shared" si="2"/>
        <v>23</v>
      </c>
    </row>
    <row r="35" spans="1:12" ht="18.600000000000001" thickBot="1" x14ac:dyDescent="0.35">
      <c r="A35" s="4">
        <f t="shared" si="1"/>
        <v>24</v>
      </c>
      <c r="B35" s="1" t="s">
        <v>461</v>
      </c>
      <c r="C35" s="90">
        <f>+C18+C25+C33</f>
        <v>-852009.01043428981</v>
      </c>
      <c r="D35" s="1100" t="s">
        <v>1507</v>
      </c>
      <c r="E35" s="90">
        <f>+E18+E25+E33</f>
        <v>155261.72492645582</v>
      </c>
      <c r="F35" s="44"/>
      <c r="G35" s="90">
        <f>+G18+G25+G33</f>
        <v>-409025.82473469403</v>
      </c>
      <c r="H35" s="36"/>
      <c r="I35" s="90">
        <f>+I18+I25+I33</f>
        <v>-1105773.1102425279</v>
      </c>
      <c r="J35" s="1100" t="s">
        <v>1507</v>
      </c>
      <c r="K35" s="45" t="s">
        <v>462</v>
      </c>
      <c r="L35" s="4">
        <f t="shared" si="2"/>
        <v>24</v>
      </c>
    </row>
    <row r="36" spans="1:12" ht="16.2" thickTop="1" x14ac:dyDescent="0.3">
      <c r="B36" s="1"/>
      <c r="C36" s="44"/>
      <c r="D36" s="36"/>
      <c r="E36" s="44"/>
      <c r="F36" s="44"/>
      <c r="G36" s="44"/>
      <c r="H36" s="36"/>
      <c r="I36" s="44"/>
      <c r="J36" s="44"/>
      <c r="K36" s="45"/>
    </row>
    <row r="37" spans="1:12" x14ac:dyDescent="0.3">
      <c r="B37" s="1"/>
      <c r="C37" s="44"/>
      <c r="D37" s="36"/>
      <c r="E37" s="44"/>
      <c r="F37" s="44"/>
      <c r="G37" s="44"/>
      <c r="H37" s="36"/>
      <c r="I37" s="44"/>
      <c r="J37" s="44"/>
      <c r="K37" s="45"/>
    </row>
    <row r="38" spans="1:12" x14ac:dyDescent="0.3">
      <c r="A38" s="1100" t="s">
        <v>1507</v>
      </c>
      <c r="B38" s="1101" t="s">
        <v>1545</v>
      </c>
      <c r="E38" s="36"/>
      <c r="I38" s="36"/>
      <c r="J38" s="36"/>
    </row>
    <row r="39" spans="1:12" ht="18" x14ac:dyDescent="0.3">
      <c r="A39" s="256">
        <v>1</v>
      </c>
      <c r="B39" s="32" t="s">
        <v>463</v>
      </c>
    </row>
    <row r="40" spans="1:12" ht="18" x14ac:dyDescent="0.3">
      <c r="A40" s="256">
        <v>2</v>
      </c>
      <c r="B40" s="32" t="s">
        <v>464</v>
      </c>
    </row>
    <row r="41" spans="1:12" ht="18" x14ac:dyDescent="0.3">
      <c r="A41" s="256">
        <v>3</v>
      </c>
      <c r="B41" s="32" t="s">
        <v>465</v>
      </c>
    </row>
    <row r="42" spans="1:12" ht="18" x14ac:dyDescent="0.3">
      <c r="A42" s="256">
        <v>4</v>
      </c>
      <c r="B42" s="32" t="s">
        <v>1546</v>
      </c>
    </row>
    <row r="43" spans="1:12" x14ac:dyDescent="0.3">
      <c r="B43" s="32" t="s">
        <v>1547</v>
      </c>
    </row>
    <row r="44" spans="1:12" ht="18" x14ac:dyDescent="0.3">
      <c r="A44" s="256">
        <v>5</v>
      </c>
      <c r="B44" s="32" t="s">
        <v>1836</v>
      </c>
    </row>
  </sheetData>
  <mergeCells count="5">
    <mergeCell ref="B2:K2"/>
    <mergeCell ref="B3:K3"/>
    <mergeCell ref="B4:K4"/>
    <mergeCell ref="B5:K5"/>
    <mergeCell ref="B6:K6"/>
  </mergeCells>
  <phoneticPr fontId="56" type="noConversion"/>
  <printOptions horizontalCentered="1"/>
  <pageMargins left="0.5" right="0.5" top="0.5" bottom="0.5" header="0.25" footer="0.25"/>
  <pageSetup scale="59" orientation="landscape" r:id="rId1"/>
  <headerFooter scaleWithDoc="0">
    <oddFooter>&amp;C&amp;"Times New Roman,Regular"&amp;10&amp;A</oddFooter>
  </headerFooter>
  <customProperties>
    <customPr name="_pios_id" r:id="rId2"/>
  </customPropertie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2BFE3-8DDF-44B0-ABB1-40911DB62F3E}">
  <sheetPr>
    <pageSetUpPr fitToPage="1"/>
  </sheetPr>
  <dimension ref="A2:K43"/>
  <sheetViews>
    <sheetView zoomScale="80" zoomScaleNormal="80" workbookViewId="0"/>
  </sheetViews>
  <sheetFormatPr defaultColWidth="8.5546875" defaultRowHeight="15.6" x14ac:dyDescent="0.3"/>
  <cols>
    <col min="1" max="1" width="5.44140625" style="4" customWidth="1"/>
    <col min="2" max="2" width="52.33203125" style="32" customWidth="1"/>
    <col min="3" max="3" width="16.6640625" style="32" customWidth="1"/>
    <col min="4" max="4" width="1.5546875" style="32" customWidth="1"/>
    <col min="5" max="5" width="20.44140625" style="32" customWidth="1"/>
    <col min="6" max="6" width="1.5546875" style="32" customWidth="1"/>
    <col min="7" max="7" width="20.44140625" style="32" customWidth="1"/>
    <col min="8" max="8" width="1.5546875" style="32" customWidth="1"/>
    <col min="9" max="9" width="23.44140625" style="32" bestFit="1" customWidth="1"/>
    <col min="10" max="10" width="62.5546875" style="32" customWidth="1"/>
    <col min="11" max="11" width="5.44140625" style="4" customWidth="1"/>
    <col min="12" max="16384" width="8.5546875" style="32"/>
  </cols>
  <sheetData>
    <row r="2" spans="1:11" x14ac:dyDescent="0.3">
      <c r="B2" s="1222" t="s">
        <v>0</v>
      </c>
      <c r="C2" s="1222"/>
      <c r="D2" s="1222"/>
      <c r="E2" s="1222"/>
      <c r="F2" s="1222"/>
      <c r="G2" s="1222"/>
      <c r="H2" s="1222"/>
      <c r="I2" s="1222"/>
      <c r="J2" s="1222"/>
    </row>
    <row r="3" spans="1:11" x14ac:dyDescent="0.3">
      <c r="B3" s="1222" t="s">
        <v>441</v>
      </c>
      <c r="C3" s="1222"/>
      <c r="D3" s="1222"/>
      <c r="E3" s="1222"/>
      <c r="F3" s="1222"/>
      <c r="G3" s="1222"/>
      <c r="H3" s="1222"/>
      <c r="I3" s="1222"/>
      <c r="J3" s="1222"/>
    </row>
    <row r="4" spans="1:11" x14ac:dyDescent="0.3">
      <c r="B4" s="1222" t="s">
        <v>442</v>
      </c>
      <c r="C4" s="1222"/>
      <c r="D4" s="1222"/>
      <c r="E4" s="1222"/>
      <c r="F4" s="1222"/>
      <c r="G4" s="1222"/>
      <c r="H4" s="1222"/>
      <c r="I4" s="1222"/>
      <c r="J4" s="1222"/>
    </row>
    <row r="5" spans="1:11" x14ac:dyDescent="0.3">
      <c r="B5" s="1222" t="s">
        <v>1740</v>
      </c>
      <c r="C5" s="1222"/>
      <c r="D5" s="1222"/>
      <c r="E5" s="1222"/>
      <c r="F5" s="1222"/>
      <c r="G5" s="1222"/>
      <c r="H5" s="1222"/>
      <c r="I5" s="1222"/>
      <c r="J5" s="1222"/>
    </row>
    <row r="6" spans="1:11" ht="15.75" customHeight="1" x14ac:dyDescent="0.3">
      <c r="B6" s="1226" t="s">
        <v>4</v>
      </c>
      <c r="C6" s="1226"/>
      <c r="D6" s="1226"/>
      <c r="E6" s="1226"/>
      <c r="F6" s="1226"/>
      <c r="G6" s="1226"/>
      <c r="H6" s="1226"/>
      <c r="I6" s="1226"/>
      <c r="J6" s="1226"/>
    </row>
    <row r="8" spans="1:11" x14ac:dyDescent="0.3">
      <c r="B8" s="1"/>
      <c r="C8" s="265" t="s">
        <v>210</v>
      </c>
      <c r="D8" s="265"/>
      <c r="E8" s="265" t="s">
        <v>211</v>
      </c>
      <c r="F8" s="265"/>
      <c r="G8" s="265" t="s">
        <v>212</v>
      </c>
      <c r="H8" s="265"/>
      <c r="I8" s="265" t="s">
        <v>443</v>
      </c>
      <c r="J8" s="265"/>
    </row>
    <row r="9" spans="1:11" ht="18" x14ac:dyDescent="0.3">
      <c r="A9" s="4" t="s">
        <v>5</v>
      </c>
      <c r="B9" s="1"/>
      <c r="C9" s="265" t="s">
        <v>444</v>
      </c>
      <c r="D9" s="265"/>
      <c r="E9" s="265" t="s">
        <v>445</v>
      </c>
      <c r="F9" s="265"/>
      <c r="G9" s="265" t="s">
        <v>446</v>
      </c>
      <c r="H9" s="265"/>
      <c r="I9" s="265"/>
      <c r="J9" s="265"/>
      <c r="K9" s="4" t="s">
        <v>5</v>
      </c>
    </row>
    <row r="10" spans="1:11" x14ac:dyDescent="0.3">
      <c r="A10" s="4" t="s">
        <v>6</v>
      </c>
      <c r="B10" s="935" t="s">
        <v>337</v>
      </c>
      <c r="C10" s="731" t="s">
        <v>447</v>
      </c>
      <c r="D10" s="731"/>
      <c r="E10" s="731" t="s">
        <v>448</v>
      </c>
      <c r="F10" s="731"/>
      <c r="G10" s="731" t="s">
        <v>449</v>
      </c>
      <c r="H10" s="731"/>
      <c r="I10" s="935" t="s">
        <v>200</v>
      </c>
      <c r="J10" s="935" t="s">
        <v>8</v>
      </c>
      <c r="K10" s="4" t="s">
        <v>6</v>
      </c>
    </row>
    <row r="11" spans="1:11" x14ac:dyDescent="0.3">
      <c r="B11" s="1"/>
      <c r="C11" s="342"/>
      <c r="D11" s="342"/>
      <c r="E11" s="342"/>
      <c r="F11" s="342"/>
      <c r="G11" s="342"/>
      <c r="H11" s="342"/>
      <c r="I11" s="92"/>
      <c r="J11" s="92"/>
    </row>
    <row r="12" spans="1:11" x14ac:dyDescent="0.3">
      <c r="A12" s="4">
        <v>1</v>
      </c>
      <c r="B12" s="33" t="s">
        <v>450</v>
      </c>
      <c r="C12" s="91"/>
      <c r="D12" s="91"/>
      <c r="E12" s="91"/>
      <c r="F12" s="91"/>
      <c r="G12" s="91"/>
      <c r="H12" s="91"/>
      <c r="I12" s="92"/>
      <c r="J12" s="92"/>
      <c r="K12" s="4">
        <f>A12</f>
        <v>1</v>
      </c>
    </row>
    <row r="13" spans="1:11" x14ac:dyDescent="0.3">
      <c r="A13" s="4">
        <f>A12+1</f>
        <v>2</v>
      </c>
      <c r="B13" s="33" t="s">
        <v>451</v>
      </c>
      <c r="C13" s="36">
        <v>1155.0862694845919</v>
      </c>
      <c r="D13" s="36"/>
      <c r="E13" s="36">
        <f>SUM('Order 864-3'!M15:M17,'Order 864-3'!M19)</f>
        <v>0</v>
      </c>
      <c r="F13" s="36"/>
      <c r="G13" s="36">
        <f>SUM('Order 864-3'!N15:N17,'Order 864-3'!N19)</f>
        <v>0</v>
      </c>
      <c r="H13" s="89"/>
      <c r="I13" s="36">
        <f>SUM(C13:G13)</f>
        <v>1155.0862694845919</v>
      </c>
      <c r="J13" s="45" t="s">
        <v>1538</v>
      </c>
      <c r="K13" s="4">
        <f>K12+1</f>
        <v>2</v>
      </c>
    </row>
    <row r="14" spans="1:11" x14ac:dyDescent="0.3">
      <c r="A14" s="4">
        <f>A13+1</f>
        <v>3</v>
      </c>
      <c r="B14" s="33" t="s">
        <v>452</v>
      </c>
      <c r="C14" s="6">
        <v>0</v>
      </c>
      <c r="D14" s="6"/>
      <c r="E14" s="6">
        <f>'Order 864-3'!M27</f>
        <v>102382.34081987417</v>
      </c>
      <c r="F14" s="6"/>
      <c r="G14" s="6">
        <f>'Order 864-3'!N27</f>
        <v>0</v>
      </c>
      <c r="H14" s="6"/>
      <c r="I14" s="6">
        <f>SUM(C14:G14)</f>
        <v>102382.34081987417</v>
      </c>
      <c r="J14" s="45" t="s">
        <v>1538</v>
      </c>
      <c r="K14" s="4">
        <f>K13+1</f>
        <v>3</v>
      </c>
    </row>
    <row r="15" spans="1:11" ht="18" x14ac:dyDescent="0.3">
      <c r="A15" s="4">
        <f>A14+1</f>
        <v>4</v>
      </c>
      <c r="B15" s="33" t="s">
        <v>1834</v>
      </c>
      <c r="C15" s="6">
        <v>0</v>
      </c>
      <c r="D15" s="36"/>
      <c r="E15" s="6">
        <v>0</v>
      </c>
      <c r="F15" s="36"/>
      <c r="G15" s="6">
        <v>0</v>
      </c>
      <c r="H15" s="89"/>
      <c r="I15" s="6">
        <f>SUM(C15:G15)</f>
        <v>0</v>
      </c>
      <c r="J15" s="45" t="s">
        <v>1835</v>
      </c>
      <c r="K15" s="4">
        <f>K14+1</f>
        <v>4</v>
      </c>
    </row>
    <row r="16" spans="1:11" x14ac:dyDescent="0.3">
      <c r="A16" s="4">
        <f>A15+1</f>
        <v>5</v>
      </c>
      <c r="B16" s="33"/>
      <c r="C16" s="6">
        <v>0</v>
      </c>
      <c r="D16" s="6"/>
      <c r="E16" s="6">
        <v>0</v>
      </c>
      <c r="F16" s="6"/>
      <c r="G16" s="6">
        <v>0</v>
      </c>
      <c r="H16" s="6"/>
      <c r="I16" s="6">
        <f>SUM(C16:G16)</f>
        <v>0</v>
      </c>
      <c r="J16" s="6"/>
      <c r="K16" s="4">
        <f>K15+1</f>
        <v>5</v>
      </c>
    </row>
    <row r="17" spans="1:11" x14ac:dyDescent="0.3">
      <c r="A17" s="4">
        <f>A16+1</f>
        <v>6</v>
      </c>
      <c r="C17" s="6">
        <v>0</v>
      </c>
      <c r="D17" s="6"/>
      <c r="E17" s="6">
        <v>0</v>
      </c>
      <c r="F17" s="6"/>
      <c r="G17" s="6">
        <v>0</v>
      </c>
      <c r="H17" s="6"/>
      <c r="I17" s="6">
        <f>SUM(C17:G17)</f>
        <v>0</v>
      </c>
      <c r="J17" s="6"/>
      <c r="K17" s="4">
        <f>K16+1</f>
        <v>6</v>
      </c>
    </row>
    <row r="18" spans="1:11" ht="16.2" thickBot="1" x14ac:dyDescent="0.35">
      <c r="A18" s="4">
        <f t="shared" ref="A18" si="0">A17+1</f>
        <v>7</v>
      </c>
      <c r="B18" s="343" t="s">
        <v>453</v>
      </c>
      <c r="C18" s="90">
        <f>SUM(C13:C17)</f>
        <v>1155.0862694845919</v>
      </c>
      <c r="D18" s="6"/>
      <c r="E18" s="90">
        <f>SUM(E13:E17)</f>
        <v>102382.34081987417</v>
      </c>
      <c r="F18" s="44"/>
      <c r="G18" s="90">
        <f>SUM(G13:G17)</f>
        <v>0</v>
      </c>
      <c r="H18" s="6"/>
      <c r="I18" s="90">
        <f>SUM(I13:I17)</f>
        <v>103537.42708935875</v>
      </c>
      <c r="J18" s="45" t="s">
        <v>454</v>
      </c>
      <c r="K18" s="4">
        <f t="shared" ref="K18" si="1">K17+1</f>
        <v>7</v>
      </c>
    </row>
    <row r="19" spans="1:11" ht="16.2" thickTop="1" x14ac:dyDescent="0.3">
      <c r="A19" s="4">
        <f t="shared" ref="A19:A35" si="2">A18+1</f>
        <v>8</v>
      </c>
      <c r="C19" s="86"/>
      <c r="D19" s="86"/>
      <c r="E19" s="86"/>
      <c r="F19" s="86"/>
      <c r="G19" s="86"/>
      <c r="H19" s="86"/>
      <c r="I19" s="86"/>
      <c r="J19" s="86"/>
      <c r="K19" s="4">
        <f t="shared" ref="K19:K35" si="3">K18+1</f>
        <v>8</v>
      </c>
    </row>
    <row r="20" spans="1:11" x14ac:dyDescent="0.3">
      <c r="A20" s="4">
        <f t="shared" si="2"/>
        <v>9</v>
      </c>
      <c r="B20" s="33" t="s">
        <v>455</v>
      </c>
      <c r="C20" s="91"/>
      <c r="D20" s="91"/>
      <c r="E20" s="91"/>
      <c r="F20" s="91"/>
      <c r="G20" s="91"/>
      <c r="H20" s="91"/>
      <c r="I20" s="92"/>
      <c r="J20" s="92"/>
      <c r="K20" s="4">
        <f t="shared" si="3"/>
        <v>9</v>
      </c>
    </row>
    <row r="21" spans="1:11" x14ac:dyDescent="0.3">
      <c r="A21" s="4">
        <f t="shared" si="2"/>
        <v>10</v>
      </c>
      <c r="B21" s="727" t="s">
        <v>452</v>
      </c>
      <c r="C21" s="36">
        <v>-872111.19599224033</v>
      </c>
      <c r="D21" s="36"/>
      <c r="E21" s="36">
        <f>SUM('Order 864-3'!M29:M30,'Order 864-3'!M37,'Order 864-3'!M40)</f>
        <v>50564.911232233288</v>
      </c>
      <c r="F21" s="36"/>
      <c r="G21" s="36">
        <f>SUM('Order 864-3'!N29:N30,'Order 864-3'!N37,'Order 864-3'!N40)</f>
        <v>-403058.37070163281</v>
      </c>
      <c r="H21" s="36"/>
      <c r="I21" s="36">
        <f>SUM(C21:G21)</f>
        <v>-1224604.6554616399</v>
      </c>
      <c r="J21" s="45" t="s">
        <v>1539</v>
      </c>
      <c r="K21" s="4">
        <f t="shared" si="3"/>
        <v>10</v>
      </c>
    </row>
    <row r="22" spans="1:11" ht="18" x14ac:dyDescent="0.3">
      <c r="A22" s="4">
        <f t="shared" si="2"/>
        <v>11</v>
      </c>
      <c r="B22" s="33" t="s">
        <v>1834</v>
      </c>
      <c r="C22" s="6">
        <v>0</v>
      </c>
      <c r="D22" s="6"/>
      <c r="E22" s="6">
        <v>0</v>
      </c>
      <c r="F22" s="6"/>
      <c r="G22" s="6">
        <v>0</v>
      </c>
      <c r="H22" s="6"/>
      <c r="I22" s="6">
        <f>SUM(C22:G22)</f>
        <v>0</v>
      </c>
      <c r="J22" s="45" t="s">
        <v>1835</v>
      </c>
      <c r="K22" s="4">
        <f t="shared" si="3"/>
        <v>11</v>
      </c>
    </row>
    <row r="23" spans="1:11" x14ac:dyDescent="0.3">
      <c r="A23" s="4">
        <f t="shared" si="2"/>
        <v>12</v>
      </c>
      <c r="C23" s="6">
        <v>0</v>
      </c>
      <c r="D23" s="6"/>
      <c r="E23" s="6">
        <v>0</v>
      </c>
      <c r="F23" s="6"/>
      <c r="G23" s="6">
        <v>0</v>
      </c>
      <c r="H23" s="6"/>
      <c r="I23" s="6">
        <f>SUM(C23:G23)</f>
        <v>0</v>
      </c>
      <c r="J23" s="6"/>
      <c r="K23" s="4">
        <f t="shared" si="3"/>
        <v>12</v>
      </c>
    </row>
    <row r="24" spans="1:11" x14ac:dyDescent="0.3">
      <c r="A24" s="4">
        <f t="shared" si="2"/>
        <v>13</v>
      </c>
      <c r="C24" s="6">
        <v>0</v>
      </c>
      <c r="D24" s="6"/>
      <c r="E24" s="6">
        <v>0</v>
      </c>
      <c r="F24" s="6"/>
      <c r="G24" s="6">
        <v>0</v>
      </c>
      <c r="H24" s="6"/>
      <c r="I24" s="6">
        <f>SUM(C24:G24)</f>
        <v>0</v>
      </c>
      <c r="J24" s="6"/>
      <c r="K24" s="4">
        <f t="shared" si="3"/>
        <v>13</v>
      </c>
    </row>
    <row r="25" spans="1:11" ht="16.2" thickBot="1" x14ac:dyDescent="0.35">
      <c r="A25" s="4">
        <f t="shared" si="2"/>
        <v>14</v>
      </c>
      <c r="B25" s="343" t="s">
        <v>456</v>
      </c>
      <c r="C25" s="90">
        <f>SUM(C21:C24)</f>
        <v>-872111.19599224033</v>
      </c>
      <c r="D25" s="6"/>
      <c r="E25" s="90">
        <f>SUM(E21:E24)</f>
        <v>50564.911232233288</v>
      </c>
      <c r="F25" s="44"/>
      <c r="G25" s="90">
        <f>SUM(G21:G24)</f>
        <v>-403058.37070163281</v>
      </c>
      <c r="H25" s="6"/>
      <c r="I25" s="90">
        <f>SUM(I21:I24)</f>
        <v>-1224604.6554616399</v>
      </c>
      <c r="J25" s="45" t="s">
        <v>457</v>
      </c>
      <c r="K25" s="4">
        <f t="shared" si="3"/>
        <v>14</v>
      </c>
    </row>
    <row r="26" spans="1:11" ht="16.2" thickTop="1" x14ac:dyDescent="0.3">
      <c r="A26" s="4">
        <f t="shared" si="2"/>
        <v>15</v>
      </c>
      <c r="K26" s="4">
        <f t="shared" si="3"/>
        <v>15</v>
      </c>
    </row>
    <row r="27" spans="1:11" x14ac:dyDescent="0.3">
      <c r="A27" s="4">
        <f t="shared" si="2"/>
        <v>16</v>
      </c>
      <c r="B27" s="33" t="s">
        <v>458</v>
      </c>
      <c r="C27" s="91"/>
      <c r="D27" s="91"/>
      <c r="E27" s="91"/>
      <c r="F27" s="91"/>
      <c r="G27" s="91"/>
      <c r="H27" s="91"/>
      <c r="I27" s="92"/>
      <c r="J27" s="4"/>
      <c r="K27" s="4">
        <f t="shared" si="3"/>
        <v>16</v>
      </c>
    </row>
    <row r="28" spans="1:11" x14ac:dyDescent="0.3">
      <c r="A28" s="4">
        <f t="shared" si="2"/>
        <v>17</v>
      </c>
      <c r="B28" s="33" t="s">
        <v>451</v>
      </c>
      <c r="C28" s="36">
        <v>-9530.1858252439943</v>
      </c>
      <c r="D28" s="36"/>
      <c r="E28" s="36">
        <f>SUM('Order 864-3'!M21:M22)</f>
        <v>0</v>
      </c>
      <c r="F28" s="36"/>
      <c r="G28" s="36">
        <f>SUM('Order 864-3'!N21:N22)</f>
        <v>0</v>
      </c>
      <c r="H28" s="36"/>
      <c r="I28" s="36">
        <f>SUM(C28:G28)</f>
        <v>-9530.1858252439943</v>
      </c>
      <c r="J28" s="45" t="s">
        <v>1540</v>
      </c>
      <c r="K28" s="4">
        <f t="shared" si="3"/>
        <v>17</v>
      </c>
    </row>
    <row r="29" spans="1:11" ht="18" x14ac:dyDescent="0.3">
      <c r="A29" s="4">
        <f t="shared" si="2"/>
        <v>18</v>
      </c>
      <c r="B29" s="33" t="s">
        <v>1834</v>
      </c>
      <c r="C29" s="6">
        <v>0</v>
      </c>
      <c r="D29" s="6"/>
      <c r="E29" s="6">
        <v>0</v>
      </c>
      <c r="F29" s="6"/>
      <c r="G29" s="6">
        <v>0</v>
      </c>
      <c r="H29" s="6"/>
      <c r="I29" s="6">
        <f>SUM(C29:G29)</f>
        <v>0</v>
      </c>
      <c r="J29" s="45" t="s">
        <v>1835</v>
      </c>
      <c r="K29" s="4">
        <f t="shared" si="3"/>
        <v>18</v>
      </c>
    </row>
    <row r="30" spans="1:11" x14ac:dyDescent="0.3">
      <c r="A30" s="4">
        <f t="shared" si="2"/>
        <v>19</v>
      </c>
      <c r="B30" s="33"/>
      <c r="C30" s="6">
        <v>0</v>
      </c>
      <c r="D30" s="6"/>
      <c r="E30" s="6">
        <v>0</v>
      </c>
      <c r="F30" s="6"/>
      <c r="G30" s="6">
        <v>0</v>
      </c>
      <c r="H30" s="6"/>
      <c r="I30" s="6">
        <f>SUM(C30:G30)</f>
        <v>0</v>
      </c>
      <c r="J30" s="6"/>
      <c r="K30" s="4">
        <f t="shared" si="3"/>
        <v>19</v>
      </c>
    </row>
    <row r="31" spans="1:11" x14ac:dyDescent="0.3">
      <c r="A31" s="4">
        <f t="shared" si="2"/>
        <v>20</v>
      </c>
      <c r="B31" s="33"/>
      <c r="C31" s="6">
        <v>0</v>
      </c>
      <c r="D31" s="6"/>
      <c r="E31" s="6">
        <v>0</v>
      </c>
      <c r="F31" s="6"/>
      <c r="G31" s="6">
        <v>0</v>
      </c>
      <c r="H31" s="6"/>
      <c r="I31" s="6">
        <f>SUM(C31:G31)</f>
        <v>0</v>
      </c>
      <c r="J31" s="6"/>
      <c r="K31" s="4">
        <f t="shared" si="3"/>
        <v>20</v>
      </c>
    </row>
    <row r="32" spans="1:11" x14ac:dyDescent="0.3">
      <c r="A32" s="4">
        <f t="shared" si="2"/>
        <v>21</v>
      </c>
      <c r="B32" s="33"/>
      <c r="C32" s="6">
        <v>0</v>
      </c>
      <c r="D32" s="6"/>
      <c r="E32" s="6">
        <v>0</v>
      </c>
      <c r="F32" s="6"/>
      <c r="G32" s="6">
        <v>0</v>
      </c>
      <c r="H32" s="6"/>
      <c r="I32" s="6">
        <f>SUM(C32:G32)</f>
        <v>0</v>
      </c>
      <c r="J32" s="6"/>
      <c r="K32" s="4">
        <f t="shared" si="3"/>
        <v>21</v>
      </c>
    </row>
    <row r="33" spans="1:11" ht="16.2" thickBot="1" x14ac:dyDescent="0.35">
      <c r="A33" s="4">
        <f t="shared" si="2"/>
        <v>22</v>
      </c>
      <c r="B33" s="343" t="s">
        <v>459</v>
      </c>
      <c r="C33" s="90">
        <f>SUM(C28:C32)</f>
        <v>-9530.1858252439943</v>
      </c>
      <c r="D33" s="6"/>
      <c r="E33" s="90">
        <f>SUM(E28:E32)</f>
        <v>0</v>
      </c>
      <c r="F33" s="44"/>
      <c r="G33" s="90">
        <f>SUM(G28:G32)</f>
        <v>0</v>
      </c>
      <c r="H33" s="6"/>
      <c r="I33" s="90">
        <f>SUM(I28:I32)</f>
        <v>-9530.1858252439943</v>
      </c>
      <c r="J33" s="45" t="s">
        <v>460</v>
      </c>
      <c r="K33" s="4">
        <f t="shared" si="3"/>
        <v>22</v>
      </c>
    </row>
    <row r="34" spans="1:11" ht="16.2" thickTop="1" x14ac:dyDescent="0.3">
      <c r="A34" s="4">
        <f t="shared" si="2"/>
        <v>23</v>
      </c>
      <c r="K34" s="4">
        <f t="shared" si="3"/>
        <v>23</v>
      </c>
    </row>
    <row r="35" spans="1:11" ht="18.600000000000001" thickBot="1" x14ac:dyDescent="0.35">
      <c r="A35" s="4">
        <f t="shared" si="2"/>
        <v>24</v>
      </c>
      <c r="B35" s="1" t="s">
        <v>461</v>
      </c>
      <c r="C35" s="90">
        <f>+C18+C25+C33</f>
        <v>-880486.29554799967</v>
      </c>
      <c r="E35" s="90">
        <f>+E18+E25+E33</f>
        <v>152947.25205210745</v>
      </c>
      <c r="F35" s="44"/>
      <c r="G35" s="90">
        <f>+G18+G25+G33</f>
        <v>-403058.37070163281</v>
      </c>
      <c r="I35" s="90">
        <f>+I18+I25+I33</f>
        <v>-1130597.4141975252</v>
      </c>
      <c r="J35" s="45" t="s">
        <v>462</v>
      </c>
      <c r="K35" s="4">
        <f t="shared" si="3"/>
        <v>24</v>
      </c>
    </row>
    <row r="36" spans="1:11" ht="16.2" thickTop="1" x14ac:dyDescent="0.3">
      <c r="B36" s="1"/>
      <c r="C36" s="44"/>
      <c r="E36" s="44"/>
      <c r="F36" s="44"/>
      <c r="G36" s="44"/>
      <c r="I36" s="44"/>
      <c r="J36" s="45"/>
    </row>
    <row r="38" spans="1:11" ht="18" x14ac:dyDescent="0.3">
      <c r="A38" s="256">
        <v>1</v>
      </c>
      <c r="B38" s="32" t="s">
        <v>463</v>
      </c>
    </row>
    <row r="39" spans="1:11" ht="18" x14ac:dyDescent="0.3">
      <c r="A39" s="256">
        <v>2</v>
      </c>
      <c r="B39" s="32" t="s">
        <v>466</v>
      </c>
    </row>
    <row r="40" spans="1:11" ht="18" x14ac:dyDescent="0.3">
      <c r="A40" s="256">
        <v>3</v>
      </c>
      <c r="B40" s="32" t="s">
        <v>467</v>
      </c>
    </row>
    <row r="41" spans="1:11" ht="19.5" customHeight="1" x14ac:dyDescent="0.3">
      <c r="A41" s="256">
        <v>4</v>
      </c>
      <c r="B41" s="33" t="s">
        <v>1541</v>
      </c>
      <c r="C41" s="885"/>
      <c r="D41" s="885"/>
      <c r="E41" s="885"/>
      <c r="F41" s="885"/>
      <c r="G41" s="885"/>
      <c r="H41" s="885"/>
      <c r="I41" s="885"/>
      <c r="J41" s="885"/>
    </row>
    <row r="42" spans="1:11" x14ac:dyDescent="0.3">
      <c r="B42" s="33" t="s">
        <v>1542</v>
      </c>
    </row>
    <row r="43" spans="1:11" ht="18" x14ac:dyDescent="0.3">
      <c r="A43" s="256">
        <v>5</v>
      </c>
      <c r="B43" s="32" t="s">
        <v>1836</v>
      </c>
    </row>
  </sheetData>
  <mergeCells count="5">
    <mergeCell ref="B2:J2"/>
    <mergeCell ref="B3:J3"/>
    <mergeCell ref="B4:J4"/>
    <mergeCell ref="B5:J5"/>
    <mergeCell ref="B6:J6"/>
  </mergeCells>
  <printOptions horizontalCentered="1"/>
  <pageMargins left="0.5" right="0.5" top="0.5" bottom="0.5" header="0.25" footer="0.25"/>
  <pageSetup scale="60" orientation="landscape" r:id="rId1"/>
  <headerFooter scaleWithDoc="0">
    <oddFooter>&amp;C&amp;"Times New Roman,Regular"&amp;10&amp;A</oddFooter>
  </headerFooter>
  <customProperties>
    <customPr name="_pios_id" r:id="rId2"/>
  </customPropertie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2:I28"/>
  <sheetViews>
    <sheetView zoomScale="80" zoomScaleNormal="80" workbookViewId="0">
      <selection activeCell="L22" sqref="L22"/>
    </sheetView>
  </sheetViews>
  <sheetFormatPr defaultColWidth="8.6640625" defaultRowHeight="15.6" x14ac:dyDescent="0.3"/>
  <cols>
    <col min="1" max="1" width="5.33203125" style="344" customWidth="1"/>
    <col min="2" max="2" width="56.33203125" style="5" customWidth="1"/>
    <col min="3" max="3" width="16.6640625" style="5" customWidth="1"/>
    <col min="4" max="4" width="1.5546875" style="5" customWidth="1"/>
    <col min="5" max="5" width="16.6640625" style="5" customWidth="1"/>
    <col min="6" max="6" width="1.5546875" style="5" customWidth="1"/>
    <col min="7" max="7" width="15.6640625" style="5" customWidth="1"/>
    <col min="8" max="8" width="62.44140625" style="5" customWidth="1"/>
    <col min="9" max="9" width="5.33203125" style="344" customWidth="1"/>
    <col min="10" max="16384" width="8.6640625" style="5"/>
  </cols>
  <sheetData>
    <row r="2" spans="1:9" x14ac:dyDescent="0.3">
      <c r="B2" s="1222" t="s">
        <v>0</v>
      </c>
      <c r="C2" s="1222"/>
      <c r="D2" s="1222"/>
      <c r="E2" s="1222"/>
      <c r="F2" s="1222"/>
      <c r="G2" s="1222"/>
      <c r="H2" s="1222"/>
    </row>
    <row r="3" spans="1:9" x14ac:dyDescent="0.3">
      <c r="B3" s="1222" t="s">
        <v>441</v>
      </c>
      <c r="C3" s="1222"/>
      <c r="D3" s="1222"/>
      <c r="E3" s="1222"/>
      <c r="F3" s="1222"/>
      <c r="G3" s="1222"/>
      <c r="H3" s="1222"/>
    </row>
    <row r="4" spans="1:9" x14ac:dyDescent="0.3">
      <c r="B4" s="1222" t="s">
        <v>468</v>
      </c>
      <c r="C4" s="1222"/>
      <c r="D4" s="1222"/>
      <c r="E4" s="1222"/>
      <c r="F4" s="1222"/>
      <c r="G4" s="1222"/>
      <c r="H4" s="1222"/>
    </row>
    <row r="5" spans="1:9" x14ac:dyDescent="0.3">
      <c r="B5" s="1222" t="str">
        <f>'AF-2'!B5</f>
        <v>BASE PERIOD 12 MONTHS ENDING DECEMBER 31, 2023</v>
      </c>
      <c r="C5" s="1222"/>
      <c r="D5" s="1222"/>
      <c r="E5" s="1222"/>
      <c r="F5" s="1222"/>
      <c r="G5" s="1222"/>
      <c r="H5" s="1222"/>
    </row>
    <row r="6" spans="1:9" ht="15.75" customHeight="1" x14ac:dyDescent="0.3">
      <c r="B6" s="1226" t="s">
        <v>4</v>
      </c>
      <c r="C6" s="1226"/>
      <c r="D6" s="1226"/>
      <c r="E6" s="1226"/>
      <c r="F6" s="1226"/>
      <c r="G6" s="1226"/>
      <c r="H6" s="1226"/>
    </row>
    <row r="8" spans="1:9" x14ac:dyDescent="0.3">
      <c r="A8" s="344" t="s">
        <v>5</v>
      </c>
      <c r="B8" s="32"/>
      <c r="C8" s="265" t="s">
        <v>210</v>
      </c>
      <c r="D8" s="265"/>
      <c r="E8" s="265" t="s">
        <v>211</v>
      </c>
      <c r="F8" s="32"/>
      <c r="G8" s="265" t="s">
        <v>237</v>
      </c>
      <c r="H8" s="265"/>
      <c r="I8" s="344" t="s">
        <v>5</v>
      </c>
    </row>
    <row r="9" spans="1:9" x14ac:dyDescent="0.3">
      <c r="A9" s="344" t="s">
        <v>6</v>
      </c>
      <c r="B9" s="935" t="s">
        <v>337</v>
      </c>
      <c r="C9" s="731">
        <f>'Stmt AD'!E9</f>
        <v>44926</v>
      </c>
      <c r="D9" s="982"/>
      <c r="E9" s="731">
        <f>'Stmt AD'!G9</f>
        <v>45291</v>
      </c>
      <c r="F9" s="983"/>
      <c r="G9" s="935" t="s">
        <v>239</v>
      </c>
      <c r="H9" s="935" t="s">
        <v>8</v>
      </c>
      <c r="I9" s="344" t="s">
        <v>6</v>
      </c>
    </row>
    <row r="10" spans="1:9" x14ac:dyDescent="0.3">
      <c r="B10" s="32"/>
      <c r="C10" s="32"/>
      <c r="D10" s="32"/>
      <c r="E10" s="32"/>
      <c r="F10" s="32"/>
      <c r="G10" s="32"/>
      <c r="H10" s="32"/>
      <c r="I10" s="4"/>
    </row>
    <row r="11" spans="1:9" ht="16.2" thickBot="1" x14ac:dyDescent="0.35">
      <c r="A11" s="344">
        <v>1</v>
      </c>
      <c r="B11" s="32" t="s">
        <v>434</v>
      </c>
      <c r="C11" s="921">
        <v>0</v>
      </c>
      <c r="D11" s="6"/>
      <c r="E11" s="921">
        <v>0</v>
      </c>
      <c r="F11" s="36"/>
      <c r="G11" s="38">
        <f>(C11+E11)/2</f>
        <v>0</v>
      </c>
      <c r="H11" s="45" t="s">
        <v>1536</v>
      </c>
      <c r="I11" s="4">
        <f>A11</f>
        <v>1</v>
      </c>
    </row>
    <row r="12" spans="1:9" ht="16.2" thickTop="1" x14ac:dyDescent="0.3">
      <c r="A12" s="344">
        <f>A11+1</f>
        <v>2</v>
      </c>
      <c r="B12" s="32"/>
      <c r="C12" s="36"/>
      <c r="D12" s="6"/>
      <c r="E12" s="36"/>
      <c r="F12" s="36"/>
      <c r="G12" s="36"/>
      <c r="H12" s="36"/>
      <c r="I12" s="4">
        <f>I11+1</f>
        <v>2</v>
      </c>
    </row>
    <row r="13" spans="1:9" ht="16.2" thickBot="1" x14ac:dyDescent="0.35">
      <c r="A13" s="344">
        <f t="shared" ref="A13:A15" si="0">A12+1</f>
        <v>3</v>
      </c>
      <c r="B13" s="32" t="s">
        <v>436</v>
      </c>
      <c r="C13" s="921">
        <v>0</v>
      </c>
      <c r="D13" s="6"/>
      <c r="E13" s="921">
        <v>0</v>
      </c>
      <c r="F13" s="36"/>
      <c r="G13" s="38">
        <f>(C13+E13)/2</f>
        <v>0</v>
      </c>
      <c r="H13" s="45" t="s">
        <v>1536</v>
      </c>
      <c r="I13" s="4">
        <f t="shared" ref="I13:I15" si="1">I12+1</f>
        <v>3</v>
      </c>
    </row>
    <row r="14" spans="1:9" ht="16.2" thickTop="1" x14ac:dyDescent="0.3">
      <c r="A14" s="344">
        <f t="shared" si="0"/>
        <v>4</v>
      </c>
      <c r="B14" s="32"/>
      <c r="C14" s="36"/>
      <c r="D14" s="6"/>
      <c r="E14" s="36"/>
      <c r="F14" s="36"/>
      <c r="G14" s="36"/>
      <c r="H14" s="45"/>
      <c r="I14" s="4">
        <f t="shared" si="1"/>
        <v>4</v>
      </c>
    </row>
    <row r="15" spans="1:9" ht="16.2" thickBot="1" x14ac:dyDescent="0.35">
      <c r="A15" s="344">
        <f t="shared" si="0"/>
        <v>5</v>
      </c>
      <c r="B15" s="32" t="s">
        <v>438</v>
      </c>
      <c r="C15" s="921">
        <v>0</v>
      </c>
      <c r="D15" s="6"/>
      <c r="E15" s="921">
        <v>0</v>
      </c>
      <c r="F15" s="36"/>
      <c r="G15" s="38">
        <f>(C15+E15)/2</f>
        <v>0</v>
      </c>
      <c r="H15" s="45" t="s">
        <v>1536</v>
      </c>
      <c r="I15" s="4">
        <f t="shared" si="1"/>
        <v>5</v>
      </c>
    </row>
    <row r="16" spans="1:9" ht="16.2" thickTop="1" x14ac:dyDescent="0.3">
      <c r="B16" s="32"/>
      <c r="C16" s="11"/>
      <c r="D16" s="11"/>
      <c r="E16" s="11"/>
      <c r="F16" s="11"/>
      <c r="G16" s="11"/>
      <c r="H16" s="11"/>
      <c r="I16" s="4"/>
    </row>
    <row r="17" spans="2:9" x14ac:dyDescent="0.3">
      <c r="B17" s="32"/>
      <c r="C17" s="6"/>
      <c r="D17" s="6"/>
      <c r="E17" s="6"/>
      <c r="F17" s="6"/>
      <c r="G17" s="6"/>
      <c r="H17" s="6"/>
      <c r="I17" s="4"/>
    </row>
    <row r="18" spans="2:9" x14ac:dyDescent="0.3">
      <c r="B18" s="29"/>
      <c r="C18" s="32"/>
      <c r="D18" s="32"/>
      <c r="E18" s="6"/>
      <c r="F18" s="6"/>
      <c r="G18" s="6"/>
      <c r="H18" s="6"/>
      <c r="I18" s="4"/>
    </row>
    <row r="19" spans="2:9" x14ac:dyDescent="0.3">
      <c r="B19" s="32"/>
      <c r="C19" s="32"/>
      <c r="D19" s="32"/>
      <c r="E19" s="32"/>
      <c r="F19" s="32"/>
      <c r="G19" s="32"/>
      <c r="H19" s="32"/>
      <c r="I19" s="4"/>
    </row>
    <row r="28" spans="2:9" x14ac:dyDescent="0.3">
      <c r="B28" s="346"/>
    </row>
  </sheetData>
  <mergeCells count="5">
    <mergeCell ref="B2:H2"/>
    <mergeCell ref="B3:H3"/>
    <mergeCell ref="B4:H4"/>
    <mergeCell ref="B5:H5"/>
    <mergeCell ref="B6:H6"/>
  </mergeCells>
  <printOptions horizontalCentered="1"/>
  <pageMargins left="0.5" right="0.5" top="0.5" bottom="0.5" header="0.25" footer="0.25"/>
  <pageSetup scale="70" orientation="landscape" r:id="rId1"/>
  <headerFooter scaleWithDoc="0">
    <oddFooter>&amp;C&amp;"Times New Roman,Regular"&amp;10&amp;A</oddFooter>
  </headerFooter>
  <customProperties>
    <customPr name="_pios_id" r:id="rId2"/>
  </customPropertie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3A51E-469A-4072-9D24-42B2614DEF62}">
  <sheetPr>
    <pageSetUpPr fitToPage="1"/>
  </sheetPr>
  <dimension ref="A2:I24"/>
  <sheetViews>
    <sheetView zoomScale="80" zoomScaleNormal="80" workbookViewId="0"/>
  </sheetViews>
  <sheetFormatPr defaultColWidth="8.6640625" defaultRowHeight="15.6" x14ac:dyDescent="0.3"/>
  <cols>
    <col min="1" max="1" width="5.33203125" style="4" customWidth="1"/>
    <col min="2" max="2" width="56.33203125" style="32" customWidth="1"/>
    <col min="3" max="3" width="16.6640625" style="32" customWidth="1"/>
    <col min="4" max="4" width="2.6640625" style="32" bestFit="1" customWidth="1"/>
    <col min="5" max="5" width="16.6640625" style="32" customWidth="1"/>
    <col min="6" max="6" width="1.5546875" style="32" customWidth="1"/>
    <col min="7" max="7" width="18.44140625" style="32" customWidth="1"/>
    <col min="8" max="8" width="62.44140625" style="32" customWidth="1"/>
    <col min="9" max="9" width="5.33203125" style="4" customWidth="1"/>
    <col min="10" max="16384" width="8.6640625" style="32"/>
  </cols>
  <sheetData>
    <row r="2" spans="1:9" x14ac:dyDescent="0.3">
      <c r="B2" s="1222" t="s">
        <v>0</v>
      </c>
      <c r="C2" s="1222"/>
      <c r="D2" s="1222"/>
      <c r="E2" s="1222"/>
      <c r="F2" s="1222"/>
      <c r="G2" s="1222"/>
      <c r="H2" s="1222"/>
    </row>
    <row r="3" spans="1:9" x14ac:dyDescent="0.3">
      <c r="B3" s="1222" t="s">
        <v>1749</v>
      </c>
      <c r="C3" s="1222"/>
      <c r="D3" s="1222"/>
      <c r="E3" s="1222"/>
      <c r="F3" s="1222"/>
      <c r="G3" s="1222"/>
      <c r="H3" s="1222"/>
    </row>
    <row r="4" spans="1:9" x14ac:dyDescent="0.3">
      <c r="B4" s="1222" t="s">
        <v>1825</v>
      </c>
      <c r="C4" s="1222"/>
      <c r="D4" s="1222"/>
      <c r="E4" s="1222"/>
      <c r="F4" s="1222"/>
      <c r="G4" s="1222"/>
      <c r="H4" s="1222"/>
    </row>
    <row r="5" spans="1:9" x14ac:dyDescent="0.3">
      <c r="B5" s="1222" t="str">
        <f>'AF-2'!B5</f>
        <v>BASE PERIOD 12 MONTHS ENDING DECEMBER 31, 2023</v>
      </c>
      <c r="C5" s="1222"/>
      <c r="D5" s="1222"/>
      <c r="E5" s="1222"/>
      <c r="F5" s="1222"/>
      <c r="G5" s="1222"/>
      <c r="H5" s="1222"/>
    </row>
    <row r="6" spans="1:9" ht="15.75" customHeight="1" x14ac:dyDescent="0.3">
      <c r="B6" s="1226" t="s">
        <v>4</v>
      </c>
      <c r="C6" s="1226"/>
      <c r="D6" s="1226"/>
      <c r="E6" s="1226"/>
      <c r="F6" s="1226"/>
      <c r="G6" s="1226"/>
      <c r="H6" s="1226"/>
    </row>
    <row r="8" spans="1:9" x14ac:dyDescent="0.3">
      <c r="A8" s="4" t="s">
        <v>5</v>
      </c>
      <c r="C8" s="265" t="s">
        <v>210</v>
      </c>
      <c r="D8" s="265"/>
      <c r="E8" s="265" t="s">
        <v>211</v>
      </c>
      <c r="G8" s="265" t="s">
        <v>237</v>
      </c>
      <c r="H8" s="265"/>
      <c r="I8" s="4" t="s">
        <v>5</v>
      </c>
    </row>
    <row r="9" spans="1:9" x14ac:dyDescent="0.3">
      <c r="A9" s="4" t="s">
        <v>6</v>
      </c>
      <c r="B9" s="935" t="s">
        <v>337</v>
      </c>
      <c r="C9" s="731">
        <f>'Stmt AD'!E9</f>
        <v>44926</v>
      </c>
      <c r="D9" s="982"/>
      <c r="E9" s="731">
        <f>'Stmt AD'!G9</f>
        <v>45291</v>
      </c>
      <c r="F9" s="983"/>
      <c r="G9" s="935" t="s">
        <v>239</v>
      </c>
      <c r="H9" s="935" t="s">
        <v>8</v>
      </c>
      <c r="I9" s="4" t="s">
        <v>6</v>
      </c>
    </row>
    <row r="11" spans="1:9" ht="18.600000000000001" thickBot="1" x14ac:dyDescent="0.35">
      <c r="A11" s="4">
        <v>1</v>
      </c>
      <c r="B11" s="33" t="s">
        <v>1750</v>
      </c>
      <c r="C11" s="38">
        <v>-651642.851874299</v>
      </c>
      <c r="D11" s="6"/>
      <c r="E11" s="38">
        <v>-713526.22864224005</v>
      </c>
      <c r="F11" s="36"/>
      <c r="G11" s="1167">
        <f>(C11+E11)/2</f>
        <v>-682584.54025826952</v>
      </c>
      <c r="H11" s="45" t="s">
        <v>289</v>
      </c>
      <c r="I11" s="4">
        <f t="shared" ref="I11" si="0">A11</f>
        <v>1</v>
      </c>
    </row>
    <row r="12" spans="1:9" ht="16.2" thickTop="1" x14ac:dyDescent="0.3">
      <c r="C12" s="11"/>
      <c r="D12" s="11"/>
      <c r="E12" s="11"/>
      <c r="F12" s="11"/>
      <c r="G12" s="11"/>
      <c r="H12" s="11"/>
    </row>
    <row r="13" spans="1:9" x14ac:dyDescent="0.3">
      <c r="C13" s="11"/>
      <c r="D13" s="11"/>
      <c r="E13" s="11"/>
      <c r="F13" s="11"/>
      <c r="G13" s="11"/>
      <c r="H13" s="11"/>
    </row>
    <row r="14" spans="1:9" x14ac:dyDescent="0.3">
      <c r="C14" s="11"/>
      <c r="D14" s="11"/>
      <c r="E14" s="11"/>
      <c r="F14" s="11"/>
      <c r="G14" s="11"/>
      <c r="H14" s="11"/>
    </row>
    <row r="15" spans="1:9" x14ac:dyDescent="0.3">
      <c r="C15" s="6"/>
      <c r="D15" s="6"/>
      <c r="E15" s="6"/>
      <c r="F15" s="6"/>
      <c r="G15" s="6"/>
      <c r="H15" s="6"/>
    </row>
    <row r="16" spans="1:9" ht="18" x14ac:dyDescent="0.3">
      <c r="A16" s="269">
        <v>1</v>
      </c>
      <c r="B16" s="32" t="s">
        <v>1791</v>
      </c>
    </row>
    <row r="17" spans="2:3" x14ac:dyDescent="0.3">
      <c r="B17" s="32" t="s">
        <v>1792</v>
      </c>
    </row>
    <row r="22" spans="2:3" x14ac:dyDescent="0.3">
      <c r="C22" s="1189"/>
    </row>
    <row r="24" spans="2:3" x14ac:dyDescent="0.3">
      <c r="B24" s="627"/>
    </row>
  </sheetData>
  <mergeCells count="5">
    <mergeCell ref="B2:H2"/>
    <mergeCell ref="B3:H3"/>
    <mergeCell ref="B4:H4"/>
    <mergeCell ref="B5:H5"/>
    <mergeCell ref="B6:H6"/>
  </mergeCells>
  <printOptions horizontalCentered="1"/>
  <pageMargins left="0.25" right="0.25" top="0.5" bottom="0.5" header="0.25" footer="0.25"/>
  <pageSetup scale="72" orientation="landscape" r:id="rId1"/>
  <headerFooter scaleWithDoc="0" alignWithMargins="0">
    <oddFooter>&amp;C&amp;A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H18"/>
  <sheetViews>
    <sheetView zoomScale="80" zoomScaleNormal="80" workbookViewId="0"/>
  </sheetViews>
  <sheetFormatPr defaultColWidth="9.33203125" defaultRowHeight="15.6" x14ac:dyDescent="0.3"/>
  <cols>
    <col min="1" max="1" width="5.33203125" style="4" bestFit="1" customWidth="1"/>
    <col min="2" max="2" width="50.6640625" style="32" customWidth="1"/>
    <col min="3" max="3" width="24" style="32" customWidth="1"/>
    <col min="4" max="4" width="1.5546875" style="32" customWidth="1"/>
    <col min="5" max="5" width="16.6640625" style="32" customWidth="1"/>
    <col min="6" max="6" width="1.5546875" style="32" customWidth="1"/>
    <col min="7" max="7" width="34.5546875" style="32" customWidth="1"/>
    <col min="8" max="8" width="5.33203125" style="32" bestFit="1" customWidth="1"/>
    <col min="9" max="9" width="9.33203125" style="32"/>
    <col min="10" max="10" width="20.44140625" style="32" bestFit="1" customWidth="1"/>
    <col min="11" max="16384" width="9.33203125" style="32"/>
  </cols>
  <sheetData>
    <row r="1" spans="1:8" x14ac:dyDescent="0.3">
      <c r="E1" s="4"/>
      <c r="F1" s="4"/>
      <c r="G1" s="4"/>
      <c r="H1" s="4"/>
    </row>
    <row r="2" spans="1:8" x14ac:dyDescent="0.3">
      <c r="B2" s="1222" t="s">
        <v>0</v>
      </c>
      <c r="C2" s="1222"/>
      <c r="D2" s="1222"/>
      <c r="E2" s="1222"/>
      <c r="F2" s="1222"/>
      <c r="G2" s="1222"/>
      <c r="H2" s="4"/>
    </row>
    <row r="3" spans="1:8" x14ac:dyDescent="0.3">
      <c r="B3" s="1222" t="s">
        <v>469</v>
      </c>
      <c r="C3" s="1222"/>
      <c r="D3" s="1222"/>
      <c r="E3" s="1222"/>
      <c r="F3" s="1222"/>
      <c r="G3" s="1222"/>
      <c r="H3" s="4"/>
    </row>
    <row r="4" spans="1:8" x14ac:dyDescent="0.3">
      <c r="B4" s="1222" t="s">
        <v>470</v>
      </c>
      <c r="C4" s="1222"/>
      <c r="D4" s="1222"/>
      <c r="E4" s="1222"/>
      <c r="F4" s="1222"/>
      <c r="G4" s="1222"/>
      <c r="H4" s="4"/>
    </row>
    <row r="5" spans="1:8" x14ac:dyDescent="0.3">
      <c r="B5" s="1227" t="str">
        <f>'Stmt AD'!B5</f>
        <v>Base Period &amp; True-Up Period 12 - Months Ending December 31, 2023</v>
      </c>
      <c r="C5" s="1227"/>
      <c r="D5" s="1227"/>
      <c r="E5" s="1227"/>
      <c r="F5" s="1227"/>
      <c r="G5" s="1227"/>
      <c r="H5" s="4"/>
    </row>
    <row r="6" spans="1:8" x14ac:dyDescent="0.3">
      <c r="B6" s="1226" t="s">
        <v>4</v>
      </c>
      <c r="C6" s="1223"/>
      <c r="D6" s="1223"/>
      <c r="E6" s="1223"/>
      <c r="F6" s="1223"/>
      <c r="G6" s="1223"/>
      <c r="H6" s="4"/>
    </row>
    <row r="7" spans="1:8" x14ac:dyDescent="0.3">
      <c r="B7" s="4"/>
      <c r="C7" s="4"/>
      <c r="D7" s="4"/>
      <c r="E7" s="4"/>
      <c r="F7" s="4"/>
      <c r="G7" s="4"/>
      <c r="H7" s="4"/>
    </row>
    <row r="8" spans="1:8" x14ac:dyDescent="0.3">
      <c r="A8" s="4" t="s">
        <v>5</v>
      </c>
      <c r="B8" s="221"/>
      <c r="C8" s="4" t="s">
        <v>236</v>
      </c>
      <c r="D8" s="221"/>
      <c r="E8" s="347"/>
      <c r="F8" s="4"/>
      <c r="G8" s="4"/>
      <c r="H8" s="4" t="s">
        <v>5</v>
      </c>
    </row>
    <row r="9" spans="1:8" x14ac:dyDescent="0.3">
      <c r="A9" s="4" t="s">
        <v>6</v>
      </c>
      <c r="C9" s="852" t="s">
        <v>238</v>
      </c>
      <c r="E9" s="853" t="s">
        <v>239</v>
      </c>
      <c r="F9" s="221"/>
      <c r="G9" s="852" t="s">
        <v>8</v>
      </c>
      <c r="H9" s="4" t="s">
        <v>6</v>
      </c>
    </row>
    <row r="10" spans="1:8" x14ac:dyDescent="0.3">
      <c r="E10" s="4"/>
      <c r="F10" s="4"/>
      <c r="G10" s="4"/>
      <c r="H10" s="4"/>
    </row>
    <row r="11" spans="1:8" ht="18.600000000000001" thickBot="1" x14ac:dyDescent="0.35">
      <c r="A11" s="4">
        <f>A10+1</f>
        <v>1</v>
      </c>
      <c r="B11" s="33" t="s">
        <v>471</v>
      </c>
      <c r="C11" s="4">
        <v>214</v>
      </c>
      <c r="E11" s="93">
        <f>'AG-1'!C31</f>
        <v>0</v>
      </c>
      <c r="F11" s="72"/>
      <c r="G11" s="4" t="s">
        <v>472</v>
      </c>
      <c r="H11" s="4">
        <f>A11</f>
        <v>1</v>
      </c>
    </row>
    <row r="12" spans="1:8" ht="16.2" thickTop="1" x14ac:dyDescent="0.3">
      <c r="E12" s="36"/>
      <c r="H12" s="4"/>
    </row>
    <row r="13" spans="1:8" x14ac:dyDescent="0.3">
      <c r="H13" s="4"/>
    </row>
    <row r="14" spans="1:8" ht="18" x14ac:dyDescent="0.3">
      <c r="A14" s="256" t="s">
        <v>473</v>
      </c>
      <c r="B14" s="32" t="s">
        <v>474</v>
      </c>
      <c r="H14" s="4"/>
    </row>
    <row r="15" spans="1:8" x14ac:dyDescent="0.3">
      <c r="B15" s="32" t="s">
        <v>1567</v>
      </c>
      <c r="H15" s="4"/>
    </row>
    <row r="18" spans="1:2" x14ac:dyDescent="0.3">
      <c r="A18" s="72"/>
      <c r="B18" s="1"/>
    </row>
  </sheetData>
  <mergeCells count="5">
    <mergeCell ref="B2:G2"/>
    <mergeCell ref="B3:G3"/>
    <mergeCell ref="B4:G4"/>
    <mergeCell ref="B5:G5"/>
    <mergeCell ref="B6:G6"/>
  </mergeCells>
  <printOptions horizontalCentered="1"/>
  <pageMargins left="0.5" right="0.5" top="0.5" bottom="0.5" header="0.25" footer="0.25"/>
  <pageSetup scale="68" orientation="portrait" r:id="rId1"/>
  <headerFooter scaleWithDoc="0">
    <oddFooter>&amp;C&amp;"Times New Roman,Regular"&amp;10&amp;A</oddFooter>
  </headerFooter>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55"/>
  <sheetViews>
    <sheetView topLeftCell="A21" zoomScale="80" zoomScaleNormal="80" workbookViewId="0"/>
  </sheetViews>
  <sheetFormatPr defaultColWidth="8.6640625" defaultRowHeight="15.6" x14ac:dyDescent="0.3"/>
  <cols>
    <col min="1" max="1" width="5.33203125" style="4" bestFit="1" customWidth="1"/>
    <col min="2" max="2" width="55.6640625" style="32" customWidth="1"/>
    <col min="3" max="3" width="40.33203125" style="4" bestFit="1" customWidth="1"/>
    <col min="4" max="4" width="1.5546875" style="32" customWidth="1"/>
    <col min="5" max="5" width="16.6640625" style="32" customWidth="1"/>
    <col min="6" max="6" width="1.5546875" style="32" customWidth="1"/>
    <col min="7" max="7" width="16.6640625" style="32" customWidth="1"/>
    <col min="8" max="8" width="1.5546875" style="32" customWidth="1"/>
    <col min="9" max="9" width="16.6640625" style="32" customWidth="1"/>
    <col min="10" max="10" width="1.5546875" style="32" customWidth="1"/>
    <col min="11" max="11" width="34.5546875" style="32" customWidth="1"/>
    <col min="12" max="12" width="5.33203125" style="4" bestFit="1" customWidth="1"/>
    <col min="13" max="13" width="8.6640625" style="32"/>
    <col min="14" max="14" width="38.33203125" style="32" customWidth="1"/>
    <col min="15" max="16384" width="8.6640625" style="32"/>
  </cols>
  <sheetData>
    <row r="1" spans="1:14" x14ac:dyDescent="0.3">
      <c r="A1" s="4" t="s">
        <v>1</v>
      </c>
    </row>
    <row r="2" spans="1:14" x14ac:dyDescent="0.3">
      <c r="A2" s="32"/>
      <c r="B2" s="1222" t="s">
        <v>0</v>
      </c>
      <c r="C2" s="1222"/>
      <c r="D2" s="1222"/>
      <c r="E2" s="1222"/>
      <c r="F2" s="1222"/>
      <c r="G2" s="1222"/>
      <c r="H2" s="1222"/>
      <c r="I2" s="1222"/>
      <c r="J2" s="1222"/>
      <c r="K2" s="1222"/>
      <c r="N2" s="259"/>
    </row>
    <row r="3" spans="1:14" x14ac:dyDescent="0.3">
      <c r="A3" s="32"/>
      <c r="B3" s="1222" t="s">
        <v>234</v>
      </c>
      <c r="C3" s="1222"/>
      <c r="D3" s="1222"/>
      <c r="E3" s="1222"/>
      <c r="F3" s="1222"/>
      <c r="G3" s="1222"/>
      <c r="H3" s="1222"/>
      <c r="I3" s="1222"/>
      <c r="J3" s="1222"/>
      <c r="K3" s="1222"/>
      <c r="N3" s="259"/>
    </row>
    <row r="4" spans="1:14" x14ac:dyDescent="0.3">
      <c r="A4" s="32"/>
      <c r="B4" s="1222" t="s">
        <v>235</v>
      </c>
      <c r="C4" s="1222"/>
      <c r="D4" s="1222"/>
      <c r="E4" s="1222"/>
      <c r="F4" s="1222"/>
      <c r="G4" s="1222"/>
      <c r="H4" s="1223"/>
      <c r="I4" s="1223"/>
      <c r="J4" s="1223"/>
      <c r="K4" s="1223"/>
    </row>
    <row r="5" spans="1:14" x14ac:dyDescent="0.3">
      <c r="B5" s="1225" t="s">
        <v>1598</v>
      </c>
      <c r="C5" s="1225"/>
      <c r="D5" s="1225"/>
      <c r="E5" s="1225"/>
      <c r="F5" s="1225"/>
      <c r="G5" s="1225"/>
      <c r="H5" s="1229"/>
      <c r="I5" s="1229"/>
      <c r="J5" s="1229"/>
      <c r="K5" s="1229"/>
      <c r="N5" s="1"/>
    </row>
    <row r="6" spans="1:14" x14ac:dyDescent="0.3">
      <c r="B6" s="1226" t="s">
        <v>4</v>
      </c>
      <c r="C6" s="1223"/>
      <c r="D6" s="1223"/>
      <c r="E6" s="1223"/>
      <c r="F6" s="1223"/>
      <c r="G6" s="1223"/>
      <c r="H6" s="1223"/>
      <c r="I6" s="1223"/>
      <c r="J6" s="1223"/>
      <c r="K6" s="1223"/>
      <c r="N6" s="259"/>
    </row>
    <row r="7" spans="1:14" x14ac:dyDescent="0.3">
      <c r="B7" s="265"/>
      <c r="C7" s="221"/>
      <c r="D7" s="1"/>
      <c r="E7" s="1"/>
      <c r="F7" s="1"/>
      <c r="G7" s="1"/>
      <c r="H7" s="1"/>
      <c r="I7" s="1"/>
      <c r="J7" s="1"/>
      <c r="K7" s="1"/>
      <c r="N7" s="259"/>
    </row>
    <row r="8" spans="1:14" x14ac:dyDescent="0.3">
      <c r="A8" s="4" t="s">
        <v>5</v>
      </c>
      <c r="B8" s="221"/>
      <c r="C8" s="4" t="s">
        <v>236</v>
      </c>
      <c r="D8" s="221"/>
      <c r="E8" s="35" t="s">
        <v>210</v>
      </c>
      <c r="F8" s="4"/>
      <c r="G8" s="35" t="s">
        <v>211</v>
      </c>
      <c r="H8" s="4"/>
      <c r="I8" s="35" t="s">
        <v>237</v>
      </c>
      <c r="J8" s="221"/>
      <c r="L8" s="4" t="s">
        <v>5</v>
      </c>
    </row>
    <row r="9" spans="1:14" x14ac:dyDescent="0.3">
      <c r="A9" s="4" t="s">
        <v>6</v>
      </c>
      <c r="B9" s="221"/>
      <c r="C9" s="852" t="s">
        <v>238</v>
      </c>
      <c r="D9" s="221"/>
      <c r="E9" s="928">
        <v>44926</v>
      </c>
      <c r="F9" s="221"/>
      <c r="G9" s="929">
        <v>45291</v>
      </c>
      <c r="H9" s="221"/>
      <c r="I9" s="853" t="s">
        <v>239</v>
      </c>
      <c r="J9" s="221"/>
      <c r="K9" s="852" t="s">
        <v>8</v>
      </c>
      <c r="L9" s="4" t="s">
        <v>6</v>
      </c>
    </row>
    <row r="10" spans="1:14" x14ac:dyDescent="0.3">
      <c r="E10" s="266"/>
      <c r="G10" s="266"/>
      <c r="H10" s="266"/>
      <c r="I10" s="266"/>
      <c r="J10" s="266"/>
      <c r="K10" s="266"/>
    </row>
    <row r="11" spans="1:14" ht="18" x14ac:dyDescent="0.3">
      <c r="A11" s="4">
        <v>1</v>
      </c>
      <c r="B11" s="32" t="s">
        <v>240</v>
      </c>
      <c r="C11" s="4" t="s">
        <v>241</v>
      </c>
      <c r="E11" s="39"/>
      <c r="G11" s="39"/>
      <c r="H11" s="40"/>
      <c r="I11" s="41">
        <f>'AD-1'!E31</f>
        <v>584038.95358923054</v>
      </c>
      <c r="J11" s="72"/>
      <c r="K11" s="4" t="s">
        <v>242</v>
      </c>
      <c r="L11" s="4">
        <f>A11</f>
        <v>1</v>
      </c>
    </row>
    <row r="12" spans="1:14" x14ac:dyDescent="0.3">
      <c r="A12" s="4">
        <f t="shared" ref="A12:A45" si="0">+A11+1</f>
        <v>2</v>
      </c>
      <c r="B12" s="32" t="s">
        <v>1</v>
      </c>
      <c r="E12" s="39"/>
      <c r="G12" s="39"/>
      <c r="H12" s="42"/>
      <c r="I12" s="39"/>
      <c r="J12" s="42"/>
      <c r="K12" s="4"/>
      <c r="L12" s="4">
        <f t="shared" ref="L12:L45" si="1">+L11+1</f>
        <v>2</v>
      </c>
      <c r="N12" s="811"/>
    </row>
    <row r="13" spans="1:14" ht="18" x14ac:dyDescent="0.3">
      <c r="A13" s="4">
        <f t="shared" si="0"/>
        <v>3</v>
      </c>
      <c r="B13" s="32" t="s">
        <v>243</v>
      </c>
      <c r="C13" s="4" t="s">
        <v>241</v>
      </c>
      <c r="E13" s="39"/>
      <c r="G13" s="39"/>
      <c r="H13" s="40"/>
      <c r="I13" s="43">
        <f>'AD-2'!E31</f>
        <v>0</v>
      </c>
      <c r="J13" s="72"/>
      <c r="K13" s="4" t="s">
        <v>244</v>
      </c>
      <c r="L13" s="4">
        <f t="shared" si="1"/>
        <v>3</v>
      </c>
    </row>
    <row r="14" spans="1:14" x14ac:dyDescent="0.3">
      <c r="A14" s="4">
        <f t="shared" si="0"/>
        <v>4</v>
      </c>
      <c r="E14" s="39"/>
      <c r="F14" s="1"/>
      <c r="G14" s="39"/>
      <c r="H14" s="42"/>
      <c r="I14" s="39"/>
      <c r="J14" s="42"/>
      <c r="K14" s="4"/>
      <c r="L14" s="4">
        <f t="shared" si="1"/>
        <v>4</v>
      </c>
    </row>
    <row r="15" spans="1:14" ht="18" x14ac:dyDescent="0.3">
      <c r="A15" s="4">
        <f t="shared" si="0"/>
        <v>5</v>
      </c>
      <c r="B15" s="32" t="s">
        <v>245</v>
      </c>
      <c r="E15" s="39"/>
      <c r="F15" s="1"/>
      <c r="G15" s="39"/>
      <c r="H15" s="40"/>
      <c r="I15" s="43">
        <f>'AD-3'!E31</f>
        <v>0</v>
      </c>
      <c r="J15" s="42"/>
      <c r="K15" s="4" t="s">
        <v>246</v>
      </c>
      <c r="L15" s="4">
        <f t="shared" si="1"/>
        <v>5</v>
      </c>
    </row>
    <row r="16" spans="1:14" x14ac:dyDescent="0.3">
      <c r="A16" s="4">
        <f t="shared" si="0"/>
        <v>6</v>
      </c>
      <c r="E16" s="39"/>
      <c r="F16" s="1"/>
      <c r="G16" s="39"/>
      <c r="H16" s="42"/>
      <c r="I16" s="39"/>
      <c r="J16" s="42"/>
      <c r="K16" s="4"/>
      <c r="L16" s="4">
        <f t="shared" si="1"/>
        <v>6</v>
      </c>
    </row>
    <row r="17" spans="1:14" ht="18" x14ac:dyDescent="0.3">
      <c r="A17" s="4">
        <f t="shared" si="0"/>
        <v>7</v>
      </c>
      <c r="B17" s="32" t="s">
        <v>247</v>
      </c>
      <c r="C17" s="4" t="s">
        <v>241</v>
      </c>
      <c r="E17" s="39"/>
      <c r="F17" s="1"/>
      <c r="G17" s="39"/>
      <c r="H17" s="40"/>
      <c r="I17" s="43">
        <f>'AD-4'!E31</f>
        <v>554696.24298076914</v>
      </c>
      <c r="J17" s="72"/>
      <c r="K17" s="4" t="s">
        <v>248</v>
      </c>
      <c r="L17" s="4">
        <f t="shared" si="1"/>
        <v>7</v>
      </c>
      <c r="N17" s="877"/>
    </row>
    <row r="18" spans="1:14" x14ac:dyDescent="0.3">
      <c r="A18" s="4">
        <f t="shared" si="0"/>
        <v>8</v>
      </c>
      <c r="E18" s="39"/>
      <c r="F18" s="1"/>
      <c r="G18" s="39"/>
      <c r="H18" s="42"/>
      <c r="I18" s="39"/>
      <c r="J18" s="42"/>
      <c r="K18" s="4"/>
      <c r="L18" s="4">
        <f t="shared" si="1"/>
        <v>8</v>
      </c>
      <c r="N18" s="877"/>
    </row>
    <row r="19" spans="1:14" ht="18" x14ac:dyDescent="0.3">
      <c r="A19" s="4">
        <f>+A18+1</f>
        <v>9</v>
      </c>
      <c r="B19" s="32" t="s">
        <v>249</v>
      </c>
      <c r="C19" s="4" t="s">
        <v>250</v>
      </c>
      <c r="E19" s="41">
        <f>'AD-5'!E15</f>
        <v>9750399.0658389479</v>
      </c>
      <c r="F19" s="44"/>
      <c r="G19" s="41">
        <f>'AD-5'!E17</f>
        <v>11031887.66371526</v>
      </c>
      <c r="H19" s="40"/>
      <c r="I19" s="39">
        <f>(E19+G19)/2</f>
        <v>10391143.364777103</v>
      </c>
      <c r="J19" s="42"/>
      <c r="K19" s="4" t="s">
        <v>251</v>
      </c>
      <c r="L19" s="4">
        <f>+L18+1</f>
        <v>9</v>
      </c>
      <c r="N19" s="877"/>
    </row>
    <row r="20" spans="1:14" x14ac:dyDescent="0.3">
      <c r="A20" s="4">
        <f t="shared" si="0"/>
        <v>10</v>
      </c>
      <c r="E20" s="39"/>
      <c r="G20" s="39"/>
      <c r="H20" s="42"/>
      <c r="I20" s="39"/>
      <c r="J20" s="42"/>
      <c r="K20" s="4"/>
      <c r="L20" s="4">
        <f t="shared" si="1"/>
        <v>10</v>
      </c>
      <c r="N20" s="877"/>
    </row>
    <row r="21" spans="1:14" ht="18" x14ac:dyDescent="0.3">
      <c r="A21" s="4">
        <f t="shared" si="0"/>
        <v>11</v>
      </c>
      <c r="B21" s="32" t="s">
        <v>252</v>
      </c>
      <c r="C21" s="4" t="s">
        <v>241</v>
      </c>
      <c r="E21" s="40"/>
      <c r="G21" s="40"/>
      <c r="H21" s="40"/>
      <c r="I21" s="43">
        <f>'AD-6'!F31</f>
        <v>7990057.3968355898</v>
      </c>
      <c r="J21" s="72"/>
      <c r="K21" s="4" t="s">
        <v>253</v>
      </c>
      <c r="L21" s="4">
        <f t="shared" si="1"/>
        <v>11</v>
      </c>
      <c r="N21" s="877"/>
    </row>
    <row r="22" spans="1:14" x14ac:dyDescent="0.3">
      <c r="A22" s="4">
        <f t="shared" si="0"/>
        <v>12</v>
      </c>
      <c r="E22" s="39"/>
      <c r="G22" s="39"/>
      <c r="H22" s="42"/>
      <c r="I22" s="39"/>
      <c r="J22" s="42"/>
      <c r="K22" s="4"/>
      <c r="L22" s="4">
        <f t="shared" si="1"/>
        <v>12</v>
      </c>
      <c r="N22" s="877"/>
    </row>
    <row r="23" spans="1:14" ht="18" x14ac:dyDescent="0.3">
      <c r="A23" s="4">
        <f t="shared" si="0"/>
        <v>13</v>
      </c>
      <c r="B23" s="32" t="s">
        <v>254</v>
      </c>
      <c r="E23" s="40"/>
      <c r="G23" s="40"/>
      <c r="H23" s="40"/>
      <c r="I23" s="43">
        <f>'AD-7'!E32</f>
        <v>0</v>
      </c>
      <c r="J23" s="42"/>
      <c r="K23" s="4" t="s">
        <v>255</v>
      </c>
      <c r="L23" s="4">
        <f t="shared" si="1"/>
        <v>13</v>
      </c>
      <c r="N23" s="877"/>
    </row>
    <row r="24" spans="1:14" x14ac:dyDescent="0.3">
      <c r="A24" s="4">
        <f t="shared" si="0"/>
        <v>14</v>
      </c>
      <c r="E24" s="39"/>
      <c r="G24" s="39"/>
      <c r="H24" s="42"/>
      <c r="I24" s="39"/>
      <c r="J24" s="42"/>
      <c r="K24" s="4"/>
      <c r="L24" s="4">
        <f t="shared" si="1"/>
        <v>14</v>
      </c>
      <c r="N24" s="877"/>
    </row>
    <row r="25" spans="1:14" ht="18" x14ac:dyDescent="0.3">
      <c r="A25" s="4">
        <f>+A24+1</f>
        <v>15</v>
      </c>
      <c r="B25" s="32" t="s">
        <v>256</v>
      </c>
      <c r="C25" s="4" t="s">
        <v>250</v>
      </c>
      <c r="D25" s="258"/>
      <c r="E25" s="43">
        <f>'AD-8'!C14</f>
        <v>112870.21667000001</v>
      </c>
      <c r="F25" s="1"/>
      <c r="G25" s="43">
        <f>'AD-8'!C16</f>
        <v>125194.79648999999</v>
      </c>
      <c r="H25" s="42"/>
      <c r="I25" s="39">
        <f>(E25+G25)/2</f>
        <v>119032.50658</v>
      </c>
      <c r="J25" s="267"/>
      <c r="K25" s="92" t="s">
        <v>257</v>
      </c>
      <c r="L25" s="4">
        <f>+L24+1</f>
        <v>15</v>
      </c>
    </row>
    <row r="26" spans="1:14" x14ac:dyDescent="0.3">
      <c r="A26" s="4">
        <f t="shared" si="0"/>
        <v>16</v>
      </c>
      <c r="E26" s="39"/>
      <c r="G26" s="39"/>
      <c r="H26" s="42"/>
      <c r="I26" s="39"/>
      <c r="J26" s="42"/>
      <c r="K26" s="4"/>
      <c r="L26" s="4">
        <f t="shared" si="1"/>
        <v>16</v>
      </c>
    </row>
    <row r="27" spans="1:14" ht="18" x14ac:dyDescent="0.3">
      <c r="A27" s="4">
        <f t="shared" si="0"/>
        <v>17</v>
      </c>
      <c r="B27" s="32" t="s">
        <v>258</v>
      </c>
      <c r="C27" s="4" t="s">
        <v>250</v>
      </c>
      <c r="E27" s="43">
        <f>'AD-9'!C14</f>
        <v>571823.00716999953</v>
      </c>
      <c r="F27" s="1"/>
      <c r="G27" s="43">
        <f>'AD-9'!C16</f>
        <v>614792.31672999891</v>
      </c>
      <c r="H27" s="40"/>
      <c r="I27" s="39">
        <f>(E27+G27)/2</f>
        <v>593307.66194999916</v>
      </c>
      <c r="J27" s="42"/>
      <c r="K27" s="4" t="s">
        <v>259</v>
      </c>
      <c r="L27" s="4">
        <f t="shared" si="1"/>
        <v>17</v>
      </c>
    </row>
    <row r="28" spans="1:14" x14ac:dyDescent="0.3">
      <c r="A28" s="4">
        <f t="shared" si="0"/>
        <v>18</v>
      </c>
      <c r="E28" s="39"/>
      <c r="F28" s="1"/>
      <c r="G28" s="39"/>
      <c r="H28" s="42"/>
      <c r="I28" s="39"/>
      <c r="J28" s="42"/>
      <c r="K28" s="4"/>
      <c r="L28" s="4">
        <f t="shared" si="1"/>
        <v>18</v>
      </c>
    </row>
    <row r="29" spans="1:14" ht="18" x14ac:dyDescent="0.3">
      <c r="A29" s="4">
        <f t="shared" si="0"/>
        <v>19</v>
      </c>
      <c r="B29" s="32" t="s">
        <v>260</v>
      </c>
      <c r="E29" s="43">
        <f>'AD-10'!D15</f>
        <v>1555621.3643625001</v>
      </c>
      <c r="F29" s="1"/>
      <c r="G29" s="43">
        <f>'AD-10'!D19</f>
        <v>1812002.4911979998</v>
      </c>
      <c r="H29" s="40"/>
      <c r="I29" s="930">
        <f>(E29+G29)/2</f>
        <v>1683811.9277802501</v>
      </c>
      <c r="J29" s="42"/>
      <c r="K29" s="4" t="s">
        <v>261</v>
      </c>
      <c r="L29" s="4">
        <f t="shared" si="1"/>
        <v>19</v>
      </c>
    </row>
    <row r="30" spans="1:14" x14ac:dyDescent="0.3">
      <c r="A30" s="4">
        <f t="shared" si="0"/>
        <v>20</v>
      </c>
      <c r="E30" s="39"/>
      <c r="F30" s="1"/>
      <c r="G30" s="39"/>
      <c r="H30" s="42"/>
      <c r="I30" s="39"/>
      <c r="J30" s="42"/>
      <c r="K30" s="4"/>
      <c r="L30" s="4">
        <f t="shared" si="1"/>
        <v>20</v>
      </c>
    </row>
    <row r="31" spans="1:14" ht="16.2" thickBot="1" x14ac:dyDescent="0.35">
      <c r="A31" s="4">
        <f t="shared" si="0"/>
        <v>21</v>
      </c>
      <c r="B31" s="32" t="s">
        <v>262</v>
      </c>
      <c r="E31" s="36"/>
      <c r="F31" s="44"/>
      <c r="G31" s="36"/>
      <c r="H31" s="45"/>
      <c r="I31" s="38">
        <f>I11+I13+I15+I17+I19+I21+I23+I25+I27+I29</f>
        <v>21916088.054492943</v>
      </c>
      <c r="J31" s="72"/>
      <c r="K31" s="4" t="s">
        <v>263</v>
      </c>
      <c r="L31" s="4">
        <f t="shared" si="1"/>
        <v>21</v>
      </c>
      <c r="M31" s="268"/>
    </row>
    <row r="32" spans="1:14" ht="16.2" thickTop="1" x14ac:dyDescent="0.3">
      <c r="A32" s="4">
        <f t="shared" si="0"/>
        <v>22</v>
      </c>
      <c r="E32" s="46"/>
      <c r="G32" s="46"/>
      <c r="H32" s="47"/>
      <c r="I32" s="46"/>
      <c r="J32" s="47"/>
      <c r="K32" s="4" t="s">
        <v>1</v>
      </c>
      <c r="L32" s="4">
        <f t="shared" si="1"/>
        <v>22</v>
      </c>
    </row>
    <row r="33" spans="1:13" x14ac:dyDescent="0.3">
      <c r="A33" s="4">
        <f t="shared" si="0"/>
        <v>23</v>
      </c>
      <c r="B33" s="32" t="s">
        <v>264</v>
      </c>
      <c r="E33" s="48"/>
      <c r="G33" s="48"/>
      <c r="H33" s="47"/>
      <c r="I33" s="931">
        <f>'Stmt AI'!E25</f>
        <v>0.20002998415514117</v>
      </c>
      <c r="J33" s="47"/>
      <c r="K33" s="4" t="s">
        <v>265</v>
      </c>
      <c r="L33" s="4">
        <f t="shared" si="1"/>
        <v>23</v>
      </c>
    </row>
    <row r="34" spans="1:13" x14ac:dyDescent="0.3">
      <c r="A34" s="4">
        <f t="shared" si="0"/>
        <v>24</v>
      </c>
      <c r="E34" s="46"/>
      <c r="G34" s="46"/>
      <c r="H34" s="47"/>
      <c r="I34" s="46"/>
      <c r="J34" s="47"/>
      <c r="K34" s="4"/>
      <c r="L34" s="4">
        <f t="shared" si="1"/>
        <v>24</v>
      </c>
    </row>
    <row r="35" spans="1:13" x14ac:dyDescent="0.3">
      <c r="A35" s="4">
        <f t="shared" si="0"/>
        <v>25</v>
      </c>
      <c r="B35" s="32" t="s">
        <v>266</v>
      </c>
      <c r="E35" s="6"/>
      <c r="F35" s="6"/>
      <c r="G35" s="6"/>
      <c r="H35" s="11"/>
      <c r="I35" s="49">
        <f>I21+I23</f>
        <v>7990057.3968355898</v>
      </c>
      <c r="J35" s="72"/>
      <c r="K35" s="4" t="s">
        <v>267</v>
      </c>
      <c r="L35" s="4">
        <f t="shared" si="1"/>
        <v>25</v>
      </c>
    </row>
    <row r="36" spans="1:13" x14ac:dyDescent="0.3">
      <c r="A36" s="4">
        <f t="shared" si="0"/>
        <v>26</v>
      </c>
      <c r="E36" s="46"/>
      <c r="G36" s="46"/>
      <c r="H36" s="47"/>
      <c r="I36" s="46"/>
      <c r="J36" s="47"/>
      <c r="K36" s="4"/>
      <c r="L36" s="4">
        <f t="shared" si="1"/>
        <v>26</v>
      </c>
    </row>
    <row r="37" spans="1:13" x14ac:dyDescent="0.3">
      <c r="A37" s="4">
        <f t="shared" si="0"/>
        <v>27</v>
      </c>
      <c r="B37" s="32" t="s">
        <v>60</v>
      </c>
      <c r="E37" s="6"/>
      <c r="G37" s="6"/>
      <c r="H37" s="47"/>
      <c r="I37" s="8">
        <f>I25*I33</f>
        <v>23810.070405144139</v>
      </c>
      <c r="J37" s="72"/>
      <c r="K37" s="4" t="s">
        <v>268</v>
      </c>
      <c r="L37" s="4">
        <f t="shared" si="1"/>
        <v>27</v>
      </c>
      <c r="M37" s="268"/>
    </row>
    <row r="38" spans="1:13" x14ac:dyDescent="0.3">
      <c r="A38" s="4">
        <f t="shared" si="0"/>
        <v>28</v>
      </c>
      <c r="E38" s="46"/>
      <c r="G38" s="46"/>
      <c r="H38" s="47"/>
      <c r="I38" s="50"/>
      <c r="J38" s="47"/>
      <c r="K38" s="4"/>
      <c r="L38" s="4">
        <f t="shared" si="1"/>
        <v>28</v>
      </c>
    </row>
    <row r="39" spans="1:13" x14ac:dyDescent="0.3">
      <c r="A39" s="4">
        <f t="shared" si="0"/>
        <v>29</v>
      </c>
      <c r="B39" s="32" t="s">
        <v>62</v>
      </c>
      <c r="E39" s="6"/>
      <c r="G39" s="6"/>
      <c r="H39" s="47"/>
      <c r="I39" s="8">
        <f>I27*I33</f>
        <v>118679.32221898218</v>
      </c>
      <c r="J39" s="47"/>
      <c r="K39" s="4" t="s">
        <v>269</v>
      </c>
      <c r="L39" s="4">
        <f t="shared" si="1"/>
        <v>29</v>
      </c>
      <c r="M39" s="268"/>
    </row>
    <row r="40" spans="1:13" x14ac:dyDescent="0.3">
      <c r="A40" s="4">
        <f t="shared" si="0"/>
        <v>30</v>
      </c>
      <c r="E40" s="6"/>
      <c r="G40" s="6"/>
      <c r="H40" s="47"/>
      <c r="I40" s="8"/>
      <c r="J40" s="47"/>
      <c r="K40" s="4"/>
      <c r="L40" s="4">
        <f t="shared" si="1"/>
        <v>30</v>
      </c>
      <c r="M40" s="268"/>
    </row>
    <row r="41" spans="1:13" x14ac:dyDescent="0.3">
      <c r="A41" s="4">
        <f t="shared" si="0"/>
        <v>31</v>
      </c>
      <c r="B41" s="32" t="s">
        <v>270</v>
      </c>
      <c r="E41" s="6"/>
      <c r="G41" s="6"/>
      <c r="H41" s="47"/>
      <c r="I41" s="918">
        <f>I29*I33</f>
        <v>336812.87323412113</v>
      </c>
      <c r="J41" s="47"/>
      <c r="K41" s="4" t="s">
        <v>271</v>
      </c>
      <c r="L41" s="4">
        <f t="shared" si="1"/>
        <v>31</v>
      </c>
      <c r="M41" s="268"/>
    </row>
    <row r="42" spans="1:13" x14ac:dyDescent="0.3">
      <c r="A42" s="4">
        <f t="shared" si="0"/>
        <v>32</v>
      </c>
      <c r="B42" s="32" t="s">
        <v>1</v>
      </c>
      <c r="E42" s="6"/>
      <c r="G42" s="6"/>
      <c r="H42" s="47"/>
      <c r="I42" s="8"/>
      <c r="J42" s="47"/>
      <c r="K42" s="4"/>
      <c r="L42" s="4">
        <f t="shared" si="1"/>
        <v>32</v>
      </c>
    </row>
    <row r="43" spans="1:13" ht="16.2" thickBot="1" x14ac:dyDescent="0.35">
      <c r="A43" s="4">
        <f t="shared" si="0"/>
        <v>33</v>
      </c>
      <c r="B43" s="32" t="s">
        <v>272</v>
      </c>
      <c r="E43" s="6"/>
      <c r="G43" s="6"/>
      <c r="H43" s="51"/>
      <c r="I43" s="24">
        <f>I35+I37+I39+I41</f>
        <v>8469359.6626938377</v>
      </c>
      <c r="J43" s="72"/>
      <c r="K43" s="4" t="s">
        <v>273</v>
      </c>
      <c r="L43" s="4">
        <f t="shared" si="1"/>
        <v>33</v>
      </c>
      <c r="M43" s="268"/>
    </row>
    <row r="44" spans="1:13" ht="16.2" thickTop="1" x14ac:dyDescent="0.3">
      <c r="A44" s="4">
        <f t="shared" si="0"/>
        <v>34</v>
      </c>
      <c r="E44" s="46"/>
      <c r="G44" s="46"/>
      <c r="H44" s="51"/>
      <c r="I44" s="50"/>
      <c r="J44" s="51"/>
      <c r="K44" s="4"/>
      <c r="L44" s="4">
        <f t="shared" si="1"/>
        <v>34</v>
      </c>
    </row>
    <row r="45" spans="1:13" ht="18.600000000000001" thickBot="1" x14ac:dyDescent="0.35">
      <c r="A45" s="4">
        <f t="shared" si="0"/>
        <v>35</v>
      </c>
      <c r="B45" s="32" t="s">
        <v>274</v>
      </c>
      <c r="E45" s="48"/>
      <c r="G45" s="48"/>
      <c r="H45" s="51"/>
      <c r="I45" s="52">
        <f>IFERROR(I43/I31,0)</f>
        <v>0.38644486377474485</v>
      </c>
      <c r="J45" s="72"/>
      <c r="K45" s="4" t="s">
        <v>275</v>
      </c>
      <c r="L45" s="4">
        <f t="shared" si="1"/>
        <v>35</v>
      </c>
      <c r="M45" s="268"/>
    </row>
    <row r="46" spans="1:13" ht="16.2" thickTop="1" x14ac:dyDescent="0.3">
      <c r="E46" s="221"/>
      <c r="G46" s="45"/>
      <c r="H46" s="51"/>
      <c r="I46" s="51"/>
      <c r="J46" s="51"/>
      <c r="K46" s="4"/>
    </row>
    <row r="47" spans="1:13" x14ac:dyDescent="0.3">
      <c r="B47" s="34"/>
    </row>
    <row r="48" spans="1:13" ht="18" x14ac:dyDescent="0.3">
      <c r="A48" s="256">
        <v>1</v>
      </c>
      <c r="B48" s="32" t="s">
        <v>276</v>
      </c>
    </row>
    <row r="49" spans="1:2" ht="18" x14ac:dyDescent="0.3">
      <c r="A49" s="269">
        <v>2</v>
      </c>
      <c r="B49" s="32" t="s">
        <v>277</v>
      </c>
    </row>
    <row r="50" spans="1:2" ht="18" x14ac:dyDescent="0.3">
      <c r="A50" s="269">
        <v>3</v>
      </c>
      <c r="B50" s="32" t="s">
        <v>278</v>
      </c>
    </row>
    <row r="51" spans="1:2" ht="18" x14ac:dyDescent="0.3">
      <c r="A51" s="269">
        <v>4</v>
      </c>
      <c r="B51" s="32" t="s">
        <v>279</v>
      </c>
    </row>
    <row r="52" spans="1:2" ht="18" x14ac:dyDescent="0.3">
      <c r="A52" s="269">
        <v>5</v>
      </c>
      <c r="B52" s="32" t="s">
        <v>280</v>
      </c>
    </row>
    <row r="53" spans="1:2" ht="18" x14ac:dyDescent="0.3">
      <c r="A53" s="269"/>
    </row>
    <row r="54" spans="1:2" ht="18" x14ac:dyDescent="0.3">
      <c r="A54" s="269"/>
    </row>
    <row r="55" spans="1:2" ht="18" x14ac:dyDescent="0.3">
      <c r="A55" s="269"/>
    </row>
  </sheetData>
  <mergeCells count="5">
    <mergeCell ref="B2:K2"/>
    <mergeCell ref="B3:K3"/>
    <mergeCell ref="B4:K4"/>
    <mergeCell ref="B5:K5"/>
    <mergeCell ref="B6:K6"/>
  </mergeCells>
  <printOptions horizontalCentered="1"/>
  <pageMargins left="0.5" right="0.5" top="0.5" bottom="0.5" header="0.25" footer="0.25"/>
  <pageSetup scale="48" orientation="portrait" r:id="rId1"/>
  <headerFooter scaleWithDoc="0">
    <oddFooter>&amp;C&amp;"Times New Roman,Regular"&amp;10&amp;A</oddFooter>
  </headerFooter>
  <customProperties>
    <customPr name="_pios_id" r:id="rId2"/>
  </customPropertie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2:M32"/>
  <sheetViews>
    <sheetView zoomScale="80" zoomScaleNormal="80" workbookViewId="0"/>
  </sheetViews>
  <sheetFormatPr defaultColWidth="8.6640625" defaultRowHeight="15.6" x14ac:dyDescent="0.3"/>
  <cols>
    <col min="1" max="1" width="5.33203125" style="4" customWidth="1"/>
    <col min="2" max="2" width="35.33203125" style="32" customWidth="1"/>
    <col min="3" max="3" width="18.5546875" style="32" customWidth="1"/>
    <col min="4" max="4" width="62.5546875" style="32" customWidth="1"/>
    <col min="5" max="5" width="5.33203125" style="32" customWidth="1"/>
    <col min="6" max="9" width="8.6640625" style="32"/>
    <col min="10" max="10" width="12.6640625" style="32" bestFit="1" customWidth="1"/>
    <col min="11" max="11" width="8.6640625" style="32"/>
    <col min="12" max="12" width="14" style="32" bestFit="1" customWidth="1"/>
    <col min="13" max="16384" width="8.6640625" style="32"/>
  </cols>
  <sheetData>
    <row r="2" spans="1:13" s="1" customFormat="1" x14ac:dyDescent="0.3">
      <c r="A2" s="221"/>
      <c r="B2" s="1222" t="s">
        <v>0</v>
      </c>
      <c r="C2" s="1222"/>
      <c r="D2" s="1222"/>
    </row>
    <row r="3" spans="1:13" s="1" customFormat="1" x14ac:dyDescent="0.3">
      <c r="A3" s="221"/>
      <c r="B3" s="1222" t="s">
        <v>475</v>
      </c>
      <c r="C3" s="1222"/>
      <c r="D3" s="1222"/>
    </row>
    <row r="4" spans="1:13" s="1" customFormat="1" x14ac:dyDescent="0.3">
      <c r="A4" s="221"/>
      <c r="B4" s="1222" t="s">
        <v>476</v>
      </c>
      <c r="C4" s="1222"/>
      <c r="D4" s="1222"/>
    </row>
    <row r="5" spans="1:13" s="1" customFormat="1" x14ac:dyDescent="0.3">
      <c r="A5" s="221"/>
      <c r="B5" s="1222" t="s">
        <v>477</v>
      </c>
      <c r="C5" s="1222"/>
      <c r="D5" s="1222"/>
    </row>
    <row r="6" spans="1:13" s="1" customFormat="1" x14ac:dyDescent="0.3">
      <c r="A6" s="221"/>
      <c r="B6" s="1222" t="str">
        <f>'AD-1'!B5</f>
        <v>BASE PERIOD / TRUE UP PERIOD - 12/31/2023 PER BOOK</v>
      </c>
      <c r="C6" s="1222"/>
      <c r="D6" s="1222"/>
    </row>
    <row r="7" spans="1:13" s="1" customFormat="1" x14ac:dyDescent="0.3">
      <c r="A7" s="221"/>
      <c r="B7" s="1226" t="s">
        <v>4</v>
      </c>
      <c r="C7" s="1226"/>
      <c r="D7" s="1226"/>
    </row>
    <row r="8" spans="1:13" s="1" customFormat="1" x14ac:dyDescent="0.3">
      <c r="A8" s="221"/>
      <c r="B8" s="270"/>
      <c r="C8" s="270"/>
      <c r="D8" s="270"/>
    </row>
    <row r="9" spans="1:13" s="1" customFormat="1" x14ac:dyDescent="0.3">
      <c r="A9" s="221"/>
      <c r="B9" s="1222" t="s">
        <v>320</v>
      </c>
      <c r="C9" s="1222"/>
      <c r="D9" s="1222"/>
    </row>
    <row r="10" spans="1:13" x14ac:dyDescent="0.3">
      <c r="B10" s="348"/>
      <c r="C10" s="86"/>
      <c r="D10" s="86"/>
      <c r="E10" s="4"/>
    </row>
    <row r="11" spans="1:13" x14ac:dyDescent="0.3">
      <c r="B11" s="932"/>
      <c r="C11" s="951" t="s">
        <v>321</v>
      </c>
      <c r="D11" s="933"/>
      <c r="E11" s="4"/>
    </row>
    <row r="12" spans="1:13" x14ac:dyDescent="0.3">
      <c r="A12" s="4" t="s">
        <v>5</v>
      </c>
      <c r="B12" s="281"/>
      <c r="C12" s="273" t="s">
        <v>478</v>
      </c>
      <c r="D12" s="953"/>
      <c r="E12" s="275" t="s">
        <v>5</v>
      </c>
      <c r="H12" s="270"/>
      <c r="I12" s="270"/>
      <c r="J12" s="270"/>
      <c r="K12" s="270"/>
      <c r="L12" s="270"/>
      <c r="M12" s="270"/>
    </row>
    <row r="13" spans="1:13" x14ac:dyDescent="0.3">
      <c r="A13" s="4" t="s">
        <v>6</v>
      </c>
      <c r="B13" s="278" t="s">
        <v>286</v>
      </c>
      <c r="C13" s="312" t="s">
        <v>479</v>
      </c>
      <c r="D13" s="278" t="s">
        <v>8</v>
      </c>
      <c r="E13" s="275" t="s">
        <v>6</v>
      </c>
      <c r="H13" s="270"/>
      <c r="I13" s="1"/>
      <c r="J13" s="1"/>
      <c r="K13" s="221"/>
      <c r="L13" s="1"/>
      <c r="M13" s="270"/>
    </row>
    <row r="14" spans="1:13" x14ac:dyDescent="0.3">
      <c r="A14" s="4">
        <v>1</v>
      </c>
      <c r="B14" s="936" t="str">
        <f>'AE-1'!B14</f>
        <v>Dec-22</v>
      </c>
      <c r="C14" s="235">
        <v>0</v>
      </c>
      <c r="D14" s="573" t="s">
        <v>289</v>
      </c>
      <c r="E14" s="275">
        <f>A14</f>
        <v>1</v>
      </c>
      <c r="G14" s="37"/>
      <c r="H14" s="270"/>
      <c r="I14" s="221"/>
      <c r="J14" s="221"/>
      <c r="K14" s="221"/>
      <c r="L14" s="270"/>
      <c r="M14" s="270"/>
    </row>
    <row r="15" spans="1:13" x14ac:dyDescent="0.3">
      <c r="A15" s="4">
        <f>A14+1</f>
        <v>2</v>
      </c>
      <c r="B15" s="936" t="str">
        <f>'AE-1'!B15</f>
        <v>Jan-23</v>
      </c>
      <c r="C15" s="236">
        <v>0</v>
      </c>
      <c r="D15" s="236"/>
      <c r="E15" s="275">
        <f>E14+1</f>
        <v>2</v>
      </c>
      <c r="G15" s="37"/>
      <c r="H15" s="270"/>
      <c r="I15" s="221"/>
      <c r="J15" s="221"/>
      <c r="K15" s="221"/>
      <c r="L15" s="270"/>
      <c r="M15" s="270"/>
    </row>
    <row r="16" spans="1:13" x14ac:dyDescent="0.3">
      <c r="A16" s="4">
        <f t="shared" ref="A16:A32" si="0">A15+1</f>
        <v>3</v>
      </c>
      <c r="B16" s="939" t="s">
        <v>291</v>
      </c>
      <c r="C16" s="236">
        <v>0</v>
      </c>
      <c r="D16" s="236"/>
      <c r="E16" s="275">
        <f t="shared" ref="E16:E32" si="1">E15+1</f>
        <v>3</v>
      </c>
      <c r="G16" s="37"/>
      <c r="H16" s="270"/>
      <c r="I16" s="221"/>
      <c r="J16" s="221"/>
      <c r="K16" s="221"/>
      <c r="L16" s="270"/>
      <c r="M16" s="270"/>
    </row>
    <row r="17" spans="1:13" x14ac:dyDescent="0.3">
      <c r="A17" s="4">
        <f t="shared" si="0"/>
        <v>4</v>
      </c>
      <c r="B17" s="939" t="s">
        <v>292</v>
      </c>
      <c r="C17" s="236">
        <v>0</v>
      </c>
      <c r="D17" s="236"/>
      <c r="E17" s="275">
        <f t="shared" si="1"/>
        <v>4</v>
      </c>
      <c r="H17" s="270"/>
      <c r="I17" s="221"/>
      <c r="J17" s="343"/>
      <c r="K17" s="221"/>
      <c r="L17" s="270"/>
      <c r="M17" s="270"/>
    </row>
    <row r="18" spans="1:13" x14ac:dyDescent="0.3">
      <c r="A18" s="4">
        <f t="shared" si="0"/>
        <v>5</v>
      </c>
      <c r="B18" s="939" t="s">
        <v>293</v>
      </c>
      <c r="C18" s="236">
        <v>0</v>
      </c>
      <c r="D18" s="236"/>
      <c r="E18" s="275">
        <f t="shared" si="1"/>
        <v>5</v>
      </c>
      <c r="H18" s="270"/>
      <c r="I18" s="221"/>
      <c r="J18" s="343"/>
      <c r="K18" s="221"/>
      <c r="L18" s="270"/>
      <c r="M18" s="270"/>
    </row>
    <row r="19" spans="1:13" x14ac:dyDescent="0.3">
      <c r="A19" s="4">
        <f t="shared" si="0"/>
        <v>6</v>
      </c>
      <c r="B19" s="939" t="s">
        <v>294</v>
      </c>
      <c r="C19" s="236">
        <v>0</v>
      </c>
      <c r="D19" s="236"/>
      <c r="E19" s="275">
        <f t="shared" si="1"/>
        <v>6</v>
      </c>
      <c r="H19" s="270"/>
      <c r="I19" s="343"/>
      <c r="J19" s="343"/>
      <c r="K19" s="349"/>
      <c r="L19" s="350"/>
      <c r="M19" s="270"/>
    </row>
    <row r="20" spans="1:13" x14ac:dyDescent="0.3">
      <c r="A20" s="4">
        <f>A19+1</f>
        <v>7</v>
      </c>
      <c r="B20" s="939" t="s">
        <v>295</v>
      </c>
      <c r="C20" s="236">
        <v>0</v>
      </c>
      <c r="D20" s="236"/>
      <c r="E20" s="275">
        <f>E19+1</f>
        <v>7</v>
      </c>
      <c r="H20" s="270"/>
      <c r="I20" s="351"/>
      <c r="J20" s="352"/>
      <c r="K20" s="353"/>
      <c r="L20" s="354"/>
      <c r="M20" s="270"/>
    </row>
    <row r="21" spans="1:13" x14ac:dyDescent="0.3">
      <c r="A21" s="4">
        <f t="shared" si="0"/>
        <v>8</v>
      </c>
      <c r="B21" s="939" t="s">
        <v>296</v>
      </c>
      <c r="C21" s="236">
        <v>0</v>
      </c>
      <c r="D21" s="236"/>
      <c r="E21" s="275">
        <f t="shared" si="1"/>
        <v>8</v>
      </c>
      <c r="H21" s="270"/>
      <c r="I21" s="355"/>
      <c r="J21" s="355"/>
      <c r="K21" s="350"/>
      <c r="L21" s="350"/>
      <c r="M21" s="270"/>
    </row>
    <row r="22" spans="1:13" x14ac:dyDescent="0.3">
      <c r="A22" s="4">
        <f t="shared" si="0"/>
        <v>9</v>
      </c>
      <c r="B22" s="939" t="s">
        <v>297</v>
      </c>
      <c r="C22" s="236">
        <v>0</v>
      </c>
      <c r="D22" s="236"/>
      <c r="E22" s="275">
        <f t="shared" si="1"/>
        <v>9</v>
      </c>
      <c r="H22" s="270"/>
      <c r="I22" s="351"/>
      <c r="J22" s="352"/>
      <c r="K22" s="356"/>
      <c r="L22" s="354"/>
      <c r="M22" s="270"/>
    </row>
    <row r="23" spans="1:13" x14ac:dyDescent="0.3">
      <c r="A23" s="4">
        <f t="shared" si="0"/>
        <v>10</v>
      </c>
      <c r="B23" s="939" t="s">
        <v>298</v>
      </c>
      <c r="C23" s="236">
        <v>0</v>
      </c>
      <c r="D23" s="236"/>
      <c r="E23" s="275">
        <f t="shared" si="1"/>
        <v>10</v>
      </c>
      <c r="H23" s="270"/>
      <c r="I23" s="1"/>
      <c r="J23" s="1"/>
      <c r="K23" s="350"/>
      <c r="L23" s="350"/>
      <c r="M23" s="270"/>
    </row>
    <row r="24" spans="1:13" x14ac:dyDescent="0.3">
      <c r="A24" s="4">
        <f t="shared" si="0"/>
        <v>11</v>
      </c>
      <c r="B24" s="939" t="s">
        <v>299</v>
      </c>
      <c r="C24" s="236">
        <v>0</v>
      </c>
      <c r="D24" s="236"/>
      <c r="E24" s="275">
        <f t="shared" si="1"/>
        <v>11</v>
      </c>
      <c r="H24" s="270"/>
      <c r="I24" s="1"/>
      <c r="J24" s="1"/>
      <c r="K24" s="349"/>
      <c r="L24" s="350"/>
      <c r="M24" s="270"/>
    </row>
    <row r="25" spans="1:13" x14ac:dyDescent="0.3">
      <c r="A25" s="4">
        <f t="shared" si="0"/>
        <v>12</v>
      </c>
      <c r="B25" s="939" t="s">
        <v>300</v>
      </c>
      <c r="C25" s="236">
        <v>0</v>
      </c>
      <c r="D25" s="236"/>
      <c r="E25" s="275">
        <f t="shared" si="1"/>
        <v>12</v>
      </c>
      <c r="H25" s="270"/>
      <c r="I25" s="1"/>
      <c r="J25" s="1"/>
      <c r="K25" s="349"/>
      <c r="L25" s="350"/>
      <c r="M25" s="270"/>
    </row>
    <row r="26" spans="1:13" x14ac:dyDescent="0.3">
      <c r="A26" s="4">
        <f t="shared" si="0"/>
        <v>13</v>
      </c>
      <c r="B26" s="633" t="str">
        <f>'AE-1'!B26</f>
        <v>Dec-23</v>
      </c>
      <c r="C26" s="236">
        <v>0</v>
      </c>
      <c r="D26" s="69" t="s">
        <v>289</v>
      </c>
      <c r="E26" s="275">
        <f t="shared" si="1"/>
        <v>13</v>
      </c>
      <c r="H26" s="270"/>
      <c r="I26" s="1"/>
      <c r="J26" s="1"/>
      <c r="K26" s="44"/>
      <c r="L26" s="88"/>
      <c r="M26" s="270"/>
    </row>
    <row r="27" spans="1:13" x14ac:dyDescent="0.3">
      <c r="A27" s="4">
        <f t="shared" si="0"/>
        <v>14</v>
      </c>
      <c r="B27" s="281"/>
      <c r="C27" s="984"/>
      <c r="D27" s="984"/>
      <c r="E27" s="275">
        <f t="shared" si="1"/>
        <v>14</v>
      </c>
    </row>
    <row r="28" spans="1:13" x14ac:dyDescent="0.3">
      <c r="A28" s="4">
        <f t="shared" si="0"/>
        <v>15</v>
      </c>
      <c r="B28" s="281" t="s">
        <v>302</v>
      </c>
      <c r="C28" s="969">
        <f>SUM(C14:C26)</f>
        <v>0</v>
      </c>
      <c r="D28" s="941" t="s">
        <v>303</v>
      </c>
      <c r="E28" s="275">
        <f t="shared" si="1"/>
        <v>15</v>
      </c>
    </row>
    <row r="29" spans="1:13" x14ac:dyDescent="0.3">
      <c r="A29" s="4">
        <f t="shared" si="0"/>
        <v>16</v>
      </c>
      <c r="B29" s="120"/>
      <c r="C29" s="94"/>
      <c r="D29" s="95"/>
      <c r="E29" s="275">
        <f t="shared" si="1"/>
        <v>16</v>
      </c>
    </row>
    <row r="30" spans="1:13" x14ac:dyDescent="0.3">
      <c r="A30" s="4">
        <f t="shared" si="0"/>
        <v>17</v>
      </c>
      <c r="B30" s="281"/>
      <c r="C30" s="985"/>
      <c r="D30" s="582"/>
      <c r="E30" s="275">
        <f t="shared" si="1"/>
        <v>17</v>
      </c>
    </row>
    <row r="31" spans="1:13" x14ac:dyDescent="0.3">
      <c r="A31" s="4">
        <f t="shared" si="0"/>
        <v>18</v>
      </c>
      <c r="B31" s="281" t="s">
        <v>480</v>
      </c>
      <c r="C31" s="969">
        <f>C28/13</f>
        <v>0</v>
      </c>
      <c r="D31" s="942" t="s">
        <v>305</v>
      </c>
      <c r="E31" s="275">
        <f t="shared" si="1"/>
        <v>18</v>
      </c>
    </row>
    <row r="32" spans="1:13" x14ac:dyDescent="0.3">
      <c r="A32" s="4">
        <f t="shared" si="0"/>
        <v>19</v>
      </c>
      <c r="B32" s="120"/>
      <c r="C32" s="68"/>
      <c r="D32" s="68"/>
      <c r="E32" s="275">
        <f t="shared" si="1"/>
        <v>19</v>
      </c>
    </row>
  </sheetData>
  <mergeCells count="7">
    <mergeCell ref="B9:D9"/>
    <mergeCell ref="B2:D2"/>
    <mergeCell ref="B3:D3"/>
    <mergeCell ref="B4:D4"/>
    <mergeCell ref="B5:D5"/>
    <mergeCell ref="B6:D6"/>
    <mergeCell ref="B7:D7"/>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2:H25"/>
  <sheetViews>
    <sheetView zoomScale="80" zoomScaleNormal="80" workbookViewId="0"/>
  </sheetViews>
  <sheetFormatPr defaultColWidth="9.33203125" defaultRowHeight="15.6" x14ac:dyDescent="0.3"/>
  <cols>
    <col min="1" max="1" width="5.33203125" style="221" customWidth="1"/>
    <col min="2" max="2" width="35.33203125" style="1" customWidth="1"/>
    <col min="3" max="4" width="18.5546875" style="88" customWidth="1"/>
    <col min="5" max="5" width="18.5546875" style="1" customWidth="1"/>
    <col min="6" max="6" width="62.5546875" style="1" customWidth="1"/>
    <col min="7" max="7" width="5.33203125" style="221" customWidth="1"/>
    <col min="8" max="8" width="24" style="1" customWidth="1"/>
    <col min="9" max="9" width="11" style="1" customWidth="1"/>
    <col min="10" max="10" width="7.33203125" style="1" customWidth="1"/>
    <col min="11" max="11" width="9.33203125" style="1" customWidth="1"/>
    <col min="12" max="12" width="14" style="1" customWidth="1"/>
    <col min="13" max="13" width="13.44140625" style="1" customWidth="1"/>
    <col min="14" max="16384" width="9.33203125" style="1"/>
  </cols>
  <sheetData>
    <row r="2" spans="1:8" x14ac:dyDescent="0.3">
      <c r="B2" s="1222" t="s">
        <v>0</v>
      </c>
      <c r="C2" s="1222"/>
      <c r="D2" s="1222"/>
      <c r="E2" s="1222"/>
      <c r="F2" s="1222"/>
    </row>
    <row r="3" spans="1:8" x14ac:dyDescent="0.3">
      <c r="B3" s="1222" t="s">
        <v>475</v>
      </c>
      <c r="C3" s="1222"/>
      <c r="D3" s="1222"/>
      <c r="E3" s="1222"/>
      <c r="F3" s="1222"/>
    </row>
    <row r="4" spans="1:8" x14ac:dyDescent="0.3">
      <c r="B4" s="1222" t="s">
        <v>476</v>
      </c>
      <c r="C4" s="1222"/>
      <c r="D4" s="1222"/>
      <c r="E4" s="1222"/>
      <c r="F4" s="1222"/>
    </row>
    <row r="5" spans="1:8" x14ac:dyDescent="0.3">
      <c r="B5" s="1222" t="str">
        <f>'AD-1'!B5</f>
        <v>BASE PERIOD / TRUE UP PERIOD - 12/31/2023 PER BOOK</v>
      </c>
      <c r="C5" s="1222"/>
      <c r="D5" s="1222"/>
      <c r="E5" s="1222"/>
      <c r="F5" s="1222"/>
    </row>
    <row r="6" spans="1:8" x14ac:dyDescent="0.3">
      <c r="B6" s="1226" t="s">
        <v>4</v>
      </c>
      <c r="C6" s="1226"/>
      <c r="D6" s="1226"/>
      <c r="E6" s="1226"/>
      <c r="F6" s="1226"/>
    </row>
    <row r="8" spans="1:8" x14ac:dyDescent="0.3">
      <c r="B8" s="932"/>
      <c r="C8" s="986" t="s">
        <v>210</v>
      </c>
      <c r="D8" s="325" t="s">
        <v>211</v>
      </c>
      <c r="E8" s="325" t="s">
        <v>481</v>
      </c>
      <c r="F8" s="933"/>
    </row>
    <row r="9" spans="1:8" x14ac:dyDescent="0.3">
      <c r="A9" s="4"/>
      <c r="B9" s="273"/>
      <c r="C9" s="277" t="s">
        <v>482</v>
      </c>
      <c r="D9" s="277" t="s">
        <v>483</v>
      </c>
      <c r="E9" s="277" t="s">
        <v>484</v>
      </c>
      <c r="F9" s="940"/>
      <c r="G9" s="4"/>
    </row>
    <row r="10" spans="1:8" x14ac:dyDescent="0.3">
      <c r="A10" s="4" t="s">
        <v>5</v>
      </c>
      <c r="B10" s="273" t="s">
        <v>485</v>
      </c>
      <c r="C10" s="277" t="s">
        <v>7</v>
      </c>
      <c r="D10" s="277" t="s">
        <v>7</v>
      </c>
      <c r="E10" s="277" t="s">
        <v>7</v>
      </c>
      <c r="F10" s="273"/>
      <c r="G10" s="4" t="s">
        <v>5</v>
      </c>
    </row>
    <row r="11" spans="1:8" x14ac:dyDescent="0.3">
      <c r="A11" s="4" t="s">
        <v>6</v>
      </c>
      <c r="B11" s="278" t="s">
        <v>337</v>
      </c>
      <c r="C11" s="279" t="s">
        <v>486</v>
      </c>
      <c r="D11" s="278" t="s">
        <v>486</v>
      </c>
      <c r="E11" s="279" t="s">
        <v>486</v>
      </c>
      <c r="F11" s="278" t="s">
        <v>8</v>
      </c>
      <c r="G11" s="4" t="s">
        <v>6</v>
      </c>
    </row>
    <row r="12" spans="1:8" x14ac:dyDescent="0.3">
      <c r="A12" s="4">
        <v>1</v>
      </c>
      <c r="B12" s="987"/>
      <c r="C12" s="582">
        <v>0</v>
      </c>
      <c r="D12" s="582">
        <v>0</v>
      </c>
      <c r="E12" s="582">
        <f>(C12+D12)</f>
        <v>0</v>
      </c>
      <c r="F12" s="581"/>
      <c r="G12" s="4">
        <f>A12</f>
        <v>1</v>
      </c>
    </row>
    <row r="13" spans="1:8" x14ac:dyDescent="0.3">
      <c r="A13" s="4">
        <f>A12+1</f>
        <v>2</v>
      </c>
      <c r="B13" s="939"/>
      <c r="C13" s="236">
        <v>0</v>
      </c>
      <c r="D13" s="236">
        <v>0</v>
      </c>
      <c r="E13" s="236">
        <v>0</v>
      </c>
      <c r="F13" s="573"/>
      <c r="G13" s="4">
        <f>G12+1</f>
        <v>2</v>
      </c>
      <c r="H13" s="284"/>
    </row>
    <row r="14" spans="1:8" x14ac:dyDescent="0.3">
      <c r="A14" s="4">
        <f t="shared" ref="A14:A17" si="0">A13+1</f>
        <v>3</v>
      </c>
      <c r="B14" s="288"/>
      <c r="C14" s="95">
        <v>0</v>
      </c>
      <c r="D14" s="95">
        <v>0</v>
      </c>
      <c r="E14" s="95">
        <v>0</v>
      </c>
      <c r="F14" s="288"/>
      <c r="G14" s="4">
        <f t="shared" ref="G14:G17" si="1">G13+1</f>
        <v>3</v>
      </c>
    </row>
    <row r="15" spans="1:8" x14ac:dyDescent="0.3">
      <c r="A15" s="4">
        <f t="shared" si="0"/>
        <v>4</v>
      </c>
      <c r="B15" s="281"/>
      <c r="C15" s="61"/>
      <c r="D15" s="61"/>
      <c r="E15" s="61"/>
      <c r="F15" s="357"/>
      <c r="G15" s="4">
        <f t="shared" si="1"/>
        <v>4</v>
      </c>
    </row>
    <row r="16" spans="1:8" x14ac:dyDescent="0.3">
      <c r="A16" s="4">
        <f t="shared" si="0"/>
        <v>5</v>
      </c>
      <c r="B16" s="281" t="s">
        <v>200</v>
      </c>
      <c r="C16" s="56">
        <f>SUM(C12:C14)</f>
        <v>0</v>
      </c>
      <c r="D16" s="56">
        <f>SUM(D12:D14)</f>
        <v>0</v>
      </c>
      <c r="E16" s="56">
        <f>SUM(E12:E14)</f>
        <v>0</v>
      </c>
      <c r="F16" s="573" t="s">
        <v>487</v>
      </c>
      <c r="G16" s="4">
        <f t="shared" si="1"/>
        <v>5</v>
      </c>
    </row>
    <row r="17" spans="1:7" x14ac:dyDescent="0.3">
      <c r="A17" s="4">
        <f t="shared" si="0"/>
        <v>6</v>
      </c>
      <c r="B17" s="120"/>
      <c r="C17" s="57"/>
      <c r="D17" s="57"/>
      <c r="E17" s="57"/>
      <c r="F17" s="68"/>
      <c r="G17" s="4">
        <f t="shared" si="1"/>
        <v>6</v>
      </c>
    </row>
    <row r="18" spans="1:7" x14ac:dyDescent="0.3">
      <c r="A18" s="4"/>
      <c r="C18" s="44"/>
      <c r="D18" s="44"/>
      <c r="E18" s="44"/>
      <c r="F18" s="44"/>
      <c r="G18" s="4"/>
    </row>
    <row r="19" spans="1:7" x14ac:dyDescent="0.3">
      <c r="A19" s="4"/>
      <c r="C19" s="44"/>
      <c r="D19" s="44"/>
      <c r="E19" s="44"/>
      <c r="F19" s="44"/>
    </row>
    <row r="20" spans="1:7" ht="18" x14ac:dyDescent="0.3">
      <c r="A20" s="269"/>
      <c r="B20" s="358"/>
      <c r="C20" s="44"/>
      <c r="D20" s="44"/>
      <c r="E20" s="44"/>
      <c r="F20" s="44"/>
    </row>
    <row r="21" spans="1:7" x14ac:dyDescent="0.3">
      <c r="C21" s="44"/>
      <c r="D21" s="44"/>
      <c r="E21" s="44"/>
      <c r="F21" s="44"/>
    </row>
    <row r="22" spans="1:7" x14ac:dyDescent="0.3">
      <c r="B22" s="296"/>
      <c r="C22" s="359"/>
      <c r="D22" s="359"/>
      <c r="E22" s="359"/>
      <c r="F22" s="285"/>
      <c r="G22" s="583"/>
    </row>
    <row r="23" spans="1:7" x14ac:dyDescent="0.3">
      <c r="B23" s="32"/>
      <c r="C23" s="285"/>
      <c r="D23" s="1"/>
      <c r="F23" s="285"/>
      <c r="G23" s="583"/>
    </row>
    <row r="24" spans="1:7" x14ac:dyDescent="0.3">
      <c r="C24" s="285"/>
      <c r="D24" s="285"/>
      <c r="E24" s="285"/>
      <c r="F24" s="285"/>
      <c r="G24" s="583"/>
    </row>
    <row r="25" spans="1:7" x14ac:dyDescent="0.3">
      <c r="C25" s="284"/>
      <c r="D25" s="284"/>
      <c r="E25" s="284"/>
      <c r="F25" s="284"/>
      <c r="G25" s="583"/>
    </row>
  </sheetData>
  <mergeCells count="5">
    <mergeCell ref="B2:F2"/>
    <mergeCell ref="B3:F3"/>
    <mergeCell ref="B4:F4"/>
    <mergeCell ref="B5:F5"/>
    <mergeCell ref="B6:F6"/>
  </mergeCells>
  <printOptions horizontalCentered="1"/>
  <pageMargins left="0.5" right="0.5" top="0.5" bottom="0.5" header="0.25" footer="0.25"/>
  <pageSetup scale="77" orientation="landscape" r:id="rId1"/>
  <headerFooter scaleWithDoc="0">
    <oddFooter>&amp;C&amp;"Times New Roman,Regular"&amp;10&amp;A</oddFooter>
  </headerFooter>
  <colBreaks count="1" manualBreakCount="1">
    <brk id="7" max="1048575" man="1"/>
  </colBreaks>
  <customProperties>
    <customPr name="_pios_id" r:id="rId2"/>
  </customPropertie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L55"/>
  <sheetViews>
    <sheetView zoomScale="80" zoomScaleNormal="80" workbookViewId="0"/>
  </sheetViews>
  <sheetFormatPr defaultColWidth="8.6640625" defaultRowHeight="15.6" x14ac:dyDescent="0.3"/>
  <cols>
    <col min="1" max="1" width="5.33203125" style="4" bestFit="1" customWidth="1"/>
    <col min="2" max="2" width="78.44140625" style="32" customWidth="1"/>
    <col min="3" max="3" width="21.33203125" style="32" customWidth="1"/>
    <col min="4" max="4" width="1.5546875" style="32" customWidth="1"/>
    <col min="5" max="5" width="16.6640625" style="32" customWidth="1"/>
    <col min="6" max="6" width="1.5546875" style="32" customWidth="1"/>
    <col min="7" max="7" width="44.6640625" style="32" customWidth="1"/>
    <col min="8" max="9" width="5.33203125" style="32" customWidth="1"/>
    <col min="10" max="10" width="20.44140625" style="32" bestFit="1" customWidth="1"/>
    <col min="11" max="16384" width="8.6640625" style="32"/>
  </cols>
  <sheetData>
    <row r="1" spans="1:12" x14ac:dyDescent="0.3">
      <c r="G1" s="4"/>
      <c r="H1" s="4"/>
    </row>
    <row r="2" spans="1:12" x14ac:dyDescent="0.3">
      <c r="B2" s="1222" t="s">
        <v>0</v>
      </c>
      <c r="C2" s="1222"/>
      <c r="D2" s="1222"/>
      <c r="E2" s="1222"/>
      <c r="F2" s="1222"/>
      <c r="G2" s="1222"/>
      <c r="H2" s="4"/>
    </row>
    <row r="3" spans="1:12" x14ac:dyDescent="0.3">
      <c r="B3" s="1222" t="s">
        <v>488</v>
      </c>
      <c r="C3" s="1222"/>
      <c r="D3" s="1222"/>
      <c r="E3" s="1222"/>
      <c r="F3" s="1222"/>
      <c r="G3" s="1222"/>
      <c r="H3" s="4"/>
    </row>
    <row r="4" spans="1:12" x14ac:dyDescent="0.3">
      <c r="B4" s="1222" t="s">
        <v>489</v>
      </c>
      <c r="C4" s="1222"/>
      <c r="D4" s="1222"/>
      <c r="E4" s="1222"/>
      <c r="F4" s="1222"/>
      <c r="G4" s="1222"/>
      <c r="H4" s="4"/>
    </row>
    <row r="5" spans="1:12" x14ac:dyDescent="0.3">
      <c r="B5" s="1227" t="str">
        <f>'Stmt AD'!B5</f>
        <v>Base Period &amp; True-Up Period 12 - Months Ending December 31, 2023</v>
      </c>
      <c r="C5" s="1227"/>
      <c r="D5" s="1227"/>
      <c r="E5" s="1227"/>
      <c r="F5" s="1227"/>
      <c r="G5" s="1227"/>
      <c r="H5" s="4"/>
      <c r="J5"/>
      <c r="K5"/>
      <c r="L5"/>
    </row>
    <row r="6" spans="1:12" x14ac:dyDescent="0.3">
      <c r="B6" s="1226" t="s">
        <v>4</v>
      </c>
      <c r="C6" s="1223"/>
      <c r="D6" s="1223"/>
      <c r="E6" s="1223"/>
      <c r="F6" s="1223"/>
      <c r="G6" s="1223"/>
      <c r="H6" s="4"/>
    </row>
    <row r="7" spans="1:12" x14ac:dyDescent="0.3">
      <c r="B7" s="4"/>
      <c r="C7" s="4"/>
      <c r="D7" s="4"/>
      <c r="E7" s="11"/>
      <c r="F7" s="11"/>
      <c r="G7" s="4"/>
      <c r="H7" s="4"/>
    </row>
    <row r="8" spans="1:12" x14ac:dyDescent="0.3">
      <c r="A8" s="4" t="s">
        <v>5</v>
      </c>
      <c r="B8" s="221"/>
      <c r="C8" s="4" t="s">
        <v>236</v>
      </c>
      <c r="D8" s="221"/>
      <c r="E8" s="360"/>
      <c r="F8" s="360"/>
      <c r="G8" s="4"/>
      <c r="H8" s="4" t="s">
        <v>5</v>
      </c>
    </row>
    <row r="9" spans="1:12" x14ac:dyDescent="0.3">
      <c r="A9" s="4" t="s">
        <v>6</v>
      </c>
      <c r="C9" s="852" t="s">
        <v>238</v>
      </c>
      <c r="D9" s="221"/>
      <c r="E9" s="853" t="s">
        <v>7</v>
      </c>
      <c r="F9" s="360"/>
      <c r="G9" s="852" t="s">
        <v>8</v>
      </c>
      <c r="H9" s="4" t="s">
        <v>6</v>
      </c>
    </row>
    <row r="10" spans="1:12" x14ac:dyDescent="0.3">
      <c r="C10" s="221"/>
      <c r="D10" s="221"/>
      <c r="E10" s="360"/>
      <c r="F10" s="360"/>
      <c r="G10" s="4"/>
      <c r="H10" s="4"/>
    </row>
    <row r="11" spans="1:12" x14ac:dyDescent="0.3">
      <c r="A11" s="4">
        <v>1</v>
      </c>
      <c r="B11" s="254" t="s">
        <v>490</v>
      </c>
      <c r="G11" s="4"/>
      <c r="H11" s="4">
        <f>A11</f>
        <v>1</v>
      </c>
    </row>
    <row r="12" spans="1:12" x14ac:dyDescent="0.3">
      <c r="A12" s="4">
        <f>+A11+1</f>
        <v>2</v>
      </c>
      <c r="B12" s="32" t="s">
        <v>491</v>
      </c>
      <c r="C12" s="4" t="s">
        <v>492</v>
      </c>
      <c r="E12" s="41">
        <f>'AH-1'!D43</f>
        <v>124467.228</v>
      </c>
      <c r="G12" s="4" t="s">
        <v>493</v>
      </c>
      <c r="H12" s="4">
        <f>+H11+1</f>
        <v>2</v>
      </c>
    </row>
    <row r="13" spans="1:12" x14ac:dyDescent="0.3">
      <c r="A13" s="4">
        <f t="shared" ref="A13:A51" si="0">+A12+1</f>
        <v>3</v>
      </c>
      <c r="B13" s="33" t="s">
        <v>1599</v>
      </c>
      <c r="E13" s="1118">
        <f>-'AH-1'!E43</f>
        <v>-7205.0127500000008</v>
      </c>
      <c r="G13" s="4" t="s">
        <v>1592</v>
      </c>
      <c r="H13" s="4">
        <f t="shared" ref="H13:H51" si="1">+H12+1</f>
        <v>3</v>
      </c>
    </row>
    <row r="14" spans="1:12" x14ac:dyDescent="0.3">
      <c r="A14" s="4">
        <f t="shared" si="0"/>
        <v>4</v>
      </c>
      <c r="B14" s="33" t="s">
        <v>1601</v>
      </c>
      <c r="E14" s="1118">
        <v>0</v>
      </c>
      <c r="G14" s="45" t="s">
        <v>1536</v>
      </c>
      <c r="H14" s="4">
        <f t="shared" si="1"/>
        <v>4</v>
      </c>
    </row>
    <row r="15" spans="1:12" ht="16.2" thickBot="1" x14ac:dyDescent="0.35">
      <c r="A15" s="4">
        <f t="shared" si="0"/>
        <v>5</v>
      </c>
      <c r="B15" s="32" t="s">
        <v>494</v>
      </c>
      <c r="E15" s="97">
        <f>SUM(E12:E14)</f>
        <v>117262.21525000001</v>
      </c>
      <c r="G15" s="4" t="s">
        <v>1602</v>
      </c>
      <c r="H15" s="4">
        <f t="shared" si="1"/>
        <v>5</v>
      </c>
      <c r="I15" s="361"/>
    </row>
    <row r="16" spans="1:12" ht="16.2" thickTop="1" x14ac:dyDescent="0.3">
      <c r="A16" s="4">
        <f t="shared" si="0"/>
        <v>6</v>
      </c>
      <c r="E16" s="6"/>
      <c r="H16" s="4">
        <f t="shared" si="1"/>
        <v>6</v>
      </c>
      <c r="I16" s="361"/>
    </row>
    <row r="17" spans="1:10" x14ac:dyDescent="0.3">
      <c r="A17" s="4">
        <f t="shared" si="0"/>
        <v>7</v>
      </c>
      <c r="B17" s="253" t="s">
        <v>495</v>
      </c>
      <c r="E17" s="39"/>
      <c r="G17" s="4"/>
      <c r="H17" s="4">
        <f t="shared" si="1"/>
        <v>7</v>
      </c>
      <c r="I17" s="361"/>
    </row>
    <row r="18" spans="1:10" x14ac:dyDescent="0.3">
      <c r="A18" s="4">
        <f t="shared" si="0"/>
        <v>8</v>
      </c>
      <c r="B18" s="33" t="s">
        <v>496</v>
      </c>
      <c r="C18" s="4" t="s">
        <v>497</v>
      </c>
      <c r="E18" s="41">
        <f>'AH-2'!D26</f>
        <v>626994.16997000016</v>
      </c>
      <c r="G18" s="4" t="s">
        <v>498</v>
      </c>
      <c r="H18" s="4">
        <f t="shared" si="1"/>
        <v>8</v>
      </c>
      <c r="I18" s="361"/>
    </row>
    <row r="19" spans="1:10" ht="31.2" x14ac:dyDescent="0.3">
      <c r="A19" s="4">
        <f t="shared" si="0"/>
        <v>9</v>
      </c>
      <c r="B19" s="33" t="s">
        <v>1603</v>
      </c>
      <c r="E19" s="43">
        <f>-'AH-2'!E26+'AH-2'!D37</f>
        <v>-133361.11727318997</v>
      </c>
      <c r="G19" s="92" t="s">
        <v>1786</v>
      </c>
      <c r="H19" s="4">
        <f t="shared" si="1"/>
        <v>9</v>
      </c>
      <c r="I19" s="361"/>
    </row>
    <row r="20" spans="1:10" ht="18" x14ac:dyDescent="0.3">
      <c r="A20" s="4">
        <f t="shared" si="0"/>
        <v>10</v>
      </c>
      <c r="B20" s="33" t="s">
        <v>1604</v>
      </c>
      <c r="E20" s="43">
        <f>-'AH-2'!D37</f>
        <v>0</v>
      </c>
      <c r="G20" s="4" t="s">
        <v>1787</v>
      </c>
      <c r="H20" s="4">
        <f t="shared" si="1"/>
        <v>10</v>
      </c>
      <c r="I20" s="361"/>
      <c r="J20" s="36"/>
    </row>
    <row r="21" spans="1:10" x14ac:dyDescent="0.3">
      <c r="A21" s="4">
        <f t="shared" si="0"/>
        <v>11</v>
      </c>
      <c r="B21" s="33" t="s">
        <v>1601</v>
      </c>
      <c r="E21" s="912">
        <v>0</v>
      </c>
      <c r="G21" s="45" t="s">
        <v>1536</v>
      </c>
      <c r="H21" s="4">
        <f t="shared" si="1"/>
        <v>11</v>
      </c>
      <c r="I21" s="361"/>
    </row>
    <row r="22" spans="1:10" x14ac:dyDescent="0.3">
      <c r="A22" s="4">
        <f t="shared" si="0"/>
        <v>12</v>
      </c>
      <c r="B22" s="33" t="s">
        <v>499</v>
      </c>
      <c r="E22" s="49">
        <f>SUM(E18:E21)</f>
        <v>493633.05269681022</v>
      </c>
      <c r="G22" s="4" t="s">
        <v>1605</v>
      </c>
      <c r="H22" s="4">
        <f t="shared" si="1"/>
        <v>12</v>
      </c>
      <c r="I22" s="361"/>
    </row>
    <row r="23" spans="1:10" x14ac:dyDescent="0.3">
      <c r="A23" s="4">
        <f t="shared" si="0"/>
        <v>13</v>
      </c>
      <c r="B23" s="33" t="s">
        <v>500</v>
      </c>
      <c r="E23" s="39">
        <f>-'AH-2'!F15</f>
        <v>-10584.239569999998</v>
      </c>
      <c r="G23" s="4" t="s">
        <v>501</v>
      </c>
      <c r="H23" s="4">
        <f t="shared" si="1"/>
        <v>13</v>
      </c>
      <c r="I23" s="361"/>
    </row>
    <row r="24" spans="1:10" x14ac:dyDescent="0.3">
      <c r="A24" s="4">
        <f t="shared" si="0"/>
        <v>14</v>
      </c>
      <c r="B24" s="33" t="s">
        <v>1842</v>
      </c>
      <c r="E24" s="930">
        <f>-'AH-2'!F16</f>
        <v>-212785.35694168002</v>
      </c>
      <c r="G24" s="4" t="s">
        <v>1843</v>
      </c>
      <c r="H24" s="4">
        <f t="shared" si="1"/>
        <v>14</v>
      </c>
      <c r="I24" s="361"/>
    </row>
    <row r="25" spans="1:10" x14ac:dyDescent="0.3">
      <c r="A25" s="4">
        <f t="shared" si="0"/>
        <v>15</v>
      </c>
      <c r="B25" s="33" t="s">
        <v>502</v>
      </c>
      <c r="E25" s="49">
        <f>SUM(E22:E24)</f>
        <v>270263.45618513023</v>
      </c>
      <c r="G25" s="4" t="s">
        <v>878</v>
      </c>
      <c r="H25" s="4">
        <f t="shared" si="1"/>
        <v>15</v>
      </c>
      <c r="I25" s="361"/>
    </row>
    <row r="26" spans="1:10" x14ac:dyDescent="0.3">
      <c r="A26" s="4">
        <f t="shared" si="0"/>
        <v>16</v>
      </c>
      <c r="B26" s="32" t="s">
        <v>264</v>
      </c>
      <c r="E26" s="931">
        <f>IFERROR('Stmt AI'!E25,0)</f>
        <v>0.20002998415514117</v>
      </c>
      <c r="G26" s="4" t="s">
        <v>265</v>
      </c>
      <c r="H26" s="4">
        <f t="shared" si="1"/>
        <v>16</v>
      </c>
      <c r="I26" s="361"/>
    </row>
    <row r="27" spans="1:10" x14ac:dyDescent="0.3">
      <c r="A27" s="4">
        <f t="shared" si="0"/>
        <v>17</v>
      </c>
      <c r="B27" s="33" t="s">
        <v>503</v>
      </c>
      <c r="E27" s="915">
        <f>E25*E26</f>
        <v>54060.794858425288</v>
      </c>
      <c r="G27" s="4" t="s">
        <v>1844</v>
      </c>
      <c r="H27" s="4">
        <f t="shared" si="1"/>
        <v>17</v>
      </c>
      <c r="I27" s="361"/>
    </row>
    <row r="28" spans="1:10" x14ac:dyDescent="0.3">
      <c r="A28" s="4">
        <f t="shared" si="0"/>
        <v>18</v>
      </c>
      <c r="B28" s="32" t="s">
        <v>504</v>
      </c>
      <c r="E28" s="39">
        <f>E49*(-E23)</f>
        <v>4100.9997881873715</v>
      </c>
      <c r="G28" s="4" t="s">
        <v>1945</v>
      </c>
      <c r="H28" s="4">
        <f t="shared" si="1"/>
        <v>18</v>
      </c>
      <c r="I28" s="361"/>
    </row>
    <row r="29" spans="1:10" x14ac:dyDescent="0.3">
      <c r="A29" s="4">
        <f t="shared" si="0"/>
        <v>19</v>
      </c>
      <c r="B29" s="32" t="s">
        <v>1845</v>
      </c>
      <c r="E29" s="930">
        <f>-E24*E51</f>
        <v>62396.629927039154</v>
      </c>
      <c r="G29" s="92" t="s">
        <v>1948</v>
      </c>
      <c r="H29" s="4">
        <f t="shared" si="1"/>
        <v>19</v>
      </c>
      <c r="I29" s="361"/>
    </row>
    <row r="30" spans="1:10" ht="16.2" thickBot="1" x14ac:dyDescent="0.35">
      <c r="A30" s="4">
        <f t="shared" si="0"/>
        <v>20</v>
      </c>
      <c r="B30" s="33" t="s">
        <v>505</v>
      </c>
      <c r="E30" s="24">
        <f>SUM(E27:E29)</f>
        <v>120558.42457365181</v>
      </c>
      <c r="G30" s="4" t="s">
        <v>1846</v>
      </c>
      <c r="H30" s="4">
        <f t="shared" si="1"/>
        <v>20</v>
      </c>
      <c r="I30" s="361"/>
    </row>
    <row r="31" spans="1:10" ht="16.2" thickTop="1" x14ac:dyDescent="0.3">
      <c r="A31" s="4">
        <f t="shared" si="0"/>
        <v>21</v>
      </c>
      <c r="B31" s="343"/>
      <c r="E31" s="10"/>
      <c r="G31" s="4"/>
      <c r="H31" s="4">
        <f t="shared" si="1"/>
        <v>21</v>
      </c>
      <c r="I31" s="361"/>
    </row>
    <row r="32" spans="1:10" x14ac:dyDescent="0.3">
      <c r="A32" s="4">
        <f t="shared" si="0"/>
        <v>22</v>
      </c>
      <c r="B32" s="253" t="s">
        <v>506</v>
      </c>
      <c r="E32" s="50"/>
      <c r="G32" s="4"/>
      <c r="H32" s="4">
        <f t="shared" si="1"/>
        <v>22</v>
      </c>
      <c r="I32" s="361"/>
    </row>
    <row r="33" spans="1:9" x14ac:dyDescent="0.3">
      <c r="A33" s="4">
        <f t="shared" si="0"/>
        <v>23</v>
      </c>
      <c r="B33" s="33" t="s">
        <v>507</v>
      </c>
      <c r="E33" s="7">
        <f>'Stmt AD'!I35</f>
        <v>7990057.3968355898</v>
      </c>
      <c r="G33" s="4" t="s">
        <v>508</v>
      </c>
      <c r="H33" s="4">
        <f t="shared" si="1"/>
        <v>23</v>
      </c>
      <c r="I33" s="361"/>
    </row>
    <row r="34" spans="1:9" x14ac:dyDescent="0.3">
      <c r="A34" s="4">
        <f t="shared" si="0"/>
        <v>24</v>
      </c>
      <c r="B34" s="33" t="s">
        <v>60</v>
      </c>
      <c r="E34" s="96">
        <v>0</v>
      </c>
      <c r="G34" s="4" t="s">
        <v>46</v>
      </c>
      <c r="H34" s="4">
        <f t="shared" si="1"/>
        <v>24</v>
      </c>
      <c r="I34" s="361"/>
    </row>
    <row r="35" spans="1:9" x14ac:dyDescent="0.3">
      <c r="A35" s="4">
        <f t="shared" si="0"/>
        <v>25</v>
      </c>
      <c r="B35" s="33" t="s">
        <v>62</v>
      </c>
      <c r="E35" s="9">
        <f>'Stmt AD'!I39</f>
        <v>118679.32221898218</v>
      </c>
      <c r="G35" s="4" t="s">
        <v>119</v>
      </c>
      <c r="H35" s="4">
        <f t="shared" si="1"/>
        <v>25</v>
      </c>
      <c r="I35" s="361"/>
    </row>
    <row r="36" spans="1:9" x14ac:dyDescent="0.3">
      <c r="A36" s="4">
        <f t="shared" si="0"/>
        <v>26</v>
      </c>
      <c r="B36" s="33" t="s">
        <v>270</v>
      </c>
      <c r="E36" s="845">
        <f>'Stmt AD'!I41</f>
        <v>336812.87323412113</v>
      </c>
      <c r="G36" s="4" t="s">
        <v>120</v>
      </c>
      <c r="H36" s="4">
        <f t="shared" si="1"/>
        <v>26</v>
      </c>
      <c r="I36" s="361"/>
    </row>
    <row r="37" spans="1:9" ht="16.2" thickBot="1" x14ac:dyDescent="0.35">
      <c r="A37" s="4">
        <f t="shared" si="0"/>
        <v>27</v>
      </c>
      <c r="B37" s="33" t="s">
        <v>509</v>
      </c>
      <c r="E37" s="17">
        <f>SUM(E33:E36)</f>
        <v>8445549.5922886934</v>
      </c>
      <c r="G37" s="4" t="s">
        <v>1860</v>
      </c>
      <c r="H37" s="4">
        <f t="shared" si="1"/>
        <v>27</v>
      </c>
      <c r="I37" s="361"/>
    </row>
    <row r="38" spans="1:9" ht="16.2" thickTop="1" x14ac:dyDescent="0.3">
      <c r="A38" s="4">
        <f t="shared" si="0"/>
        <v>28</v>
      </c>
      <c r="B38" s="343"/>
      <c r="E38" s="6"/>
      <c r="G38" s="4"/>
      <c r="H38" s="4">
        <f t="shared" si="1"/>
        <v>28</v>
      </c>
      <c r="I38" s="361"/>
    </row>
    <row r="39" spans="1:9" x14ac:dyDescent="0.3">
      <c r="A39" s="4">
        <f t="shared" si="0"/>
        <v>29</v>
      </c>
      <c r="B39" s="33" t="s">
        <v>266</v>
      </c>
      <c r="E39" s="36">
        <f>E33</f>
        <v>7990057.3968355898</v>
      </c>
      <c r="G39" s="47" t="s">
        <v>1861</v>
      </c>
      <c r="H39" s="4">
        <f t="shared" si="1"/>
        <v>29</v>
      </c>
      <c r="I39" s="361"/>
    </row>
    <row r="40" spans="1:9" x14ac:dyDescent="0.3">
      <c r="A40" s="4">
        <f t="shared" si="0"/>
        <v>30</v>
      </c>
      <c r="B40" s="33" t="s">
        <v>510</v>
      </c>
      <c r="E40" s="12">
        <f>'Stmt AD'!I11</f>
        <v>584038.95358923054</v>
      </c>
      <c r="G40" s="4" t="s">
        <v>511</v>
      </c>
      <c r="H40" s="4">
        <f t="shared" si="1"/>
        <v>30</v>
      </c>
      <c r="I40" s="361"/>
    </row>
    <row r="41" spans="1:9" x14ac:dyDescent="0.3">
      <c r="A41" s="4">
        <f t="shared" si="0"/>
        <v>31</v>
      </c>
      <c r="B41" s="33" t="s">
        <v>512</v>
      </c>
      <c r="E41" s="96">
        <v>0</v>
      </c>
      <c r="G41" s="4" t="s">
        <v>46</v>
      </c>
      <c r="H41" s="4">
        <f t="shared" si="1"/>
        <v>31</v>
      </c>
      <c r="I41" s="361"/>
    </row>
    <row r="42" spans="1:9" x14ac:dyDescent="0.3">
      <c r="A42" s="4">
        <f t="shared" si="0"/>
        <v>32</v>
      </c>
      <c r="B42" s="33" t="s">
        <v>513</v>
      </c>
      <c r="E42" s="12">
        <f>'Stmt AD'!I17</f>
        <v>554696.24298076914</v>
      </c>
      <c r="G42" s="4" t="s">
        <v>514</v>
      </c>
      <c r="H42" s="4">
        <f t="shared" si="1"/>
        <v>32</v>
      </c>
      <c r="I42" s="361"/>
    </row>
    <row r="43" spans="1:9" x14ac:dyDescent="0.3">
      <c r="A43" s="4">
        <f t="shared" si="0"/>
        <v>33</v>
      </c>
      <c r="B43" s="33" t="s">
        <v>515</v>
      </c>
      <c r="E43" s="12">
        <f>'Stmt AD'!I19</f>
        <v>10391143.364777103</v>
      </c>
      <c r="G43" s="4" t="s">
        <v>516</v>
      </c>
      <c r="H43" s="4">
        <f t="shared" si="1"/>
        <v>33</v>
      </c>
      <c r="I43" s="361"/>
    </row>
    <row r="44" spans="1:9" x14ac:dyDescent="0.3">
      <c r="A44" s="4">
        <f t="shared" si="0"/>
        <v>34</v>
      </c>
      <c r="B44" s="33" t="s">
        <v>60</v>
      </c>
      <c r="E44" s="96">
        <v>0</v>
      </c>
      <c r="G44" s="4" t="s">
        <v>46</v>
      </c>
      <c r="H44" s="4">
        <f t="shared" si="1"/>
        <v>34</v>
      </c>
      <c r="I44" s="361"/>
    </row>
    <row r="45" spans="1:9" x14ac:dyDescent="0.3">
      <c r="A45" s="4">
        <f t="shared" si="0"/>
        <v>35</v>
      </c>
      <c r="B45" s="33" t="s">
        <v>517</v>
      </c>
      <c r="E45" s="12">
        <f>'Stmt AD'!I27</f>
        <v>593307.66194999916</v>
      </c>
      <c r="G45" s="4" t="s">
        <v>518</v>
      </c>
      <c r="H45" s="4">
        <f t="shared" si="1"/>
        <v>35</v>
      </c>
      <c r="I45" s="361"/>
    </row>
    <row r="46" spans="1:9" x14ac:dyDescent="0.3">
      <c r="A46" s="4">
        <f t="shared" si="0"/>
        <v>36</v>
      </c>
      <c r="B46" s="33" t="s">
        <v>519</v>
      </c>
      <c r="E46" s="988">
        <f>'Stmt AD'!I29</f>
        <v>1683811.9277802501</v>
      </c>
      <c r="G46" s="4" t="s">
        <v>520</v>
      </c>
      <c r="H46" s="4">
        <f t="shared" si="1"/>
        <v>36</v>
      </c>
      <c r="I46" s="361"/>
    </row>
    <row r="47" spans="1:9" ht="16.2" thickBot="1" x14ac:dyDescent="0.35">
      <c r="A47" s="4">
        <f t="shared" si="0"/>
        <v>37</v>
      </c>
      <c r="B47" s="33" t="s">
        <v>521</v>
      </c>
      <c r="E47" s="97">
        <f>SUM(E39:E46)</f>
        <v>21797055.54791294</v>
      </c>
      <c r="G47" s="4" t="s">
        <v>1862</v>
      </c>
      <c r="H47" s="4">
        <f t="shared" si="1"/>
        <v>37</v>
      </c>
      <c r="I47" s="361"/>
    </row>
    <row r="48" spans="1:9" ht="16.2" thickTop="1" x14ac:dyDescent="0.3">
      <c r="A48" s="4">
        <f t="shared" si="0"/>
        <v>38</v>
      </c>
      <c r="E48" s="71"/>
      <c r="G48" s="4"/>
      <c r="H48" s="4">
        <f t="shared" si="1"/>
        <v>38</v>
      </c>
      <c r="I48" s="361"/>
    </row>
    <row r="49" spans="1:9" ht="16.2" thickBot="1" x14ac:dyDescent="0.35">
      <c r="A49" s="4">
        <f t="shared" si="0"/>
        <v>39</v>
      </c>
      <c r="B49" s="33" t="s">
        <v>522</v>
      </c>
      <c r="E49" s="52">
        <f>IFERROR(E37/E47,0)</f>
        <v>0.38746286505185107</v>
      </c>
      <c r="G49" s="4" t="s">
        <v>1863</v>
      </c>
      <c r="H49" s="4">
        <f t="shared" si="1"/>
        <v>39</v>
      </c>
      <c r="I49" s="361"/>
    </row>
    <row r="50" spans="1:9" ht="16.2" thickTop="1" x14ac:dyDescent="0.3">
      <c r="A50" s="4">
        <f t="shared" si="0"/>
        <v>40</v>
      </c>
      <c r="B50" s="33"/>
      <c r="E50" s="27"/>
      <c r="G50" s="4"/>
      <c r="H50" s="4">
        <f t="shared" si="1"/>
        <v>40</v>
      </c>
      <c r="I50" s="361"/>
    </row>
    <row r="51" spans="1:9" ht="16.2" thickBot="1" x14ac:dyDescent="0.35">
      <c r="A51" s="4">
        <f t="shared" si="0"/>
        <v>41</v>
      </c>
      <c r="B51" s="33" t="s">
        <v>1946</v>
      </c>
      <c r="E51" s="52">
        <f>((0.5*E26)+(0.5*'Stmt AD'!I45))</f>
        <v>0.29323742396494301</v>
      </c>
      <c r="G51" s="4" t="s">
        <v>1947</v>
      </c>
      <c r="H51" s="4">
        <f t="shared" si="1"/>
        <v>41</v>
      </c>
      <c r="I51" s="361"/>
    </row>
    <row r="52" spans="1:9" ht="16.2" thickTop="1" x14ac:dyDescent="0.3">
      <c r="B52" s="33" t="s">
        <v>1</v>
      </c>
      <c r="E52" s="76"/>
      <c r="G52" s="4"/>
      <c r="H52" s="4"/>
    </row>
    <row r="53" spans="1:9" x14ac:dyDescent="0.3">
      <c r="B53" s="33"/>
      <c r="E53" s="76"/>
      <c r="F53" s="76"/>
      <c r="G53" s="4"/>
      <c r="H53" s="4"/>
    </row>
    <row r="54" spans="1:9" ht="18" x14ac:dyDescent="0.3">
      <c r="A54" s="269">
        <v>1</v>
      </c>
      <c r="B54" s="33" t="s">
        <v>523</v>
      </c>
      <c r="H54" s="4"/>
    </row>
    <row r="55" spans="1:9" x14ac:dyDescent="0.3">
      <c r="B55" s="33" t="s">
        <v>524</v>
      </c>
      <c r="E55" s="71"/>
      <c r="F55" s="71"/>
      <c r="G55" s="4"/>
      <c r="H55" s="4"/>
    </row>
  </sheetData>
  <mergeCells count="5">
    <mergeCell ref="B2:G2"/>
    <mergeCell ref="B3:G3"/>
    <mergeCell ref="B4:G4"/>
    <mergeCell ref="B5:G5"/>
    <mergeCell ref="B6:G6"/>
  </mergeCells>
  <printOptions horizontalCentered="1"/>
  <pageMargins left="0.5" right="0.5" top="0.5" bottom="0.5" header="0.25" footer="0.25"/>
  <pageSetup scale="54" orientation="portrait" r:id="rId1"/>
  <headerFooter scaleWithDoc="0">
    <oddFooter>&amp;C&amp;"Times New Roman,Regular"&amp;10&amp;A</oddFooter>
  </headerFooter>
  <customProperties>
    <customPr name="_pios_id" r:id="rId2"/>
  </customPropertie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L418"/>
  <sheetViews>
    <sheetView zoomScale="80" zoomScaleNormal="80" workbookViewId="0"/>
  </sheetViews>
  <sheetFormatPr defaultColWidth="13.44140625" defaultRowHeight="15.6" x14ac:dyDescent="0.3"/>
  <cols>
    <col min="1" max="1" width="5.33203125" style="4" customWidth="1"/>
    <col min="2" max="2" width="8.5546875" style="363" customWidth="1"/>
    <col min="3" max="3" width="63.6640625" style="32" customWidth="1"/>
    <col min="4" max="4" width="16.6640625" style="32" customWidth="1"/>
    <col min="5" max="5" width="16.6640625" style="6" customWidth="1"/>
    <col min="6" max="6" width="16.6640625" style="32" customWidth="1"/>
    <col min="7" max="7" width="35.6640625" style="32" customWidth="1"/>
    <col min="8" max="8" width="5.33203125" style="4" customWidth="1"/>
    <col min="9" max="16384" width="13.44140625" style="32"/>
  </cols>
  <sheetData>
    <row r="1" spans="1:11" x14ac:dyDescent="0.3">
      <c r="A1" s="221"/>
    </row>
    <row r="2" spans="1:11" s="1" customFormat="1" x14ac:dyDescent="0.3">
      <c r="A2" s="221"/>
      <c r="B2" s="1222" t="s">
        <v>0</v>
      </c>
      <c r="C2" s="1222"/>
      <c r="D2" s="1222"/>
      <c r="E2" s="1222"/>
      <c r="F2" s="1222"/>
      <c r="G2" s="1222"/>
      <c r="H2" s="221"/>
      <c r="J2"/>
      <c r="K2"/>
    </row>
    <row r="3" spans="1:11" s="1" customFormat="1" x14ac:dyDescent="0.3">
      <c r="A3" s="221"/>
      <c r="B3" s="1222" t="s">
        <v>525</v>
      </c>
      <c r="C3" s="1222"/>
      <c r="D3" s="1222"/>
      <c r="E3" s="1222"/>
      <c r="F3" s="1222"/>
      <c r="G3" s="1222"/>
      <c r="H3" s="221"/>
    </row>
    <row r="4" spans="1:11" s="1" customFormat="1" x14ac:dyDescent="0.3">
      <c r="A4" s="221"/>
      <c r="B4" s="1222" t="s">
        <v>1600</v>
      </c>
      <c r="C4" s="1222"/>
      <c r="D4" s="1222"/>
      <c r="E4" s="1222"/>
      <c r="F4" s="1222"/>
      <c r="G4" s="1222"/>
      <c r="H4" s="221"/>
      <c r="J4"/>
      <c r="K4"/>
    </row>
    <row r="5" spans="1:11" s="1" customFormat="1" x14ac:dyDescent="0.3">
      <c r="A5" s="221"/>
      <c r="B5" s="1226" t="s">
        <v>4</v>
      </c>
      <c r="C5" s="1226"/>
      <c r="D5" s="1226"/>
      <c r="E5" s="1226"/>
      <c r="F5" s="1226"/>
      <c r="G5" s="1226"/>
      <c r="H5" s="221"/>
    </row>
    <row r="6" spans="1:11" ht="16.2" thickBot="1" x14ac:dyDescent="0.35">
      <c r="A6" s="35"/>
      <c r="B6" s="364"/>
      <c r="C6" s="275"/>
      <c r="D6" s="275"/>
      <c r="E6" s="365"/>
      <c r="F6" s="275"/>
      <c r="G6" s="275"/>
    </row>
    <row r="7" spans="1:11" s="1" customFormat="1" x14ac:dyDescent="0.3">
      <c r="A7" s="4"/>
      <c r="B7" s="366"/>
      <c r="C7" s="367"/>
      <c r="D7" s="368" t="s">
        <v>210</v>
      </c>
      <c r="E7" s="369" t="s">
        <v>211</v>
      </c>
      <c r="F7" s="368" t="s">
        <v>526</v>
      </c>
      <c r="G7" s="370"/>
      <c r="H7" s="4"/>
    </row>
    <row r="8" spans="1:11" s="1" customFormat="1" x14ac:dyDescent="0.3">
      <c r="A8" s="4" t="s">
        <v>5</v>
      </c>
      <c r="B8" s="371" t="s">
        <v>482</v>
      </c>
      <c r="D8" s="273" t="s">
        <v>200</v>
      </c>
      <c r="E8" s="273" t="s">
        <v>527</v>
      </c>
      <c r="F8" s="273" t="s">
        <v>200</v>
      </c>
      <c r="G8" s="372"/>
      <c r="H8" s="4" t="s">
        <v>5</v>
      </c>
    </row>
    <row r="9" spans="1:11" s="1" customFormat="1" x14ac:dyDescent="0.3">
      <c r="A9" s="4" t="s">
        <v>6</v>
      </c>
      <c r="B9" s="373" t="s">
        <v>528</v>
      </c>
      <c r="C9" s="935" t="s">
        <v>337</v>
      </c>
      <c r="D9" s="278" t="s">
        <v>529</v>
      </c>
      <c r="E9" s="278" t="s">
        <v>530</v>
      </c>
      <c r="F9" s="278" t="s">
        <v>531</v>
      </c>
      <c r="G9" s="374" t="s">
        <v>8</v>
      </c>
      <c r="H9" s="4" t="s">
        <v>6</v>
      </c>
    </row>
    <row r="10" spans="1:11" s="1" customFormat="1" ht="16.2" x14ac:dyDescent="0.3">
      <c r="A10" s="4"/>
      <c r="B10" s="375"/>
      <c r="C10" s="376" t="s">
        <v>532</v>
      </c>
      <c r="D10" s="989"/>
      <c r="E10" s="989"/>
      <c r="F10" s="989"/>
      <c r="G10" s="377"/>
      <c r="H10" s="4"/>
      <c r="J10" s="32"/>
      <c r="K10" s="32"/>
    </row>
    <row r="11" spans="1:11" s="1" customFormat="1" x14ac:dyDescent="0.3">
      <c r="A11" s="4">
        <v>1</v>
      </c>
      <c r="B11" s="378">
        <v>560</v>
      </c>
      <c r="C11" s="32" t="s">
        <v>533</v>
      </c>
      <c r="D11" s="235">
        <v>10109.646000000001</v>
      </c>
      <c r="E11" s="235">
        <f>E47</f>
        <v>115.52</v>
      </c>
      <c r="F11" s="235">
        <f t="shared" ref="F11:F25" si="0">D11-E11</f>
        <v>9994.1260000000002</v>
      </c>
      <c r="G11" s="379" t="s">
        <v>534</v>
      </c>
      <c r="H11" s="4">
        <f>A11</f>
        <v>1</v>
      </c>
      <c r="J11" s="32"/>
      <c r="K11" s="32"/>
    </row>
    <row r="12" spans="1:11" s="1" customFormat="1" x14ac:dyDescent="0.3">
      <c r="A12" s="4">
        <f>A11+1</f>
        <v>2</v>
      </c>
      <c r="B12" s="378">
        <v>561.1</v>
      </c>
      <c r="C12" s="32" t="s">
        <v>535</v>
      </c>
      <c r="D12" s="236">
        <v>565.95600000000002</v>
      </c>
      <c r="E12" s="236">
        <v>0</v>
      </c>
      <c r="F12" s="236">
        <f t="shared" si="0"/>
        <v>565.95600000000002</v>
      </c>
      <c r="G12" s="379" t="s">
        <v>536</v>
      </c>
      <c r="H12" s="4">
        <f>H11+1</f>
        <v>2</v>
      </c>
      <c r="J12" s="32"/>
      <c r="K12" s="32"/>
    </row>
    <row r="13" spans="1:11" s="1" customFormat="1" x14ac:dyDescent="0.3">
      <c r="A13" s="4">
        <f t="shared" ref="A13:A63" si="1">A12+1</f>
        <v>3</v>
      </c>
      <c r="B13" s="378">
        <v>561.20000000000005</v>
      </c>
      <c r="C13" s="32" t="s">
        <v>537</v>
      </c>
      <c r="D13" s="236">
        <v>1921.825</v>
      </c>
      <c r="E13" s="236">
        <v>0</v>
      </c>
      <c r="F13" s="236">
        <f t="shared" si="0"/>
        <v>1921.825</v>
      </c>
      <c r="G13" s="379" t="s">
        <v>538</v>
      </c>
      <c r="H13" s="4">
        <f t="shared" ref="H13:H63" si="2">H12+1</f>
        <v>3</v>
      </c>
      <c r="J13" s="32"/>
      <c r="K13" s="32"/>
    </row>
    <row r="14" spans="1:11" s="1" customFormat="1" x14ac:dyDescent="0.3">
      <c r="A14" s="4">
        <f t="shared" si="1"/>
        <v>4</v>
      </c>
      <c r="B14" s="378">
        <v>561.29999999999995</v>
      </c>
      <c r="C14" s="32" t="s">
        <v>539</v>
      </c>
      <c r="D14" s="236">
        <v>274.32499999999999</v>
      </c>
      <c r="E14" s="236">
        <v>0</v>
      </c>
      <c r="F14" s="236">
        <f t="shared" si="0"/>
        <v>274.32499999999999</v>
      </c>
      <c r="G14" s="379" t="s">
        <v>540</v>
      </c>
      <c r="H14" s="4">
        <f t="shared" si="2"/>
        <v>4</v>
      </c>
      <c r="J14" s="32"/>
      <c r="K14" s="32"/>
    </row>
    <row r="15" spans="1:11" s="1" customFormat="1" ht="17.25" customHeight="1" x14ac:dyDescent="0.3">
      <c r="A15" s="4">
        <f t="shared" si="1"/>
        <v>5</v>
      </c>
      <c r="B15" s="378">
        <v>561.4</v>
      </c>
      <c r="C15" s="32" t="s">
        <v>541</v>
      </c>
      <c r="D15" s="236">
        <v>2767.4720000000002</v>
      </c>
      <c r="E15" s="6">
        <f>E48</f>
        <v>2767.4720000000002</v>
      </c>
      <c r="F15" s="236">
        <f t="shared" si="0"/>
        <v>0</v>
      </c>
      <c r="G15" s="379" t="s">
        <v>542</v>
      </c>
      <c r="H15" s="4">
        <f t="shared" si="2"/>
        <v>5</v>
      </c>
      <c r="J15" s="32"/>
      <c r="K15" s="32"/>
    </row>
    <row r="16" spans="1:11" s="1" customFormat="1" x14ac:dyDescent="0.3">
      <c r="A16" s="4">
        <f t="shared" si="1"/>
        <v>6</v>
      </c>
      <c r="B16" s="378">
        <v>561.5</v>
      </c>
      <c r="C16" s="32" t="s">
        <v>543</v>
      </c>
      <c r="D16" s="236">
        <v>141.84</v>
      </c>
      <c r="E16" s="236">
        <v>0</v>
      </c>
      <c r="F16" s="236">
        <f t="shared" si="0"/>
        <v>141.84</v>
      </c>
      <c r="G16" s="379" t="s">
        <v>544</v>
      </c>
      <c r="H16" s="4">
        <f t="shared" si="2"/>
        <v>6</v>
      </c>
      <c r="J16" s="32"/>
      <c r="K16" s="32"/>
    </row>
    <row r="17" spans="1:11" s="1" customFormat="1" x14ac:dyDescent="0.3">
      <c r="A17" s="4">
        <f t="shared" si="1"/>
        <v>7</v>
      </c>
      <c r="B17" s="378">
        <v>561.6</v>
      </c>
      <c r="C17" s="32" t="s">
        <v>545</v>
      </c>
      <c r="D17" s="236">
        <v>0</v>
      </c>
      <c r="E17" s="236">
        <v>0</v>
      </c>
      <c r="F17" s="236">
        <f t="shared" si="0"/>
        <v>0</v>
      </c>
      <c r="G17" s="379" t="s">
        <v>546</v>
      </c>
      <c r="H17" s="4">
        <f t="shared" si="2"/>
        <v>7</v>
      </c>
      <c r="J17" s="32"/>
      <c r="K17" s="32"/>
    </row>
    <row r="18" spans="1:11" s="1" customFormat="1" x14ac:dyDescent="0.3">
      <c r="A18" s="4">
        <f t="shared" si="1"/>
        <v>8</v>
      </c>
      <c r="B18" s="378">
        <v>561.70000000000005</v>
      </c>
      <c r="C18" s="32" t="s">
        <v>547</v>
      </c>
      <c r="D18" s="236">
        <v>0</v>
      </c>
      <c r="E18" s="236">
        <v>0</v>
      </c>
      <c r="F18" s="236">
        <f t="shared" si="0"/>
        <v>0</v>
      </c>
      <c r="G18" s="990" t="s">
        <v>548</v>
      </c>
      <c r="H18" s="4">
        <f t="shared" si="2"/>
        <v>8</v>
      </c>
      <c r="J18" s="32"/>
      <c r="K18" s="32"/>
    </row>
    <row r="19" spans="1:11" s="1" customFormat="1" x14ac:dyDescent="0.3">
      <c r="A19" s="4">
        <f t="shared" si="1"/>
        <v>9</v>
      </c>
      <c r="B19" s="378">
        <v>561.79999999999995</v>
      </c>
      <c r="C19" s="32" t="s">
        <v>549</v>
      </c>
      <c r="D19" s="236">
        <v>2508.1060000000002</v>
      </c>
      <c r="E19" s="6">
        <f>E49</f>
        <v>1440.5550000000001</v>
      </c>
      <c r="F19" s="236">
        <f t="shared" si="0"/>
        <v>1067.5510000000002</v>
      </c>
      <c r="G19" s="990" t="s">
        <v>550</v>
      </c>
      <c r="H19" s="4">
        <f t="shared" si="2"/>
        <v>9</v>
      </c>
      <c r="J19" s="32"/>
      <c r="K19" s="32"/>
    </row>
    <row r="20" spans="1:11" s="1" customFormat="1" ht="15" customHeight="1" x14ac:dyDescent="0.3">
      <c r="A20" s="4">
        <f t="shared" si="1"/>
        <v>10</v>
      </c>
      <c r="B20" s="378">
        <v>562</v>
      </c>
      <c r="C20" s="32" t="s">
        <v>551</v>
      </c>
      <c r="D20" s="236">
        <v>12718.573</v>
      </c>
      <c r="E20" s="236">
        <v>0</v>
      </c>
      <c r="F20" s="236">
        <f t="shared" si="0"/>
        <v>12718.573</v>
      </c>
      <c r="G20" s="990" t="s">
        <v>552</v>
      </c>
      <c r="H20" s="4">
        <f t="shared" si="2"/>
        <v>10</v>
      </c>
      <c r="J20" s="32"/>
      <c r="K20" s="32"/>
    </row>
    <row r="21" spans="1:11" s="1" customFormat="1" x14ac:dyDescent="0.3">
      <c r="A21" s="4">
        <f t="shared" si="1"/>
        <v>11</v>
      </c>
      <c r="B21" s="378">
        <v>563</v>
      </c>
      <c r="C21" s="32" t="s">
        <v>553</v>
      </c>
      <c r="D21" s="236">
        <v>10371.396000000001</v>
      </c>
      <c r="E21" s="236">
        <v>0</v>
      </c>
      <c r="F21" s="236">
        <f t="shared" si="0"/>
        <v>10371.396000000001</v>
      </c>
      <c r="G21" s="990" t="s">
        <v>554</v>
      </c>
      <c r="H21" s="4">
        <f t="shared" si="2"/>
        <v>11</v>
      </c>
      <c r="J21" s="32"/>
      <c r="K21" s="32"/>
    </row>
    <row r="22" spans="1:11" s="1" customFormat="1" x14ac:dyDescent="0.3">
      <c r="A22" s="4">
        <f>A21+1</f>
        <v>12</v>
      </c>
      <c r="B22" s="378">
        <v>564</v>
      </c>
      <c r="C22" s="32" t="s">
        <v>555</v>
      </c>
      <c r="D22" s="236">
        <v>11.574</v>
      </c>
      <c r="E22" s="236">
        <v>0</v>
      </c>
      <c r="F22" s="236">
        <f t="shared" si="0"/>
        <v>11.574</v>
      </c>
      <c r="G22" s="990" t="s">
        <v>556</v>
      </c>
      <c r="H22" s="4">
        <f>H21+1</f>
        <v>12</v>
      </c>
      <c r="J22" s="32"/>
      <c r="K22" s="32"/>
    </row>
    <row r="23" spans="1:11" s="1" customFormat="1" x14ac:dyDescent="0.3">
      <c r="A23" s="4">
        <f t="shared" si="1"/>
        <v>13</v>
      </c>
      <c r="B23" s="378">
        <v>565</v>
      </c>
      <c r="C23" s="32" t="s">
        <v>557</v>
      </c>
      <c r="D23" s="236">
        <v>0</v>
      </c>
      <c r="E23" s="236">
        <v>0</v>
      </c>
      <c r="F23" s="236">
        <f t="shared" si="0"/>
        <v>0</v>
      </c>
      <c r="G23" s="990" t="s">
        <v>558</v>
      </c>
      <c r="H23" s="4">
        <f t="shared" si="2"/>
        <v>13</v>
      </c>
      <c r="J23" s="32"/>
      <c r="K23" s="32"/>
    </row>
    <row r="24" spans="1:11" s="1" customFormat="1" x14ac:dyDescent="0.3">
      <c r="A24" s="4">
        <f t="shared" si="1"/>
        <v>14</v>
      </c>
      <c r="B24" s="378">
        <v>566</v>
      </c>
      <c r="C24" s="32" t="s">
        <v>559</v>
      </c>
      <c r="D24" s="236">
        <v>17850.218000000001</v>
      </c>
      <c r="E24" s="6">
        <f>E56</f>
        <v>2881.4657500000003</v>
      </c>
      <c r="F24" s="236">
        <f t="shared" si="0"/>
        <v>14968.752250000001</v>
      </c>
      <c r="G24" s="990" t="s">
        <v>560</v>
      </c>
      <c r="H24" s="4">
        <f t="shared" si="2"/>
        <v>14</v>
      </c>
      <c r="J24" s="32"/>
      <c r="K24" s="32"/>
    </row>
    <row r="25" spans="1:11" s="1" customFormat="1" x14ac:dyDescent="0.3">
      <c r="A25" s="4">
        <f>A24+1</f>
        <v>15</v>
      </c>
      <c r="B25" s="378">
        <v>567</v>
      </c>
      <c r="C25" s="32" t="s">
        <v>561</v>
      </c>
      <c r="D25" s="95">
        <v>3938.6669999999999</v>
      </c>
      <c r="E25" s="95">
        <v>0</v>
      </c>
      <c r="F25" s="95">
        <f t="shared" si="0"/>
        <v>3938.6669999999999</v>
      </c>
      <c r="G25" s="990" t="s">
        <v>562</v>
      </c>
      <c r="H25" s="4">
        <f t="shared" si="2"/>
        <v>15</v>
      </c>
      <c r="J25" s="32"/>
      <c r="K25" s="32"/>
    </row>
    <row r="26" spans="1:11" s="1" customFormat="1" x14ac:dyDescent="0.3">
      <c r="A26" s="4">
        <f>A25+1</f>
        <v>16</v>
      </c>
      <c r="B26" s="378"/>
      <c r="C26" s="32"/>
      <c r="D26" s="236"/>
      <c r="E26" s="6"/>
      <c r="F26" s="236"/>
      <c r="G26" s="379"/>
      <c r="H26" s="4">
        <f>H25+1</f>
        <v>16</v>
      </c>
      <c r="J26" s="32"/>
      <c r="K26" s="32"/>
    </row>
    <row r="27" spans="1:11" s="1" customFormat="1" ht="16.2" thickBot="1" x14ac:dyDescent="0.35">
      <c r="A27" s="4">
        <f>A26+1</f>
        <v>17</v>
      </c>
      <c r="B27" s="380"/>
      <c r="C27" s="991" t="s">
        <v>563</v>
      </c>
      <c r="D27" s="98">
        <f>SUM(D11:D25)</f>
        <v>63179.598000000005</v>
      </c>
      <c r="E27" s="992">
        <f>SUM(E11:E25)</f>
        <v>7205.0127500000008</v>
      </c>
      <c r="F27" s="98">
        <f>SUM(F11:F25)</f>
        <v>55974.585250000004</v>
      </c>
      <c r="G27" s="993" t="str">
        <f>"Sum Lines "&amp;A11&amp;" thru "&amp;A25</f>
        <v>Sum Lines 1 thru 15</v>
      </c>
      <c r="H27" s="4">
        <f>H26+1</f>
        <v>17</v>
      </c>
      <c r="J27" s="32"/>
      <c r="K27" s="32"/>
    </row>
    <row r="28" spans="1:11" s="1" customFormat="1" x14ac:dyDescent="0.3">
      <c r="A28" s="4">
        <f t="shared" si="1"/>
        <v>18</v>
      </c>
      <c r="B28" s="381"/>
      <c r="C28" s="32"/>
      <c r="D28" s="994"/>
      <c r="E28" s="99"/>
      <c r="F28" s="994"/>
      <c r="G28" s="990"/>
      <c r="H28" s="4">
        <f t="shared" si="2"/>
        <v>18</v>
      </c>
      <c r="J28" s="32"/>
      <c r="K28" s="32"/>
    </row>
    <row r="29" spans="1:11" s="1" customFormat="1" ht="16.2" x14ac:dyDescent="0.3">
      <c r="A29" s="4">
        <f t="shared" si="1"/>
        <v>19</v>
      </c>
      <c r="B29" s="375"/>
      <c r="C29" s="376" t="s">
        <v>564</v>
      </c>
      <c r="D29" s="994"/>
      <c r="E29" s="99"/>
      <c r="F29" s="994"/>
      <c r="G29" s="990"/>
      <c r="H29" s="4">
        <f t="shared" si="2"/>
        <v>19</v>
      </c>
      <c r="J29" s="32"/>
      <c r="K29" s="32"/>
    </row>
    <row r="30" spans="1:11" s="1" customFormat="1" x14ac:dyDescent="0.3">
      <c r="A30" s="4">
        <f t="shared" si="1"/>
        <v>20</v>
      </c>
      <c r="B30" s="378">
        <v>568</v>
      </c>
      <c r="C30" s="32" t="s">
        <v>565</v>
      </c>
      <c r="D30" s="235">
        <v>2904.3609999999999</v>
      </c>
      <c r="E30" s="235">
        <v>0</v>
      </c>
      <c r="F30" s="235">
        <f t="shared" ref="F30:F39" si="3">D30-E30</f>
        <v>2904.3609999999999</v>
      </c>
      <c r="G30" s="990" t="s">
        <v>566</v>
      </c>
      <c r="H30" s="4">
        <f t="shared" si="2"/>
        <v>20</v>
      </c>
      <c r="J30" s="32"/>
      <c r="K30" s="32"/>
    </row>
    <row r="31" spans="1:11" s="1" customFormat="1" x14ac:dyDescent="0.3">
      <c r="A31" s="4">
        <f t="shared" si="1"/>
        <v>21</v>
      </c>
      <c r="B31" s="378">
        <v>569</v>
      </c>
      <c r="C31" s="32" t="s">
        <v>567</v>
      </c>
      <c r="D31" s="236">
        <v>547.48299999999995</v>
      </c>
      <c r="E31" s="6">
        <v>0</v>
      </c>
      <c r="F31" s="236">
        <f t="shared" si="3"/>
        <v>547.48299999999995</v>
      </c>
      <c r="G31" s="990" t="s">
        <v>568</v>
      </c>
      <c r="H31" s="4">
        <f t="shared" si="2"/>
        <v>21</v>
      </c>
      <c r="J31" s="32"/>
      <c r="K31" s="32"/>
    </row>
    <row r="32" spans="1:11" s="1" customFormat="1" x14ac:dyDescent="0.3">
      <c r="A32" s="4">
        <f t="shared" si="1"/>
        <v>22</v>
      </c>
      <c r="B32" s="378">
        <v>569.1</v>
      </c>
      <c r="C32" s="32" t="s">
        <v>569</v>
      </c>
      <c r="D32" s="236">
        <v>1336.528</v>
      </c>
      <c r="E32" s="6">
        <v>0</v>
      </c>
      <c r="F32" s="236">
        <f t="shared" si="3"/>
        <v>1336.528</v>
      </c>
      <c r="G32" s="990" t="s">
        <v>570</v>
      </c>
      <c r="H32" s="4">
        <f t="shared" si="2"/>
        <v>22</v>
      </c>
      <c r="J32" s="32"/>
      <c r="K32" s="32"/>
    </row>
    <row r="33" spans="1:11" s="1" customFormat="1" x14ac:dyDescent="0.3">
      <c r="A33" s="4">
        <f t="shared" si="1"/>
        <v>23</v>
      </c>
      <c r="B33" s="378">
        <v>569.20000000000005</v>
      </c>
      <c r="C33" s="32" t="s">
        <v>571</v>
      </c>
      <c r="D33" s="236">
        <v>1948.4169999999999</v>
      </c>
      <c r="E33" s="6">
        <v>0</v>
      </c>
      <c r="F33" s="236">
        <f t="shared" si="3"/>
        <v>1948.4169999999999</v>
      </c>
      <c r="G33" s="990" t="s">
        <v>572</v>
      </c>
      <c r="H33" s="4">
        <f t="shared" si="2"/>
        <v>23</v>
      </c>
      <c r="J33" s="32"/>
      <c r="K33" s="32"/>
    </row>
    <row r="34" spans="1:11" s="1" customFormat="1" x14ac:dyDescent="0.3">
      <c r="A34" s="4">
        <f t="shared" si="1"/>
        <v>24</v>
      </c>
      <c r="B34" s="378">
        <v>569.29999999999995</v>
      </c>
      <c r="C34" s="32" t="s">
        <v>573</v>
      </c>
      <c r="D34" s="236">
        <v>0</v>
      </c>
      <c r="E34" s="6">
        <v>0</v>
      </c>
      <c r="F34" s="236">
        <f t="shared" si="3"/>
        <v>0</v>
      </c>
      <c r="G34" s="990" t="s">
        <v>574</v>
      </c>
      <c r="H34" s="4">
        <f t="shared" si="2"/>
        <v>24</v>
      </c>
      <c r="J34" s="32"/>
      <c r="K34" s="32"/>
    </row>
    <row r="35" spans="1:11" s="1" customFormat="1" x14ac:dyDescent="0.3">
      <c r="A35" s="4">
        <f t="shared" si="1"/>
        <v>25</v>
      </c>
      <c r="B35" s="378">
        <v>569.4</v>
      </c>
      <c r="C35" s="32" t="s">
        <v>575</v>
      </c>
      <c r="D35" s="236">
        <v>131.28399999999999</v>
      </c>
      <c r="E35" s="6">
        <v>0</v>
      </c>
      <c r="F35" s="236">
        <f t="shared" si="3"/>
        <v>131.28399999999999</v>
      </c>
      <c r="G35" s="990" t="s">
        <v>576</v>
      </c>
      <c r="H35" s="4">
        <f t="shared" si="2"/>
        <v>25</v>
      </c>
      <c r="J35" s="32"/>
      <c r="K35" s="32"/>
    </row>
    <row r="36" spans="1:11" s="1" customFormat="1" x14ac:dyDescent="0.3">
      <c r="A36" s="4">
        <f t="shared" si="1"/>
        <v>26</v>
      </c>
      <c r="B36" s="378">
        <v>570</v>
      </c>
      <c r="C36" s="32" t="s">
        <v>577</v>
      </c>
      <c r="D36" s="236">
        <v>18953.580999999998</v>
      </c>
      <c r="E36" s="6">
        <v>0</v>
      </c>
      <c r="F36" s="236">
        <f t="shared" si="3"/>
        <v>18953.580999999998</v>
      </c>
      <c r="G36" s="990" t="s">
        <v>578</v>
      </c>
      <c r="H36" s="4">
        <f t="shared" si="2"/>
        <v>26</v>
      </c>
      <c r="J36" s="32"/>
      <c r="K36" s="32"/>
    </row>
    <row r="37" spans="1:11" s="1" customFormat="1" x14ac:dyDescent="0.3">
      <c r="A37" s="4">
        <f t="shared" si="1"/>
        <v>27</v>
      </c>
      <c r="B37" s="378">
        <v>571</v>
      </c>
      <c r="C37" s="32" t="s">
        <v>579</v>
      </c>
      <c r="D37" s="236">
        <v>33837.959000000003</v>
      </c>
      <c r="E37" s="6">
        <v>0</v>
      </c>
      <c r="F37" s="236">
        <f t="shared" si="3"/>
        <v>33837.959000000003</v>
      </c>
      <c r="G37" s="990" t="s">
        <v>580</v>
      </c>
      <c r="H37" s="4">
        <f t="shared" si="2"/>
        <v>27</v>
      </c>
      <c r="I37" s="2"/>
      <c r="J37" s="32"/>
      <c r="K37" s="32"/>
    </row>
    <row r="38" spans="1:11" s="1" customFormat="1" x14ac:dyDescent="0.3">
      <c r="A38" s="4">
        <f t="shared" si="1"/>
        <v>28</v>
      </c>
      <c r="B38" s="378">
        <v>572</v>
      </c>
      <c r="C38" s="32" t="s">
        <v>581</v>
      </c>
      <c r="D38" s="236">
        <v>1591.7819999999999</v>
      </c>
      <c r="E38" s="6">
        <v>0</v>
      </c>
      <c r="F38" s="236">
        <f t="shared" si="3"/>
        <v>1591.7819999999999</v>
      </c>
      <c r="G38" s="379" t="s">
        <v>582</v>
      </c>
      <c r="H38" s="4">
        <f t="shared" si="2"/>
        <v>28</v>
      </c>
      <c r="I38" s="2"/>
      <c r="J38" s="32"/>
      <c r="K38" s="32"/>
    </row>
    <row r="39" spans="1:11" s="1" customFormat="1" x14ac:dyDescent="0.3">
      <c r="A39" s="4">
        <f t="shared" si="1"/>
        <v>29</v>
      </c>
      <c r="B39" s="378">
        <v>573</v>
      </c>
      <c r="C39" s="32" t="s">
        <v>583</v>
      </c>
      <c r="D39" s="236">
        <v>36.234999999999999</v>
      </c>
      <c r="E39" s="95">
        <v>0</v>
      </c>
      <c r="F39" s="95">
        <f t="shared" si="3"/>
        <v>36.234999999999999</v>
      </c>
      <c r="G39" s="379" t="s">
        <v>584</v>
      </c>
      <c r="H39" s="4">
        <f t="shared" si="2"/>
        <v>29</v>
      </c>
      <c r="I39" s="3"/>
      <c r="J39" s="32"/>
      <c r="K39" s="32"/>
    </row>
    <row r="40" spans="1:11" s="1" customFormat="1" x14ac:dyDescent="0.3">
      <c r="A40" s="4">
        <f t="shared" si="1"/>
        <v>30</v>
      </c>
      <c r="B40" s="378"/>
      <c r="C40" s="32"/>
      <c r="D40" s="995"/>
      <c r="E40" s="6"/>
      <c r="F40" s="995"/>
      <c r="G40" s="379"/>
      <c r="H40" s="4">
        <f t="shared" si="2"/>
        <v>30</v>
      </c>
      <c r="J40" s="32"/>
      <c r="K40" s="32"/>
    </row>
    <row r="41" spans="1:11" s="1" customFormat="1" x14ac:dyDescent="0.3">
      <c r="A41" s="4">
        <f t="shared" si="1"/>
        <v>31</v>
      </c>
      <c r="B41" s="381"/>
      <c r="C41" s="262" t="s">
        <v>585</v>
      </c>
      <c r="D41" s="235">
        <f>SUM(D30:D39)</f>
        <v>61287.63</v>
      </c>
      <c r="E41" s="235">
        <f>SUM(E30:E39)</f>
        <v>0</v>
      </c>
      <c r="F41" s="235">
        <f>SUM(F30:F39)</f>
        <v>61287.63</v>
      </c>
      <c r="G41" s="379" t="str">
        <f>"Sum Lines "&amp;A30&amp;" thru "&amp;A39</f>
        <v>Sum Lines 20 thru 29</v>
      </c>
      <c r="H41" s="4">
        <f t="shared" si="2"/>
        <v>31</v>
      </c>
      <c r="J41" s="32"/>
      <c r="K41" s="32"/>
    </row>
    <row r="42" spans="1:11" s="1" customFormat="1" x14ac:dyDescent="0.3">
      <c r="A42" s="4">
        <f t="shared" si="1"/>
        <v>32</v>
      </c>
      <c r="B42" s="381"/>
      <c r="C42" s="32"/>
      <c r="D42" s="985"/>
      <c r="E42" s="985"/>
      <c r="F42" s="985"/>
      <c r="G42" s="379"/>
      <c r="H42" s="4">
        <f t="shared" si="2"/>
        <v>32</v>
      </c>
      <c r="J42" s="32"/>
      <c r="K42" s="32"/>
    </row>
    <row r="43" spans="1:11" s="1" customFormat="1" ht="16.2" thickBot="1" x14ac:dyDescent="0.35">
      <c r="A43" s="4">
        <f t="shared" si="1"/>
        <v>33</v>
      </c>
      <c r="B43" s="371"/>
      <c r="C43" s="1" t="s">
        <v>586</v>
      </c>
      <c r="D43" s="100">
        <f>D27+D41</f>
        <v>124467.228</v>
      </c>
      <c r="E43" s="100">
        <f>+E27+E41</f>
        <v>7205.0127500000008</v>
      </c>
      <c r="F43" s="100">
        <f>+F27+F41</f>
        <v>117262.21525000001</v>
      </c>
      <c r="G43" s="379" t="str">
        <f>"Line "&amp;A27&amp;" + Line "&amp;A41</f>
        <v>Line 17 + Line 31</v>
      </c>
      <c r="H43" s="4">
        <f t="shared" si="2"/>
        <v>33</v>
      </c>
      <c r="J43" s="32"/>
      <c r="K43" s="32"/>
    </row>
    <row r="44" spans="1:11" ht="16.8" thickTop="1" thickBot="1" x14ac:dyDescent="0.35">
      <c r="A44" s="4">
        <f t="shared" si="1"/>
        <v>34</v>
      </c>
      <c r="B44" s="382"/>
      <c r="C44" s="866"/>
      <c r="D44" s="101"/>
      <c r="E44" s="101"/>
      <c r="F44" s="101"/>
      <c r="G44" s="199"/>
      <c r="H44" s="4">
        <f t="shared" si="2"/>
        <v>34</v>
      </c>
    </row>
    <row r="45" spans="1:11" x14ac:dyDescent="0.3">
      <c r="A45" s="4">
        <f t="shared" si="1"/>
        <v>35</v>
      </c>
      <c r="B45" s="383"/>
      <c r="D45" s="99"/>
      <c r="E45" s="99"/>
      <c r="F45" s="99"/>
      <c r="G45" s="384"/>
      <c r="H45" s="4">
        <f>H44+1</f>
        <v>35</v>
      </c>
    </row>
    <row r="46" spans="1:11" x14ac:dyDescent="0.3">
      <c r="A46" s="4">
        <f t="shared" si="1"/>
        <v>36</v>
      </c>
      <c r="B46" s="385" t="s">
        <v>587</v>
      </c>
      <c r="D46" s="99"/>
      <c r="E46" s="99"/>
      <c r="F46" s="99"/>
      <c r="G46" s="384"/>
      <c r="H46" s="4">
        <f t="shared" si="2"/>
        <v>36</v>
      </c>
    </row>
    <row r="47" spans="1:11" x14ac:dyDescent="0.3">
      <c r="A47" s="4">
        <f t="shared" si="1"/>
        <v>37</v>
      </c>
      <c r="B47" s="383" t="s">
        <v>588</v>
      </c>
      <c r="C47" s="32" t="s">
        <v>589</v>
      </c>
      <c r="D47" s="99"/>
      <c r="E47" s="36">
        <v>115.52</v>
      </c>
      <c r="F47" s="99"/>
      <c r="G47" s="384"/>
      <c r="H47" s="4">
        <f t="shared" si="2"/>
        <v>37</v>
      </c>
      <c r="I47"/>
      <c r="J47"/>
      <c r="K47"/>
    </row>
    <row r="48" spans="1:11" x14ac:dyDescent="0.3">
      <c r="A48" s="4">
        <f t="shared" si="1"/>
        <v>38</v>
      </c>
      <c r="B48" s="383" t="s">
        <v>590</v>
      </c>
      <c r="C48" s="32" t="s">
        <v>591</v>
      </c>
      <c r="D48" s="99"/>
      <c r="E48" s="6">
        <v>2767.4720000000002</v>
      </c>
      <c r="G48" s="384"/>
      <c r="H48" s="4">
        <f t="shared" si="2"/>
        <v>38</v>
      </c>
    </row>
    <row r="49" spans="1:12" x14ac:dyDescent="0.3">
      <c r="A49" s="4">
        <f t="shared" si="1"/>
        <v>39</v>
      </c>
      <c r="B49" s="383">
        <v>561.79999999999995</v>
      </c>
      <c r="C49" s="32" t="s">
        <v>592</v>
      </c>
      <c r="D49" s="99"/>
      <c r="E49" s="6">
        <v>1440.5550000000001</v>
      </c>
      <c r="G49" s="384"/>
      <c r="H49" s="4">
        <f t="shared" si="2"/>
        <v>39</v>
      </c>
    </row>
    <row r="50" spans="1:12" x14ac:dyDescent="0.3">
      <c r="A50" s="4">
        <f t="shared" si="1"/>
        <v>40</v>
      </c>
      <c r="B50" s="383">
        <v>565</v>
      </c>
      <c r="C50" s="32" t="s">
        <v>593</v>
      </c>
      <c r="D50" s="99"/>
      <c r="E50" s="6">
        <v>0</v>
      </c>
      <c r="F50" s="102"/>
      <c r="G50" s="384"/>
      <c r="H50" s="4">
        <f t="shared" si="2"/>
        <v>40</v>
      </c>
    </row>
    <row r="51" spans="1:12" x14ac:dyDescent="0.3">
      <c r="A51" s="4">
        <f t="shared" si="1"/>
        <v>41</v>
      </c>
      <c r="B51" s="383" t="s">
        <v>594</v>
      </c>
      <c r="C51" s="32" t="s">
        <v>595</v>
      </c>
      <c r="D51" s="36">
        <v>0</v>
      </c>
      <c r="F51" s="99"/>
      <c r="G51" s="384"/>
      <c r="H51" s="4">
        <f t="shared" si="2"/>
        <v>41</v>
      </c>
    </row>
    <row r="52" spans="1:12" x14ac:dyDescent="0.3">
      <c r="A52" s="4">
        <f t="shared" si="1"/>
        <v>42</v>
      </c>
      <c r="B52" s="383"/>
      <c r="C52" s="32" t="s">
        <v>596</v>
      </c>
      <c r="D52" s="6">
        <v>5.7439999999999998</v>
      </c>
      <c r="F52" s="99"/>
      <c r="G52" s="384"/>
      <c r="H52" s="4">
        <f t="shared" si="2"/>
        <v>42</v>
      </c>
    </row>
    <row r="53" spans="1:12" x14ac:dyDescent="0.3">
      <c r="A53" s="4">
        <f t="shared" si="1"/>
        <v>43</v>
      </c>
      <c r="B53" s="383"/>
      <c r="C53" s="32" t="s">
        <v>597</v>
      </c>
      <c r="D53" s="6">
        <v>850.52300000000002</v>
      </c>
      <c r="F53" s="99"/>
      <c r="G53" s="384"/>
      <c r="H53" s="4">
        <f t="shared" si="2"/>
        <v>43</v>
      </c>
      <c r="K53" s="1185"/>
      <c r="L53"/>
    </row>
    <row r="54" spans="1:12" x14ac:dyDescent="0.3">
      <c r="A54" s="4">
        <f t="shared" si="1"/>
        <v>44</v>
      </c>
      <c r="B54" s="383"/>
      <c r="C54" s="32" t="s">
        <v>598</v>
      </c>
      <c r="D54" s="6">
        <v>249.04400000000001</v>
      </c>
      <c r="F54" s="99"/>
      <c r="G54" s="384"/>
      <c r="H54" s="4">
        <f t="shared" si="2"/>
        <v>44</v>
      </c>
      <c r="K54" s="442"/>
      <c r="L54"/>
    </row>
    <row r="55" spans="1:12" x14ac:dyDescent="0.3">
      <c r="A55" s="4">
        <f t="shared" si="1"/>
        <v>45</v>
      </c>
      <c r="B55" s="383"/>
      <c r="C55" s="32" t="s">
        <v>599</v>
      </c>
      <c r="D55" s="6">
        <v>609.37900000000002</v>
      </c>
      <c r="E55" s="32"/>
      <c r="F55" s="102"/>
      <c r="G55" s="384"/>
      <c r="H55" s="4">
        <f t="shared" si="2"/>
        <v>45</v>
      </c>
      <c r="J55" s="684"/>
      <c r="K55"/>
      <c r="L55" s="5"/>
    </row>
    <row r="56" spans="1:12" ht="18" x14ac:dyDescent="0.3">
      <c r="A56" s="4">
        <f t="shared" si="1"/>
        <v>46</v>
      </c>
      <c r="B56" s="383"/>
      <c r="C56" s="32" t="s">
        <v>1773</v>
      </c>
      <c r="D56" s="881">
        <v>1166.77575</v>
      </c>
      <c r="E56" s="927">
        <f>SUM(D51:D56)</f>
        <v>2881.4657500000003</v>
      </c>
      <c r="F56" s="102"/>
      <c r="G56" s="384"/>
      <c r="H56" s="4">
        <f t="shared" si="2"/>
        <v>46</v>
      </c>
      <c r="J56" s="684"/>
      <c r="K56" s="1186"/>
      <c r="L56"/>
    </row>
    <row r="57" spans="1:12" x14ac:dyDescent="0.3">
      <c r="A57" s="4">
        <f t="shared" si="1"/>
        <v>47</v>
      </c>
      <c r="B57" s="383"/>
      <c r="D57" s="6"/>
      <c r="F57" s="99"/>
      <c r="G57" s="384"/>
      <c r="H57" s="4">
        <f t="shared" si="2"/>
        <v>47</v>
      </c>
    </row>
    <row r="58" spans="1:12" ht="16.2" thickBot="1" x14ac:dyDescent="0.35">
      <c r="A58" s="4">
        <f t="shared" si="1"/>
        <v>48</v>
      </c>
      <c r="B58" s="386"/>
      <c r="C58" s="1" t="s">
        <v>600</v>
      </c>
      <c r="D58" s="99"/>
      <c r="E58" s="103">
        <f>SUM(E47:E57)</f>
        <v>7205.0127500000008</v>
      </c>
      <c r="F58" s="99"/>
      <c r="G58" s="384"/>
      <c r="H58" s="4">
        <f t="shared" si="2"/>
        <v>48</v>
      </c>
    </row>
    <row r="59" spans="1:12" ht="16.2" thickTop="1" x14ac:dyDescent="0.3">
      <c r="A59" s="4">
        <f t="shared" si="1"/>
        <v>49</v>
      </c>
      <c r="B59" s="386"/>
      <c r="C59" s="1"/>
      <c r="D59" s="99"/>
      <c r="E59" s="44"/>
      <c r="F59" s="99"/>
      <c r="G59" s="384"/>
      <c r="H59" s="4">
        <f t="shared" si="2"/>
        <v>49</v>
      </c>
    </row>
    <row r="60" spans="1:12" x14ac:dyDescent="0.3">
      <c r="A60" s="4">
        <f t="shared" si="1"/>
        <v>50</v>
      </c>
      <c r="B60" s="386"/>
      <c r="C60" s="1"/>
      <c r="D60" s="99"/>
      <c r="E60" s="44"/>
      <c r="F60" s="99"/>
      <c r="G60" s="384"/>
      <c r="H60" s="4">
        <f t="shared" si="2"/>
        <v>50</v>
      </c>
    </row>
    <row r="61" spans="1:12" ht="18" x14ac:dyDescent="0.3">
      <c r="A61" s="4">
        <f t="shared" si="1"/>
        <v>51</v>
      </c>
      <c r="B61" s="409">
        <v>1</v>
      </c>
      <c r="C61" s="1108" t="s">
        <v>1564</v>
      </c>
      <c r="D61" s="99"/>
      <c r="E61" s="44"/>
      <c r="F61" s="99"/>
      <c r="G61" s="384"/>
      <c r="H61" s="4">
        <f t="shared" si="2"/>
        <v>51</v>
      </c>
    </row>
    <row r="62" spans="1:12" x14ac:dyDescent="0.3">
      <c r="A62" s="4">
        <f t="shared" si="1"/>
        <v>52</v>
      </c>
      <c r="B62" s="386"/>
      <c r="C62" s="1108" t="s">
        <v>1563</v>
      </c>
      <c r="D62" s="99"/>
      <c r="E62" s="44"/>
      <c r="F62" s="99"/>
      <c r="G62" s="384"/>
      <c r="H62" s="4">
        <f t="shared" si="2"/>
        <v>52</v>
      </c>
    </row>
    <row r="63" spans="1:12" ht="16.2" thickBot="1" x14ac:dyDescent="0.35">
      <c r="A63" s="4">
        <f t="shared" si="1"/>
        <v>53</v>
      </c>
      <c r="B63" s="387"/>
      <c r="C63" s="866"/>
      <c r="D63" s="866"/>
      <c r="E63" s="898"/>
      <c r="F63" s="866"/>
      <c r="G63" s="199"/>
      <c r="H63" s="4">
        <f t="shared" si="2"/>
        <v>53</v>
      </c>
    </row>
    <row r="64" spans="1:12" x14ac:dyDescent="0.3">
      <c r="B64" s="388"/>
    </row>
    <row r="65" spans="2:5" x14ac:dyDescent="0.3">
      <c r="B65" s="388"/>
    </row>
    <row r="66" spans="2:5" x14ac:dyDescent="0.3">
      <c r="B66" s="388"/>
    </row>
    <row r="67" spans="2:5" x14ac:dyDescent="0.3">
      <c r="B67" s="388"/>
    </row>
    <row r="68" spans="2:5" x14ac:dyDescent="0.3">
      <c r="B68" s="388"/>
    </row>
    <row r="69" spans="2:5" x14ac:dyDescent="0.3">
      <c r="B69" s="388"/>
    </row>
    <row r="70" spans="2:5" x14ac:dyDescent="0.3">
      <c r="B70" s="388"/>
    </row>
    <row r="71" spans="2:5" x14ac:dyDescent="0.3">
      <c r="B71" s="388"/>
    </row>
    <row r="72" spans="2:5" x14ac:dyDescent="0.3">
      <c r="B72" s="388"/>
    </row>
    <row r="73" spans="2:5" x14ac:dyDescent="0.3">
      <c r="B73" s="388"/>
    </row>
    <row r="74" spans="2:5" x14ac:dyDescent="0.3">
      <c r="B74" s="388"/>
    </row>
    <row r="75" spans="2:5" x14ac:dyDescent="0.3">
      <c r="B75" s="388"/>
    </row>
    <row r="76" spans="2:5" x14ac:dyDescent="0.3">
      <c r="B76" s="388"/>
    </row>
    <row r="77" spans="2:5" x14ac:dyDescent="0.3">
      <c r="B77" s="388"/>
    </row>
    <row r="78" spans="2:5" x14ac:dyDescent="0.3">
      <c r="B78" s="388"/>
    </row>
    <row r="79" spans="2:5" x14ac:dyDescent="0.3">
      <c r="B79" s="388"/>
      <c r="E79" s="32"/>
    </row>
    <row r="80" spans="2:5" x14ac:dyDescent="0.3">
      <c r="B80" s="388"/>
      <c r="E80" s="32"/>
    </row>
    <row r="81" spans="2:5" x14ac:dyDescent="0.3">
      <c r="B81" s="388"/>
      <c r="E81" s="32"/>
    </row>
    <row r="82" spans="2:5" x14ac:dyDescent="0.3">
      <c r="B82" s="388"/>
      <c r="E82" s="32"/>
    </row>
    <row r="83" spans="2:5" x14ac:dyDescent="0.3">
      <c r="B83" s="388"/>
      <c r="E83" s="32"/>
    </row>
    <row r="84" spans="2:5" x14ac:dyDescent="0.3">
      <c r="B84" s="388"/>
      <c r="E84" s="32"/>
    </row>
    <row r="85" spans="2:5" x14ac:dyDescent="0.3">
      <c r="B85" s="388"/>
      <c r="E85" s="32"/>
    </row>
    <row r="86" spans="2:5" x14ac:dyDescent="0.3">
      <c r="B86" s="388"/>
      <c r="E86" s="32"/>
    </row>
    <row r="87" spans="2:5" x14ac:dyDescent="0.3">
      <c r="B87" s="388"/>
      <c r="E87" s="32"/>
    </row>
    <row r="88" spans="2:5" x14ac:dyDescent="0.3">
      <c r="B88" s="388"/>
      <c r="E88" s="32"/>
    </row>
    <row r="89" spans="2:5" x14ac:dyDescent="0.3">
      <c r="B89" s="388"/>
      <c r="E89" s="32"/>
    </row>
    <row r="90" spans="2:5" x14ac:dyDescent="0.3">
      <c r="B90" s="388"/>
      <c r="E90" s="32"/>
    </row>
    <row r="91" spans="2:5" x14ac:dyDescent="0.3">
      <c r="B91" s="388"/>
      <c r="E91" s="32"/>
    </row>
    <row r="92" spans="2:5" x14ac:dyDescent="0.3">
      <c r="B92" s="388"/>
      <c r="E92" s="32"/>
    </row>
    <row r="93" spans="2:5" x14ac:dyDescent="0.3">
      <c r="B93" s="388"/>
      <c r="E93" s="32"/>
    </row>
    <row r="94" spans="2:5" x14ac:dyDescent="0.3">
      <c r="B94" s="388"/>
      <c r="E94" s="32"/>
    </row>
    <row r="95" spans="2:5" x14ac:dyDescent="0.3">
      <c r="B95" s="388"/>
      <c r="E95" s="32"/>
    </row>
    <row r="96" spans="2:5" x14ac:dyDescent="0.3">
      <c r="B96" s="388"/>
      <c r="E96" s="32"/>
    </row>
    <row r="97" spans="2:5" x14ac:dyDescent="0.3">
      <c r="B97" s="388"/>
      <c r="E97" s="32"/>
    </row>
    <row r="98" spans="2:5" x14ac:dyDescent="0.3">
      <c r="B98" s="388"/>
      <c r="E98" s="32"/>
    </row>
    <row r="99" spans="2:5" x14ac:dyDescent="0.3">
      <c r="B99" s="388"/>
      <c r="E99" s="32"/>
    </row>
    <row r="100" spans="2:5" x14ac:dyDescent="0.3">
      <c r="B100" s="388"/>
      <c r="E100" s="32"/>
    </row>
    <row r="101" spans="2:5" x14ac:dyDescent="0.3">
      <c r="B101" s="388"/>
      <c r="E101" s="32"/>
    </row>
    <row r="102" spans="2:5" x14ac:dyDescent="0.3">
      <c r="B102" s="388"/>
      <c r="E102" s="32"/>
    </row>
    <row r="103" spans="2:5" x14ac:dyDescent="0.3">
      <c r="B103" s="388"/>
      <c r="E103" s="32"/>
    </row>
    <row r="104" spans="2:5" x14ac:dyDescent="0.3">
      <c r="B104" s="388"/>
      <c r="E104" s="32"/>
    </row>
    <row r="105" spans="2:5" x14ac:dyDescent="0.3">
      <c r="B105" s="388"/>
      <c r="E105" s="32"/>
    </row>
    <row r="106" spans="2:5" x14ac:dyDescent="0.3">
      <c r="B106" s="388"/>
      <c r="E106" s="32"/>
    </row>
    <row r="107" spans="2:5" x14ac:dyDescent="0.3">
      <c r="B107" s="388"/>
      <c r="E107" s="32"/>
    </row>
    <row r="108" spans="2:5" x14ac:dyDescent="0.3">
      <c r="B108" s="388"/>
      <c r="E108" s="32"/>
    </row>
    <row r="109" spans="2:5" x14ac:dyDescent="0.3">
      <c r="B109" s="388"/>
      <c r="E109" s="32"/>
    </row>
    <row r="110" spans="2:5" x14ac:dyDescent="0.3">
      <c r="B110" s="388"/>
      <c r="E110" s="32"/>
    </row>
    <row r="111" spans="2:5" x14ac:dyDescent="0.3">
      <c r="B111" s="388"/>
      <c r="E111" s="32"/>
    </row>
    <row r="112" spans="2:5" x14ac:dyDescent="0.3">
      <c r="B112" s="388"/>
      <c r="E112" s="32"/>
    </row>
    <row r="113" spans="2:5" x14ac:dyDescent="0.3">
      <c r="B113" s="388"/>
      <c r="E113" s="32"/>
    </row>
    <row r="114" spans="2:5" x14ac:dyDescent="0.3">
      <c r="B114" s="388"/>
      <c r="E114" s="32"/>
    </row>
    <row r="115" spans="2:5" x14ac:dyDescent="0.3">
      <c r="B115" s="388"/>
      <c r="E115" s="32"/>
    </row>
    <row r="116" spans="2:5" x14ac:dyDescent="0.3">
      <c r="B116" s="388"/>
      <c r="E116" s="32"/>
    </row>
    <row r="117" spans="2:5" x14ac:dyDescent="0.3">
      <c r="B117" s="388"/>
      <c r="E117" s="32"/>
    </row>
    <row r="118" spans="2:5" x14ac:dyDescent="0.3">
      <c r="B118" s="388"/>
      <c r="E118" s="32"/>
    </row>
    <row r="119" spans="2:5" x14ac:dyDescent="0.3">
      <c r="B119" s="388"/>
      <c r="E119" s="32"/>
    </row>
    <row r="120" spans="2:5" x14ac:dyDescent="0.3">
      <c r="B120" s="388"/>
      <c r="E120" s="32"/>
    </row>
    <row r="121" spans="2:5" x14ac:dyDescent="0.3">
      <c r="B121" s="388"/>
      <c r="E121" s="32"/>
    </row>
    <row r="122" spans="2:5" x14ac:dyDescent="0.3">
      <c r="B122" s="388"/>
      <c r="E122" s="32"/>
    </row>
    <row r="123" spans="2:5" x14ac:dyDescent="0.3">
      <c r="B123" s="388"/>
      <c r="E123" s="32"/>
    </row>
    <row r="124" spans="2:5" x14ac:dyDescent="0.3">
      <c r="B124" s="388"/>
      <c r="E124" s="32"/>
    </row>
    <row r="125" spans="2:5" x14ac:dyDescent="0.3">
      <c r="B125" s="388"/>
      <c r="E125" s="32"/>
    </row>
    <row r="126" spans="2:5" x14ac:dyDescent="0.3">
      <c r="B126" s="388"/>
      <c r="E126" s="32"/>
    </row>
    <row r="127" spans="2:5" x14ac:dyDescent="0.3">
      <c r="B127" s="388"/>
      <c r="E127" s="32"/>
    </row>
    <row r="128" spans="2:5" x14ac:dyDescent="0.3">
      <c r="B128" s="388"/>
      <c r="E128" s="32"/>
    </row>
    <row r="129" spans="2:5" x14ac:dyDescent="0.3">
      <c r="B129" s="388"/>
      <c r="E129" s="32"/>
    </row>
    <row r="130" spans="2:5" x14ac:dyDescent="0.3">
      <c r="B130" s="388"/>
      <c r="E130" s="32"/>
    </row>
    <row r="131" spans="2:5" x14ac:dyDescent="0.3">
      <c r="B131" s="388"/>
      <c r="E131" s="32"/>
    </row>
    <row r="132" spans="2:5" x14ac:dyDescent="0.3">
      <c r="B132" s="388"/>
      <c r="E132" s="32"/>
    </row>
    <row r="133" spans="2:5" x14ac:dyDescent="0.3">
      <c r="B133" s="388"/>
      <c r="E133" s="32"/>
    </row>
    <row r="134" spans="2:5" x14ac:dyDescent="0.3">
      <c r="B134" s="388"/>
      <c r="E134" s="32"/>
    </row>
    <row r="135" spans="2:5" x14ac:dyDescent="0.3">
      <c r="B135" s="388"/>
      <c r="E135" s="32"/>
    </row>
    <row r="136" spans="2:5" x14ac:dyDescent="0.3">
      <c r="B136" s="388"/>
      <c r="E136" s="32"/>
    </row>
    <row r="137" spans="2:5" x14ac:dyDescent="0.3">
      <c r="B137" s="388"/>
      <c r="E137" s="32"/>
    </row>
    <row r="138" spans="2:5" x14ac:dyDescent="0.3">
      <c r="B138" s="388"/>
      <c r="E138" s="32"/>
    </row>
    <row r="139" spans="2:5" x14ac:dyDescent="0.3">
      <c r="B139" s="388"/>
      <c r="E139" s="32"/>
    </row>
    <row r="140" spans="2:5" x14ac:dyDescent="0.3">
      <c r="B140" s="388"/>
      <c r="E140" s="32"/>
    </row>
    <row r="141" spans="2:5" x14ac:dyDescent="0.3">
      <c r="B141" s="388"/>
      <c r="E141" s="32"/>
    </row>
    <row r="142" spans="2:5" x14ac:dyDescent="0.3">
      <c r="B142" s="388"/>
      <c r="E142" s="32"/>
    </row>
    <row r="143" spans="2:5" x14ac:dyDescent="0.3">
      <c r="B143" s="388"/>
      <c r="E143" s="32"/>
    </row>
    <row r="144" spans="2:5" x14ac:dyDescent="0.3">
      <c r="B144" s="388"/>
      <c r="E144" s="32"/>
    </row>
    <row r="145" spans="2:5" x14ac:dyDescent="0.3">
      <c r="B145" s="388"/>
      <c r="E145" s="32"/>
    </row>
    <row r="146" spans="2:5" x14ac:dyDescent="0.3">
      <c r="B146" s="388"/>
      <c r="E146" s="32"/>
    </row>
    <row r="147" spans="2:5" x14ac:dyDescent="0.3">
      <c r="B147" s="388"/>
      <c r="E147" s="32"/>
    </row>
    <row r="148" spans="2:5" x14ac:dyDescent="0.3">
      <c r="B148" s="388"/>
      <c r="E148" s="32"/>
    </row>
    <row r="149" spans="2:5" x14ac:dyDescent="0.3">
      <c r="B149" s="388"/>
      <c r="E149" s="32"/>
    </row>
    <row r="150" spans="2:5" x14ac:dyDescent="0.3">
      <c r="B150" s="388"/>
      <c r="E150" s="32"/>
    </row>
    <row r="151" spans="2:5" x14ac:dyDescent="0.3">
      <c r="B151" s="388"/>
      <c r="E151" s="32"/>
    </row>
    <row r="152" spans="2:5" x14ac:dyDescent="0.3">
      <c r="B152" s="388"/>
      <c r="E152" s="32"/>
    </row>
    <row r="153" spans="2:5" x14ac:dyDescent="0.3">
      <c r="B153" s="388"/>
      <c r="E153" s="32"/>
    </row>
    <row r="154" spans="2:5" x14ac:dyDescent="0.3">
      <c r="B154" s="388"/>
      <c r="E154" s="32"/>
    </row>
    <row r="155" spans="2:5" x14ac:dyDescent="0.3">
      <c r="B155" s="388"/>
      <c r="E155" s="32"/>
    </row>
    <row r="156" spans="2:5" x14ac:dyDescent="0.3">
      <c r="B156" s="388"/>
      <c r="E156" s="32"/>
    </row>
    <row r="157" spans="2:5" x14ac:dyDescent="0.3">
      <c r="B157" s="388"/>
      <c r="E157" s="32"/>
    </row>
    <row r="158" spans="2:5" x14ac:dyDescent="0.3">
      <c r="B158" s="388"/>
      <c r="E158" s="32"/>
    </row>
    <row r="159" spans="2:5" x14ac:dyDescent="0.3">
      <c r="B159" s="388"/>
      <c r="E159" s="32"/>
    </row>
    <row r="160" spans="2:5" x14ac:dyDescent="0.3">
      <c r="B160" s="388"/>
      <c r="E160" s="32"/>
    </row>
    <row r="161" spans="2:5" x14ac:dyDescent="0.3">
      <c r="B161" s="388"/>
      <c r="E161" s="32"/>
    </row>
    <row r="162" spans="2:5" x14ac:dyDescent="0.3">
      <c r="B162" s="388"/>
      <c r="E162" s="32"/>
    </row>
    <row r="163" spans="2:5" x14ac:dyDescent="0.3">
      <c r="B163" s="388"/>
      <c r="E163" s="32"/>
    </row>
    <row r="164" spans="2:5" x14ac:dyDescent="0.3">
      <c r="B164" s="388"/>
      <c r="E164" s="32"/>
    </row>
    <row r="165" spans="2:5" x14ac:dyDescent="0.3">
      <c r="B165" s="388"/>
      <c r="E165" s="32"/>
    </row>
    <row r="166" spans="2:5" x14ac:dyDescent="0.3">
      <c r="B166" s="388"/>
      <c r="E166" s="32"/>
    </row>
    <row r="167" spans="2:5" x14ac:dyDescent="0.3">
      <c r="B167" s="388"/>
      <c r="E167" s="32"/>
    </row>
    <row r="168" spans="2:5" x14ac:dyDescent="0.3">
      <c r="B168" s="388"/>
      <c r="E168" s="32"/>
    </row>
    <row r="169" spans="2:5" x14ac:dyDescent="0.3">
      <c r="B169" s="388"/>
      <c r="E169" s="32"/>
    </row>
    <row r="170" spans="2:5" x14ac:dyDescent="0.3">
      <c r="B170" s="388"/>
      <c r="E170" s="32"/>
    </row>
    <row r="171" spans="2:5" x14ac:dyDescent="0.3">
      <c r="B171" s="388"/>
      <c r="E171" s="32"/>
    </row>
    <row r="172" spans="2:5" x14ac:dyDescent="0.3">
      <c r="B172" s="388"/>
      <c r="E172" s="32"/>
    </row>
    <row r="173" spans="2:5" x14ac:dyDescent="0.3">
      <c r="B173" s="388"/>
      <c r="E173" s="32"/>
    </row>
    <row r="174" spans="2:5" x14ac:dyDescent="0.3">
      <c r="B174" s="388"/>
      <c r="E174" s="32"/>
    </row>
    <row r="175" spans="2:5" x14ac:dyDescent="0.3">
      <c r="B175" s="388"/>
      <c r="E175" s="32"/>
    </row>
    <row r="176" spans="2:5" x14ac:dyDescent="0.3">
      <c r="B176" s="388"/>
      <c r="E176" s="32"/>
    </row>
    <row r="177" spans="2:5" x14ac:dyDescent="0.3">
      <c r="B177" s="388"/>
      <c r="E177" s="32"/>
    </row>
    <row r="178" spans="2:5" x14ac:dyDescent="0.3">
      <c r="B178" s="388"/>
      <c r="E178" s="32"/>
    </row>
    <row r="179" spans="2:5" x14ac:dyDescent="0.3">
      <c r="B179" s="388"/>
      <c r="E179" s="32"/>
    </row>
    <row r="180" spans="2:5" x14ac:dyDescent="0.3">
      <c r="B180" s="388"/>
      <c r="E180" s="32"/>
    </row>
    <row r="181" spans="2:5" x14ac:dyDescent="0.3">
      <c r="B181" s="388"/>
      <c r="E181" s="32"/>
    </row>
    <row r="182" spans="2:5" x14ac:dyDescent="0.3">
      <c r="B182" s="388"/>
      <c r="E182" s="32"/>
    </row>
    <row r="183" spans="2:5" x14ac:dyDescent="0.3">
      <c r="B183" s="388"/>
      <c r="E183" s="32"/>
    </row>
    <row r="184" spans="2:5" x14ac:dyDescent="0.3">
      <c r="B184" s="388"/>
      <c r="E184" s="32"/>
    </row>
    <row r="185" spans="2:5" x14ac:dyDescent="0.3">
      <c r="B185" s="388"/>
      <c r="E185" s="32"/>
    </row>
    <row r="186" spans="2:5" x14ac:dyDescent="0.3">
      <c r="B186" s="388"/>
      <c r="E186" s="32"/>
    </row>
    <row r="187" spans="2:5" x14ac:dyDescent="0.3">
      <c r="B187" s="388"/>
      <c r="E187" s="32"/>
    </row>
    <row r="188" spans="2:5" x14ac:dyDescent="0.3">
      <c r="B188" s="388"/>
      <c r="E188" s="32"/>
    </row>
    <row r="189" spans="2:5" x14ac:dyDescent="0.3">
      <c r="B189" s="388"/>
      <c r="E189" s="32"/>
    </row>
    <row r="190" spans="2:5" x14ac:dyDescent="0.3">
      <c r="B190" s="388"/>
      <c r="E190" s="32"/>
    </row>
    <row r="191" spans="2:5" x14ac:dyDescent="0.3">
      <c r="B191" s="388"/>
      <c r="E191" s="32"/>
    </row>
    <row r="192" spans="2:5" x14ac:dyDescent="0.3">
      <c r="B192" s="388"/>
      <c r="E192" s="32"/>
    </row>
    <row r="193" spans="2:5" x14ac:dyDescent="0.3">
      <c r="B193" s="388"/>
      <c r="E193" s="32"/>
    </row>
    <row r="194" spans="2:5" x14ac:dyDescent="0.3">
      <c r="B194" s="388"/>
      <c r="E194" s="32"/>
    </row>
    <row r="195" spans="2:5" x14ac:dyDescent="0.3">
      <c r="B195" s="388"/>
      <c r="E195" s="32"/>
    </row>
    <row r="196" spans="2:5" x14ac:dyDescent="0.3">
      <c r="B196" s="388"/>
      <c r="E196" s="32"/>
    </row>
    <row r="197" spans="2:5" x14ac:dyDescent="0.3">
      <c r="B197" s="388"/>
      <c r="E197" s="32"/>
    </row>
    <row r="198" spans="2:5" x14ac:dyDescent="0.3">
      <c r="B198" s="388"/>
      <c r="E198" s="32"/>
    </row>
    <row r="199" spans="2:5" x14ac:dyDescent="0.3">
      <c r="B199" s="388"/>
      <c r="E199" s="32"/>
    </row>
    <row r="200" spans="2:5" x14ac:dyDescent="0.3">
      <c r="B200" s="388"/>
      <c r="E200" s="32"/>
    </row>
    <row r="201" spans="2:5" x14ac:dyDescent="0.3">
      <c r="B201" s="388"/>
      <c r="E201" s="32"/>
    </row>
    <row r="202" spans="2:5" x14ac:dyDescent="0.3">
      <c r="B202" s="388"/>
      <c r="E202" s="32"/>
    </row>
    <row r="203" spans="2:5" x14ac:dyDescent="0.3">
      <c r="B203" s="388"/>
      <c r="E203" s="32"/>
    </row>
    <row r="204" spans="2:5" x14ac:dyDescent="0.3">
      <c r="B204" s="388"/>
      <c r="E204" s="32"/>
    </row>
    <row r="205" spans="2:5" x14ac:dyDescent="0.3">
      <c r="B205" s="388"/>
      <c r="E205" s="32"/>
    </row>
    <row r="206" spans="2:5" x14ac:dyDescent="0.3">
      <c r="B206" s="388"/>
      <c r="E206" s="32"/>
    </row>
    <row r="207" spans="2:5" x14ac:dyDescent="0.3">
      <c r="B207" s="388"/>
      <c r="E207" s="32"/>
    </row>
    <row r="208" spans="2:5" x14ac:dyDescent="0.3">
      <c r="B208" s="388"/>
      <c r="E208" s="32"/>
    </row>
    <row r="209" spans="2:5" x14ac:dyDescent="0.3">
      <c r="B209" s="388"/>
      <c r="E209" s="32"/>
    </row>
    <row r="210" spans="2:5" x14ac:dyDescent="0.3">
      <c r="B210" s="388"/>
      <c r="E210" s="32"/>
    </row>
    <row r="211" spans="2:5" x14ac:dyDescent="0.3">
      <c r="B211" s="388"/>
      <c r="E211" s="32"/>
    </row>
    <row r="212" spans="2:5" x14ac:dyDescent="0.3">
      <c r="B212" s="388"/>
      <c r="E212" s="32"/>
    </row>
    <row r="213" spans="2:5" x14ac:dyDescent="0.3">
      <c r="B213" s="388"/>
      <c r="E213" s="32"/>
    </row>
    <row r="214" spans="2:5" x14ac:dyDescent="0.3">
      <c r="B214" s="388"/>
      <c r="E214" s="32"/>
    </row>
    <row r="215" spans="2:5" x14ac:dyDescent="0.3">
      <c r="B215" s="388"/>
      <c r="E215" s="32"/>
    </row>
    <row r="216" spans="2:5" x14ac:dyDescent="0.3">
      <c r="B216" s="388"/>
      <c r="E216" s="32"/>
    </row>
    <row r="217" spans="2:5" x14ac:dyDescent="0.3">
      <c r="B217" s="388"/>
      <c r="E217" s="32"/>
    </row>
    <row r="218" spans="2:5" x14ac:dyDescent="0.3">
      <c r="B218" s="388"/>
      <c r="E218" s="32"/>
    </row>
    <row r="219" spans="2:5" x14ac:dyDescent="0.3">
      <c r="B219" s="388"/>
      <c r="E219" s="32"/>
    </row>
    <row r="220" spans="2:5" x14ac:dyDescent="0.3">
      <c r="B220" s="388"/>
      <c r="E220" s="32"/>
    </row>
    <row r="221" spans="2:5" x14ac:dyDescent="0.3">
      <c r="B221" s="388"/>
      <c r="E221" s="32"/>
    </row>
    <row r="222" spans="2:5" x14ac:dyDescent="0.3">
      <c r="B222" s="388"/>
      <c r="E222" s="32"/>
    </row>
    <row r="223" spans="2:5" x14ac:dyDescent="0.3">
      <c r="B223" s="388"/>
      <c r="E223" s="32"/>
    </row>
    <row r="224" spans="2:5" x14ac:dyDescent="0.3">
      <c r="B224" s="388"/>
      <c r="E224" s="32"/>
    </row>
    <row r="225" spans="2:5" x14ac:dyDescent="0.3">
      <c r="B225" s="388"/>
      <c r="E225" s="32"/>
    </row>
    <row r="226" spans="2:5" x14ac:dyDescent="0.3">
      <c r="B226" s="388"/>
      <c r="E226" s="32"/>
    </row>
    <row r="227" spans="2:5" x14ac:dyDescent="0.3">
      <c r="B227" s="388"/>
      <c r="E227" s="32"/>
    </row>
    <row r="228" spans="2:5" x14ac:dyDescent="0.3">
      <c r="B228" s="388"/>
      <c r="E228" s="32"/>
    </row>
    <row r="229" spans="2:5" x14ac:dyDescent="0.3">
      <c r="B229" s="388"/>
      <c r="E229" s="32"/>
    </row>
    <row r="230" spans="2:5" x14ac:dyDescent="0.3">
      <c r="B230" s="388"/>
      <c r="E230" s="32"/>
    </row>
    <row r="231" spans="2:5" x14ac:dyDescent="0.3">
      <c r="B231" s="388"/>
      <c r="E231" s="32"/>
    </row>
    <row r="232" spans="2:5" x14ac:dyDescent="0.3">
      <c r="B232" s="388"/>
      <c r="E232" s="32"/>
    </row>
    <row r="233" spans="2:5" x14ac:dyDescent="0.3">
      <c r="B233" s="388"/>
      <c r="E233" s="32"/>
    </row>
    <row r="234" spans="2:5" x14ac:dyDescent="0.3">
      <c r="B234" s="388"/>
      <c r="E234" s="32"/>
    </row>
    <row r="235" spans="2:5" x14ac:dyDescent="0.3">
      <c r="B235" s="388"/>
      <c r="E235" s="32"/>
    </row>
    <row r="236" spans="2:5" x14ac:dyDescent="0.3">
      <c r="B236" s="388"/>
      <c r="E236" s="32"/>
    </row>
    <row r="237" spans="2:5" x14ac:dyDescent="0.3">
      <c r="B237" s="388"/>
      <c r="E237" s="32"/>
    </row>
    <row r="238" spans="2:5" x14ac:dyDescent="0.3">
      <c r="B238" s="388"/>
      <c r="E238" s="32"/>
    </row>
    <row r="239" spans="2:5" x14ac:dyDescent="0.3">
      <c r="B239" s="388"/>
      <c r="E239" s="32"/>
    </row>
    <row r="240" spans="2:5" x14ac:dyDescent="0.3">
      <c r="B240" s="388"/>
      <c r="E240" s="32"/>
    </row>
    <row r="241" spans="2:5" x14ac:dyDescent="0.3">
      <c r="B241" s="388"/>
      <c r="E241" s="32"/>
    </row>
    <row r="242" spans="2:5" x14ac:dyDescent="0.3">
      <c r="B242" s="388"/>
      <c r="E242" s="32"/>
    </row>
    <row r="243" spans="2:5" x14ac:dyDescent="0.3">
      <c r="B243" s="388"/>
      <c r="E243" s="32"/>
    </row>
    <row r="244" spans="2:5" x14ac:dyDescent="0.3">
      <c r="B244" s="388"/>
      <c r="E244" s="32"/>
    </row>
    <row r="245" spans="2:5" x14ac:dyDescent="0.3">
      <c r="B245" s="388"/>
      <c r="E245" s="32"/>
    </row>
    <row r="246" spans="2:5" x14ac:dyDescent="0.3">
      <c r="B246" s="388"/>
      <c r="E246" s="32"/>
    </row>
    <row r="247" spans="2:5" x14ac:dyDescent="0.3">
      <c r="B247" s="388"/>
      <c r="E247" s="32"/>
    </row>
    <row r="248" spans="2:5" x14ac:dyDescent="0.3">
      <c r="B248" s="388"/>
      <c r="E248" s="32"/>
    </row>
    <row r="249" spans="2:5" x14ac:dyDescent="0.3">
      <c r="B249" s="388"/>
      <c r="E249" s="32"/>
    </row>
    <row r="250" spans="2:5" x14ac:dyDescent="0.3">
      <c r="B250" s="388"/>
      <c r="E250" s="32"/>
    </row>
    <row r="251" spans="2:5" x14ac:dyDescent="0.3">
      <c r="B251" s="388"/>
      <c r="E251" s="32"/>
    </row>
    <row r="252" spans="2:5" x14ac:dyDescent="0.3">
      <c r="B252" s="388"/>
      <c r="E252" s="32"/>
    </row>
    <row r="253" spans="2:5" x14ac:dyDescent="0.3">
      <c r="B253" s="388"/>
      <c r="E253" s="32"/>
    </row>
    <row r="254" spans="2:5" x14ac:dyDescent="0.3">
      <c r="B254" s="388"/>
      <c r="E254" s="32"/>
    </row>
    <row r="255" spans="2:5" x14ac:dyDescent="0.3">
      <c r="B255" s="388"/>
      <c r="E255" s="32"/>
    </row>
    <row r="256" spans="2:5" x14ac:dyDescent="0.3">
      <c r="B256" s="388"/>
      <c r="E256" s="32"/>
    </row>
    <row r="257" spans="2:5" x14ac:dyDescent="0.3">
      <c r="B257" s="388"/>
      <c r="E257" s="32"/>
    </row>
    <row r="258" spans="2:5" x14ac:dyDescent="0.3">
      <c r="B258" s="388"/>
      <c r="E258" s="32"/>
    </row>
    <row r="259" spans="2:5" x14ac:dyDescent="0.3">
      <c r="B259" s="388"/>
      <c r="E259" s="32"/>
    </row>
    <row r="260" spans="2:5" x14ac:dyDescent="0.3">
      <c r="B260" s="388"/>
      <c r="E260" s="32"/>
    </row>
    <row r="261" spans="2:5" x14ac:dyDescent="0.3">
      <c r="B261" s="388"/>
      <c r="E261" s="32"/>
    </row>
    <row r="262" spans="2:5" x14ac:dyDescent="0.3">
      <c r="B262" s="388"/>
      <c r="E262" s="32"/>
    </row>
    <row r="263" spans="2:5" x14ac:dyDescent="0.3">
      <c r="B263" s="388"/>
      <c r="E263" s="32"/>
    </row>
    <row r="264" spans="2:5" x14ac:dyDescent="0.3">
      <c r="B264" s="388"/>
      <c r="E264" s="32"/>
    </row>
    <row r="265" spans="2:5" x14ac:dyDescent="0.3">
      <c r="B265" s="388"/>
      <c r="E265" s="32"/>
    </row>
    <row r="266" spans="2:5" x14ac:dyDescent="0.3">
      <c r="B266" s="388"/>
      <c r="E266" s="32"/>
    </row>
    <row r="267" spans="2:5" x14ac:dyDescent="0.3">
      <c r="B267" s="388"/>
      <c r="E267" s="32"/>
    </row>
    <row r="268" spans="2:5" x14ac:dyDescent="0.3">
      <c r="B268" s="388"/>
      <c r="E268" s="32"/>
    </row>
    <row r="269" spans="2:5" x14ac:dyDescent="0.3">
      <c r="B269" s="388"/>
      <c r="E269" s="32"/>
    </row>
    <row r="270" spans="2:5" x14ac:dyDescent="0.3">
      <c r="B270" s="388"/>
      <c r="E270" s="32"/>
    </row>
    <row r="271" spans="2:5" x14ac:dyDescent="0.3">
      <c r="B271" s="388"/>
      <c r="E271" s="32"/>
    </row>
    <row r="272" spans="2:5" x14ac:dyDescent="0.3">
      <c r="B272" s="388"/>
      <c r="E272" s="32"/>
    </row>
    <row r="273" spans="2:5" x14ac:dyDescent="0.3">
      <c r="B273" s="388"/>
      <c r="E273" s="32"/>
    </row>
    <row r="274" spans="2:5" x14ac:dyDescent="0.3">
      <c r="B274" s="388"/>
      <c r="E274" s="32"/>
    </row>
    <row r="275" spans="2:5" x14ac:dyDescent="0.3">
      <c r="B275" s="388"/>
      <c r="E275" s="32"/>
    </row>
    <row r="276" spans="2:5" x14ac:dyDescent="0.3">
      <c r="B276" s="388"/>
      <c r="E276" s="32"/>
    </row>
    <row r="277" spans="2:5" x14ac:dyDescent="0.3">
      <c r="B277" s="388"/>
      <c r="E277" s="32"/>
    </row>
    <row r="278" spans="2:5" x14ac:dyDescent="0.3">
      <c r="B278" s="388"/>
      <c r="E278" s="32"/>
    </row>
    <row r="279" spans="2:5" x14ac:dyDescent="0.3">
      <c r="B279" s="388"/>
      <c r="E279" s="32"/>
    </row>
    <row r="280" spans="2:5" x14ac:dyDescent="0.3">
      <c r="B280" s="388"/>
      <c r="E280" s="32"/>
    </row>
    <row r="281" spans="2:5" x14ac:dyDescent="0.3">
      <c r="B281" s="388"/>
      <c r="E281" s="32"/>
    </row>
    <row r="282" spans="2:5" x14ac:dyDescent="0.3">
      <c r="B282" s="388"/>
      <c r="E282" s="32"/>
    </row>
    <row r="283" spans="2:5" x14ac:dyDescent="0.3">
      <c r="B283" s="388"/>
      <c r="E283" s="32"/>
    </row>
    <row r="284" spans="2:5" x14ac:dyDescent="0.3">
      <c r="B284" s="388"/>
      <c r="E284" s="32"/>
    </row>
    <row r="285" spans="2:5" x14ac:dyDescent="0.3">
      <c r="B285" s="388"/>
      <c r="E285" s="32"/>
    </row>
    <row r="286" spans="2:5" x14ac:dyDescent="0.3">
      <c r="B286" s="388"/>
      <c r="E286" s="32"/>
    </row>
    <row r="287" spans="2:5" x14ac:dyDescent="0.3">
      <c r="B287" s="388"/>
      <c r="E287" s="32"/>
    </row>
    <row r="288" spans="2:5" x14ac:dyDescent="0.3">
      <c r="B288" s="388"/>
      <c r="E288" s="32"/>
    </row>
    <row r="289" spans="2:5" x14ac:dyDescent="0.3">
      <c r="B289" s="388"/>
      <c r="E289" s="32"/>
    </row>
    <row r="290" spans="2:5" x14ac:dyDescent="0.3">
      <c r="B290" s="388"/>
      <c r="E290" s="32"/>
    </row>
    <row r="291" spans="2:5" x14ac:dyDescent="0.3">
      <c r="B291" s="388"/>
      <c r="E291" s="32"/>
    </row>
    <row r="292" spans="2:5" x14ac:dyDescent="0.3">
      <c r="B292" s="388"/>
      <c r="E292" s="32"/>
    </row>
    <row r="293" spans="2:5" x14ac:dyDescent="0.3">
      <c r="B293" s="388"/>
      <c r="E293" s="32"/>
    </row>
    <row r="294" spans="2:5" x14ac:dyDescent="0.3">
      <c r="B294" s="388"/>
      <c r="E294" s="32"/>
    </row>
    <row r="295" spans="2:5" x14ac:dyDescent="0.3">
      <c r="B295" s="388"/>
      <c r="E295" s="32"/>
    </row>
    <row r="296" spans="2:5" x14ac:dyDescent="0.3">
      <c r="B296" s="388"/>
      <c r="E296" s="32"/>
    </row>
    <row r="297" spans="2:5" x14ac:dyDescent="0.3">
      <c r="B297" s="388"/>
      <c r="E297" s="32"/>
    </row>
    <row r="298" spans="2:5" x14ac:dyDescent="0.3">
      <c r="B298" s="388"/>
      <c r="E298" s="32"/>
    </row>
    <row r="299" spans="2:5" x14ac:dyDescent="0.3">
      <c r="B299" s="388"/>
      <c r="E299" s="32"/>
    </row>
    <row r="300" spans="2:5" x14ac:dyDescent="0.3">
      <c r="B300" s="388"/>
      <c r="E300" s="32"/>
    </row>
    <row r="301" spans="2:5" x14ac:dyDescent="0.3">
      <c r="B301" s="388"/>
      <c r="E301" s="32"/>
    </row>
    <row r="302" spans="2:5" x14ac:dyDescent="0.3">
      <c r="B302" s="388"/>
      <c r="E302" s="32"/>
    </row>
    <row r="303" spans="2:5" x14ac:dyDescent="0.3">
      <c r="B303" s="388"/>
      <c r="E303" s="32"/>
    </row>
    <row r="304" spans="2:5" x14ac:dyDescent="0.3">
      <c r="B304" s="388"/>
      <c r="E304" s="32"/>
    </row>
    <row r="305" spans="2:5" x14ac:dyDescent="0.3">
      <c r="B305" s="388"/>
      <c r="E305" s="32"/>
    </row>
    <row r="306" spans="2:5" x14ac:dyDescent="0.3">
      <c r="B306" s="388"/>
      <c r="E306" s="32"/>
    </row>
    <row r="307" spans="2:5" x14ac:dyDescent="0.3">
      <c r="B307" s="388"/>
      <c r="E307" s="32"/>
    </row>
    <row r="308" spans="2:5" x14ac:dyDescent="0.3">
      <c r="B308" s="388"/>
      <c r="E308" s="32"/>
    </row>
    <row r="309" spans="2:5" x14ac:dyDescent="0.3">
      <c r="B309" s="388"/>
      <c r="E309" s="32"/>
    </row>
    <row r="310" spans="2:5" x14ac:dyDescent="0.3">
      <c r="B310" s="388"/>
      <c r="E310" s="32"/>
    </row>
    <row r="311" spans="2:5" x14ac:dyDescent="0.3">
      <c r="B311" s="388"/>
      <c r="E311" s="32"/>
    </row>
    <row r="312" spans="2:5" x14ac:dyDescent="0.3">
      <c r="B312" s="388"/>
      <c r="E312" s="32"/>
    </row>
    <row r="313" spans="2:5" x14ac:dyDescent="0.3">
      <c r="B313" s="388"/>
      <c r="E313" s="32"/>
    </row>
    <row r="314" spans="2:5" x14ac:dyDescent="0.3">
      <c r="B314" s="388"/>
      <c r="E314" s="32"/>
    </row>
    <row r="315" spans="2:5" x14ac:dyDescent="0.3">
      <c r="B315" s="388"/>
      <c r="E315" s="32"/>
    </row>
    <row r="316" spans="2:5" x14ac:dyDescent="0.3">
      <c r="B316" s="388"/>
      <c r="E316" s="32"/>
    </row>
    <row r="317" spans="2:5" x14ac:dyDescent="0.3">
      <c r="B317" s="388"/>
      <c r="E317" s="32"/>
    </row>
    <row r="318" spans="2:5" x14ac:dyDescent="0.3">
      <c r="B318" s="388"/>
      <c r="E318" s="32"/>
    </row>
    <row r="319" spans="2:5" x14ac:dyDescent="0.3">
      <c r="B319" s="388"/>
      <c r="E319" s="32"/>
    </row>
    <row r="320" spans="2:5" x14ac:dyDescent="0.3">
      <c r="B320" s="388"/>
      <c r="E320" s="32"/>
    </row>
    <row r="321" spans="2:5" x14ac:dyDescent="0.3">
      <c r="B321" s="388"/>
      <c r="E321" s="32"/>
    </row>
    <row r="322" spans="2:5" x14ac:dyDescent="0.3">
      <c r="B322" s="388"/>
      <c r="E322" s="32"/>
    </row>
    <row r="323" spans="2:5" x14ac:dyDescent="0.3">
      <c r="B323" s="388"/>
      <c r="E323" s="32"/>
    </row>
    <row r="324" spans="2:5" x14ac:dyDescent="0.3">
      <c r="B324" s="388"/>
      <c r="E324" s="32"/>
    </row>
    <row r="325" spans="2:5" x14ac:dyDescent="0.3">
      <c r="B325" s="388"/>
      <c r="E325" s="32"/>
    </row>
    <row r="326" spans="2:5" x14ac:dyDescent="0.3">
      <c r="B326" s="388"/>
      <c r="E326" s="32"/>
    </row>
    <row r="327" spans="2:5" x14ac:dyDescent="0.3">
      <c r="B327" s="388"/>
      <c r="E327" s="32"/>
    </row>
    <row r="328" spans="2:5" x14ac:dyDescent="0.3">
      <c r="B328" s="388"/>
      <c r="E328" s="32"/>
    </row>
    <row r="329" spans="2:5" x14ac:dyDescent="0.3">
      <c r="B329" s="388"/>
      <c r="E329" s="32"/>
    </row>
    <row r="330" spans="2:5" x14ac:dyDescent="0.3">
      <c r="B330" s="388"/>
      <c r="E330" s="32"/>
    </row>
    <row r="331" spans="2:5" x14ac:dyDescent="0.3">
      <c r="B331" s="388"/>
      <c r="E331" s="32"/>
    </row>
    <row r="332" spans="2:5" x14ac:dyDescent="0.3">
      <c r="B332" s="388"/>
      <c r="E332" s="32"/>
    </row>
    <row r="333" spans="2:5" x14ac:dyDescent="0.3">
      <c r="B333" s="388"/>
      <c r="E333" s="32"/>
    </row>
    <row r="334" spans="2:5" x14ac:dyDescent="0.3">
      <c r="B334" s="388"/>
      <c r="E334" s="32"/>
    </row>
    <row r="335" spans="2:5" x14ac:dyDescent="0.3">
      <c r="B335" s="388"/>
      <c r="E335" s="32"/>
    </row>
    <row r="336" spans="2:5" x14ac:dyDescent="0.3">
      <c r="B336" s="388"/>
      <c r="E336" s="32"/>
    </row>
    <row r="337" spans="2:5" x14ac:dyDescent="0.3">
      <c r="B337" s="388"/>
      <c r="E337" s="32"/>
    </row>
    <row r="338" spans="2:5" x14ac:dyDescent="0.3">
      <c r="B338" s="388"/>
      <c r="E338" s="32"/>
    </row>
    <row r="339" spans="2:5" x14ac:dyDescent="0.3">
      <c r="B339" s="388"/>
      <c r="E339" s="32"/>
    </row>
    <row r="340" spans="2:5" x14ac:dyDescent="0.3">
      <c r="B340" s="388"/>
      <c r="E340" s="32"/>
    </row>
    <row r="341" spans="2:5" x14ac:dyDescent="0.3">
      <c r="B341" s="388"/>
      <c r="E341" s="32"/>
    </row>
    <row r="342" spans="2:5" x14ac:dyDescent="0.3">
      <c r="B342" s="388"/>
      <c r="E342" s="32"/>
    </row>
    <row r="343" spans="2:5" x14ac:dyDescent="0.3">
      <c r="B343" s="388"/>
      <c r="E343" s="32"/>
    </row>
    <row r="344" spans="2:5" x14ac:dyDescent="0.3">
      <c r="B344" s="388"/>
      <c r="E344" s="32"/>
    </row>
    <row r="345" spans="2:5" x14ac:dyDescent="0.3">
      <c r="B345" s="388"/>
      <c r="E345" s="32"/>
    </row>
    <row r="346" spans="2:5" x14ac:dyDescent="0.3">
      <c r="B346" s="388"/>
      <c r="E346" s="32"/>
    </row>
    <row r="347" spans="2:5" x14ac:dyDescent="0.3">
      <c r="B347" s="388"/>
      <c r="E347" s="32"/>
    </row>
    <row r="348" spans="2:5" x14ac:dyDescent="0.3">
      <c r="B348" s="388"/>
      <c r="E348" s="32"/>
    </row>
    <row r="349" spans="2:5" x14ac:dyDescent="0.3">
      <c r="B349" s="388"/>
      <c r="E349" s="32"/>
    </row>
    <row r="350" spans="2:5" x14ac:dyDescent="0.3">
      <c r="B350" s="388"/>
      <c r="E350" s="32"/>
    </row>
    <row r="351" spans="2:5" x14ac:dyDescent="0.3">
      <c r="B351" s="388"/>
      <c r="E351" s="32"/>
    </row>
    <row r="352" spans="2:5" x14ac:dyDescent="0.3">
      <c r="B352" s="388"/>
      <c r="E352" s="32"/>
    </row>
    <row r="353" spans="2:5" x14ac:dyDescent="0.3">
      <c r="B353" s="388"/>
      <c r="E353" s="32"/>
    </row>
    <row r="354" spans="2:5" x14ac:dyDescent="0.3">
      <c r="B354" s="388"/>
      <c r="E354" s="32"/>
    </row>
    <row r="355" spans="2:5" x14ac:dyDescent="0.3">
      <c r="B355" s="388"/>
      <c r="E355" s="32"/>
    </row>
    <row r="356" spans="2:5" x14ac:dyDescent="0.3">
      <c r="B356" s="388"/>
      <c r="E356" s="32"/>
    </row>
    <row r="357" spans="2:5" x14ac:dyDescent="0.3">
      <c r="B357" s="388"/>
      <c r="E357" s="32"/>
    </row>
    <row r="358" spans="2:5" x14ac:dyDescent="0.3">
      <c r="B358" s="388"/>
      <c r="E358" s="32"/>
    </row>
    <row r="359" spans="2:5" x14ac:dyDescent="0.3">
      <c r="B359" s="388"/>
      <c r="E359" s="32"/>
    </row>
    <row r="360" spans="2:5" x14ac:dyDescent="0.3">
      <c r="B360" s="388"/>
      <c r="E360" s="32"/>
    </row>
    <row r="361" spans="2:5" x14ac:dyDescent="0.3">
      <c r="B361" s="388"/>
      <c r="E361" s="32"/>
    </row>
    <row r="362" spans="2:5" x14ac:dyDescent="0.3">
      <c r="B362" s="388"/>
      <c r="E362" s="32"/>
    </row>
    <row r="363" spans="2:5" x14ac:dyDescent="0.3">
      <c r="B363" s="388"/>
      <c r="E363" s="32"/>
    </row>
    <row r="364" spans="2:5" x14ac:dyDescent="0.3">
      <c r="B364" s="388"/>
      <c r="E364" s="32"/>
    </row>
    <row r="365" spans="2:5" x14ac:dyDescent="0.3">
      <c r="B365" s="388"/>
      <c r="E365" s="32"/>
    </row>
    <row r="366" spans="2:5" x14ac:dyDescent="0.3">
      <c r="B366" s="388"/>
      <c r="E366" s="32"/>
    </row>
    <row r="367" spans="2:5" x14ac:dyDescent="0.3">
      <c r="B367" s="388"/>
      <c r="E367" s="32"/>
    </row>
    <row r="368" spans="2:5" x14ac:dyDescent="0.3">
      <c r="B368" s="388"/>
      <c r="E368" s="32"/>
    </row>
    <row r="369" spans="2:5" x14ac:dyDescent="0.3">
      <c r="B369" s="388"/>
      <c r="E369" s="32"/>
    </row>
    <row r="370" spans="2:5" x14ac:dyDescent="0.3">
      <c r="B370" s="388"/>
      <c r="E370" s="32"/>
    </row>
    <row r="371" spans="2:5" x14ac:dyDescent="0.3">
      <c r="B371" s="388"/>
      <c r="E371" s="32"/>
    </row>
    <row r="372" spans="2:5" x14ac:dyDescent="0.3">
      <c r="B372" s="388"/>
      <c r="E372" s="32"/>
    </row>
    <row r="373" spans="2:5" x14ac:dyDescent="0.3">
      <c r="B373" s="388"/>
      <c r="E373" s="32"/>
    </row>
    <row r="374" spans="2:5" x14ac:dyDescent="0.3">
      <c r="B374" s="388"/>
      <c r="E374" s="32"/>
    </row>
    <row r="375" spans="2:5" x14ac:dyDescent="0.3">
      <c r="B375" s="388"/>
      <c r="E375" s="32"/>
    </row>
    <row r="376" spans="2:5" x14ac:dyDescent="0.3">
      <c r="B376" s="388"/>
      <c r="E376" s="32"/>
    </row>
    <row r="377" spans="2:5" x14ac:dyDescent="0.3">
      <c r="B377" s="388"/>
      <c r="E377" s="32"/>
    </row>
    <row r="378" spans="2:5" x14ac:dyDescent="0.3">
      <c r="B378" s="388"/>
      <c r="E378" s="32"/>
    </row>
    <row r="379" spans="2:5" x14ac:dyDescent="0.3">
      <c r="B379" s="388"/>
      <c r="E379" s="32"/>
    </row>
    <row r="380" spans="2:5" x14ac:dyDescent="0.3">
      <c r="B380" s="388"/>
      <c r="E380" s="32"/>
    </row>
    <row r="381" spans="2:5" x14ac:dyDescent="0.3">
      <c r="B381" s="388"/>
      <c r="E381" s="32"/>
    </row>
    <row r="382" spans="2:5" x14ac:dyDescent="0.3">
      <c r="B382" s="388"/>
      <c r="E382" s="32"/>
    </row>
    <row r="383" spans="2:5" x14ac:dyDescent="0.3">
      <c r="B383" s="388"/>
      <c r="E383" s="32"/>
    </row>
    <row r="384" spans="2:5" x14ac:dyDescent="0.3">
      <c r="B384" s="388"/>
      <c r="E384" s="32"/>
    </row>
    <row r="385" spans="2:5" x14ac:dyDescent="0.3">
      <c r="B385" s="388"/>
      <c r="E385" s="32"/>
    </row>
    <row r="386" spans="2:5" x14ac:dyDescent="0.3">
      <c r="B386" s="388"/>
      <c r="E386" s="32"/>
    </row>
    <row r="387" spans="2:5" x14ac:dyDescent="0.3">
      <c r="B387" s="388"/>
      <c r="E387" s="32"/>
    </row>
    <row r="388" spans="2:5" x14ac:dyDescent="0.3">
      <c r="B388" s="388"/>
      <c r="E388" s="32"/>
    </row>
    <row r="389" spans="2:5" x14ac:dyDescent="0.3">
      <c r="B389" s="388"/>
      <c r="E389" s="32"/>
    </row>
    <row r="390" spans="2:5" x14ac:dyDescent="0.3">
      <c r="B390" s="388"/>
      <c r="E390" s="32"/>
    </row>
    <row r="391" spans="2:5" x14ac:dyDescent="0.3">
      <c r="B391" s="388"/>
      <c r="E391" s="32"/>
    </row>
    <row r="392" spans="2:5" x14ac:dyDescent="0.3">
      <c r="B392" s="388"/>
      <c r="E392" s="32"/>
    </row>
    <row r="393" spans="2:5" x14ac:dyDescent="0.3">
      <c r="B393" s="388"/>
      <c r="E393" s="32"/>
    </row>
    <row r="394" spans="2:5" x14ac:dyDescent="0.3">
      <c r="B394" s="388"/>
      <c r="E394" s="32"/>
    </row>
    <row r="395" spans="2:5" x14ac:dyDescent="0.3">
      <c r="B395" s="388"/>
      <c r="E395" s="32"/>
    </row>
    <row r="396" spans="2:5" x14ac:dyDescent="0.3">
      <c r="B396" s="388"/>
      <c r="E396" s="32"/>
    </row>
    <row r="397" spans="2:5" x14ac:dyDescent="0.3">
      <c r="B397" s="388"/>
      <c r="E397" s="32"/>
    </row>
    <row r="398" spans="2:5" x14ac:dyDescent="0.3">
      <c r="B398" s="388"/>
      <c r="E398" s="32"/>
    </row>
    <row r="399" spans="2:5" x14ac:dyDescent="0.3">
      <c r="B399" s="388"/>
      <c r="E399" s="32"/>
    </row>
    <row r="400" spans="2:5" x14ac:dyDescent="0.3">
      <c r="B400" s="388"/>
      <c r="E400" s="32"/>
    </row>
    <row r="401" spans="2:5" x14ac:dyDescent="0.3">
      <c r="B401" s="388"/>
      <c r="E401" s="32"/>
    </row>
    <row r="402" spans="2:5" x14ac:dyDescent="0.3">
      <c r="B402" s="388"/>
      <c r="E402" s="32"/>
    </row>
    <row r="403" spans="2:5" x14ac:dyDescent="0.3">
      <c r="B403" s="388"/>
      <c r="E403" s="32"/>
    </row>
    <row r="404" spans="2:5" x14ac:dyDescent="0.3">
      <c r="B404" s="388"/>
      <c r="E404" s="32"/>
    </row>
    <row r="405" spans="2:5" x14ac:dyDescent="0.3">
      <c r="B405" s="388"/>
      <c r="E405" s="32"/>
    </row>
    <row r="406" spans="2:5" x14ac:dyDescent="0.3">
      <c r="B406" s="388"/>
      <c r="E406" s="32"/>
    </row>
    <row r="407" spans="2:5" x14ac:dyDescent="0.3">
      <c r="B407" s="388"/>
      <c r="E407" s="32"/>
    </row>
    <row r="408" spans="2:5" x14ac:dyDescent="0.3">
      <c r="B408" s="388"/>
      <c r="E408" s="32"/>
    </row>
    <row r="409" spans="2:5" x14ac:dyDescent="0.3">
      <c r="B409" s="388"/>
      <c r="E409" s="32"/>
    </row>
    <row r="410" spans="2:5" x14ac:dyDescent="0.3">
      <c r="B410" s="388"/>
      <c r="E410" s="32"/>
    </row>
    <row r="411" spans="2:5" x14ac:dyDescent="0.3">
      <c r="B411" s="388"/>
      <c r="E411" s="32"/>
    </row>
    <row r="412" spans="2:5" x14ac:dyDescent="0.3">
      <c r="B412" s="388"/>
      <c r="E412" s="32"/>
    </row>
    <row r="413" spans="2:5" x14ac:dyDescent="0.3">
      <c r="B413" s="388"/>
      <c r="E413" s="32"/>
    </row>
    <row r="414" spans="2:5" x14ac:dyDescent="0.3">
      <c r="B414" s="388"/>
      <c r="E414" s="32"/>
    </row>
    <row r="415" spans="2:5" x14ac:dyDescent="0.3">
      <c r="B415" s="388"/>
      <c r="E415" s="32"/>
    </row>
    <row r="416" spans="2:5" x14ac:dyDescent="0.3">
      <c r="B416" s="388"/>
      <c r="E416" s="32"/>
    </row>
    <row r="417" spans="2:5" x14ac:dyDescent="0.3">
      <c r="B417" s="388"/>
      <c r="E417" s="32"/>
    </row>
    <row r="418" spans="2:5" x14ac:dyDescent="0.3">
      <c r="B418" s="388"/>
      <c r="E418" s="32"/>
    </row>
  </sheetData>
  <mergeCells count="4">
    <mergeCell ref="B2:G2"/>
    <mergeCell ref="B3:G3"/>
    <mergeCell ref="B4:G4"/>
    <mergeCell ref="B5:G5"/>
  </mergeCells>
  <printOptions horizontalCentered="1"/>
  <pageMargins left="0.5" right="0.5" top="0.5" bottom="0.5" header="0.25" footer="0.25"/>
  <pageSetup scale="56" orientation="portrait" r:id="rId1"/>
  <headerFooter scaleWithDoc="0">
    <oddFooter>&amp;C&amp;"Times New Roman,Regular"&amp;10&amp;A</oddFooter>
  </headerFooter>
  <customProperties>
    <customPr name="_pios_id" r:id="rId2"/>
  </customPropertie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2:U69"/>
  <sheetViews>
    <sheetView zoomScale="80" zoomScaleNormal="80" workbookViewId="0"/>
  </sheetViews>
  <sheetFormatPr defaultColWidth="9.33203125" defaultRowHeight="15.6" x14ac:dyDescent="0.3"/>
  <cols>
    <col min="1" max="1" width="5.33203125" style="108" customWidth="1"/>
    <col min="2" max="2" width="8.5546875" style="107" customWidth="1"/>
    <col min="3" max="3" width="69.33203125" style="107" customWidth="1"/>
    <col min="4" max="6" width="16.6640625" style="107" customWidth="1"/>
    <col min="7" max="7" width="46.6640625" style="107" customWidth="1"/>
    <col min="8" max="8" width="5.33203125" style="108" customWidth="1"/>
    <col min="9" max="9" width="4" style="107" customWidth="1"/>
    <col min="10" max="10" width="13.33203125" style="107" bestFit="1" customWidth="1"/>
    <col min="11" max="11" width="9.33203125" style="107"/>
    <col min="12" max="12" width="9.6640625" style="107" customWidth="1"/>
    <col min="13" max="13" width="10" style="107" customWidth="1"/>
    <col min="14" max="16384" width="9.33203125" style="107"/>
  </cols>
  <sheetData>
    <row r="2" spans="1:13" x14ac:dyDescent="0.3">
      <c r="B2" s="1235" t="s">
        <v>0</v>
      </c>
      <c r="C2" s="1235"/>
      <c r="D2" s="1235"/>
      <c r="E2" s="1235"/>
      <c r="F2" s="1235"/>
      <c r="G2" s="1235"/>
      <c r="H2" s="389"/>
      <c r="J2"/>
      <c r="K2"/>
      <c r="L2"/>
    </row>
    <row r="3" spans="1:13" x14ac:dyDescent="0.3">
      <c r="B3" s="1235" t="s">
        <v>601</v>
      </c>
      <c r="C3" s="1235"/>
      <c r="D3" s="1235"/>
      <c r="E3" s="1235"/>
      <c r="F3" s="1235"/>
      <c r="G3" s="1235"/>
      <c r="H3" s="389"/>
      <c r="J3"/>
      <c r="K3"/>
      <c r="L3"/>
    </row>
    <row r="4" spans="1:13" x14ac:dyDescent="0.3">
      <c r="B4" s="1235" t="str">
        <f>'AH-1'!B4</f>
        <v xml:space="preserve"> 12 Months Ending December 31, 2023</v>
      </c>
      <c r="C4" s="1235"/>
      <c r="D4" s="1235"/>
      <c r="E4" s="1235"/>
      <c r="F4" s="1235"/>
      <c r="G4" s="1235"/>
      <c r="H4" s="389"/>
    </row>
    <row r="5" spans="1:13" x14ac:dyDescent="0.3">
      <c r="B5" s="1236" t="s">
        <v>4</v>
      </c>
      <c r="C5" s="1236"/>
      <c r="D5" s="1236"/>
      <c r="E5" s="1236"/>
      <c r="F5" s="1236"/>
      <c r="G5" s="1236"/>
      <c r="H5" s="389"/>
    </row>
    <row r="6" spans="1:13" ht="16.2" thickBot="1" x14ac:dyDescent="0.35">
      <c r="D6" s="882"/>
      <c r="E6" s="882"/>
      <c r="F6" s="882"/>
      <c r="G6" s="882"/>
      <c r="J6" s="32"/>
    </row>
    <row r="7" spans="1:13" x14ac:dyDescent="0.3">
      <c r="A7" s="389"/>
      <c r="B7" s="390"/>
      <c r="C7" s="391"/>
      <c r="D7" s="392" t="s">
        <v>210</v>
      </c>
      <c r="E7" s="393" t="s">
        <v>211</v>
      </c>
      <c r="F7" s="392" t="s">
        <v>526</v>
      </c>
      <c r="G7" s="394"/>
      <c r="H7" s="389"/>
    </row>
    <row r="8" spans="1:13" x14ac:dyDescent="0.3">
      <c r="A8" s="108" t="s">
        <v>5</v>
      </c>
      <c r="B8" s="395" t="s">
        <v>482</v>
      </c>
      <c r="C8" s="283"/>
      <c r="D8" s="671" t="s">
        <v>200</v>
      </c>
      <c r="E8" s="389" t="s">
        <v>527</v>
      </c>
      <c r="F8" s="671" t="s">
        <v>200</v>
      </c>
      <c r="G8" s="396"/>
      <c r="H8" s="108" t="s">
        <v>5</v>
      </c>
    </row>
    <row r="9" spans="1:13" ht="16.2" thickBot="1" x14ac:dyDescent="0.35">
      <c r="A9" s="108" t="s">
        <v>6</v>
      </c>
      <c r="B9" s="397" t="s">
        <v>528</v>
      </c>
      <c r="C9" s="880" t="s">
        <v>337</v>
      </c>
      <c r="D9" s="398" t="s">
        <v>529</v>
      </c>
      <c r="E9" s="880" t="s">
        <v>530</v>
      </c>
      <c r="F9" s="398" t="s">
        <v>531</v>
      </c>
      <c r="G9" s="672" t="s">
        <v>8</v>
      </c>
      <c r="H9" s="108" t="s">
        <v>6</v>
      </c>
      <c r="I9" s="108"/>
    </row>
    <row r="10" spans="1:13" ht="16.2" x14ac:dyDescent="0.3">
      <c r="B10" s="399"/>
      <c r="C10" s="400" t="s">
        <v>602</v>
      </c>
      <c r="D10" s="673"/>
      <c r="E10" s="673"/>
      <c r="F10" s="674"/>
      <c r="G10" s="405"/>
    </row>
    <row r="11" spans="1:13" x14ac:dyDescent="0.3">
      <c r="A11" s="108">
        <v>1</v>
      </c>
      <c r="B11" s="399">
        <v>920</v>
      </c>
      <c r="C11" s="401" t="s">
        <v>603</v>
      </c>
      <c r="D11" s="235">
        <v>43017.856290000003</v>
      </c>
      <c r="E11" s="235"/>
      <c r="F11" s="235">
        <f>D11-E11</f>
        <v>43017.856290000003</v>
      </c>
      <c r="G11" s="372" t="s">
        <v>604</v>
      </c>
      <c r="H11" s="108">
        <f>A11</f>
        <v>1</v>
      </c>
      <c r="I11" s="107" t="s">
        <v>1</v>
      </c>
      <c r="J11" s="2"/>
    </row>
    <row r="12" spans="1:13" x14ac:dyDescent="0.3">
      <c r="A12" s="108">
        <f t="shared" ref="A12:A26" si="0">A11+1</f>
        <v>2</v>
      </c>
      <c r="B12" s="399">
        <v>921</v>
      </c>
      <c r="C12" s="401" t="s">
        <v>605</v>
      </c>
      <c r="D12" s="236">
        <v>32003.332709999995</v>
      </c>
      <c r="E12" s="6"/>
      <c r="F12" s="236">
        <f>D12-E12</f>
        <v>32003.332709999995</v>
      </c>
      <c r="G12" s="372" t="s">
        <v>606</v>
      </c>
      <c r="H12" s="108">
        <f t="shared" ref="H12:H26" si="1">H11+1</f>
        <v>2</v>
      </c>
      <c r="J12" s="2"/>
      <c r="K12" s="402"/>
    </row>
    <row r="13" spans="1:13" x14ac:dyDescent="0.3">
      <c r="A13" s="108">
        <f t="shared" si="0"/>
        <v>3</v>
      </c>
      <c r="B13" s="399">
        <v>922</v>
      </c>
      <c r="C13" s="401" t="s">
        <v>607</v>
      </c>
      <c r="D13" s="236">
        <v>-13763.914919999999</v>
      </c>
      <c r="E13" s="6"/>
      <c r="F13" s="236">
        <f>D13-E13</f>
        <v>-13763.914919999999</v>
      </c>
      <c r="G13" s="372" t="s">
        <v>608</v>
      </c>
      <c r="H13" s="108">
        <f t="shared" si="1"/>
        <v>3</v>
      </c>
      <c r="J13" s="2"/>
    </row>
    <row r="14" spans="1:13" x14ac:dyDescent="0.3">
      <c r="A14" s="108">
        <f t="shared" si="0"/>
        <v>4</v>
      </c>
      <c r="B14" s="399">
        <v>923</v>
      </c>
      <c r="C14" s="401" t="s">
        <v>609</v>
      </c>
      <c r="D14" s="236">
        <v>106989.533</v>
      </c>
      <c r="E14" s="6">
        <f t="shared" ref="E14" si="2">E30</f>
        <v>-1166.77575</v>
      </c>
      <c r="F14" s="236">
        <f>D14-E14</f>
        <v>108156.30875</v>
      </c>
      <c r="G14" s="372" t="s">
        <v>610</v>
      </c>
      <c r="H14" s="108">
        <f t="shared" si="1"/>
        <v>4</v>
      </c>
      <c r="J14"/>
      <c r="K14"/>
      <c r="L14"/>
      <c r="M14"/>
    </row>
    <row r="15" spans="1:13" x14ac:dyDescent="0.3">
      <c r="A15" s="108">
        <f t="shared" si="0"/>
        <v>5</v>
      </c>
      <c r="B15" s="399">
        <v>924</v>
      </c>
      <c r="C15" s="401" t="s">
        <v>611</v>
      </c>
      <c r="D15" s="236">
        <v>10584.239569999998</v>
      </c>
      <c r="E15" s="6"/>
      <c r="F15" s="236">
        <f t="shared" ref="F15:F16" si="3">D15-E15</f>
        <v>10584.239569999998</v>
      </c>
      <c r="G15" s="372" t="s">
        <v>612</v>
      </c>
      <c r="H15" s="108">
        <f t="shared" si="1"/>
        <v>5</v>
      </c>
      <c r="J15"/>
      <c r="K15"/>
      <c r="L15"/>
      <c r="M15"/>
    </row>
    <row r="16" spans="1:13" x14ac:dyDescent="0.3">
      <c r="A16" s="108">
        <f t="shared" si="0"/>
        <v>6</v>
      </c>
      <c r="B16" s="399">
        <v>925</v>
      </c>
      <c r="C16" s="401" t="s">
        <v>613</v>
      </c>
      <c r="D16" s="236">
        <v>213057.13392000002</v>
      </c>
      <c r="E16" s="6">
        <f>E31</f>
        <v>271.77697832000001</v>
      </c>
      <c r="F16" s="236">
        <f t="shared" si="3"/>
        <v>212785.35694168002</v>
      </c>
      <c r="G16" s="372" t="s">
        <v>614</v>
      </c>
      <c r="H16" s="108">
        <f t="shared" si="1"/>
        <v>6</v>
      </c>
      <c r="J16" s="2"/>
    </row>
    <row r="17" spans="1:13" ht="18" x14ac:dyDescent="0.3">
      <c r="A17" s="108">
        <f t="shared" si="0"/>
        <v>7</v>
      </c>
      <c r="B17" s="399">
        <v>926</v>
      </c>
      <c r="C17" s="401" t="s">
        <v>615</v>
      </c>
      <c r="D17" s="236">
        <v>63809.404609999998</v>
      </c>
      <c r="E17" s="6">
        <f>E32</f>
        <v>446.01363487000009</v>
      </c>
      <c r="F17" s="236">
        <f>D17-E17</f>
        <v>63363.390975129994</v>
      </c>
      <c r="G17" s="372" t="s">
        <v>616</v>
      </c>
      <c r="H17" s="108">
        <f t="shared" si="1"/>
        <v>7</v>
      </c>
      <c r="J17" s="2"/>
    </row>
    <row r="18" spans="1:13" x14ac:dyDescent="0.3">
      <c r="A18" s="108">
        <f t="shared" si="0"/>
        <v>8</v>
      </c>
      <c r="B18" s="399">
        <v>927</v>
      </c>
      <c r="C18" s="401" t="s">
        <v>617</v>
      </c>
      <c r="D18" s="907">
        <v>112751.95299999999</v>
      </c>
      <c r="E18" s="236">
        <f>E33</f>
        <v>112751.95299999999</v>
      </c>
      <c r="F18" s="236">
        <f t="shared" ref="F18:F20" si="4">D18-E18</f>
        <v>0</v>
      </c>
      <c r="G18" s="372" t="s">
        <v>618</v>
      </c>
      <c r="H18" s="108">
        <f t="shared" si="1"/>
        <v>8</v>
      </c>
      <c r="J18" s="2"/>
    </row>
    <row r="19" spans="1:13" ht="18.600000000000001" x14ac:dyDescent="0.3">
      <c r="A19" s="108">
        <f t="shared" si="0"/>
        <v>9</v>
      </c>
      <c r="B19" s="399">
        <v>928</v>
      </c>
      <c r="C19" s="401" t="s">
        <v>619</v>
      </c>
      <c r="D19" s="236">
        <v>36424.177230000001</v>
      </c>
      <c r="E19" s="6">
        <f>E38</f>
        <v>24031.955899999997</v>
      </c>
      <c r="F19" s="236">
        <f t="shared" si="4"/>
        <v>12392.221330000004</v>
      </c>
      <c r="G19" s="372" t="s">
        <v>620</v>
      </c>
      <c r="H19" s="108">
        <f t="shared" si="1"/>
        <v>9</v>
      </c>
      <c r="J19" s="2"/>
    </row>
    <row r="20" spans="1:13" x14ac:dyDescent="0.3">
      <c r="A20" s="108">
        <f t="shared" si="0"/>
        <v>10</v>
      </c>
      <c r="B20" s="399">
        <v>929</v>
      </c>
      <c r="C20" s="401" t="s">
        <v>621</v>
      </c>
      <c r="D20" s="236">
        <v>-17216.712979999997</v>
      </c>
      <c r="E20" s="6">
        <f>E39</f>
        <v>-3937.7277100000001</v>
      </c>
      <c r="F20" s="236">
        <f t="shared" si="4"/>
        <v>-13278.985269999997</v>
      </c>
      <c r="G20" s="372" t="s">
        <v>622</v>
      </c>
      <c r="H20" s="108">
        <f t="shared" si="1"/>
        <v>10</v>
      </c>
      <c r="J20" s="2"/>
    </row>
    <row r="21" spans="1:13" x14ac:dyDescent="0.3">
      <c r="A21" s="108">
        <f>A20+1</f>
        <v>11</v>
      </c>
      <c r="B21" s="403">
        <v>930.1</v>
      </c>
      <c r="C21" s="401" t="s">
        <v>623</v>
      </c>
      <c r="D21" s="236">
        <v>55.474339999999998</v>
      </c>
      <c r="E21" s="6">
        <f>E40</f>
        <v>55.474339999999998</v>
      </c>
      <c r="F21" s="236">
        <f>D21-E21</f>
        <v>0</v>
      </c>
      <c r="G21" s="372" t="s">
        <v>624</v>
      </c>
      <c r="H21" s="108">
        <f>H20+1</f>
        <v>11</v>
      </c>
      <c r="J21" s="2"/>
    </row>
    <row r="22" spans="1:13" x14ac:dyDescent="0.3">
      <c r="A22" s="108">
        <f>A21+1</f>
        <v>12</v>
      </c>
      <c r="B22" s="403">
        <v>930.2</v>
      </c>
      <c r="C22" s="401" t="s">
        <v>625</v>
      </c>
      <c r="D22" s="236">
        <v>2770.7686400000007</v>
      </c>
      <c r="E22" s="6">
        <f>E41</f>
        <v>908.44687999999996</v>
      </c>
      <c r="F22" s="236">
        <f t="shared" ref="F22" si="5">D22-E22</f>
        <v>1862.3217600000007</v>
      </c>
      <c r="G22" s="372" t="s">
        <v>626</v>
      </c>
      <c r="H22" s="108">
        <f>H21+1</f>
        <v>12</v>
      </c>
      <c r="J22" s="2"/>
    </row>
    <row r="23" spans="1:13" x14ac:dyDescent="0.3">
      <c r="A23" s="108">
        <f t="shared" si="0"/>
        <v>13</v>
      </c>
      <c r="B23" s="399">
        <v>931</v>
      </c>
      <c r="C23" s="401" t="s">
        <v>561</v>
      </c>
      <c r="D23" s="236">
        <v>13677.63228</v>
      </c>
      <c r="E23" s="6"/>
      <c r="F23" s="236">
        <f>D23-E23</f>
        <v>13677.63228</v>
      </c>
      <c r="G23" s="372" t="s">
        <v>627</v>
      </c>
      <c r="H23" s="108">
        <f t="shared" si="1"/>
        <v>13</v>
      </c>
      <c r="J23" s="2"/>
    </row>
    <row r="24" spans="1:13" x14ac:dyDescent="0.3">
      <c r="A24" s="108">
        <f t="shared" si="0"/>
        <v>14</v>
      </c>
      <c r="B24" s="399">
        <v>935</v>
      </c>
      <c r="C24" s="401" t="s">
        <v>628</v>
      </c>
      <c r="D24" s="95">
        <v>22833.292279999998</v>
      </c>
      <c r="E24" s="881">
        <f>E42</f>
        <v>0</v>
      </c>
      <c r="F24" s="95">
        <f>D24-E24</f>
        <v>22833.292279999998</v>
      </c>
      <c r="G24" s="574" t="s">
        <v>629</v>
      </c>
      <c r="H24" s="108">
        <f t="shared" si="1"/>
        <v>14</v>
      </c>
      <c r="I24" s="107" t="s">
        <v>1</v>
      </c>
      <c r="J24" s="2"/>
    </row>
    <row r="25" spans="1:13" x14ac:dyDescent="0.3">
      <c r="A25" s="108">
        <f>A24+1</f>
        <v>15</v>
      </c>
      <c r="B25" s="399"/>
      <c r="D25" s="675"/>
      <c r="F25" s="675"/>
      <c r="G25" s="404"/>
      <c r="H25" s="108">
        <f>H24+1</f>
        <v>15</v>
      </c>
    </row>
    <row r="26" spans="1:13" ht="16.2" thickBot="1" x14ac:dyDescent="0.35">
      <c r="A26" s="108">
        <f t="shared" si="0"/>
        <v>16</v>
      </c>
      <c r="B26" s="399"/>
      <c r="C26" s="283" t="s">
        <v>630</v>
      </c>
      <c r="D26" s="100">
        <f>SUM(D11:D24)</f>
        <v>626994.16997000016</v>
      </c>
      <c r="E26" s="104">
        <f>SUM(E11:E24)</f>
        <v>133361.11727318997</v>
      </c>
      <c r="F26" s="100">
        <f>SUM(F11:F24)</f>
        <v>493633.0526968101</v>
      </c>
      <c r="G26" s="405" t="str">
        <f>"Sum Lines "&amp;A11&amp;" thru "&amp;A24</f>
        <v>Sum Lines 1 thru 14</v>
      </c>
      <c r="H26" s="108">
        <f t="shared" si="1"/>
        <v>16</v>
      </c>
    </row>
    <row r="27" spans="1:13" ht="16.8" thickTop="1" thickBot="1" x14ac:dyDescent="0.35">
      <c r="A27" s="108">
        <f>A26+1</f>
        <v>17</v>
      </c>
      <c r="B27" s="406"/>
      <c r="C27" s="882"/>
      <c r="D27" s="105"/>
      <c r="E27" s="106"/>
      <c r="F27" s="106"/>
      <c r="G27" s="637"/>
      <c r="H27" s="108">
        <f>H26+1</f>
        <v>17</v>
      </c>
    </row>
    <row r="28" spans="1:13" x14ac:dyDescent="0.3">
      <c r="A28" s="108">
        <f>A27+1</f>
        <v>18</v>
      </c>
      <c r="B28" s="1174"/>
      <c r="C28" s="1175"/>
      <c r="D28" s="1175"/>
      <c r="E28" s="1175"/>
      <c r="F28" s="1175"/>
      <c r="G28" s="1176"/>
      <c r="H28" s="108">
        <f>H27+1</f>
        <v>18</v>
      </c>
    </row>
    <row r="29" spans="1:13" x14ac:dyDescent="0.3">
      <c r="A29" s="108">
        <f t="shared" ref="A29:A50" si="6">A28+1</f>
        <v>19</v>
      </c>
      <c r="B29" s="408" t="s">
        <v>631</v>
      </c>
      <c r="C29" s="108"/>
      <c r="D29" s="108"/>
      <c r="E29" s="108"/>
      <c r="F29" s="108"/>
      <c r="G29" s="404"/>
      <c r="H29" s="108">
        <f>H28+1</f>
        <v>19</v>
      </c>
    </row>
    <row r="30" spans="1:13" ht="18" x14ac:dyDescent="0.3">
      <c r="A30" s="108">
        <f t="shared" si="6"/>
        <v>20</v>
      </c>
      <c r="B30" s="636">
        <v>923</v>
      </c>
      <c r="C30" s="401" t="s">
        <v>1774</v>
      </c>
      <c r="D30" s="1177"/>
      <c r="E30" s="1178">
        <v>-1166.77575</v>
      </c>
      <c r="F30" s="108"/>
      <c r="G30" s="404"/>
      <c r="H30" s="108">
        <f t="shared" ref="H30:H35" si="7">H29+1</f>
        <v>20</v>
      </c>
    </row>
    <row r="31" spans="1:13" x14ac:dyDescent="0.3">
      <c r="A31" s="108">
        <f>A30+1</f>
        <v>21</v>
      </c>
      <c r="B31" s="636">
        <v>925</v>
      </c>
      <c r="C31" s="401" t="s">
        <v>632</v>
      </c>
      <c r="E31" s="1187">
        <v>271.77697832000001</v>
      </c>
      <c r="F31" s="108"/>
      <c r="G31" s="404"/>
      <c r="H31" s="108">
        <f>H30+1</f>
        <v>21</v>
      </c>
      <c r="J31"/>
      <c r="K31"/>
      <c r="L31"/>
      <c r="M31"/>
    </row>
    <row r="32" spans="1:13" x14ac:dyDescent="0.3">
      <c r="A32" s="108">
        <f>A31+1</f>
        <v>22</v>
      </c>
      <c r="B32" s="636">
        <v>926</v>
      </c>
      <c r="C32" s="1179" t="s">
        <v>632</v>
      </c>
      <c r="D32"/>
      <c r="E32" s="909">
        <v>446.01363487000009</v>
      </c>
      <c r="F32" s="108"/>
      <c r="G32" s="404"/>
      <c r="H32" s="108">
        <f>H31+1</f>
        <v>22</v>
      </c>
      <c r="J32"/>
      <c r="K32"/>
      <c r="L32"/>
      <c r="M32"/>
    </row>
    <row r="33" spans="1:21" x14ac:dyDescent="0.3">
      <c r="A33" s="108">
        <f t="shared" ref="A33" si="8">A32+1</f>
        <v>23</v>
      </c>
      <c r="B33" s="634">
        <v>927</v>
      </c>
      <c r="C33" s="1179" t="s">
        <v>617</v>
      </c>
      <c r="D33" s="1177"/>
      <c r="E33" s="909">
        <v>112751.95299999999</v>
      </c>
      <c r="F33" s="108"/>
      <c r="G33" s="404"/>
      <c r="H33" s="108">
        <f t="shared" ref="H33" si="9">H32+1</f>
        <v>23</v>
      </c>
    </row>
    <row r="34" spans="1:21" x14ac:dyDescent="0.3">
      <c r="A34" s="108">
        <f t="shared" si="6"/>
        <v>24</v>
      </c>
      <c r="B34" s="636">
        <v>928</v>
      </c>
      <c r="C34" s="401" t="s">
        <v>633</v>
      </c>
      <c r="D34" s="1187">
        <v>22096.966619999999</v>
      </c>
      <c r="E34" s="108"/>
      <c r="F34" s="108"/>
      <c r="G34" s="404"/>
      <c r="H34" s="108">
        <f t="shared" si="7"/>
        <v>24</v>
      </c>
      <c r="J34" s="908"/>
    </row>
    <row r="35" spans="1:21" x14ac:dyDescent="0.3">
      <c r="A35" s="108">
        <f t="shared" si="6"/>
        <v>25</v>
      </c>
      <c r="B35" s="636"/>
      <c r="C35" s="401" t="s">
        <v>634</v>
      </c>
      <c r="D35" s="1177">
        <v>0.77205999999999997</v>
      </c>
      <c r="E35" s="108"/>
      <c r="F35" s="108"/>
      <c r="G35" s="404"/>
      <c r="H35" s="108">
        <f t="shared" si="7"/>
        <v>25</v>
      </c>
      <c r="J35" s="908"/>
    </row>
    <row r="36" spans="1:21" x14ac:dyDescent="0.3">
      <c r="A36" s="108">
        <f t="shared" si="6"/>
        <v>26</v>
      </c>
      <c r="B36" s="636"/>
      <c r="C36" s="401" t="s">
        <v>632</v>
      </c>
      <c r="D36" s="1177">
        <v>666.62089999999989</v>
      </c>
      <c r="E36" s="108"/>
      <c r="F36" s="108"/>
      <c r="G36" s="404"/>
      <c r="H36" s="108">
        <f t="shared" ref="H36:H50" si="10">H35+1</f>
        <v>26</v>
      </c>
    </row>
    <row r="37" spans="1:21" x14ac:dyDescent="0.3">
      <c r="A37" s="108">
        <f t="shared" si="6"/>
        <v>27</v>
      </c>
      <c r="B37" s="636"/>
      <c r="C37" s="1180" t="s">
        <v>12</v>
      </c>
      <c r="D37" s="913">
        <v>0</v>
      </c>
      <c r="E37" s="108"/>
      <c r="F37" s="108"/>
      <c r="G37" s="404"/>
      <c r="H37" s="108">
        <f t="shared" si="10"/>
        <v>27</v>
      </c>
      <c r="J37"/>
      <c r="K37"/>
      <c r="L37"/>
      <c r="M37"/>
      <c r="N37"/>
      <c r="O37"/>
      <c r="P37"/>
      <c r="Q37"/>
      <c r="R37"/>
      <c r="S37"/>
      <c r="T37"/>
      <c r="U37"/>
    </row>
    <row r="38" spans="1:21" x14ac:dyDescent="0.3">
      <c r="A38" s="108">
        <f t="shared" si="6"/>
        <v>28</v>
      </c>
      <c r="B38" s="636"/>
      <c r="C38" s="1180" t="s">
        <v>635</v>
      </c>
      <c r="D38" s="1104">
        <v>1267.5963200000001</v>
      </c>
      <c r="E38" s="1177">
        <f>SUM(D34:D38)</f>
        <v>24031.955899999997</v>
      </c>
      <c r="F38" s="108"/>
      <c r="G38" s="404"/>
      <c r="H38" s="108">
        <f t="shared" si="10"/>
        <v>28</v>
      </c>
      <c r="J38"/>
      <c r="K38"/>
      <c r="L38"/>
      <c r="M38"/>
      <c r="N38"/>
      <c r="O38"/>
      <c r="P38"/>
      <c r="Q38"/>
      <c r="R38"/>
      <c r="S38"/>
      <c r="T38"/>
      <c r="U38"/>
    </row>
    <row r="39" spans="1:21" x14ac:dyDescent="0.3">
      <c r="A39" s="108">
        <f t="shared" si="6"/>
        <v>29</v>
      </c>
      <c r="B39" s="636">
        <v>929</v>
      </c>
      <c r="C39" s="1180" t="s">
        <v>1554</v>
      </c>
      <c r="D39" s="1177"/>
      <c r="E39" s="1177">
        <v>-3937.7277100000001</v>
      </c>
      <c r="F39" s="108"/>
      <c r="G39" s="404"/>
      <c r="H39" s="108">
        <f t="shared" si="10"/>
        <v>29</v>
      </c>
      <c r="J39"/>
      <c r="K39"/>
      <c r="L39"/>
      <c r="M39"/>
      <c r="N39"/>
      <c r="O39"/>
      <c r="P39"/>
      <c r="Q39"/>
      <c r="R39"/>
      <c r="S39"/>
      <c r="T39"/>
      <c r="U39"/>
    </row>
    <row r="40" spans="1:21" x14ac:dyDescent="0.3">
      <c r="A40" s="108">
        <f t="shared" si="6"/>
        <v>30</v>
      </c>
      <c r="B40" s="635">
        <v>930.1</v>
      </c>
      <c r="C40" s="1180" t="s">
        <v>623</v>
      </c>
      <c r="D40" s="1177"/>
      <c r="E40" s="909">
        <v>55.474339999999998</v>
      </c>
      <c r="F40" s="108"/>
      <c r="G40" s="404"/>
      <c r="H40" s="108">
        <f t="shared" si="10"/>
        <v>30</v>
      </c>
      <c r="J40"/>
      <c r="K40"/>
    </row>
    <row r="41" spans="1:21" x14ac:dyDescent="0.3">
      <c r="A41" s="108">
        <f t="shared" si="6"/>
        <v>31</v>
      </c>
      <c r="B41" s="883">
        <v>930.2</v>
      </c>
      <c r="C41" s="1179" t="s">
        <v>636</v>
      </c>
      <c r="E41" s="909">
        <v>908.44687999999996</v>
      </c>
      <c r="F41" s="108"/>
      <c r="G41" s="404"/>
      <c r="H41" s="108">
        <f t="shared" si="10"/>
        <v>31</v>
      </c>
      <c r="J41"/>
      <c r="K41"/>
    </row>
    <row r="42" spans="1:21" x14ac:dyDescent="0.3">
      <c r="A42" s="108">
        <f t="shared" si="6"/>
        <v>32</v>
      </c>
      <c r="B42" s="636">
        <v>935</v>
      </c>
      <c r="C42" s="401" t="s">
        <v>637</v>
      </c>
      <c r="D42" s="1177"/>
      <c r="E42" s="910">
        <v>0</v>
      </c>
      <c r="F42" s="108"/>
      <c r="G42" s="404"/>
      <c r="H42" s="108">
        <f t="shared" si="10"/>
        <v>32</v>
      </c>
    </row>
    <row r="43" spans="1:21" x14ac:dyDescent="0.3">
      <c r="A43" s="108">
        <f t="shared" si="6"/>
        <v>33</v>
      </c>
      <c r="B43" s="636"/>
      <c r="C43" s="1181"/>
      <c r="D43" s="1182"/>
      <c r="E43" s="6"/>
      <c r="G43" s="404"/>
      <c r="H43" s="108">
        <f t="shared" si="10"/>
        <v>33</v>
      </c>
    </row>
    <row r="44" spans="1:21" ht="16.2" thickBot="1" x14ac:dyDescent="0.35">
      <c r="A44" s="108">
        <f t="shared" si="6"/>
        <v>34</v>
      </c>
      <c r="B44" s="407"/>
      <c r="C44" s="1183" t="s">
        <v>600</v>
      </c>
      <c r="D44" s="1184"/>
      <c r="E44" s="103">
        <f>SUM(E30:E42)</f>
        <v>133361.11727318997</v>
      </c>
      <c r="F44" s="109"/>
      <c r="G44" s="404"/>
      <c r="H44" s="108">
        <f t="shared" si="10"/>
        <v>34</v>
      </c>
    </row>
    <row r="45" spans="1:21" ht="16.2" thickTop="1" x14ac:dyDescent="0.3">
      <c r="A45" s="108">
        <f t="shared" si="6"/>
        <v>35</v>
      </c>
      <c r="B45" s="407"/>
      <c r="C45" s="1183"/>
      <c r="D45" s="1184"/>
      <c r="E45" s="44"/>
      <c r="F45" s="109"/>
      <c r="G45" s="404"/>
      <c r="H45" s="108">
        <f t="shared" si="10"/>
        <v>35</v>
      </c>
    </row>
    <row r="46" spans="1:21" x14ac:dyDescent="0.3">
      <c r="A46" s="108">
        <f t="shared" si="6"/>
        <v>36</v>
      </c>
      <c r="B46" s="407"/>
      <c r="C46" s="1183"/>
      <c r="E46" s="44"/>
      <c r="F46" s="1"/>
      <c r="G46" s="404"/>
      <c r="H46" s="108">
        <f t="shared" si="10"/>
        <v>36</v>
      </c>
    </row>
    <row r="47" spans="1:21" ht="18" x14ac:dyDescent="0.3">
      <c r="A47" s="108">
        <f t="shared" si="6"/>
        <v>37</v>
      </c>
      <c r="B47" s="409">
        <v>1</v>
      </c>
      <c r="C47" s="32" t="s">
        <v>1565</v>
      </c>
      <c r="E47" s="44"/>
      <c r="F47" s="1"/>
      <c r="G47" s="404"/>
      <c r="H47" s="108">
        <f t="shared" si="10"/>
        <v>37</v>
      </c>
    </row>
    <row r="48" spans="1:21" ht="18" x14ac:dyDescent="0.3">
      <c r="A48" s="108">
        <f t="shared" si="6"/>
        <v>38</v>
      </c>
      <c r="B48" s="409">
        <v>2</v>
      </c>
      <c r="C48" s="1108" t="s">
        <v>1784</v>
      </c>
      <c r="E48" s="258"/>
      <c r="F48" s="1"/>
      <c r="G48" s="404"/>
      <c r="H48" s="108">
        <f t="shared" si="10"/>
        <v>38</v>
      </c>
      <c r="J48"/>
      <c r="K48"/>
      <c r="L48"/>
      <c r="M48"/>
      <c r="N48"/>
      <c r="O48"/>
      <c r="P48"/>
    </row>
    <row r="49" spans="1:15" x14ac:dyDescent="0.3">
      <c r="A49" s="108">
        <f t="shared" si="6"/>
        <v>39</v>
      </c>
      <c r="B49" s="407"/>
      <c r="C49" s="1108" t="s">
        <v>1785</v>
      </c>
      <c r="E49" s="258"/>
      <c r="F49" s="1"/>
      <c r="G49" s="404"/>
      <c r="H49" s="108">
        <f t="shared" si="10"/>
        <v>39</v>
      </c>
      <c r="J49" s="1107"/>
      <c r="K49" s="1107"/>
      <c r="L49" s="1107"/>
      <c r="M49" s="1107"/>
      <c r="N49" s="1107"/>
      <c r="O49" s="1107"/>
    </row>
    <row r="50" spans="1:15" ht="16.2" thickBot="1" x14ac:dyDescent="0.35">
      <c r="A50" s="108">
        <f t="shared" si="6"/>
        <v>40</v>
      </c>
      <c r="B50" s="410"/>
      <c r="C50" s="884"/>
      <c r="D50" s="882"/>
      <c r="E50" s="882"/>
      <c r="F50" s="882"/>
      <c r="G50" s="637"/>
      <c r="H50" s="108">
        <f t="shared" si="10"/>
        <v>40</v>
      </c>
    </row>
    <row r="51" spans="1:15" x14ac:dyDescent="0.3">
      <c r="A51" s="389"/>
      <c r="C51" s="401"/>
      <c r="D51" s="411"/>
      <c r="E51" s="411"/>
    </row>
    <row r="52" spans="1:15" ht="18" x14ac:dyDescent="0.3">
      <c r="A52" s="412"/>
      <c r="C52" s="401"/>
    </row>
    <row r="53" spans="1:15" ht="18" x14ac:dyDescent="0.3">
      <c r="A53" s="412"/>
      <c r="C53" s="401"/>
    </row>
    <row r="54" spans="1:15" ht="18" x14ac:dyDescent="0.3">
      <c r="A54" s="412"/>
      <c r="C54" s="401"/>
    </row>
    <row r="55" spans="1:15" ht="18" x14ac:dyDescent="0.3">
      <c r="A55" s="412"/>
      <c r="C55" s="401"/>
    </row>
    <row r="56" spans="1:15" ht="18" x14ac:dyDescent="0.3">
      <c r="A56" s="412"/>
      <c r="C56" s="401"/>
    </row>
    <row r="57" spans="1:15" ht="18" x14ac:dyDescent="0.3">
      <c r="A57" s="412"/>
      <c r="C57" s="401"/>
    </row>
    <row r="58" spans="1:15" x14ac:dyDescent="0.3">
      <c r="A58" s="389"/>
      <c r="C58" s="401"/>
    </row>
    <row r="59" spans="1:15" ht="18" x14ac:dyDescent="0.3">
      <c r="A59" s="412"/>
      <c r="C59" s="401"/>
    </row>
    <row r="60" spans="1:15" x14ac:dyDescent="0.3">
      <c r="A60" s="389"/>
      <c r="C60" s="401"/>
    </row>
    <row r="61" spans="1:15" ht="18" x14ac:dyDescent="0.3">
      <c r="A61" s="412"/>
      <c r="C61" s="401"/>
    </row>
    <row r="62" spans="1:15" x14ac:dyDescent="0.3">
      <c r="A62" s="389"/>
      <c r="C62" s="401"/>
    </row>
    <row r="63" spans="1:15" ht="18" x14ac:dyDescent="0.3">
      <c r="A63" s="412"/>
      <c r="C63" s="401"/>
    </row>
    <row r="64" spans="1:15" ht="18" x14ac:dyDescent="0.3">
      <c r="A64" s="412"/>
      <c r="B64" s="401"/>
    </row>
    <row r="65" spans="1:2" ht="18" x14ac:dyDescent="0.3">
      <c r="A65" s="412"/>
      <c r="B65" s="401"/>
    </row>
    <row r="66" spans="1:2" x14ac:dyDescent="0.3">
      <c r="B66" s="401"/>
    </row>
    <row r="67" spans="1:2" ht="18" x14ac:dyDescent="0.3">
      <c r="A67" s="412"/>
      <c r="B67" s="401"/>
    </row>
    <row r="68" spans="1:2" x14ac:dyDescent="0.3">
      <c r="A68" s="413"/>
      <c r="B68" s="283"/>
    </row>
    <row r="69" spans="1:2" x14ac:dyDescent="0.3">
      <c r="B69" s="401"/>
    </row>
  </sheetData>
  <mergeCells count="4">
    <mergeCell ref="B2:G2"/>
    <mergeCell ref="B3:G3"/>
    <mergeCell ref="B4:G4"/>
    <mergeCell ref="B5:G5"/>
  </mergeCells>
  <phoneticPr fontId="56" type="noConversion"/>
  <printOptions horizontalCentered="1"/>
  <pageMargins left="0.5" right="0.5" top="0.5" bottom="0.5" header="0.25" footer="0.25"/>
  <pageSetup scale="51" orientation="portrait" r:id="rId1"/>
  <headerFooter scaleWithDoc="0">
    <oddFooter xml:space="preserve">&amp;C&amp;"Times New Roman,Regular"&amp;10&amp;A
</oddFooter>
  </headerFooter>
  <rowBreaks count="1" manualBreakCount="1">
    <brk id="27" max="7" man="1"/>
  </rowBreaks>
  <customProperties>
    <customPr name="_pios_id" r:id="rId2"/>
  </customPropertie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L29"/>
  <sheetViews>
    <sheetView zoomScale="80" zoomScaleNormal="80" workbookViewId="0"/>
  </sheetViews>
  <sheetFormatPr defaultColWidth="8.6640625" defaultRowHeight="15.6" x14ac:dyDescent="0.3"/>
  <cols>
    <col min="1" max="1" width="5.33203125" style="4" customWidth="1"/>
    <col min="2" max="2" width="64.6640625" style="5" customWidth="1"/>
    <col min="3" max="3" width="21.33203125" style="32" customWidth="1"/>
    <col min="4" max="4" width="1.5546875" style="5" customWidth="1"/>
    <col min="5" max="5" width="16.6640625" style="5" customWidth="1"/>
    <col min="6" max="6" width="1.5546875" style="5" customWidth="1"/>
    <col min="7" max="7" width="34.5546875" style="5" customWidth="1"/>
    <col min="8" max="8" width="5.33203125" style="5" customWidth="1"/>
    <col min="9" max="9" width="8.6640625" style="5"/>
    <col min="10" max="10" width="20.44140625" style="887" bestFit="1" customWidth="1"/>
    <col min="11" max="16384" width="8.6640625" style="5"/>
  </cols>
  <sheetData>
    <row r="1" spans="1:12" x14ac:dyDescent="0.3">
      <c r="A1" s="418"/>
      <c r="B1" s="32"/>
      <c r="D1" s="32"/>
      <c r="E1" s="414"/>
      <c r="F1" s="415"/>
      <c r="G1" s="4"/>
      <c r="H1" s="4"/>
    </row>
    <row r="2" spans="1:12" x14ac:dyDescent="0.3">
      <c r="B2" s="1222" t="s">
        <v>0</v>
      </c>
      <c r="C2" s="1222"/>
      <c r="D2" s="1222"/>
      <c r="E2" s="1222"/>
      <c r="F2" s="1222"/>
      <c r="G2" s="1222"/>
      <c r="H2" s="4"/>
      <c r="J2"/>
      <c r="K2"/>
      <c r="L2"/>
    </row>
    <row r="3" spans="1:12" x14ac:dyDescent="0.3">
      <c r="B3" s="1222" t="s">
        <v>638</v>
      </c>
      <c r="C3" s="1222"/>
      <c r="D3" s="1222"/>
      <c r="E3" s="1222"/>
      <c r="F3" s="1222"/>
      <c r="G3" s="1222"/>
      <c r="H3" s="4"/>
      <c r="J3" s="906"/>
    </row>
    <row r="4" spans="1:12" x14ac:dyDescent="0.3">
      <c r="B4" s="1222" t="s">
        <v>639</v>
      </c>
      <c r="C4" s="1222"/>
      <c r="D4" s="1222"/>
      <c r="E4" s="1222"/>
      <c r="F4" s="1222"/>
      <c r="G4" s="1222"/>
      <c r="H4" s="4"/>
    </row>
    <row r="5" spans="1:12" x14ac:dyDescent="0.3">
      <c r="B5" s="1227" t="str">
        <f>'Stmt AD'!B5</f>
        <v>Base Period &amp; True-Up Period 12 - Months Ending December 31, 2023</v>
      </c>
      <c r="C5" s="1227"/>
      <c r="D5" s="1227"/>
      <c r="E5" s="1227"/>
      <c r="F5" s="1227"/>
      <c r="G5" s="1227"/>
      <c r="H5" s="4"/>
    </row>
    <row r="6" spans="1:12" x14ac:dyDescent="0.3">
      <c r="B6" s="1226" t="s">
        <v>4</v>
      </c>
      <c r="C6" s="1223"/>
      <c r="D6" s="1223"/>
      <c r="E6" s="1223"/>
      <c r="F6" s="1223"/>
      <c r="G6" s="1223"/>
      <c r="H6" s="4"/>
      <c r="J6"/>
      <c r="K6"/>
      <c r="L6"/>
    </row>
    <row r="7" spans="1:12" x14ac:dyDescent="0.3">
      <c r="B7" s="4"/>
      <c r="C7" s="4"/>
      <c r="D7" s="4"/>
      <c r="E7" s="4"/>
      <c r="F7" s="221"/>
      <c r="G7" s="4"/>
      <c r="H7" s="4"/>
    </row>
    <row r="8" spans="1:12" x14ac:dyDescent="0.3">
      <c r="A8" s="4" t="s">
        <v>5</v>
      </c>
      <c r="B8" s="221"/>
      <c r="C8" s="4" t="s">
        <v>236</v>
      </c>
      <c r="D8" s="221"/>
      <c r="E8" s="221"/>
      <c r="F8" s="221"/>
      <c r="G8" s="4"/>
      <c r="H8" s="4" t="s">
        <v>5</v>
      </c>
    </row>
    <row r="9" spans="1:12" x14ac:dyDescent="0.3">
      <c r="A9" s="4" t="s">
        <v>6</v>
      </c>
      <c r="B9" s="32"/>
      <c r="C9" s="852" t="s">
        <v>238</v>
      </c>
      <c r="D9" s="32"/>
      <c r="E9" s="853" t="s">
        <v>7</v>
      </c>
      <c r="F9" s="4"/>
      <c r="G9" s="852" t="s">
        <v>8</v>
      </c>
      <c r="H9" s="4" t="s">
        <v>6</v>
      </c>
    </row>
    <row r="10" spans="1:12" x14ac:dyDescent="0.3">
      <c r="B10" s="32"/>
      <c r="D10" s="32"/>
      <c r="E10" s="32"/>
      <c r="F10" s="4"/>
      <c r="G10" s="996"/>
      <c r="H10" s="4"/>
    </row>
    <row r="11" spans="1:12" x14ac:dyDescent="0.3">
      <c r="A11" s="4">
        <v>1</v>
      </c>
      <c r="B11" s="32" t="s">
        <v>640</v>
      </c>
      <c r="C11" s="47" t="s">
        <v>641</v>
      </c>
      <c r="D11" s="32"/>
      <c r="E11" s="41">
        <v>14293.665000000001</v>
      </c>
      <c r="F11" s="42"/>
      <c r="G11" s="416"/>
      <c r="H11" s="4">
        <f>A11</f>
        <v>1</v>
      </c>
      <c r="K11" s="47"/>
    </row>
    <row r="12" spans="1:12" x14ac:dyDescent="0.3">
      <c r="A12" s="4">
        <f>+A11+1</f>
        <v>2</v>
      </c>
      <c r="B12" s="32"/>
      <c r="C12" s="47"/>
      <c r="D12" s="32"/>
      <c r="E12" s="71"/>
      <c r="F12" s="42"/>
      <c r="G12" s="417"/>
      <c r="H12" s="4">
        <f>+H11+1</f>
        <v>2</v>
      </c>
      <c r="K12" s="47"/>
    </row>
    <row r="13" spans="1:12" x14ac:dyDescent="0.3">
      <c r="A13" s="4">
        <f t="shared" ref="A13:A25" si="0">+A12+1</f>
        <v>3</v>
      </c>
      <c r="B13" s="32" t="s">
        <v>642</v>
      </c>
      <c r="C13" s="47" t="s">
        <v>643</v>
      </c>
      <c r="D13" s="32"/>
      <c r="E13" s="43">
        <v>32531.388999999999</v>
      </c>
      <c r="F13" s="42"/>
      <c r="G13" s="416"/>
      <c r="H13" s="4">
        <f t="shared" ref="H13:H25" si="1">+H12+1</f>
        <v>3</v>
      </c>
      <c r="K13" s="47"/>
    </row>
    <row r="14" spans="1:12" x14ac:dyDescent="0.3">
      <c r="A14" s="4">
        <f t="shared" si="0"/>
        <v>4</v>
      </c>
      <c r="B14" s="32"/>
      <c r="C14" s="47"/>
      <c r="D14" s="32"/>
      <c r="E14" s="39"/>
      <c r="F14" s="42"/>
      <c r="G14" s="416"/>
      <c r="H14" s="4">
        <f t="shared" si="1"/>
        <v>4</v>
      </c>
      <c r="K14" s="47"/>
    </row>
    <row r="15" spans="1:12" x14ac:dyDescent="0.3">
      <c r="A15" s="4">
        <f t="shared" si="0"/>
        <v>5</v>
      </c>
      <c r="B15" s="32" t="s">
        <v>644</v>
      </c>
      <c r="C15" s="47" t="s">
        <v>645</v>
      </c>
      <c r="D15" s="32"/>
      <c r="E15" s="43">
        <v>77850.195999999996</v>
      </c>
      <c r="F15" s="42"/>
      <c r="G15" s="416"/>
      <c r="H15" s="4">
        <f t="shared" si="1"/>
        <v>5</v>
      </c>
      <c r="K15" s="47"/>
    </row>
    <row r="16" spans="1:12" x14ac:dyDescent="0.3">
      <c r="A16" s="4">
        <f t="shared" si="0"/>
        <v>6</v>
      </c>
      <c r="B16" s="32"/>
      <c r="C16" s="47"/>
      <c r="D16" s="32"/>
      <c r="E16" s="39"/>
      <c r="F16" s="42"/>
      <c r="G16" s="416"/>
      <c r="H16" s="4">
        <f t="shared" si="1"/>
        <v>6</v>
      </c>
      <c r="K16" s="47"/>
    </row>
    <row r="17" spans="1:11" x14ac:dyDescent="0.3">
      <c r="A17" s="4">
        <f t="shared" si="0"/>
        <v>7</v>
      </c>
      <c r="B17" s="32" t="s">
        <v>646</v>
      </c>
      <c r="C17" s="47" t="s">
        <v>647</v>
      </c>
      <c r="D17" s="32"/>
      <c r="E17" s="43">
        <v>19469.243999999999</v>
      </c>
      <c r="F17" s="42"/>
      <c r="G17" s="416"/>
      <c r="H17" s="4">
        <f t="shared" si="1"/>
        <v>7</v>
      </c>
      <c r="K17" s="47"/>
    </row>
    <row r="18" spans="1:11" x14ac:dyDescent="0.3">
      <c r="A18" s="4">
        <f t="shared" si="0"/>
        <v>8</v>
      </c>
      <c r="B18" s="32"/>
      <c r="C18" s="47"/>
      <c r="D18" s="32"/>
      <c r="E18" s="39"/>
      <c r="F18" s="42"/>
      <c r="G18" s="416"/>
      <c r="H18" s="4">
        <f t="shared" si="1"/>
        <v>8</v>
      </c>
      <c r="K18" s="47"/>
    </row>
    <row r="19" spans="1:11" x14ac:dyDescent="0.3">
      <c r="A19" s="4">
        <f t="shared" si="0"/>
        <v>9</v>
      </c>
      <c r="B19" s="32" t="s">
        <v>648</v>
      </c>
      <c r="C19" s="47" t="s">
        <v>649</v>
      </c>
      <c r="D19" s="32"/>
      <c r="E19" s="43">
        <v>18488.069</v>
      </c>
      <c r="F19" s="42"/>
      <c r="G19" s="416"/>
      <c r="H19" s="4">
        <f t="shared" si="1"/>
        <v>9</v>
      </c>
      <c r="K19" s="47"/>
    </row>
    <row r="20" spans="1:11" x14ac:dyDescent="0.3">
      <c r="A20" s="4">
        <f t="shared" si="0"/>
        <v>10</v>
      </c>
      <c r="B20" s="32"/>
      <c r="C20" s="47"/>
      <c r="D20" s="32"/>
      <c r="E20" s="39"/>
      <c r="F20" s="42"/>
      <c r="G20" s="416"/>
      <c r="H20" s="4">
        <f t="shared" si="1"/>
        <v>10</v>
      </c>
      <c r="K20" s="47"/>
    </row>
    <row r="21" spans="1:11" x14ac:dyDescent="0.3">
      <c r="A21" s="4">
        <f t="shared" si="0"/>
        <v>11</v>
      </c>
      <c r="B21" s="32" t="s">
        <v>650</v>
      </c>
      <c r="C21" s="47" t="s">
        <v>651</v>
      </c>
      <c r="D21" s="32"/>
      <c r="E21" s="912">
        <v>0</v>
      </c>
      <c r="F21" s="42"/>
      <c r="G21" s="416"/>
      <c r="H21" s="4">
        <f t="shared" si="1"/>
        <v>11</v>
      </c>
      <c r="K21" s="47"/>
    </row>
    <row r="22" spans="1:11" x14ac:dyDescent="0.3">
      <c r="A22" s="4">
        <f t="shared" si="0"/>
        <v>12</v>
      </c>
      <c r="B22" s="32"/>
      <c r="D22" s="32"/>
      <c r="E22" s="71"/>
      <c r="F22" s="42"/>
      <c r="G22" s="47"/>
      <c r="H22" s="4">
        <f t="shared" si="1"/>
        <v>12</v>
      </c>
    </row>
    <row r="23" spans="1:11" ht="16.2" thickBot="1" x14ac:dyDescent="0.35">
      <c r="A23" s="4">
        <f t="shared" si="0"/>
        <v>13</v>
      </c>
      <c r="B23" s="32" t="s">
        <v>652</v>
      </c>
      <c r="D23" s="32"/>
      <c r="E23" s="122">
        <f>SUM(E11:E21)</f>
        <v>162632.56299999999</v>
      </c>
      <c r="F23" s="42"/>
      <c r="G23" s="45" t="s">
        <v>653</v>
      </c>
      <c r="H23" s="4">
        <f t="shared" si="1"/>
        <v>13</v>
      </c>
    </row>
    <row r="24" spans="1:11" ht="16.2" thickTop="1" x14ac:dyDescent="0.3">
      <c r="A24" s="4">
        <f t="shared" si="0"/>
        <v>14</v>
      </c>
      <c r="B24" s="32"/>
      <c r="D24" s="32"/>
      <c r="E24" s="49"/>
      <c r="F24" s="42"/>
      <c r="G24" s="45"/>
      <c r="H24" s="4">
        <f t="shared" si="1"/>
        <v>14</v>
      </c>
    </row>
    <row r="25" spans="1:11" ht="16.2" thickBot="1" x14ac:dyDescent="0.35">
      <c r="A25" s="4">
        <f t="shared" si="0"/>
        <v>15</v>
      </c>
      <c r="B25" s="32" t="s">
        <v>264</v>
      </c>
      <c r="D25" s="32"/>
      <c r="E25" s="110">
        <f>IFERROR(E13/E23,0)</f>
        <v>0.20002998415514117</v>
      </c>
      <c r="F25" s="74"/>
      <c r="G25" s="4" t="s">
        <v>654</v>
      </c>
      <c r="H25" s="4">
        <f t="shared" si="1"/>
        <v>15</v>
      </c>
    </row>
    <row r="26" spans="1:11" ht="16.2" thickTop="1" x14ac:dyDescent="0.3">
      <c r="B26" s="32"/>
      <c r="D26" s="32"/>
      <c r="E26" s="73"/>
      <c r="F26" s="74"/>
      <c r="G26" s="4"/>
      <c r="H26" s="4"/>
    </row>
    <row r="27" spans="1:11" x14ac:dyDescent="0.3">
      <c r="B27" s="32"/>
      <c r="D27" s="32"/>
      <c r="E27" s="73"/>
      <c r="F27" s="74"/>
      <c r="G27" s="45"/>
      <c r="H27" s="4"/>
    </row>
    <row r="28" spans="1:11" x14ac:dyDescent="0.3">
      <c r="B28" s="32"/>
      <c r="D28" s="32"/>
      <c r="E28" s="157"/>
      <c r="F28" s="74"/>
      <c r="G28" s="4"/>
      <c r="H28" s="4"/>
    </row>
    <row r="29" spans="1:11" x14ac:dyDescent="0.3">
      <c r="E29" s="683"/>
    </row>
  </sheetData>
  <mergeCells count="5">
    <mergeCell ref="B2:G2"/>
    <mergeCell ref="B3:G3"/>
    <mergeCell ref="B4:G4"/>
    <mergeCell ref="B5:G5"/>
    <mergeCell ref="B6:G6"/>
  </mergeCells>
  <printOptions horizontalCentered="1"/>
  <pageMargins left="0.5" right="0.5" top="0.5" bottom="0.5" header="0.25" footer="0.25"/>
  <pageSetup scale="63" orientation="portrait" r:id="rId1"/>
  <headerFooter scaleWithDoc="0">
    <oddFooter>&amp;C&amp;"Times New Roman,Regular"&amp;10&amp;A</oddFooter>
  </headerFooter>
  <customProperties>
    <customPr name="_pios_id" r:id="rId2"/>
  </customPropertie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H41"/>
  <sheetViews>
    <sheetView zoomScale="80" zoomScaleNormal="80" workbookViewId="0">
      <selection activeCell="I20" sqref="I20"/>
    </sheetView>
  </sheetViews>
  <sheetFormatPr defaultColWidth="8.6640625" defaultRowHeight="15.6" x14ac:dyDescent="0.3"/>
  <cols>
    <col min="1" max="1" width="5.33203125" style="4" customWidth="1"/>
    <col min="2" max="2" width="71.5546875" style="32" customWidth="1"/>
    <col min="3" max="3" width="21.33203125" style="361" customWidth="1"/>
    <col min="4" max="4" width="1.5546875" style="32" customWidth="1"/>
    <col min="5" max="5" width="16.6640625" style="32" customWidth="1"/>
    <col min="6" max="6" width="1.5546875" style="32" customWidth="1"/>
    <col min="7" max="7" width="34.5546875" style="32" customWidth="1"/>
    <col min="8" max="8" width="5.33203125" style="4" customWidth="1"/>
    <col min="9" max="9" width="20.44140625" style="32" bestFit="1" customWidth="1"/>
    <col min="10" max="16384" width="8.6640625" style="32"/>
  </cols>
  <sheetData>
    <row r="1" spans="1:8" x14ac:dyDescent="0.3">
      <c r="B1" s="33"/>
      <c r="E1" s="71"/>
      <c r="F1" s="42"/>
      <c r="G1" s="4"/>
    </row>
    <row r="2" spans="1:8" x14ac:dyDescent="0.3">
      <c r="B2" s="1222" t="s">
        <v>0</v>
      </c>
      <c r="C2" s="1222"/>
      <c r="D2" s="1222"/>
      <c r="E2" s="1222"/>
      <c r="F2" s="1222"/>
      <c r="G2" s="1222"/>
    </row>
    <row r="3" spans="1:8" x14ac:dyDescent="0.3">
      <c r="B3" s="1222" t="s">
        <v>655</v>
      </c>
      <c r="C3" s="1222"/>
      <c r="D3" s="1222"/>
      <c r="E3" s="1222"/>
      <c r="F3" s="1222"/>
      <c r="G3" s="1222"/>
    </row>
    <row r="4" spans="1:8" x14ac:dyDescent="0.3">
      <c r="B4" s="1222" t="s">
        <v>656</v>
      </c>
      <c r="C4" s="1222"/>
      <c r="D4" s="1222"/>
      <c r="E4" s="1222"/>
      <c r="F4" s="1222"/>
      <c r="G4" s="1222"/>
    </row>
    <row r="5" spans="1:8" x14ac:dyDescent="0.3">
      <c r="B5" s="1227" t="str">
        <f>'Stmt AD'!B5</f>
        <v>Base Period &amp; True-Up Period 12 - Months Ending December 31, 2023</v>
      </c>
      <c r="C5" s="1227"/>
      <c r="D5" s="1227"/>
      <c r="E5" s="1227"/>
      <c r="F5" s="1227"/>
      <c r="G5" s="1227"/>
    </row>
    <row r="6" spans="1:8" ht="15.75" customHeight="1" x14ac:dyDescent="0.3">
      <c r="B6" s="1237">
        <v>-1000</v>
      </c>
      <c r="C6" s="1237"/>
      <c r="D6" s="1237"/>
      <c r="E6" s="1237"/>
      <c r="F6" s="1237"/>
      <c r="G6" s="1237"/>
    </row>
    <row r="7" spans="1:8" x14ac:dyDescent="0.3">
      <c r="B7" s="4"/>
      <c r="D7" s="4"/>
      <c r="E7" s="4"/>
      <c r="F7" s="221"/>
      <c r="G7" s="4"/>
    </row>
    <row r="8" spans="1:8" x14ac:dyDescent="0.3">
      <c r="A8" s="4" t="s">
        <v>5</v>
      </c>
      <c r="B8" s="221"/>
      <c r="C8" s="4" t="s">
        <v>236</v>
      </c>
      <c r="D8" s="221"/>
      <c r="E8" s="35"/>
      <c r="F8" s="221"/>
      <c r="G8" s="4"/>
      <c r="H8" s="4" t="s">
        <v>5</v>
      </c>
    </row>
    <row r="9" spans="1:8" x14ac:dyDescent="0.3">
      <c r="A9" s="4" t="s">
        <v>6</v>
      </c>
      <c r="B9" s="221"/>
      <c r="C9" s="852" t="s">
        <v>238</v>
      </c>
      <c r="D9" s="221"/>
      <c r="E9" s="853" t="s">
        <v>7</v>
      </c>
      <c r="F9" s="221"/>
      <c r="G9" s="852" t="s">
        <v>8</v>
      </c>
      <c r="H9" s="4" t="s">
        <v>6</v>
      </c>
    </row>
    <row r="10" spans="1:8" x14ac:dyDescent="0.3">
      <c r="B10" s="221"/>
      <c r="C10" s="418"/>
      <c r="D10" s="221"/>
      <c r="E10" s="4"/>
      <c r="F10" s="221"/>
      <c r="G10" s="4"/>
    </row>
    <row r="11" spans="1:8" x14ac:dyDescent="0.3">
      <c r="A11" s="4">
        <v>1</v>
      </c>
      <c r="B11" s="33" t="s">
        <v>657</v>
      </c>
      <c r="D11" s="4"/>
      <c r="E11" s="111">
        <f>'AJ-1'!F26</f>
        <v>238385.1245212658</v>
      </c>
      <c r="F11" s="4"/>
      <c r="G11" s="47" t="s">
        <v>1735</v>
      </c>
      <c r="H11" s="4">
        <f>A11</f>
        <v>1</v>
      </c>
    </row>
    <row r="12" spans="1:8" x14ac:dyDescent="0.3">
      <c r="A12" s="4">
        <f>A11+1</f>
        <v>2</v>
      </c>
      <c r="E12" s="112"/>
      <c r="F12" s="72"/>
      <c r="G12" s="47"/>
      <c r="H12" s="4">
        <f>H11+1</f>
        <v>2</v>
      </c>
    </row>
    <row r="13" spans="1:8" x14ac:dyDescent="0.3">
      <c r="A13" s="4">
        <f t="shared" ref="A13:A33" si="0">A12+1</f>
        <v>3</v>
      </c>
      <c r="B13" s="32" t="s">
        <v>658</v>
      </c>
      <c r="C13" s="4" t="s">
        <v>659</v>
      </c>
      <c r="E13" s="43">
        <f>'AJ-2'!C15</f>
        <v>13510.349459999998</v>
      </c>
      <c r="F13" s="72"/>
      <c r="G13" s="47" t="s">
        <v>660</v>
      </c>
      <c r="H13" s="4">
        <f t="shared" ref="H13:H28" si="1">H12+1</f>
        <v>3</v>
      </c>
    </row>
    <row r="14" spans="1:8" x14ac:dyDescent="0.3">
      <c r="A14" s="4">
        <f t="shared" si="0"/>
        <v>4</v>
      </c>
      <c r="C14" s="4"/>
      <c r="E14" s="112"/>
      <c r="F14" s="72"/>
      <c r="G14" s="47"/>
      <c r="H14" s="4">
        <f t="shared" si="1"/>
        <v>4</v>
      </c>
    </row>
    <row r="15" spans="1:8" x14ac:dyDescent="0.3">
      <c r="A15" s="4">
        <f t="shared" si="0"/>
        <v>5</v>
      </c>
      <c r="B15" s="32" t="s">
        <v>661</v>
      </c>
      <c r="C15" s="4" t="s">
        <v>662</v>
      </c>
      <c r="E15" s="113">
        <f>'AJ-3'!C15</f>
        <v>26427.473339999971</v>
      </c>
      <c r="F15" s="45"/>
      <c r="G15" s="47" t="s">
        <v>663</v>
      </c>
      <c r="H15" s="4">
        <f t="shared" si="1"/>
        <v>5</v>
      </c>
    </row>
    <row r="16" spans="1:8" x14ac:dyDescent="0.3">
      <c r="A16" s="4">
        <f t="shared" si="0"/>
        <v>6</v>
      </c>
      <c r="C16" s="4"/>
      <c r="E16" s="39"/>
      <c r="F16" s="74"/>
      <c r="G16" s="47"/>
      <c r="H16" s="4">
        <f t="shared" si="1"/>
        <v>6</v>
      </c>
    </row>
    <row r="17" spans="1:8" x14ac:dyDescent="0.3">
      <c r="A17" s="4">
        <f t="shared" si="0"/>
        <v>7</v>
      </c>
      <c r="B17" s="32" t="s">
        <v>664</v>
      </c>
      <c r="C17" s="4" t="s">
        <v>665</v>
      </c>
      <c r="E17" s="43">
        <f>'AJ-4'!D15</f>
        <v>164469.95111599998</v>
      </c>
      <c r="F17" s="42"/>
      <c r="G17" s="47" t="s">
        <v>666</v>
      </c>
      <c r="H17" s="4">
        <f t="shared" si="1"/>
        <v>7</v>
      </c>
    </row>
    <row r="18" spans="1:8" x14ac:dyDescent="0.3">
      <c r="A18" s="4">
        <f t="shared" si="0"/>
        <v>8</v>
      </c>
      <c r="E18" s="73"/>
      <c r="F18" s="74"/>
      <c r="G18" s="47"/>
      <c r="H18" s="4">
        <f t="shared" si="1"/>
        <v>8</v>
      </c>
    </row>
    <row r="19" spans="1:8" x14ac:dyDescent="0.3">
      <c r="A19" s="4">
        <f t="shared" si="0"/>
        <v>9</v>
      </c>
      <c r="B19" s="32" t="s">
        <v>264</v>
      </c>
      <c r="E19" s="976">
        <f>'Stmt AI'!E25</f>
        <v>0.20002998415514117</v>
      </c>
      <c r="F19" s="74"/>
      <c r="G19" s="47" t="s">
        <v>265</v>
      </c>
      <c r="H19" s="4">
        <f t="shared" si="1"/>
        <v>9</v>
      </c>
    </row>
    <row r="20" spans="1:8" x14ac:dyDescent="0.3">
      <c r="A20" s="4">
        <f t="shared" si="0"/>
        <v>10</v>
      </c>
      <c r="E20" s="114"/>
      <c r="F20" s="74"/>
      <c r="G20" s="47"/>
      <c r="H20" s="4">
        <f t="shared" si="1"/>
        <v>10</v>
      </c>
    </row>
    <row r="21" spans="1:8" x14ac:dyDescent="0.3">
      <c r="A21" s="4">
        <f t="shared" si="0"/>
        <v>11</v>
      </c>
      <c r="B21" s="32" t="s">
        <v>667</v>
      </c>
      <c r="E21" s="76">
        <f>E13*$E$19</f>
        <v>2702.4749884142198</v>
      </c>
      <c r="F21" s="72"/>
      <c r="G21" s="47" t="s">
        <v>391</v>
      </c>
      <c r="H21" s="4">
        <f t="shared" si="1"/>
        <v>11</v>
      </c>
    </row>
    <row r="22" spans="1:8" x14ac:dyDescent="0.3">
      <c r="A22" s="4">
        <f t="shared" si="0"/>
        <v>12</v>
      </c>
      <c r="E22" s="114"/>
      <c r="F22" s="74"/>
      <c r="G22" s="47"/>
      <c r="H22" s="4">
        <f t="shared" si="1"/>
        <v>12</v>
      </c>
    </row>
    <row r="23" spans="1:8" x14ac:dyDescent="0.3">
      <c r="A23" s="4">
        <f t="shared" si="0"/>
        <v>13</v>
      </c>
      <c r="B23" s="32" t="s">
        <v>668</v>
      </c>
      <c r="E23" s="39">
        <f>E15*$E$19</f>
        <v>5286.2870734606104</v>
      </c>
      <c r="F23" s="42"/>
      <c r="G23" s="47" t="s">
        <v>393</v>
      </c>
      <c r="H23" s="4">
        <f t="shared" si="1"/>
        <v>13</v>
      </c>
    </row>
    <row r="24" spans="1:8" x14ac:dyDescent="0.3">
      <c r="A24" s="4">
        <f t="shared" si="0"/>
        <v>14</v>
      </c>
      <c r="B24" s="32" t="s">
        <v>1</v>
      </c>
      <c r="E24" s="77"/>
      <c r="F24" s="42"/>
      <c r="G24" s="47"/>
      <c r="H24" s="4">
        <f t="shared" si="1"/>
        <v>14</v>
      </c>
    </row>
    <row r="25" spans="1:8" x14ac:dyDescent="0.3">
      <c r="A25" s="4">
        <f t="shared" si="0"/>
        <v>15</v>
      </c>
      <c r="B25" s="32" t="s">
        <v>669</v>
      </c>
      <c r="E25" s="930">
        <f>E17*$E$19</f>
        <v>32898.921715730321</v>
      </c>
      <c r="F25" s="42"/>
      <c r="G25" s="47" t="s">
        <v>395</v>
      </c>
      <c r="H25" s="4">
        <f t="shared" si="1"/>
        <v>15</v>
      </c>
    </row>
    <row r="26" spans="1:8" x14ac:dyDescent="0.3">
      <c r="A26" s="4">
        <f t="shared" si="0"/>
        <v>16</v>
      </c>
      <c r="E26" s="77"/>
      <c r="F26" s="42"/>
      <c r="G26" s="47"/>
      <c r="H26" s="4">
        <f t="shared" si="1"/>
        <v>16</v>
      </c>
    </row>
    <row r="27" spans="1:8" ht="16.2" thickBot="1" x14ac:dyDescent="0.35">
      <c r="A27" s="4">
        <f t="shared" si="0"/>
        <v>17</v>
      </c>
      <c r="B27" s="32" t="s">
        <v>670</v>
      </c>
      <c r="D27" s="49"/>
      <c r="E27" s="78">
        <f>E11+E21+E23+E25</f>
        <v>279272.80829887092</v>
      </c>
      <c r="F27" s="72"/>
      <c r="G27" s="47" t="s">
        <v>396</v>
      </c>
      <c r="H27" s="4">
        <f t="shared" si="1"/>
        <v>17</v>
      </c>
    </row>
    <row r="28" spans="1:8" ht="16.2" thickTop="1" x14ac:dyDescent="0.3">
      <c r="A28" s="4">
        <f t="shared" si="0"/>
        <v>18</v>
      </c>
      <c r="D28" s="49"/>
      <c r="E28" s="49"/>
      <c r="F28" s="42"/>
      <c r="G28" s="47"/>
      <c r="H28" s="4">
        <f t="shared" si="1"/>
        <v>18</v>
      </c>
    </row>
    <row r="29" spans="1:8" ht="16.2" thickBot="1" x14ac:dyDescent="0.35">
      <c r="A29" s="4">
        <f>A28+1</f>
        <v>19</v>
      </c>
      <c r="B29" s="32" t="s">
        <v>37</v>
      </c>
      <c r="D29" s="49"/>
      <c r="E29" s="79">
        <f>'AJ-5'!F28</f>
        <v>0</v>
      </c>
      <c r="F29" s="42"/>
      <c r="G29" s="47" t="s">
        <v>1736</v>
      </c>
      <c r="H29" s="4">
        <f>H28+1</f>
        <v>19</v>
      </c>
    </row>
    <row r="30" spans="1:8" ht="16.2" thickTop="1" x14ac:dyDescent="0.3">
      <c r="A30" s="4">
        <f t="shared" si="0"/>
        <v>20</v>
      </c>
      <c r="D30" s="49"/>
      <c r="F30" s="42"/>
      <c r="G30" s="47"/>
      <c r="H30" s="4">
        <f t="shared" ref="H30:H33" si="2">H29+1</f>
        <v>20</v>
      </c>
    </row>
    <row r="31" spans="1:8" ht="19.2" thickBot="1" x14ac:dyDescent="0.35">
      <c r="A31" s="4">
        <f>A30+1</f>
        <v>21</v>
      </c>
      <c r="B31" s="32" t="s">
        <v>671</v>
      </c>
      <c r="D31" s="419"/>
      <c r="E31" s="79">
        <f>'AJ-6'!C17</f>
        <v>0</v>
      </c>
      <c r="F31" s="267"/>
      <c r="G31" s="47" t="s">
        <v>672</v>
      </c>
      <c r="H31" s="4">
        <f>H30+1</f>
        <v>21</v>
      </c>
    </row>
    <row r="32" spans="1:8" ht="16.2" thickTop="1" x14ac:dyDescent="0.3">
      <c r="A32" s="4">
        <f t="shared" si="0"/>
        <v>22</v>
      </c>
      <c r="D32" s="39"/>
      <c r="E32" s="39"/>
      <c r="F32" s="42"/>
      <c r="G32" s="47"/>
      <c r="H32" s="4">
        <f t="shared" si="2"/>
        <v>22</v>
      </c>
    </row>
    <row r="33" spans="1:8" ht="16.2" thickBot="1" x14ac:dyDescent="0.35">
      <c r="A33" s="4">
        <f t="shared" si="0"/>
        <v>23</v>
      </c>
      <c r="B33" s="32" t="s">
        <v>673</v>
      </c>
      <c r="C33" s="418"/>
      <c r="D33" s="112"/>
      <c r="E33" s="79">
        <f>'AJ-7'!C17</f>
        <v>0</v>
      </c>
      <c r="F33" s="42"/>
      <c r="G33" s="47" t="s">
        <v>674</v>
      </c>
      <c r="H33" s="4">
        <f t="shared" si="2"/>
        <v>23</v>
      </c>
    </row>
    <row r="34" spans="1:8" ht="16.2" thickTop="1" x14ac:dyDescent="0.3">
      <c r="B34" s="33"/>
      <c r="E34" s="112"/>
      <c r="F34" s="42"/>
      <c r="G34" s="50"/>
    </row>
    <row r="35" spans="1:8" x14ac:dyDescent="0.3">
      <c r="B35" s="33"/>
      <c r="E35" s="112"/>
      <c r="F35" s="42"/>
      <c r="G35" s="50"/>
    </row>
    <row r="36" spans="1:8" ht="18" x14ac:dyDescent="0.3">
      <c r="A36" s="269">
        <v>1</v>
      </c>
      <c r="B36" s="32" t="s">
        <v>675</v>
      </c>
      <c r="E36" s="49"/>
      <c r="F36" s="42"/>
      <c r="G36" s="47"/>
    </row>
    <row r="37" spans="1:8" x14ac:dyDescent="0.3">
      <c r="E37" s="49"/>
      <c r="F37" s="42"/>
      <c r="G37" s="47"/>
    </row>
    <row r="38" spans="1:8" x14ac:dyDescent="0.3">
      <c r="B38" s="254"/>
      <c r="E38" s="39"/>
      <c r="F38" s="42"/>
      <c r="G38" s="47"/>
    </row>
    <row r="39" spans="1:8" x14ac:dyDescent="0.3">
      <c r="B39" s="1"/>
      <c r="C39" s="418"/>
      <c r="E39" s="115"/>
      <c r="F39" s="42"/>
      <c r="G39" s="420"/>
    </row>
    <row r="40" spans="1:8" x14ac:dyDescent="0.3">
      <c r="B40" s="254"/>
      <c r="E40" s="71"/>
      <c r="F40" s="42"/>
      <c r="G40" s="420"/>
    </row>
    <row r="41" spans="1:8" x14ac:dyDescent="0.3">
      <c r="F41" s="4"/>
      <c r="G41" s="47"/>
    </row>
  </sheetData>
  <mergeCells count="5">
    <mergeCell ref="B5:G5"/>
    <mergeCell ref="B2:G2"/>
    <mergeCell ref="B3:G3"/>
    <mergeCell ref="B4:G4"/>
    <mergeCell ref="B6:G6"/>
  </mergeCells>
  <printOptions horizontalCentered="1"/>
  <pageMargins left="0.5" right="0.5" top="0.5" bottom="0.5" header="0.25" footer="0.25"/>
  <pageSetup scale="60" orientation="portrait" r:id="rId1"/>
  <headerFooter scaleWithDoc="0">
    <oddFooter>&amp;C&amp;"Times New Roman,Regular"&amp;10&amp;A</oddFooter>
  </headerFooter>
  <customProperties>
    <customPr name="_pios_id" r:id="rId2"/>
  </customPropertie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2:I31"/>
  <sheetViews>
    <sheetView topLeftCell="A4" zoomScale="80" zoomScaleNormal="80" workbookViewId="0">
      <selection activeCell="K22" sqref="K22"/>
    </sheetView>
  </sheetViews>
  <sheetFormatPr defaultColWidth="9.33203125" defaultRowHeight="15.6" x14ac:dyDescent="0.3"/>
  <cols>
    <col min="1" max="1" width="5.33203125" style="4" customWidth="1"/>
    <col min="2" max="2" width="8.5546875" style="32" customWidth="1"/>
    <col min="3" max="3" width="53.33203125" style="32" customWidth="1"/>
    <col min="4" max="4" width="18.5546875" style="32" customWidth="1"/>
    <col min="5" max="5" width="27.6640625" style="32" customWidth="1"/>
    <col min="6" max="6" width="18.5546875" style="32" customWidth="1"/>
    <col min="7" max="7" width="27.6640625" style="32" customWidth="1"/>
    <col min="8" max="9" width="5.33203125" style="4" customWidth="1"/>
    <col min="10" max="16384" width="9.33203125" style="32"/>
  </cols>
  <sheetData>
    <row r="2" spans="1:9" x14ac:dyDescent="0.3">
      <c r="B2" s="1222" t="s">
        <v>0</v>
      </c>
      <c r="C2" s="1222"/>
      <c r="D2" s="1222"/>
      <c r="E2" s="1222"/>
      <c r="F2" s="1222"/>
      <c r="G2" s="1222"/>
      <c r="H2" s="221"/>
      <c r="I2" s="221"/>
    </row>
    <row r="3" spans="1:9" x14ac:dyDescent="0.3">
      <c r="B3" s="1222" t="s">
        <v>676</v>
      </c>
      <c r="C3" s="1222"/>
      <c r="D3" s="1222"/>
      <c r="E3" s="1222"/>
      <c r="F3" s="1222"/>
      <c r="G3" s="1222"/>
      <c r="H3" s="221"/>
      <c r="I3" s="221"/>
    </row>
    <row r="4" spans="1:9" x14ac:dyDescent="0.3">
      <c r="B4" s="1222" t="s">
        <v>677</v>
      </c>
      <c r="C4" s="1222"/>
      <c r="D4" s="1222"/>
      <c r="E4" s="1222"/>
      <c r="F4" s="1222"/>
      <c r="G4" s="1222"/>
      <c r="H4" s="221"/>
      <c r="I4" s="221"/>
    </row>
    <row r="5" spans="1:9" x14ac:dyDescent="0.3">
      <c r="B5" s="1222" t="s">
        <v>1613</v>
      </c>
      <c r="C5" s="1222"/>
      <c r="D5" s="1222"/>
      <c r="E5" s="1222"/>
      <c r="F5" s="1222"/>
      <c r="G5" s="1222"/>
    </row>
    <row r="6" spans="1:9" x14ac:dyDescent="0.3">
      <c r="B6" s="1237">
        <v>-1000</v>
      </c>
      <c r="C6" s="1237"/>
      <c r="D6" s="1237"/>
      <c r="E6" s="1237"/>
      <c r="F6" s="1237"/>
      <c r="G6" s="1237"/>
    </row>
    <row r="7" spans="1:9" x14ac:dyDescent="0.3">
      <c r="B7" s="997"/>
      <c r="C7" s="974"/>
      <c r="D7" s="974"/>
      <c r="E7" s="974"/>
      <c r="F7" s="924"/>
    </row>
    <row r="8" spans="1:9" x14ac:dyDescent="0.3">
      <c r="B8" s="998"/>
      <c r="C8" s="932"/>
      <c r="D8" s="421" t="s">
        <v>482</v>
      </c>
      <c r="E8" s="999"/>
      <c r="F8" s="421"/>
      <c r="G8" s="999"/>
    </row>
    <row r="9" spans="1:9" s="221" customFormat="1" x14ac:dyDescent="0.3">
      <c r="B9" s="273"/>
      <c r="C9" s="273"/>
      <c r="D9" s="277" t="s">
        <v>321</v>
      </c>
      <c r="E9" s="273"/>
      <c r="F9" s="274" t="s">
        <v>321</v>
      </c>
      <c r="G9" s="273"/>
      <c r="H9" s="4"/>
      <c r="I9" s="4"/>
    </row>
    <row r="10" spans="1:9" x14ac:dyDescent="0.3">
      <c r="A10" s="4" t="s">
        <v>5</v>
      </c>
      <c r="B10" s="273" t="s">
        <v>336</v>
      </c>
      <c r="C10" s="273"/>
      <c r="D10" s="277" t="s">
        <v>678</v>
      </c>
      <c r="E10" s="273"/>
      <c r="F10" s="277" t="s">
        <v>678</v>
      </c>
      <c r="G10" s="273"/>
      <c r="H10" s="4" t="s">
        <v>5</v>
      </c>
    </row>
    <row r="11" spans="1:9" ht="18" x14ac:dyDescent="0.3">
      <c r="A11" s="4" t="s">
        <v>6</v>
      </c>
      <c r="B11" s="278" t="s">
        <v>6</v>
      </c>
      <c r="C11" s="278" t="s">
        <v>337</v>
      </c>
      <c r="D11" s="279" t="s">
        <v>287</v>
      </c>
      <c r="E11" s="278" t="s">
        <v>8</v>
      </c>
      <c r="F11" s="279" t="s">
        <v>288</v>
      </c>
      <c r="G11" s="278" t="s">
        <v>8</v>
      </c>
      <c r="H11" s="4" t="s">
        <v>6</v>
      </c>
    </row>
    <row r="12" spans="1:9" x14ac:dyDescent="0.3">
      <c r="A12" s="4">
        <v>1</v>
      </c>
      <c r="B12" s="940">
        <v>303</v>
      </c>
      <c r="C12" s="1000" t="s">
        <v>345</v>
      </c>
      <c r="D12" s="65">
        <v>0</v>
      </c>
      <c r="E12" s="940" t="s">
        <v>289</v>
      </c>
      <c r="F12" s="65">
        <v>0</v>
      </c>
      <c r="G12" s="1001" t="s">
        <v>289</v>
      </c>
      <c r="H12" s="4">
        <f>A12</f>
        <v>1</v>
      </c>
    </row>
    <row r="13" spans="1:9" x14ac:dyDescent="0.3">
      <c r="A13" s="4">
        <f>A12+1</f>
        <v>2</v>
      </c>
      <c r="B13" s="940">
        <v>350</v>
      </c>
      <c r="C13" s="1000" t="s">
        <v>679</v>
      </c>
      <c r="D13" s="53">
        <v>2063.9457599999987</v>
      </c>
      <c r="E13" s="236"/>
      <c r="F13" s="53">
        <v>0</v>
      </c>
      <c r="G13" s="357"/>
      <c r="H13" s="4">
        <f>H12+1</f>
        <v>2</v>
      </c>
    </row>
    <row r="14" spans="1:9" x14ac:dyDescent="0.3">
      <c r="A14" s="4">
        <f t="shared" ref="A14:A27" si="0">A13+1</f>
        <v>3</v>
      </c>
      <c r="B14" s="955">
        <v>351.1</v>
      </c>
      <c r="C14" s="237" t="s">
        <v>1593</v>
      </c>
      <c r="D14" s="53">
        <v>0</v>
      </c>
      <c r="E14" s="1109"/>
      <c r="F14" s="53">
        <v>0</v>
      </c>
      <c r="G14" s="1110"/>
      <c r="H14" s="4">
        <f t="shared" ref="H14:H27" si="1">H13+1</f>
        <v>3</v>
      </c>
      <c r="I14" s="361"/>
    </row>
    <row r="15" spans="1:9" x14ac:dyDescent="0.3">
      <c r="A15" s="4">
        <f t="shared" si="0"/>
        <v>4</v>
      </c>
      <c r="B15" s="955">
        <v>351.2</v>
      </c>
      <c r="C15" s="237" t="s">
        <v>1594</v>
      </c>
      <c r="D15" s="53">
        <v>0</v>
      </c>
      <c r="E15" s="1109"/>
      <c r="F15" s="53">
        <v>0</v>
      </c>
      <c r="G15" s="1110"/>
      <c r="H15" s="4">
        <f t="shared" si="1"/>
        <v>4</v>
      </c>
      <c r="I15" s="361"/>
    </row>
    <row r="16" spans="1:9" x14ac:dyDescent="0.3">
      <c r="A16" s="4">
        <f t="shared" si="0"/>
        <v>5</v>
      </c>
      <c r="B16" s="955">
        <v>351.3</v>
      </c>
      <c r="C16" s="237" t="s">
        <v>1595</v>
      </c>
      <c r="D16" s="53">
        <v>0</v>
      </c>
      <c r="E16" s="1109"/>
      <c r="F16" s="53">
        <v>0</v>
      </c>
      <c r="G16" s="1110"/>
      <c r="H16" s="4">
        <f t="shared" si="1"/>
        <v>5</v>
      </c>
      <c r="I16" s="361"/>
    </row>
    <row r="17" spans="1:9" x14ac:dyDescent="0.3">
      <c r="A17" s="4">
        <f t="shared" si="0"/>
        <v>6</v>
      </c>
      <c r="B17" s="940">
        <v>352</v>
      </c>
      <c r="C17" s="237" t="s">
        <v>680</v>
      </c>
      <c r="D17" s="53">
        <v>19893.154329999994</v>
      </c>
      <c r="E17" s="236"/>
      <c r="F17" s="53">
        <v>0</v>
      </c>
      <c r="G17" s="357"/>
      <c r="H17" s="4">
        <f t="shared" si="1"/>
        <v>6</v>
      </c>
      <c r="I17" s="361"/>
    </row>
    <row r="18" spans="1:9" x14ac:dyDescent="0.3">
      <c r="A18" s="4">
        <f t="shared" si="0"/>
        <v>7</v>
      </c>
      <c r="B18" s="940">
        <v>353</v>
      </c>
      <c r="C18" s="237" t="s">
        <v>351</v>
      </c>
      <c r="D18" s="53">
        <v>80621.523489999978</v>
      </c>
      <c r="E18" s="236"/>
      <c r="F18" s="53">
        <v>0</v>
      </c>
      <c r="G18" s="357"/>
      <c r="H18" s="4">
        <f t="shared" si="1"/>
        <v>7</v>
      </c>
      <c r="I18" s="361"/>
    </row>
    <row r="19" spans="1:9" x14ac:dyDescent="0.3">
      <c r="A19" s="4">
        <f t="shared" si="0"/>
        <v>8</v>
      </c>
      <c r="B19" s="940">
        <v>354</v>
      </c>
      <c r="C19" s="237" t="s">
        <v>352</v>
      </c>
      <c r="D19" s="53">
        <v>23377.257859999976</v>
      </c>
      <c r="E19" s="236"/>
      <c r="F19" s="53">
        <v>0</v>
      </c>
      <c r="G19" s="357"/>
      <c r="H19" s="4">
        <f t="shared" si="1"/>
        <v>8</v>
      </c>
      <c r="I19" s="361"/>
    </row>
    <row r="20" spans="1:9" x14ac:dyDescent="0.3">
      <c r="A20" s="4">
        <f t="shared" si="0"/>
        <v>9</v>
      </c>
      <c r="B20" s="940">
        <v>355</v>
      </c>
      <c r="C20" s="237" t="s">
        <v>353</v>
      </c>
      <c r="D20" s="53">
        <v>53050.548390000025</v>
      </c>
      <c r="E20" s="236"/>
      <c r="F20" s="53">
        <v>0</v>
      </c>
      <c r="G20" s="357"/>
      <c r="H20" s="4">
        <f t="shared" si="1"/>
        <v>9</v>
      </c>
      <c r="I20" s="361"/>
    </row>
    <row r="21" spans="1:9" x14ac:dyDescent="0.3">
      <c r="A21" s="4">
        <f t="shared" si="0"/>
        <v>10</v>
      </c>
      <c r="B21" s="940">
        <v>356</v>
      </c>
      <c r="C21" s="237" t="s">
        <v>681</v>
      </c>
      <c r="D21" s="53">
        <v>29044.104979999978</v>
      </c>
      <c r="E21" s="236"/>
      <c r="F21" s="53">
        <v>0</v>
      </c>
      <c r="G21" s="357"/>
      <c r="H21" s="4">
        <f t="shared" si="1"/>
        <v>10</v>
      </c>
      <c r="I21" s="361"/>
    </row>
    <row r="22" spans="1:9" x14ac:dyDescent="0.3">
      <c r="A22" s="4">
        <f t="shared" si="0"/>
        <v>11</v>
      </c>
      <c r="B22" s="940">
        <v>357</v>
      </c>
      <c r="C22" s="237" t="s">
        <v>355</v>
      </c>
      <c r="D22" s="53">
        <v>13916.249910000002</v>
      </c>
      <c r="E22" s="236"/>
      <c r="F22" s="53">
        <v>0</v>
      </c>
      <c r="G22" s="357"/>
      <c r="H22" s="4">
        <f t="shared" si="1"/>
        <v>11</v>
      </c>
      <c r="I22" s="361"/>
    </row>
    <row r="23" spans="1:9" x14ac:dyDescent="0.3">
      <c r="A23" s="4">
        <f t="shared" si="0"/>
        <v>12</v>
      </c>
      <c r="B23" s="940">
        <v>358</v>
      </c>
      <c r="C23" s="237" t="s">
        <v>682</v>
      </c>
      <c r="D23" s="53">
        <v>13294.971769999996</v>
      </c>
      <c r="E23" s="236"/>
      <c r="F23" s="53">
        <v>0</v>
      </c>
      <c r="G23" s="357"/>
      <c r="H23" s="4">
        <f t="shared" si="1"/>
        <v>12</v>
      </c>
      <c r="I23" s="361"/>
    </row>
    <row r="24" spans="1:9" x14ac:dyDescent="0.3">
      <c r="A24" s="4">
        <f t="shared" si="0"/>
        <v>13</v>
      </c>
      <c r="B24" s="422">
        <v>359</v>
      </c>
      <c r="C24" s="288" t="s">
        <v>683</v>
      </c>
      <c r="D24" s="53">
        <v>6401.6523199999965</v>
      </c>
      <c r="E24" s="422" t="s">
        <v>289</v>
      </c>
      <c r="F24" s="53">
        <v>0</v>
      </c>
      <c r="G24" s="69" t="s">
        <v>289</v>
      </c>
      <c r="H24" s="4">
        <f t="shared" si="1"/>
        <v>13</v>
      </c>
      <c r="I24" s="361"/>
    </row>
    <row r="25" spans="1:9" x14ac:dyDescent="0.3">
      <c r="A25" s="4">
        <f t="shared" si="0"/>
        <v>14</v>
      </c>
      <c r="B25" s="932"/>
      <c r="C25" s="932"/>
      <c r="D25" s="55"/>
      <c r="E25" s="932"/>
      <c r="F25" s="55"/>
      <c r="G25" s="932"/>
      <c r="H25" s="4">
        <f t="shared" si="1"/>
        <v>14</v>
      </c>
      <c r="I25" s="361"/>
    </row>
    <row r="26" spans="1:9" x14ac:dyDescent="0.3">
      <c r="A26" s="4">
        <f t="shared" si="0"/>
        <v>15</v>
      </c>
      <c r="B26" s="281"/>
      <c r="C26" s="281" t="s">
        <v>684</v>
      </c>
      <c r="D26" s="56">
        <f>'AJ-1A'!D40</f>
        <v>241663.40880999996</v>
      </c>
      <c r="E26" s="940" t="s">
        <v>685</v>
      </c>
      <c r="F26" s="56">
        <f>'AJ-1A'!J40</f>
        <v>238385.1245212658</v>
      </c>
      <c r="G26" s="940" t="s">
        <v>686</v>
      </c>
      <c r="H26" s="4">
        <f t="shared" si="1"/>
        <v>15</v>
      </c>
      <c r="I26" s="361"/>
    </row>
    <row r="27" spans="1:9" x14ac:dyDescent="0.3">
      <c r="A27" s="4">
        <f t="shared" si="0"/>
        <v>16</v>
      </c>
      <c r="B27" s="120"/>
      <c r="C27" s="120"/>
      <c r="D27" s="423"/>
      <c r="E27" s="120"/>
      <c r="F27" s="423"/>
      <c r="G27" s="120"/>
      <c r="H27" s="4">
        <f t="shared" si="1"/>
        <v>16</v>
      </c>
      <c r="I27" s="361"/>
    </row>
    <row r="30" spans="1:9" ht="18" x14ac:dyDescent="0.3">
      <c r="A30" s="269">
        <v>1</v>
      </c>
      <c r="B30" s="32" t="s">
        <v>687</v>
      </c>
    </row>
    <row r="31" spans="1:9" x14ac:dyDescent="0.3">
      <c r="A31" s="221"/>
      <c r="B31" s="32" t="s">
        <v>407</v>
      </c>
      <c r="G31" s="424"/>
    </row>
  </sheetData>
  <mergeCells count="5">
    <mergeCell ref="B2:G2"/>
    <mergeCell ref="B3:G3"/>
    <mergeCell ref="B4:G4"/>
    <mergeCell ref="B5:G5"/>
    <mergeCell ref="B6:G6"/>
  </mergeCells>
  <printOptions horizontalCentered="1"/>
  <pageMargins left="0.5" right="0.5" top="0.5" bottom="0.5" header="0.25" footer="0.25"/>
  <pageSetup scale="77" orientation="landscape" r:id="rId1"/>
  <headerFooter scaleWithDoc="0">
    <oddFooter>&amp;C&amp;"Times New Roman,Regular"&amp;10&amp;A</oddFooter>
  </headerFooter>
  <customProperties>
    <customPr name="_pios_id" r:id="rId2"/>
  </customPropertie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O173"/>
  <sheetViews>
    <sheetView topLeftCell="A10" zoomScale="80" zoomScaleNormal="80" workbookViewId="0"/>
  </sheetViews>
  <sheetFormatPr defaultColWidth="8.6640625" defaultRowHeight="15.6" x14ac:dyDescent="0.3"/>
  <cols>
    <col min="1" max="1" width="5.33203125" style="4" customWidth="1"/>
    <col min="2" max="2" width="11.33203125" style="32" customWidth="1"/>
    <col min="3" max="3" width="35.6640625" style="32" customWidth="1"/>
    <col min="4" max="10" width="18.5546875" style="119" customWidth="1"/>
    <col min="11" max="11" width="25.5546875" style="6" customWidth="1"/>
    <col min="12" max="13" width="5.33203125" style="4" customWidth="1"/>
    <col min="14" max="14" width="12.33203125" style="32" customWidth="1"/>
    <col min="15" max="15" width="12.33203125" style="32" bestFit="1" customWidth="1"/>
    <col min="16" max="16384" width="8.6640625" style="32"/>
  </cols>
  <sheetData>
    <row r="1" spans="1:13" s="1" customFormat="1" x14ac:dyDescent="0.3">
      <c r="A1" s="221" t="s">
        <v>1</v>
      </c>
      <c r="L1" s="221"/>
      <c r="M1" s="221"/>
    </row>
    <row r="2" spans="1:13" s="1" customFormat="1" x14ac:dyDescent="0.3">
      <c r="A2" s="221"/>
      <c r="B2" s="1222" t="s">
        <v>0</v>
      </c>
      <c r="C2" s="1222"/>
      <c r="D2" s="1222"/>
      <c r="E2" s="1222"/>
      <c r="F2" s="1222"/>
      <c r="G2" s="1222"/>
      <c r="H2" s="1222"/>
      <c r="I2" s="1222"/>
      <c r="J2" s="1222"/>
      <c r="K2" s="1222"/>
      <c r="L2" s="221"/>
      <c r="M2" s="221"/>
    </row>
    <row r="3" spans="1:13" s="1" customFormat="1" x14ac:dyDescent="0.3">
      <c r="A3" s="221"/>
      <c r="B3" s="1222" t="s">
        <v>322</v>
      </c>
      <c r="C3" s="1222"/>
      <c r="D3" s="1222"/>
      <c r="E3" s="1222"/>
      <c r="F3" s="1222"/>
      <c r="G3" s="1222"/>
      <c r="H3" s="1222"/>
      <c r="I3" s="1222"/>
      <c r="J3" s="1222"/>
      <c r="K3" s="1222"/>
      <c r="L3" s="221"/>
      <c r="M3" s="221"/>
    </row>
    <row r="4" spans="1:13" ht="12.75" customHeight="1" x14ac:dyDescent="0.3">
      <c r="B4" s="1222" t="s">
        <v>688</v>
      </c>
      <c r="C4" s="1222"/>
      <c r="D4" s="1222"/>
      <c r="E4" s="1222"/>
      <c r="F4" s="1222"/>
      <c r="G4" s="1222"/>
      <c r="H4" s="1222"/>
      <c r="I4" s="1222"/>
      <c r="J4" s="1222"/>
      <c r="K4" s="1222"/>
      <c r="L4" s="221"/>
      <c r="M4" s="221"/>
    </row>
    <row r="5" spans="1:13" x14ac:dyDescent="0.3">
      <c r="B5" s="1222" t="s">
        <v>689</v>
      </c>
      <c r="C5" s="1222"/>
      <c r="D5" s="1222"/>
      <c r="E5" s="1222"/>
      <c r="F5" s="1222"/>
      <c r="G5" s="1222"/>
      <c r="H5" s="1222"/>
      <c r="I5" s="1222"/>
      <c r="J5" s="1222"/>
      <c r="K5" s="1222"/>
      <c r="L5" s="221"/>
      <c r="M5" s="221"/>
    </row>
    <row r="6" spans="1:13" x14ac:dyDescent="0.3">
      <c r="B6" s="1222" t="s">
        <v>1611</v>
      </c>
      <c r="C6" s="1222"/>
      <c r="D6" s="1222"/>
      <c r="E6" s="1222"/>
      <c r="F6" s="1222"/>
      <c r="G6" s="1222"/>
      <c r="H6" s="1222"/>
      <c r="I6" s="1222"/>
      <c r="J6" s="1222"/>
      <c r="K6" s="1222"/>
      <c r="L6" s="221"/>
      <c r="M6" s="221"/>
    </row>
    <row r="7" spans="1:13" x14ac:dyDescent="0.3">
      <c r="B7" s="1226" t="s">
        <v>4</v>
      </c>
      <c r="C7" s="1222"/>
      <c r="D7" s="1222"/>
      <c r="E7" s="1222"/>
      <c r="F7" s="1222"/>
      <c r="G7" s="1222"/>
      <c r="H7" s="1222"/>
      <c r="I7" s="1222"/>
      <c r="J7" s="1222"/>
      <c r="K7" s="1222"/>
      <c r="L7" s="221"/>
      <c r="M7" s="221"/>
    </row>
    <row r="8" spans="1:13" x14ac:dyDescent="0.3">
      <c r="C8" s="270"/>
      <c r="D8" s="271"/>
      <c r="E8" s="297" t="s">
        <v>690</v>
      </c>
      <c r="F8" s="297"/>
      <c r="G8" s="297"/>
      <c r="H8" s="297"/>
      <c r="I8" s="297"/>
      <c r="J8" s="297"/>
      <c r="K8" s="297"/>
    </row>
    <row r="9" spans="1:13" s="221" customFormat="1" x14ac:dyDescent="0.3">
      <c r="B9" s="933"/>
      <c r="C9" s="951"/>
      <c r="D9" s="952" t="s">
        <v>324</v>
      </c>
      <c r="E9" s="952" t="s">
        <v>325</v>
      </c>
      <c r="F9" s="952" t="s">
        <v>326</v>
      </c>
      <c r="G9" s="425" t="s">
        <v>327</v>
      </c>
      <c r="H9" s="952" t="s">
        <v>328</v>
      </c>
      <c r="I9" s="952" t="s">
        <v>329</v>
      </c>
      <c r="J9" s="952" t="s">
        <v>330</v>
      </c>
      <c r="K9" s="952"/>
    </row>
    <row r="10" spans="1:13" x14ac:dyDescent="0.3">
      <c r="B10" s="1002"/>
      <c r="C10" s="934"/>
      <c r="D10" s="302"/>
      <c r="E10" s="298"/>
      <c r="F10" s="302"/>
      <c r="G10" s="426"/>
      <c r="H10" s="298" t="s">
        <v>691</v>
      </c>
      <c r="I10" s="299"/>
      <c r="J10" s="298"/>
      <c r="K10" s="953"/>
    </row>
    <row r="11" spans="1:13" x14ac:dyDescent="0.3">
      <c r="B11" s="1002"/>
      <c r="C11" s="934"/>
      <c r="D11" s="302" t="s">
        <v>200</v>
      </c>
      <c r="E11" s="298" t="s">
        <v>316</v>
      </c>
      <c r="F11" s="302" t="s">
        <v>321</v>
      </c>
      <c r="G11" s="426" t="s">
        <v>321</v>
      </c>
      <c r="H11" s="298" t="s">
        <v>321</v>
      </c>
      <c r="I11" s="299" t="s">
        <v>692</v>
      </c>
      <c r="J11" s="298" t="s">
        <v>693</v>
      </c>
      <c r="K11" s="940"/>
    </row>
    <row r="12" spans="1:13" x14ac:dyDescent="0.3">
      <c r="B12" s="335"/>
      <c r="C12" s="237"/>
      <c r="D12" s="302" t="s">
        <v>321</v>
      </c>
      <c r="E12" s="1003" t="s">
        <v>694</v>
      </c>
      <c r="F12" s="1003" t="s">
        <v>694</v>
      </c>
      <c r="G12" s="271" t="s">
        <v>694</v>
      </c>
      <c r="H12" s="298" t="s">
        <v>678</v>
      </c>
      <c r="I12" s="303" t="s">
        <v>363</v>
      </c>
      <c r="J12" s="1003" t="s">
        <v>678</v>
      </c>
      <c r="K12" s="273"/>
    </row>
    <row r="13" spans="1:13" ht="18" x14ac:dyDescent="0.3">
      <c r="A13" s="4" t="s">
        <v>5</v>
      </c>
      <c r="B13" s="322"/>
      <c r="C13" s="281"/>
      <c r="D13" s="427" t="s">
        <v>695</v>
      </c>
      <c r="E13" s="1003" t="s">
        <v>696</v>
      </c>
      <c r="F13" s="1003" t="s">
        <v>696</v>
      </c>
      <c r="G13" s="308" t="s">
        <v>696</v>
      </c>
      <c r="H13" s="429" t="s">
        <v>697</v>
      </c>
      <c r="I13" s="428" t="s">
        <v>698</v>
      </c>
      <c r="J13" s="429" t="s">
        <v>699</v>
      </c>
      <c r="K13" s="273"/>
      <c r="L13" s="4" t="s">
        <v>5</v>
      </c>
    </row>
    <row r="14" spans="1:13" ht="18" x14ac:dyDescent="0.3">
      <c r="A14" s="4" t="s">
        <v>6</v>
      </c>
      <c r="B14" s="309" t="s">
        <v>336</v>
      </c>
      <c r="C14" s="278" t="s">
        <v>337</v>
      </c>
      <c r="D14" s="279" t="s">
        <v>700</v>
      </c>
      <c r="E14" s="304" t="s">
        <v>339</v>
      </c>
      <c r="F14" s="304" t="s">
        <v>701</v>
      </c>
      <c r="G14" s="1004" t="s">
        <v>702</v>
      </c>
      <c r="H14" s="278" t="s">
        <v>703</v>
      </c>
      <c r="I14" s="1005" t="s">
        <v>704</v>
      </c>
      <c r="J14" s="278" t="s">
        <v>705</v>
      </c>
      <c r="K14" s="278" t="s">
        <v>8</v>
      </c>
      <c r="L14" s="4" t="s">
        <v>6</v>
      </c>
    </row>
    <row r="15" spans="1:13" x14ac:dyDescent="0.3">
      <c r="B15" s="237"/>
      <c r="C15" s="237" t="s">
        <v>344</v>
      </c>
      <c r="D15" s="237"/>
      <c r="E15" s="237"/>
      <c r="F15" s="237"/>
      <c r="G15" s="63"/>
      <c r="H15" s="237"/>
      <c r="I15" s="237"/>
      <c r="J15" s="237"/>
      <c r="K15" s="940"/>
    </row>
    <row r="16" spans="1:13" x14ac:dyDescent="0.3">
      <c r="A16" s="4">
        <v>1</v>
      </c>
      <c r="B16" s="955">
        <v>182</v>
      </c>
      <c r="C16" s="237" t="s">
        <v>706</v>
      </c>
      <c r="D16" s="961">
        <v>0</v>
      </c>
      <c r="E16" s="961">
        <v>0</v>
      </c>
      <c r="F16" s="961">
        <v>0</v>
      </c>
      <c r="G16" s="961">
        <v>0</v>
      </c>
      <c r="H16" s="235">
        <f>SUM(D16:G16)</f>
        <v>0</v>
      </c>
      <c r="I16" s="961">
        <v>0</v>
      </c>
      <c r="J16" s="235">
        <f t="shared" ref="J16:J21" si="0">+H16+I16</f>
        <v>0</v>
      </c>
      <c r="K16" s="940" t="s">
        <v>289</v>
      </c>
      <c r="L16" s="4">
        <f>A16</f>
        <v>1</v>
      </c>
    </row>
    <row r="17" spans="1:15" x14ac:dyDescent="0.3">
      <c r="A17" s="4">
        <f t="shared" ref="A17:A40" si="1">A16+1</f>
        <v>2</v>
      </c>
      <c r="B17" s="955">
        <v>186</v>
      </c>
      <c r="C17" s="237" t="s">
        <v>707</v>
      </c>
      <c r="D17" s="962">
        <v>0</v>
      </c>
      <c r="E17" s="962">
        <v>0</v>
      </c>
      <c r="F17" s="962">
        <v>0</v>
      </c>
      <c r="G17" s="962">
        <v>0</v>
      </c>
      <c r="H17" s="236">
        <f>SUM(D17:G17)</f>
        <v>0</v>
      </c>
      <c r="I17" s="962">
        <v>15.80242</v>
      </c>
      <c r="J17" s="236">
        <f t="shared" si="0"/>
        <v>15.80242</v>
      </c>
      <c r="K17" s="940" t="s">
        <v>289</v>
      </c>
      <c r="L17" s="4">
        <f t="shared" ref="L17:L40" si="2">L16+1</f>
        <v>2</v>
      </c>
    </row>
    <row r="18" spans="1:15" x14ac:dyDescent="0.3">
      <c r="A18" s="4">
        <f t="shared" si="1"/>
        <v>3</v>
      </c>
      <c r="B18" s="955">
        <v>303</v>
      </c>
      <c r="C18" s="237" t="s">
        <v>345</v>
      </c>
      <c r="D18" s="962">
        <v>0</v>
      </c>
      <c r="E18" s="962">
        <v>0</v>
      </c>
      <c r="F18" s="962">
        <v>0</v>
      </c>
      <c r="G18" s="962">
        <v>0</v>
      </c>
      <c r="H18" s="236">
        <f t="shared" ref="H18:H21" si="3">SUM(D18:G18)</f>
        <v>0</v>
      </c>
      <c r="I18" s="962">
        <v>0</v>
      </c>
      <c r="J18" s="236">
        <f t="shared" si="0"/>
        <v>0</v>
      </c>
      <c r="K18" s="940" t="s">
        <v>289</v>
      </c>
      <c r="L18" s="4">
        <f t="shared" si="2"/>
        <v>3</v>
      </c>
    </row>
    <row r="19" spans="1:15" x14ac:dyDescent="0.3">
      <c r="A19" s="4">
        <f t="shared" si="1"/>
        <v>4</v>
      </c>
      <c r="B19" s="955">
        <v>360</v>
      </c>
      <c r="C19" s="956" t="s">
        <v>708</v>
      </c>
      <c r="D19" s="962">
        <v>0</v>
      </c>
      <c r="E19" s="962">
        <v>0.61314000000000013</v>
      </c>
      <c r="F19" s="962">
        <v>0</v>
      </c>
      <c r="G19" s="962">
        <v>0</v>
      </c>
      <c r="H19" s="236">
        <f t="shared" si="3"/>
        <v>0.61314000000000013</v>
      </c>
      <c r="I19" s="962">
        <v>0</v>
      </c>
      <c r="J19" s="236">
        <f t="shared" si="0"/>
        <v>0.61314000000000013</v>
      </c>
      <c r="K19" s="940" t="s">
        <v>289</v>
      </c>
      <c r="L19" s="4">
        <f t="shared" si="2"/>
        <v>4</v>
      </c>
    </row>
    <row r="20" spans="1:15" x14ac:dyDescent="0.3">
      <c r="A20" s="4">
        <f t="shared" si="1"/>
        <v>5</v>
      </c>
      <c r="B20" s="955">
        <v>361</v>
      </c>
      <c r="C20" s="237" t="s">
        <v>348</v>
      </c>
      <c r="D20" s="962">
        <v>0</v>
      </c>
      <c r="E20" s="962">
        <v>55.086878836240849</v>
      </c>
      <c r="F20" s="962">
        <v>0</v>
      </c>
      <c r="G20" s="962">
        <v>0</v>
      </c>
      <c r="H20" s="236">
        <f t="shared" si="3"/>
        <v>55.086878836240849</v>
      </c>
      <c r="I20" s="962">
        <v>0</v>
      </c>
      <c r="J20" s="236">
        <f t="shared" si="0"/>
        <v>55.086878836240849</v>
      </c>
      <c r="K20" s="940" t="s">
        <v>289</v>
      </c>
      <c r="L20" s="4">
        <f t="shared" si="2"/>
        <v>5</v>
      </c>
    </row>
    <row r="21" spans="1:15" x14ac:dyDescent="0.3">
      <c r="A21" s="4">
        <f t="shared" si="1"/>
        <v>6</v>
      </c>
      <c r="B21" s="955">
        <v>362</v>
      </c>
      <c r="C21" s="237" t="s">
        <v>351</v>
      </c>
      <c r="D21" s="962">
        <v>0</v>
      </c>
      <c r="E21" s="962">
        <v>0</v>
      </c>
      <c r="F21" s="962">
        <v>0</v>
      </c>
      <c r="G21" s="962">
        <v>0</v>
      </c>
      <c r="H21" s="236">
        <f t="shared" si="3"/>
        <v>0</v>
      </c>
      <c r="I21" s="962">
        <v>0</v>
      </c>
      <c r="J21" s="236">
        <f t="shared" si="0"/>
        <v>0</v>
      </c>
      <c r="K21" s="940" t="s">
        <v>289</v>
      </c>
      <c r="L21" s="4">
        <f t="shared" si="2"/>
        <v>6</v>
      </c>
    </row>
    <row r="22" spans="1:15" x14ac:dyDescent="0.3">
      <c r="A22" s="4">
        <f t="shared" si="1"/>
        <v>7</v>
      </c>
      <c r="B22" s="940"/>
      <c r="C22" s="237"/>
      <c r="D22" s="1006"/>
      <c r="E22" s="1006"/>
      <c r="F22" s="236"/>
      <c r="G22" s="63"/>
      <c r="H22" s="237"/>
      <c r="I22" s="237"/>
      <c r="J22" s="237"/>
      <c r="K22" s="940"/>
      <c r="L22" s="4">
        <f t="shared" si="2"/>
        <v>7</v>
      </c>
    </row>
    <row r="23" spans="1:15" s="1" customFormat="1" x14ac:dyDescent="0.3">
      <c r="A23" s="4">
        <f t="shared" si="1"/>
        <v>8</v>
      </c>
      <c r="B23" s="957" t="s">
        <v>349</v>
      </c>
      <c r="C23" s="958" t="s">
        <v>350</v>
      </c>
      <c r="D23" s="1007">
        <f t="shared" ref="D23:I23" si="4">SUM(D16:D22)</f>
        <v>0</v>
      </c>
      <c r="E23" s="1007">
        <f t="shared" si="4"/>
        <v>55.700018836240851</v>
      </c>
      <c r="F23" s="959">
        <f t="shared" si="4"/>
        <v>0</v>
      </c>
      <c r="G23" s="239">
        <f t="shared" si="4"/>
        <v>0</v>
      </c>
      <c r="H23" s="959">
        <f t="shared" si="4"/>
        <v>55.700018836240851</v>
      </c>
      <c r="I23" s="959">
        <f t="shared" si="4"/>
        <v>15.80242</v>
      </c>
      <c r="J23" s="959">
        <f>SUM(J16:J22)</f>
        <v>71.502438836240856</v>
      </c>
      <c r="K23" s="960" t="s">
        <v>152</v>
      </c>
      <c r="L23" s="4">
        <f t="shared" si="2"/>
        <v>8</v>
      </c>
      <c r="M23" s="4"/>
    </row>
    <row r="24" spans="1:15" x14ac:dyDescent="0.3">
      <c r="A24" s="4">
        <f t="shared" si="1"/>
        <v>9</v>
      </c>
      <c r="B24" s="940"/>
      <c r="C24" s="237"/>
      <c r="D24" s="962"/>
      <c r="E24" s="962"/>
      <c r="F24" s="236"/>
      <c r="G24" s="53"/>
      <c r="H24" s="53"/>
      <c r="I24" s="949"/>
      <c r="J24" s="237"/>
      <c r="K24" s="940"/>
      <c r="L24" s="4">
        <f t="shared" si="2"/>
        <v>9</v>
      </c>
      <c r="O24" s="430"/>
    </row>
    <row r="25" spans="1:15" x14ac:dyDescent="0.3">
      <c r="A25" s="4">
        <f t="shared" si="1"/>
        <v>10</v>
      </c>
      <c r="B25" s="955">
        <v>350</v>
      </c>
      <c r="C25" s="237" t="s">
        <v>347</v>
      </c>
      <c r="D25" s="961">
        <v>2063.9457599999987</v>
      </c>
      <c r="E25" s="961">
        <v>0</v>
      </c>
      <c r="F25" s="961">
        <v>0</v>
      </c>
      <c r="G25" s="961">
        <v>-11.572938739999998</v>
      </c>
      <c r="H25" s="235">
        <f>SUM(D25:G25)</f>
        <v>2052.3728212599985</v>
      </c>
      <c r="I25" s="961">
        <v>0</v>
      </c>
      <c r="J25" s="235">
        <f t="shared" ref="J25:J36" si="5">H25+I25</f>
        <v>2052.3728212599985</v>
      </c>
      <c r="K25" s="940" t="s">
        <v>289</v>
      </c>
      <c r="L25" s="4">
        <f t="shared" si="2"/>
        <v>10</v>
      </c>
    </row>
    <row r="26" spans="1:15" x14ac:dyDescent="0.3">
      <c r="A26" s="4">
        <f t="shared" si="1"/>
        <v>11</v>
      </c>
      <c r="B26" s="955">
        <v>351.1</v>
      </c>
      <c r="C26" s="237" t="s">
        <v>1593</v>
      </c>
      <c r="D26" s="962">
        <v>0</v>
      </c>
      <c r="E26" s="962">
        <v>0</v>
      </c>
      <c r="F26" s="962">
        <v>0</v>
      </c>
      <c r="G26" s="962">
        <v>0</v>
      </c>
      <c r="H26" s="962">
        <v>0</v>
      </c>
      <c r="I26" s="962">
        <v>0</v>
      </c>
      <c r="J26" s="236">
        <f t="shared" ref="J26:J28" si="6">+H26+I26</f>
        <v>0</v>
      </c>
      <c r="K26" s="940" t="s">
        <v>289</v>
      </c>
      <c r="L26" s="4">
        <f t="shared" si="2"/>
        <v>11</v>
      </c>
    </row>
    <row r="27" spans="1:15" x14ac:dyDescent="0.3">
      <c r="A27" s="4">
        <f t="shared" si="1"/>
        <v>12</v>
      </c>
      <c r="B27" s="955">
        <v>351.2</v>
      </c>
      <c r="C27" s="237" t="s">
        <v>1594</v>
      </c>
      <c r="D27" s="962">
        <v>0</v>
      </c>
      <c r="E27" s="962">
        <v>0</v>
      </c>
      <c r="F27" s="962">
        <v>0</v>
      </c>
      <c r="G27" s="962">
        <v>0</v>
      </c>
      <c r="H27" s="962">
        <v>0</v>
      </c>
      <c r="I27" s="962">
        <v>0</v>
      </c>
      <c r="J27" s="236">
        <f t="shared" si="6"/>
        <v>0</v>
      </c>
      <c r="K27" s="940" t="s">
        <v>289</v>
      </c>
      <c r="L27" s="4">
        <f t="shared" si="2"/>
        <v>12</v>
      </c>
    </row>
    <row r="28" spans="1:15" x14ac:dyDescent="0.3">
      <c r="A28" s="4">
        <f t="shared" si="1"/>
        <v>13</v>
      </c>
      <c r="B28" s="955">
        <v>351.3</v>
      </c>
      <c r="C28" s="237" t="s">
        <v>1595</v>
      </c>
      <c r="D28" s="962">
        <v>0</v>
      </c>
      <c r="E28" s="962">
        <v>0</v>
      </c>
      <c r="F28" s="962">
        <v>0</v>
      </c>
      <c r="G28" s="962">
        <v>0</v>
      </c>
      <c r="H28" s="962">
        <v>0</v>
      </c>
      <c r="I28" s="962">
        <v>0</v>
      </c>
      <c r="J28" s="236">
        <f t="shared" si="6"/>
        <v>0</v>
      </c>
      <c r="K28" s="940" t="s">
        <v>289</v>
      </c>
      <c r="L28" s="4">
        <f t="shared" si="2"/>
        <v>13</v>
      </c>
    </row>
    <row r="29" spans="1:15" x14ac:dyDescent="0.3">
      <c r="A29" s="4">
        <f t="shared" si="1"/>
        <v>14</v>
      </c>
      <c r="B29" s="955">
        <v>352</v>
      </c>
      <c r="C29" s="237" t="s">
        <v>348</v>
      </c>
      <c r="D29" s="962">
        <v>19893.154329999994</v>
      </c>
      <c r="E29" s="962">
        <v>0</v>
      </c>
      <c r="F29" s="962">
        <v>-45.507372238269063</v>
      </c>
      <c r="G29" s="962">
        <v>-2702.0027998354376</v>
      </c>
      <c r="H29" s="236">
        <f>SUM(D29:G29)</f>
        <v>17145.644157926286</v>
      </c>
      <c r="I29" s="962">
        <v>0</v>
      </c>
      <c r="J29" s="236">
        <f t="shared" si="5"/>
        <v>17145.644157926286</v>
      </c>
      <c r="K29" s="940" t="s">
        <v>289</v>
      </c>
      <c r="L29" s="4">
        <f t="shared" si="2"/>
        <v>14</v>
      </c>
      <c r="M29" s="361"/>
      <c r="N29" s="431"/>
    </row>
    <row r="30" spans="1:15" x14ac:dyDescent="0.3">
      <c r="A30" s="4">
        <f t="shared" si="1"/>
        <v>15</v>
      </c>
      <c r="B30" s="955">
        <v>353</v>
      </c>
      <c r="C30" s="237" t="s">
        <v>351</v>
      </c>
      <c r="D30" s="962">
        <v>80621.523489999978</v>
      </c>
      <c r="E30" s="962">
        <v>0</v>
      </c>
      <c r="F30" s="962">
        <v>-469.85234080569154</v>
      </c>
      <c r="G30" s="962">
        <v>-84.148639266404757</v>
      </c>
      <c r="H30" s="236">
        <f t="shared" ref="H30:H36" si="7">SUM(D30:G30)</f>
        <v>80067.522509927876</v>
      </c>
      <c r="I30" s="962">
        <v>0</v>
      </c>
      <c r="J30" s="236">
        <f t="shared" si="5"/>
        <v>80067.522509927876</v>
      </c>
      <c r="K30" s="940" t="s">
        <v>289</v>
      </c>
      <c r="L30" s="4">
        <f t="shared" si="2"/>
        <v>15</v>
      </c>
      <c r="M30" s="361"/>
      <c r="N30" s="432"/>
    </row>
    <row r="31" spans="1:15" x14ac:dyDescent="0.3">
      <c r="A31" s="4">
        <f t="shared" si="1"/>
        <v>16</v>
      </c>
      <c r="B31" s="955">
        <v>354</v>
      </c>
      <c r="C31" s="237" t="s">
        <v>352</v>
      </c>
      <c r="D31" s="962">
        <v>23377.257859999976</v>
      </c>
      <c r="E31" s="962">
        <v>0</v>
      </c>
      <c r="F31" s="962">
        <v>0</v>
      </c>
      <c r="G31" s="962">
        <v>0</v>
      </c>
      <c r="H31" s="236">
        <f t="shared" si="7"/>
        <v>23377.257859999976</v>
      </c>
      <c r="I31" s="962">
        <v>0</v>
      </c>
      <c r="J31" s="236">
        <f t="shared" si="5"/>
        <v>23377.257859999976</v>
      </c>
      <c r="K31" s="940" t="s">
        <v>289</v>
      </c>
      <c r="L31" s="4">
        <f t="shared" si="2"/>
        <v>16</v>
      </c>
      <c r="M31" s="361"/>
    </row>
    <row r="32" spans="1:15" x14ac:dyDescent="0.3">
      <c r="A32" s="4">
        <f t="shared" si="1"/>
        <v>17</v>
      </c>
      <c r="B32" s="955">
        <v>355</v>
      </c>
      <c r="C32" s="237" t="s">
        <v>353</v>
      </c>
      <c r="D32" s="962">
        <v>53050.548390000025</v>
      </c>
      <c r="E32" s="962">
        <v>0</v>
      </c>
      <c r="F32" s="962">
        <v>0</v>
      </c>
      <c r="G32" s="962">
        <v>0</v>
      </c>
      <c r="H32" s="236">
        <f t="shared" si="7"/>
        <v>53050.548390000025</v>
      </c>
      <c r="I32" s="962">
        <v>0</v>
      </c>
      <c r="J32" s="236">
        <f t="shared" si="5"/>
        <v>53050.548390000025</v>
      </c>
      <c r="K32" s="940" t="s">
        <v>289</v>
      </c>
      <c r="L32" s="4">
        <f t="shared" si="2"/>
        <v>17</v>
      </c>
      <c r="M32" s="361"/>
    </row>
    <row r="33" spans="1:15" x14ac:dyDescent="0.3">
      <c r="A33" s="4">
        <f t="shared" si="1"/>
        <v>18</v>
      </c>
      <c r="B33" s="955">
        <v>356</v>
      </c>
      <c r="C33" s="237" t="s">
        <v>354</v>
      </c>
      <c r="D33" s="962">
        <v>29044.104979999978</v>
      </c>
      <c r="E33" s="962">
        <v>0</v>
      </c>
      <c r="F33" s="962">
        <v>0</v>
      </c>
      <c r="G33" s="962">
        <v>0</v>
      </c>
      <c r="H33" s="236">
        <f t="shared" si="7"/>
        <v>29044.104979999978</v>
      </c>
      <c r="I33" s="962">
        <v>0</v>
      </c>
      <c r="J33" s="236">
        <f t="shared" si="5"/>
        <v>29044.104979999978</v>
      </c>
      <c r="K33" s="940" t="s">
        <v>289</v>
      </c>
      <c r="L33" s="4">
        <f t="shared" si="2"/>
        <v>18</v>
      </c>
      <c r="M33" s="361"/>
    </row>
    <row r="34" spans="1:15" x14ac:dyDescent="0.3">
      <c r="A34" s="4">
        <f t="shared" si="1"/>
        <v>19</v>
      </c>
      <c r="B34" s="955">
        <v>357</v>
      </c>
      <c r="C34" s="237" t="s">
        <v>355</v>
      </c>
      <c r="D34" s="962">
        <v>13916.249910000002</v>
      </c>
      <c r="E34" s="962">
        <v>0</v>
      </c>
      <c r="F34" s="962">
        <v>0</v>
      </c>
      <c r="G34" s="962">
        <v>0</v>
      </c>
      <c r="H34" s="236">
        <f t="shared" si="7"/>
        <v>13916.249910000002</v>
      </c>
      <c r="I34" s="962">
        <v>0</v>
      </c>
      <c r="J34" s="236">
        <f t="shared" si="5"/>
        <v>13916.249910000002</v>
      </c>
      <c r="K34" s="940" t="s">
        <v>289</v>
      </c>
      <c r="L34" s="4">
        <f t="shared" si="2"/>
        <v>19</v>
      </c>
      <c r="M34" s="361"/>
    </row>
    <row r="35" spans="1:15" x14ac:dyDescent="0.3">
      <c r="A35" s="4">
        <f t="shared" si="1"/>
        <v>20</v>
      </c>
      <c r="B35" s="955">
        <v>358</v>
      </c>
      <c r="C35" s="237" t="s">
        <v>356</v>
      </c>
      <c r="D35" s="962">
        <v>13294.971769999996</v>
      </c>
      <c r="E35" s="962">
        <v>0</v>
      </c>
      <c r="F35" s="962">
        <v>-36.702636684580099</v>
      </c>
      <c r="G35" s="962">
        <v>0</v>
      </c>
      <c r="H35" s="236">
        <f t="shared" si="7"/>
        <v>13258.269133315416</v>
      </c>
      <c r="I35" s="962">
        <v>0</v>
      </c>
      <c r="J35" s="236">
        <f t="shared" si="5"/>
        <v>13258.269133315416</v>
      </c>
      <c r="K35" s="940" t="s">
        <v>289</v>
      </c>
      <c r="L35" s="4">
        <f t="shared" si="2"/>
        <v>20</v>
      </c>
      <c r="M35" s="361"/>
    </row>
    <row r="36" spans="1:15" x14ac:dyDescent="0.3">
      <c r="A36" s="4">
        <f t="shared" si="1"/>
        <v>21</v>
      </c>
      <c r="B36" s="955">
        <v>359</v>
      </c>
      <c r="C36" s="237" t="s">
        <v>357</v>
      </c>
      <c r="D36" s="962">
        <v>6401.6523199999965</v>
      </c>
      <c r="E36" s="962">
        <v>0</v>
      </c>
      <c r="F36" s="962">
        <v>0</v>
      </c>
      <c r="G36" s="962">
        <v>0</v>
      </c>
      <c r="H36" s="236">
        <f t="shared" si="7"/>
        <v>6401.6523199999965</v>
      </c>
      <c r="I36" s="962">
        <v>0</v>
      </c>
      <c r="J36" s="236">
        <f t="shared" si="5"/>
        <v>6401.6523199999965</v>
      </c>
      <c r="K36" s="940" t="s">
        <v>289</v>
      </c>
      <c r="L36" s="4">
        <f t="shared" si="2"/>
        <v>21</v>
      </c>
      <c r="M36" s="361"/>
    </row>
    <row r="37" spans="1:15" x14ac:dyDescent="0.3">
      <c r="A37" s="4">
        <f t="shared" si="1"/>
        <v>22</v>
      </c>
      <c r="B37" s="979"/>
      <c r="C37" s="237"/>
      <c r="D37" s="236" t="s">
        <v>1</v>
      </c>
      <c r="E37" s="95"/>
      <c r="F37" s="95"/>
      <c r="G37" s="6"/>
      <c r="H37" s="95"/>
      <c r="I37" s="95"/>
      <c r="J37" s="95"/>
      <c r="K37" s="955"/>
      <c r="L37" s="4">
        <f t="shared" si="2"/>
        <v>22</v>
      </c>
      <c r="M37" s="361"/>
    </row>
    <row r="38" spans="1:15" x14ac:dyDescent="0.3">
      <c r="A38" s="4">
        <f t="shared" si="1"/>
        <v>23</v>
      </c>
      <c r="B38" s="963" t="s">
        <v>349</v>
      </c>
      <c r="C38" s="958" t="s">
        <v>320</v>
      </c>
      <c r="D38" s="959">
        <f t="shared" ref="D38:J38" si="8">SUM(D25:D37)</f>
        <v>241663.40880999996</v>
      </c>
      <c r="E38" s="959">
        <f t="shared" si="8"/>
        <v>0</v>
      </c>
      <c r="F38" s="959">
        <f t="shared" si="8"/>
        <v>-552.06234972854065</v>
      </c>
      <c r="G38" s="239">
        <f t="shared" si="8"/>
        <v>-2797.7243778418424</v>
      </c>
      <c r="H38" s="959">
        <f t="shared" si="8"/>
        <v>238313.62208242956</v>
      </c>
      <c r="I38" s="959">
        <f t="shared" si="8"/>
        <v>0</v>
      </c>
      <c r="J38" s="959">
        <f t="shared" si="8"/>
        <v>238313.62208242956</v>
      </c>
      <c r="K38" s="964" t="s">
        <v>1614</v>
      </c>
      <c r="L38" s="4">
        <f t="shared" si="2"/>
        <v>23</v>
      </c>
      <c r="M38" s="361"/>
    </row>
    <row r="39" spans="1:15" x14ac:dyDescent="0.3">
      <c r="A39" s="4">
        <f t="shared" si="1"/>
        <v>24</v>
      </c>
      <c r="B39" s="335"/>
      <c r="D39" s="32"/>
      <c r="E39" s="6"/>
      <c r="F39" s="6"/>
      <c r="G39" s="6"/>
      <c r="H39" s="6"/>
      <c r="I39" s="6"/>
      <c r="J39" s="6"/>
      <c r="K39" s="433"/>
      <c r="L39" s="4">
        <f t="shared" si="2"/>
        <v>24</v>
      </c>
      <c r="M39" s="361"/>
    </row>
    <row r="40" spans="1:15" x14ac:dyDescent="0.3">
      <c r="A40" s="4">
        <f t="shared" si="1"/>
        <v>25</v>
      </c>
      <c r="B40" s="336" t="s">
        <v>358</v>
      </c>
      <c r="C40" s="965"/>
      <c r="D40" s="579">
        <f t="shared" ref="D40:J40" si="9">D38+D23</f>
        <v>241663.40880999996</v>
      </c>
      <c r="E40" s="579">
        <f t="shared" si="9"/>
        <v>55.700018836240851</v>
      </c>
      <c r="F40" s="579">
        <f t="shared" si="9"/>
        <v>-552.06234972854065</v>
      </c>
      <c r="G40" s="64">
        <f t="shared" si="9"/>
        <v>-2797.7243778418424</v>
      </c>
      <c r="H40" s="579">
        <f t="shared" si="9"/>
        <v>238369.3221012658</v>
      </c>
      <c r="I40" s="579">
        <f t="shared" si="9"/>
        <v>15.80242</v>
      </c>
      <c r="J40" s="579">
        <f t="shared" si="9"/>
        <v>238385.1245212658</v>
      </c>
      <c r="K40" s="960" t="s">
        <v>1615</v>
      </c>
      <c r="L40" s="4">
        <f t="shared" si="2"/>
        <v>25</v>
      </c>
      <c r="M40" s="361"/>
    </row>
    <row r="41" spans="1:15" x14ac:dyDescent="0.3">
      <c r="D41" s="32"/>
      <c r="E41" s="6"/>
      <c r="F41" s="6"/>
      <c r="G41" s="6"/>
      <c r="H41" s="6"/>
      <c r="I41" s="6"/>
      <c r="J41" s="6"/>
    </row>
    <row r="42" spans="1:15" x14ac:dyDescent="0.3">
      <c r="D42" s="32"/>
      <c r="E42" s="6"/>
      <c r="F42" s="6"/>
      <c r="G42" s="6"/>
      <c r="H42" s="6"/>
      <c r="I42" s="6"/>
      <c r="J42" s="6"/>
    </row>
    <row r="43" spans="1:15" x14ac:dyDescent="0.3">
      <c r="B43" s="32" t="s">
        <v>709</v>
      </c>
      <c r="D43" s="2"/>
      <c r="E43" s="6"/>
      <c r="F43" s="6"/>
      <c r="G43" s="6"/>
      <c r="H43" s="6"/>
      <c r="I43" s="6"/>
      <c r="J43" s="6"/>
    </row>
    <row r="44" spans="1:15" x14ac:dyDescent="0.3">
      <c r="D44" s="32"/>
    </row>
    <row r="45" spans="1:15" ht="18" x14ac:dyDescent="0.3">
      <c r="A45" s="269">
        <v>1</v>
      </c>
      <c r="B45" s="32" t="s">
        <v>710</v>
      </c>
      <c r="D45" s="32"/>
    </row>
    <row r="46" spans="1:15" ht="18" x14ac:dyDescent="0.3">
      <c r="A46" s="269">
        <v>2</v>
      </c>
      <c r="B46" s="32" t="s">
        <v>711</v>
      </c>
      <c r="D46" s="32"/>
    </row>
    <row r="47" spans="1:15" s="119" customFormat="1" x14ac:dyDescent="0.3">
      <c r="A47" s="4"/>
      <c r="B47" s="32" t="s">
        <v>712</v>
      </c>
      <c r="C47" s="32"/>
      <c r="D47" s="32"/>
      <c r="K47" s="6"/>
      <c r="L47" s="4"/>
      <c r="M47" s="4"/>
      <c r="N47" s="32"/>
      <c r="O47" s="32"/>
    </row>
    <row r="48" spans="1:15" s="119" customFormat="1" ht="18" x14ac:dyDescent="0.3">
      <c r="A48" s="269">
        <v>3</v>
      </c>
      <c r="B48" s="32" t="s">
        <v>1553</v>
      </c>
      <c r="C48" s="32"/>
      <c r="D48" s="32"/>
      <c r="G48" s="434"/>
      <c r="K48" s="6"/>
      <c r="L48" s="4"/>
      <c r="M48" s="4"/>
      <c r="N48" s="32"/>
      <c r="O48" s="32"/>
    </row>
    <row r="49" spans="1:15" s="119" customFormat="1" x14ac:dyDescent="0.3">
      <c r="A49" s="4"/>
      <c r="B49" s="32" t="s">
        <v>713</v>
      </c>
      <c r="C49" s="32"/>
      <c r="D49" s="32"/>
      <c r="K49" s="6"/>
      <c r="L49" s="4"/>
      <c r="M49" s="4"/>
      <c r="N49" s="32"/>
      <c r="O49" s="32"/>
    </row>
    <row r="50" spans="1:15" s="119" customFormat="1" x14ac:dyDescent="0.3">
      <c r="A50" s="4"/>
      <c r="B50" s="32" t="s">
        <v>714</v>
      </c>
      <c r="C50" s="32"/>
      <c r="D50" s="32"/>
      <c r="K50" s="6"/>
      <c r="L50" s="4"/>
      <c r="M50" s="4"/>
      <c r="N50" s="32"/>
      <c r="O50" s="32"/>
    </row>
    <row r="51" spans="1:15" s="119" customFormat="1" x14ac:dyDescent="0.3">
      <c r="A51" s="4"/>
      <c r="B51" s="32"/>
      <c r="C51" s="32"/>
      <c r="D51" s="32"/>
      <c r="K51" s="6"/>
      <c r="L51" s="4"/>
      <c r="M51" s="4"/>
      <c r="N51" s="32"/>
      <c r="O51" s="32"/>
    </row>
    <row r="52" spans="1:15" s="119" customFormat="1" x14ac:dyDescent="0.3">
      <c r="A52" s="4"/>
      <c r="B52" s="32"/>
      <c r="C52" s="32"/>
      <c r="D52" s="32"/>
      <c r="K52" s="6"/>
      <c r="L52" s="4"/>
      <c r="M52" s="4"/>
      <c r="N52" s="32"/>
      <c r="O52" s="32"/>
    </row>
    <row r="53" spans="1:15" s="119" customFormat="1" x14ac:dyDescent="0.3">
      <c r="A53" s="4"/>
      <c r="B53" s="32"/>
      <c r="C53" s="32"/>
      <c r="D53" s="32"/>
      <c r="K53" s="6"/>
      <c r="L53" s="4"/>
      <c r="M53" s="4"/>
      <c r="N53" s="32"/>
      <c r="O53" s="32"/>
    </row>
    <row r="54" spans="1:15" s="119" customFormat="1" x14ac:dyDescent="0.3">
      <c r="A54" s="4"/>
      <c r="B54" s="32"/>
      <c r="C54" s="32"/>
      <c r="D54" s="32"/>
      <c r="K54" s="6"/>
      <c r="L54" s="4"/>
      <c r="M54" s="4"/>
      <c r="N54" s="32"/>
      <c r="O54" s="32"/>
    </row>
    <row r="55" spans="1:15" s="119" customFormat="1" x14ac:dyDescent="0.3">
      <c r="A55" s="4"/>
      <c r="B55" s="32"/>
      <c r="C55" s="32"/>
      <c r="D55" s="32"/>
      <c r="K55" s="6"/>
      <c r="L55" s="4"/>
      <c r="M55" s="4"/>
      <c r="N55" s="32"/>
      <c r="O55" s="32"/>
    </row>
    <row r="56" spans="1:15" s="119" customFormat="1" x14ac:dyDescent="0.3">
      <c r="A56" s="4"/>
      <c r="B56" s="32"/>
      <c r="C56" s="32"/>
      <c r="D56" s="32"/>
      <c r="K56" s="6"/>
      <c r="L56" s="4"/>
      <c r="M56" s="4"/>
      <c r="N56" s="32"/>
      <c r="O56" s="32"/>
    </row>
    <row r="57" spans="1:15" s="119" customFormat="1" x14ac:dyDescent="0.3">
      <c r="A57" s="4"/>
      <c r="B57" s="32"/>
      <c r="C57" s="32"/>
      <c r="D57" s="32"/>
      <c r="K57" s="6"/>
      <c r="L57" s="4"/>
      <c r="M57" s="4"/>
      <c r="N57" s="32"/>
      <c r="O57" s="32"/>
    </row>
    <row r="58" spans="1:15" s="119" customFormat="1" x14ac:dyDescent="0.3">
      <c r="A58" s="4"/>
      <c r="B58" s="32"/>
      <c r="C58" s="32"/>
      <c r="D58" s="32"/>
      <c r="K58" s="6"/>
      <c r="L58" s="4"/>
      <c r="M58" s="4"/>
      <c r="N58" s="32"/>
      <c r="O58" s="32"/>
    </row>
    <row r="59" spans="1:15" s="119" customFormat="1" x14ac:dyDescent="0.3">
      <c r="A59" s="4"/>
      <c r="B59" s="32"/>
      <c r="C59" s="32"/>
      <c r="D59" s="32"/>
      <c r="K59" s="6"/>
      <c r="L59" s="4"/>
      <c r="M59" s="4"/>
      <c r="N59" s="32"/>
      <c r="O59" s="32"/>
    </row>
    <row r="60" spans="1:15" s="119" customFormat="1" x14ac:dyDescent="0.3">
      <c r="A60" s="4"/>
      <c r="B60" s="32"/>
      <c r="C60" s="32"/>
      <c r="D60" s="32"/>
      <c r="K60" s="6"/>
      <c r="L60" s="4"/>
      <c r="M60" s="4"/>
      <c r="N60" s="32"/>
      <c r="O60" s="32"/>
    </row>
    <row r="61" spans="1:15" s="119" customFormat="1" x14ac:dyDescent="0.3">
      <c r="A61" s="4"/>
      <c r="B61" s="32"/>
      <c r="C61" s="32"/>
      <c r="D61" s="32"/>
      <c r="K61" s="6"/>
      <c r="L61" s="4"/>
      <c r="M61" s="4"/>
      <c r="N61" s="32"/>
      <c r="O61" s="32"/>
    </row>
    <row r="62" spans="1:15" s="119" customFormat="1" x14ac:dyDescent="0.3">
      <c r="A62" s="4"/>
      <c r="B62" s="32"/>
      <c r="C62" s="32"/>
      <c r="D62" s="32"/>
      <c r="K62" s="6"/>
      <c r="L62" s="4"/>
      <c r="M62" s="4"/>
      <c r="N62" s="32"/>
      <c r="O62" s="32"/>
    </row>
    <row r="63" spans="1:15" s="119" customFormat="1" x14ac:dyDescent="0.3">
      <c r="A63" s="4"/>
      <c r="B63" s="32"/>
      <c r="C63" s="32"/>
      <c r="D63" s="32"/>
      <c r="K63" s="6"/>
      <c r="L63" s="4"/>
      <c r="M63" s="4"/>
      <c r="N63" s="32"/>
      <c r="O63" s="32"/>
    </row>
    <row r="64" spans="1:15" s="119" customFormat="1" x14ac:dyDescent="0.3">
      <c r="A64" s="4"/>
      <c r="B64" s="32"/>
      <c r="C64" s="32"/>
      <c r="D64" s="32"/>
      <c r="K64" s="6"/>
      <c r="L64" s="4"/>
      <c r="M64" s="4"/>
      <c r="N64" s="32"/>
      <c r="O64" s="32"/>
    </row>
    <row r="65" spans="1:15" s="119" customFormat="1" x14ac:dyDescent="0.3">
      <c r="A65" s="4"/>
      <c r="B65" s="32"/>
      <c r="C65" s="32"/>
      <c r="D65" s="32"/>
      <c r="K65" s="6"/>
      <c r="L65" s="4"/>
      <c r="M65" s="4"/>
      <c r="N65" s="32"/>
      <c r="O65" s="32"/>
    </row>
    <row r="66" spans="1:15" s="119" customFormat="1" x14ac:dyDescent="0.3">
      <c r="A66" s="4"/>
      <c r="B66" s="32"/>
      <c r="C66" s="32"/>
      <c r="D66" s="32"/>
      <c r="K66" s="6"/>
      <c r="L66" s="4"/>
      <c r="M66" s="4"/>
      <c r="N66" s="32"/>
      <c r="O66" s="32"/>
    </row>
    <row r="67" spans="1:15" s="119" customFormat="1" x14ac:dyDescent="0.3">
      <c r="A67" s="4"/>
      <c r="B67" s="32"/>
      <c r="C67" s="32"/>
      <c r="D67" s="32"/>
      <c r="K67" s="6"/>
      <c r="L67" s="4"/>
      <c r="M67" s="4"/>
      <c r="N67" s="32"/>
      <c r="O67" s="32"/>
    </row>
    <row r="68" spans="1:15" s="119" customFormat="1" x14ac:dyDescent="0.3">
      <c r="A68" s="4"/>
      <c r="B68" s="32"/>
      <c r="C68" s="32"/>
      <c r="D68" s="32"/>
      <c r="K68" s="6"/>
      <c r="L68" s="4"/>
      <c r="M68" s="4"/>
      <c r="N68" s="32"/>
      <c r="O68" s="32"/>
    </row>
    <row r="69" spans="1:15" s="119" customFormat="1" x14ac:dyDescent="0.3">
      <c r="A69" s="4"/>
      <c r="B69" s="32"/>
      <c r="C69" s="32"/>
      <c r="D69" s="32"/>
      <c r="K69" s="6"/>
      <c r="L69" s="4"/>
      <c r="M69" s="4"/>
      <c r="N69" s="32"/>
      <c r="O69" s="32"/>
    </row>
    <row r="70" spans="1:15" s="119" customFormat="1" x14ac:dyDescent="0.3">
      <c r="A70" s="4"/>
      <c r="B70" s="32"/>
      <c r="C70" s="32"/>
      <c r="D70" s="32"/>
      <c r="K70" s="6"/>
      <c r="L70" s="4"/>
      <c r="M70" s="4"/>
      <c r="N70" s="32"/>
      <c r="O70" s="32"/>
    </row>
    <row r="71" spans="1:15" s="119" customFormat="1" x14ac:dyDescent="0.3">
      <c r="A71" s="4"/>
      <c r="B71" s="32"/>
      <c r="C71" s="32"/>
      <c r="D71" s="32"/>
      <c r="K71" s="6"/>
      <c r="L71" s="4"/>
      <c r="M71" s="4"/>
      <c r="N71" s="32"/>
      <c r="O71" s="32"/>
    </row>
    <row r="72" spans="1:15" s="119" customFormat="1" x14ac:dyDescent="0.3">
      <c r="A72" s="4"/>
      <c r="B72" s="32"/>
      <c r="C72" s="32"/>
      <c r="D72" s="32"/>
      <c r="K72" s="6"/>
      <c r="L72" s="4"/>
      <c r="M72" s="4"/>
      <c r="N72" s="32"/>
      <c r="O72" s="32"/>
    </row>
    <row r="73" spans="1:15" s="119" customFormat="1" x14ac:dyDescent="0.3">
      <c r="A73" s="4"/>
      <c r="B73" s="32"/>
      <c r="C73" s="32"/>
      <c r="D73" s="32"/>
      <c r="K73" s="6"/>
      <c r="L73" s="4"/>
      <c r="M73" s="4"/>
      <c r="N73" s="32"/>
      <c r="O73" s="32"/>
    </row>
    <row r="74" spans="1:15" s="119" customFormat="1" x14ac:dyDescent="0.3">
      <c r="A74" s="4"/>
      <c r="B74" s="32"/>
      <c r="C74" s="32"/>
      <c r="D74" s="32"/>
      <c r="K74" s="6"/>
      <c r="L74" s="4"/>
      <c r="M74" s="4"/>
      <c r="N74" s="32"/>
      <c r="O74" s="32"/>
    </row>
    <row r="75" spans="1:15" s="119" customFormat="1" x14ac:dyDescent="0.3">
      <c r="A75" s="4"/>
      <c r="B75" s="32"/>
      <c r="C75" s="32"/>
      <c r="D75" s="32"/>
      <c r="K75" s="6"/>
      <c r="L75" s="4"/>
      <c r="M75" s="4"/>
      <c r="N75" s="32"/>
      <c r="O75" s="32"/>
    </row>
    <row r="76" spans="1:15" s="119" customFormat="1" x14ac:dyDescent="0.3">
      <c r="A76" s="4"/>
      <c r="B76" s="32"/>
      <c r="C76" s="32"/>
      <c r="D76" s="32"/>
      <c r="K76" s="6"/>
      <c r="L76" s="4"/>
      <c r="M76" s="4"/>
      <c r="N76" s="32"/>
      <c r="O76" s="32"/>
    </row>
    <row r="77" spans="1:15" s="119" customFormat="1" x14ac:dyDescent="0.3">
      <c r="A77" s="4"/>
      <c r="B77" s="32"/>
      <c r="C77" s="32"/>
      <c r="D77" s="32"/>
      <c r="K77" s="6"/>
      <c r="L77" s="4"/>
      <c r="M77" s="4"/>
      <c r="N77" s="32"/>
      <c r="O77" s="32"/>
    </row>
    <row r="78" spans="1:15" s="119" customFormat="1" x14ac:dyDescent="0.3">
      <c r="A78" s="4"/>
      <c r="B78" s="32"/>
      <c r="C78" s="32"/>
      <c r="D78" s="32"/>
      <c r="K78" s="6"/>
      <c r="L78" s="4"/>
      <c r="M78" s="4"/>
      <c r="N78" s="32"/>
      <c r="O78" s="32"/>
    </row>
    <row r="79" spans="1:15" s="119" customFormat="1" x14ac:dyDescent="0.3">
      <c r="A79" s="4"/>
      <c r="B79" s="32"/>
      <c r="C79" s="32"/>
      <c r="D79" s="32"/>
      <c r="K79" s="6"/>
      <c r="L79" s="4"/>
      <c r="M79" s="4"/>
      <c r="N79" s="32"/>
      <c r="O79" s="32"/>
    </row>
    <row r="80" spans="1:15" s="119" customFormat="1" x14ac:dyDescent="0.3">
      <c r="A80" s="4"/>
      <c r="B80" s="32"/>
      <c r="C80" s="32"/>
      <c r="D80" s="32"/>
      <c r="K80" s="6"/>
      <c r="L80" s="4"/>
      <c r="M80" s="4"/>
      <c r="N80" s="32"/>
      <c r="O80" s="32"/>
    </row>
    <row r="81" spans="1:15" s="119" customFormat="1" x14ac:dyDescent="0.3">
      <c r="A81" s="4"/>
      <c r="B81" s="32"/>
      <c r="C81" s="32"/>
      <c r="D81" s="32"/>
      <c r="K81" s="6"/>
      <c r="L81" s="4"/>
      <c r="M81" s="4"/>
      <c r="N81" s="32"/>
      <c r="O81" s="32"/>
    </row>
    <row r="82" spans="1:15" s="119" customFormat="1" x14ac:dyDescent="0.3">
      <c r="A82" s="4"/>
      <c r="B82" s="32"/>
      <c r="C82" s="32"/>
      <c r="D82" s="32"/>
      <c r="K82" s="6"/>
      <c r="L82" s="4"/>
      <c r="M82" s="4"/>
      <c r="N82" s="32"/>
      <c r="O82" s="32"/>
    </row>
    <row r="83" spans="1:15" s="119" customFormat="1" x14ac:dyDescent="0.3">
      <c r="A83" s="4"/>
      <c r="B83" s="32"/>
      <c r="C83" s="32"/>
      <c r="D83" s="32"/>
      <c r="K83" s="6"/>
      <c r="L83" s="4"/>
      <c r="M83" s="4"/>
      <c r="N83" s="32"/>
      <c r="O83" s="32"/>
    </row>
    <row r="84" spans="1:15" s="119" customFormat="1" x14ac:dyDescent="0.3">
      <c r="A84" s="4"/>
      <c r="B84" s="32"/>
      <c r="C84" s="32"/>
      <c r="D84" s="32"/>
      <c r="K84" s="6"/>
      <c r="L84" s="4"/>
      <c r="M84" s="4"/>
      <c r="N84" s="32"/>
      <c r="O84" s="32"/>
    </row>
    <row r="85" spans="1:15" s="119" customFormat="1" x14ac:dyDescent="0.3">
      <c r="A85" s="4"/>
      <c r="B85" s="32"/>
      <c r="C85" s="32"/>
      <c r="D85" s="32"/>
      <c r="K85" s="6"/>
      <c r="L85" s="4"/>
      <c r="M85" s="4"/>
      <c r="N85" s="32"/>
      <c r="O85" s="32"/>
    </row>
    <row r="86" spans="1:15" s="119" customFormat="1" x14ac:dyDescent="0.3">
      <c r="A86" s="4"/>
      <c r="B86" s="32"/>
      <c r="C86" s="32"/>
      <c r="D86" s="32"/>
      <c r="K86" s="6"/>
      <c r="L86" s="4"/>
      <c r="M86" s="4"/>
      <c r="N86" s="32"/>
      <c r="O86" s="32"/>
    </row>
    <row r="87" spans="1:15" s="119" customFormat="1" x14ac:dyDescent="0.3">
      <c r="A87" s="4"/>
      <c r="B87" s="32"/>
      <c r="C87" s="32"/>
      <c r="D87" s="32"/>
      <c r="K87" s="6"/>
      <c r="L87" s="4"/>
      <c r="M87" s="4"/>
      <c r="N87" s="32"/>
      <c r="O87" s="32"/>
    </row>
    <row r="88" spans="1:15" s="119" customFormat="1" x14ac:dyDescent="0.3">
      <c r="A88" s="4"/>
      <c r="B88" s="32"/>
      <c r="C88" s="32"/>
      <c r="D88" s="32"/>
      <c r="K88" s="6"/>
      <c r="L88" s="4"/>
      <c r="M88" s="4"/>
      <c r="N88" s="32"/>
      <c r="O88" s="32"/>
    </row>
    <row r="89" spans="1:15" s="119" customFormat="1" x14ac:dyDescent="0.3">
      <c r="A89" s="4"/>
      <c r="B89" s="32"/>
      <c r="C89" s="32"/>
      <c r="D89" s="32"/>
      <c r="K89" s="6"/>
      <c r="L89" s="4"/>
      <c r="M89" s="4"/>
      <c r="N89" s="32"/>
      <c r="O89" s="32"/>
    </row>
    <row r="90" spans="1:15" s="119" customFormat="1" x14ac:dyDescent="0.3">
      <c r="A90" s="4"/>
      <c r="B90" s="32"/>
      <c r="C90" s="32"/>
      <c r="D90" s="32"/>
      <c r="K90" s="6"/>
      <c r="L90" s="4"/>
      <c r="M90" s="4"/>
      <c r="N90" s="32"/>
      <c r="O90" s="32"/>
    </row>
    <row r="91" spans="1:15" s="119" customFormat="1" x14ac:dyDescent="0.3">
      <c r="A91" s="4"/>
      <c r="B91" s="32"/>
      <c r="C91" s="32"/>
      <c r="D91" s="32"/>
      <c r="K91" s="6"/>
      <c r="L91" s="4"/>
      <c r="M91" s="4"/>
      <c r="N91" s="32"/>
      <c r="O91" s="32"/>
    </row>
    <row r="92" spans="1:15" s="119" customFormat="1" x14ac:dyDescent="0.3">
      <c r="A92" s="4"/>
      <c r="B92" s="32"/>
      <c r="C92" s="32"/>
      <c r="D92" s="32"/>
      <c r="K92" s="6"/>
      <c r="L92" s="4"/>
      <c r="M92" s="4"/>
      <c r="N92" s="32"/>
      <c r="O92" s="32"/>
    </row>
    <row r="93" spans="1:15" s="119" customFormat="1" x14ac:dyDescent="0.3">
      <c r="A93" s="4"/>
      <c r="B93" s="32"/>
      <c r="C93" s="32"/>
      <c r="D93" s="32"/>
      <c r="K93" s="6"/>
      <c r="L93" s="4"/>
      <c r="M93" s="4"/>
      <c r="N93" s="32"/>
      <c r="O93" s="32"/>
    </row>
    <row r="94" spans="1:15" s="119" customFormat="1" x14ac:dyDescent="0.3">
      <c r="A94" s="4"/>
      <c r="B94" s="32"/>
      <c r="C94" s="32"/>
      <c r="D94" s="32"/>
      <c r="K94" s="6"/>
      <c r="L94" s="4"/>
      <c r="M94" s="4"/>
      <c r="N94" s="32"/>
      <c r="O94" s="32"/>
    </row>
    <row r="95" spans="1:15" s="119" customFormat="1" x14ac:dyDescent="0.3">
      <c r="A95" s="4"/>
      <c r="B95" s="32"/>
      <c r="C95" s="32"/>
      <c r="D95" s="32"/>
      <c r="K95" s="6"/>
      <c r="L95" s="4"/>
      <c r="M95" s="4"/>
      <c r="N95" s="32"/>
      <c r="O95" s="32"/>
    </row>
    <row r="96" spans="1:15" s="119" customFormat="1" x14ac:dyDescent="0.3">
      <c r="A96" s="4"/>
      <c r="B96" s="32"/>
      <c r="C96" s="32"/>
      <c r="D96" s="32"/>
      <c r="K96" s="6"/>
      <c r="L96" s="4"/>
      <c r="M96" s="4"/>
      <c r="N96" s="32"/>
      <c r="O96" s="32"/>
    </row>
    <row r="97" spans="1:15" s="119" customFormat="1" x14ac:dyDescent="0.3">
      <c r="A97" s="4"/>
      <c r="B97" s="32"/>
      <c r="C97" s="32"/>
      <c r="D97" s="32"/>
      <c r="K97" s="6"/>
      <c r="L97" s="4"/>
      <c r="M97" s="4"/>
      <c r="N97" s="32"/>
      <c r="O97" s="32"/>
    </row>
    <row r="98" spans="1:15" s="119" customFormat="1" x14ac:dyDescent="0.3">
      <c r="A98" s="4"/>
      <c r="B98" s="32"/>
      <c r="C98" s="32"/>
      <c r="D98" s="32"/>
      <c r="K98" s="6"/>
      <c r="L98" s="4"/>
      <c r="M98" s="4"/>
      <c r="N98" s="32"/>
      <c r="O98" s="32"/>
    </row>
    <row r="99" spans="1:15" s="119" customFormat="1" x14ac:dyDescent="0.3">
      <c r="A99" s="4"/>
      <c r="B99" s="32"/>
      <c r="C99" s="32"/>
      <c r="D99" s="32"/>
      <c r="K99" s="6"/>
      <c r="L99" s="4"/>
      <c r="M99" s="4"/>
      <c r="N99" s="32"/>
      <c r="O99" s="32"/>
    </row>
    <row r="100" spans="1:15" s="119" customFormat="1" x14ac:dyDescent="0.3">
      <c r="A100" s="4"/>
      <c r="B100" s="32"/>
      <c r="C100" s="32"/>
      <c r="D100" s="32"/>
      <c r="K100" s="6"/>
      <c r="L100" s="4"/>
      <c r="M100" s="4"/>
      <c r="N100" s="32"/>
      <c r="O100" s="32"/>
    </row>
    <row r="101" spans="1:15" s="119" customFormat="1" x14ac:dyDescent="0.3">
      <c r="A101" s="4"/>
      <c r="B101" s="32"/>
      <c r="C101" s="32"/>
      <c r="D101" s="32"/>
      <c r="K101" s="6"/>
      <c r="L101" s="4"/>
      <c r="M101" s="4"/>
      <c r="N101" s="32"/>
      <c r="O101" s="32"/>
    </row>
    <row r="102" spans="1:15" s="119" customFormat="1" x14ac:dyDescent="0.3">
      <c r="A102" s="4"/>
      <c r="B102" s="32"/>
      <c r="C102" s="32"/>
      <c r="D102" s="32"/>
      <c r="K102" s="6"/>
      <c r="L102" s="4"/>
      <c r="M102" s="4"/>
      <c r="N102" s="32"/>
      <c r="O102" s="32"/>
    </row>
    <row r="103" spans="1:15" s="119" customFormat="1" x14ac:dyDescent="0.3">
      <c r="A103" s="4"/>
      <c r="B103" s="32"/>
      <c r="C103" s="32"/>
      <c r="D103" s="32"/>
      <c r="K103" s="6"/>
      <c r="L103" s="4"/>
      <c r="M103" s="4"/>
      <c r="N103" s="32"/>
      <c r="O103" s="32"/>
    </row>
    <row r="104" spans="1:15" s="119" customFormat="1" x14ac:dyDescent="0.3">
      <c r="A104" s="4"/>
      <c r="B104" s="32"/>
      <c r="C104" s="32"/>
      <c r="D104" s="32"/>
      <c r="K104" s="6"/>
      <c r="L104" s="4"/>
      <c r="M104" s="4"/>
      <c r="N104" s="32"/>
      <c r="O104" s="32"/>
    </row>
    <row r="105" spans="1:15" s="119" customFormat="1" x14ac:dyDescent="0.3">
      <c r="A105" s="4"/>
      <c r="B105" s="32"/>
      <c r="C105" s="32"/>
      <c r="D105" s="32"/>
      <c r="K105" s="6"/>
      <c r="L105" s="4"/>
      <c r="M105" s="4"/>
      <c r="N105" s="32"/>
      <c r="O105" s="32"/>
    </row>
    <row r="106" spans="1:15" s="119" customFormat="1" x14ac:dyDescent="0.3">
      <c r="A106" s="4"/>
      <c r="B106" s="32"/>
      <c r="C106" s="32"/>
      <c r="D106" s="32"/>
      <c r="K106" s="6"/>
      <c r="L106" s="4"/>
      <c r="M106" s="4"/>
      <c r="N106" s="32"/>
      <c r="O106" s="32"/>
    </row>
    <row r="107" spans="1:15" s="119" customFormat="1" x14ac:dyDescent="0.3">
      <c r="A107" s="4"/>
      <c r="B107" s="32"/>
      <c r="C107" s="32"/>
      <c r="D107" s="32"/>
      <c r="K107" s="6"/>
      <c r="L107" s="4"/>
      <c r="M107" s="4"/>
      <c r="N107" s="32"/>
      <c r="O107" s="32"/>
    </row>
    <row r="108" spans="1:15" s="119" customFormat="1" x14ac:dyDescent="0.3">
      <c r="A108" s="4"/>
      <c r="B108" s="32"/>
      <c r="C108" s="32"/>
      <c r="D108" s="32"/>
      <c r="K108" s="6"/>
      <c r="L108" s="4"/>
      <c r="M108" s="4"/>
      <c r="N108" s="32"/>
      <c r="O108" s="32"/>
    </row>
    <row r="109" spans="1:15" s="119" customFormat="1" x14ac:dyDescent="0.3">
      <c r="A109" s="4"/>
      <c r="B109" s="32"/>
      <c r="C109" s="32"/>
      <c r="D109" s="32"/>
      <c r="K109" s="6"/>
      <c r="L109" s="4"/>
      <c r="M109" s="4"/>
      <c r="N109" s="32"/>
      <c r="O109" s="32"/>
    </row>
    <row r="110" spans="1:15" s="119" customFormat="1" x14ac:dyDescent="0.3">
      <c r="A110" s="4"/>
      <c r="B110" s="32"/>
      <c r="C110" s="32"/>
      <c r="D110" s="32"/>
      <c r="K110" s="6"/>
      <c r="L110" s="4"/>
      <c r="M110" s="4"/>
      <c r="N110" s="32"/>
      <c r="O110" s="32"/>
    </row>
    <row r="111" spans="1:15" s="119" customFormat="1" x14ac:dyDescent="0.3">
      <c r="A111" s="4"/>
      <c r="B111" s="32"/>
      <c r="C111" s="32"/>
      <c r="D111" s="32"/>
      <c r="K111" s="6"/>
      <c r="L111" s="4"/>
      <c r="M111" s="4"/>
      <c r="N111" s="32"/>
      <c r="O111" s="32"/>
    </row>
    <row r="112" spans="1:15" s="119" customFormat="1" x14ac:dyDescent="0.3">
      <c r="A112" s="4"/>
      <c r="B112" s="32"/>
      <c r="C112" s="32"/>
      <c r="D112" s="32"/>
      <c r="K112" s="6"/>
      <c r="L112" s="4"/>
      <c r="M112" s="4"/>
      <c r="N112" s="32"/>
      <c r="O112" s="32"/>
    </row>
    <row r="113" spans="1:15" s="119" customFormat="1" x14ac:dyDescent="0.3">
      <c r="A113" s="4"/>
      <c r="B113" s="32"/>
      <c r="C113" s="32"/>
      <c r="D113" s="32"/>
      <c r="K113" s="6"/>
      <c r="L113" s="4"/>
      <c r="M113" s="4"/>
      <c r="N113" s="32"/>
      <c r="O113" s="32"/>
    </row>
    <row r="114" spans="1:15" s="119" customFormat="1" x14ac:dyDescent="0.3">
      <c r="A114" s="4"/>
      <c r="B114" s="32"/>
      <c r="C114" s="32"/>
      <c r="D114" s="32"/>
      <c r="K114" s="6"/>
      <c r="L114" s="4"/>
      <c r="M114" s="4"/>
      <c r="N114" s="32"/>
      <c r="O114" s="32"/>
    </row>
    <row r="115" spans="1:15" s="119" customFormat="1" x14ac:dyDescent="0.3">
      <c r="A115" s="4"/>
      <c r="B115" s="32"/>
      <c r="C115" s="32"/>
      <c r="D115" s="32"/>
      <c r="K115" s="6"/>
      <c r="L115" s="4"/>
      <c r="M115" s="4"/>
      <c r="N115" s="32"/>
      <c r="O115" s="32"/>
    </row>
    <row r="116" spans="1:15" s="119" customFormat="1" x14ac:dyDescent="0.3">
      <c r="A116" s="4"/>
      <c r="B116" s="32"/>
      <c r="C116" s="32"/>
      <c r="D116" s="32"/>
      <c r="K116" s="6"/>
      <c r="L116" s="4"/>
      <c r="M116" s="4"/>
      <c r="N116" s="32"/>
      <c r="O116" s="32"/>
    </row>
    <row r="117" spans="1:15" s="119" customFormat="1" x14ac:dyDescent="0.3">
      <c r="A117" s="4"/>
      <c r="B117" s="32"/>
      <c r="C117" s="32"/>
      <c r="D117" s="32"/>
      <c r="K117" s="6"/>
      <c r="L117" s="4"/>
      <c r="M117" s="4"/>
      <c r="N117" s="32"/>
      <c r="O117" s="32"/>
    </row>
    <row r="118" spans="1:15" s="119" customFormat="1" x14ac:dyDescent="0.3">
      <c r="A118" s="4"/>
      <c r="B118" s="32"/>
      <c r="C118" s="32"/>
      <c r="D118" s="32"/>
      <c r="K118" s="6"/>
      <c r="L118" s="4"/>
      <c r="M118" s="4"/>
      <c r="N118" s="32"/>
      <c r="O118" s="32"/>
    </row>
    <row r="119" spans="1:15" s="119" customFormat="1" x14ac:dyDescent="0.3">
      <c r="A119" s="4"/>
      <c r="B119" s="32"/>
      <c r="C119" s="32"/>
      <c r="D119" s="32"/>
      <c r="K119" s="6"/>
      <c r="L119" s="4"/>
      <c r="M119" s="4"/>
      <c r="N119" s="32"/>
      <c r="O119" s="32"/>
    </row>
    <row r="120" spans="1:15" s="119" customFormat="1" x14ac:dyDescent="0.3">
      <c r="A120" s="4"/>
      <c r="B120" s="32"/>
      <c r="C120" s="32"/>
      <c r="D120" s="32"/>
      <c r="K120" s="6"/>
      <c r="L120" s="4"/>
      <c r="M120" s="4"/>
      <c r="N120" s="32"/>
      <c r="O120" s="32"/>
    </row>
    <row r="121" spans="1:15" s="119" customFormat="1" x14ac:dyDescent="0.3">
      <c r="A121" s="4"/>
      <c r="B121" s="32"/>
      <c r="C121" s="32"/>
      <c r="D121" s="32"/>
      <c r="K121" s="6"/>
      <c r="L121" s="4"/>
      <c r="M121" s="4"/>
      <c r="N121" s="32"/>
      <c r="O121" s="32"/>
    </row>
    <row r="122" spans="1:15" s="119" customFormat="1" x14ac:dyDescent="0.3">
      <c r="A122" s="4"/>
      <c r="B122" s="32"/>
      <c r="C122" s="32"/>
      <c r="D122" s="32"/>
      <c r="K122" s="6"/>
      <c r="L122" s="4"/>
      <c r="M122" s="4"/>
      <c r="N122" s="32"/>
      <c r="O122" s="32"/>
    </row>
    <row r="123" spans="1:15" s="119" customFormat="1" x14ac:dyDescent="0.3">
      <c r="A123" s="4"/>
      <c r="B123" s="32"/>
      <c r="C123" s="32"/>
      <c r="D123" s="32"/>
      <c r="K123" s="6"/>
      <c r="L123" s="4"/>
      <c r="M123" s="4"/>
      <c r="N123" s="32"/>
      <c r="O123" s="32"/>
    </row>
    <row r="124" spans="1:15" s="119" customFormat="1" x14ac:dyDescent="0.3">
      <c r="A124" s="4"/>
      <c r="B124" s="32"/>
      <c r="C124" s="32"/>
      <c r="D124" s="32"/>
      <c r="K124" s="6"/>
      <c r="L124" s="4"/>
      <c r="M124" s="4"/>
      <c r="N124" s="32"/>
      <c r="O124" s="32"/>
    </row>
    <row r="125" spans="1:15" s="119" customFormat="1" x14ac:dyDescent="0.3">
      <c r="A125" s="4"/>
      <c r="B125" s="32"/>
      <c r="C125" s="32"/>
      <c r="D125" s="32"/>
      <c r="K125" s="6"/>
      <c r="L125" s="4"/>
      <c r="M125" s="4"/>
      <c r="N125" s="32"/>
      <c r="O125" s="32"/>
    </row>
    <row r="126" spans="1:15" s="119" customFormat="1" x14ac:dyDescent="0.3">
      <c r="A126" s="4"/>
      <c r="B126" s="32"/>
      <c r="C126" s="32"/>
      <c r="D126" s="32"/>
      <c r="K126" s="6"/>
      <c r="L126" s="4"/>
      <c r="M126" s="4"/>
      <c r="N126" s="32"/>
      <c r="O126" s="32"/>
    </row>
    <row r="127" spans="1:15" s="119" customFormat="1" x14ac:dyDescent="0.3">
      <c r="A127" s="4"/>
      <c r="B127" s="32"/>
      <c r="C127" s="32"/>
      <c r="D127" s="32"/>
      <c r="K127" s="6"/>
      <c r="L127" s="4"/>
      <c r="M127" s="4"/>
      <c r="N127" s="32"/>
      <c r="O127" s="32"/>
    </row>
    <row r="128" spans="1:15" s="119" customFormat="1" x14ac:dyDescent="0.3">
      <c r="A128" s="4"/>
      <c r="B128" s="32"/>
      <c r="C128" s="32"/>
      <c r="D128" s="32"/>
      <c r="K128" s="6"/>
      <c r="L128" s="4"/>
      <c r="M128" s="4"/>
      <c r="N128" s="32"/>
      <c r="O128" s="32"/>
    </row>
    <row r="129" spans="1:15" s="119" customFormat="1" x14ac:dyDescent="0.3">
      <c r="A129" s="4"/>
      <c r="B129" s="32"/>
      <c r="C129" s="32"/>
      <c r="D129" s="32"/>
      <c r="K129" s="6"/>
      <c r="L129" s="4"/>
      <c r="M129" s="4"/>
      <c r="N129" s="32"/>
      <c r="O129" s="32"/>
    </row>
    <row r="130" spans="1:15" s="119" customFormat="1" x14ac:dyDescent="0.3">
      <c r="A130" s="4"/>
      <c r="B130" s="32"/>
      <c r="C130" s="32"/>
      <c r="D130" s="32"/>
      <c r="K130" s="6"/>
      <c r="L130" s="4"/>
      <c r="M130" s="4"/>
      <c r="N130" s="32"/>
      <c r="O130" s="32"/>
    </row>
    <row r="131" spans="1:15" s="119" customFormat="1" x14ac:dyDescent="0.3">
      <c r="A131" s="4"/>
      <c r="B131" s="32"/>
      <c r="C131" s="32"/>
      <c r="D131" s="32"/>
      <c r="K131" s="6"/>
      <c r="L131" s="4"/>
      <c r="M131" s="4"/>
      <c r="N131" s="32"/>
      <c r="O131" s="32"/>
    </row>
    <row r="132" spans="1:15" s="119" customFormat="1" x14ac:dyDescent="0.3">
      <c r="A132" s="4"/>
      <c r="B132" s="32"/>
      <c r="C132" s="32"/>
      <c r="D132" s="32"/>
      <c r="K132" s="6"/>
      <c r="L132" s="4"/>
      <c r="M132" s="4"/>
      <c r="N132" s="32"/>
      <c r="O132" s="32"/>
    </row>
    <row r="133" spans="1:15" s="119" customFormat="1" x14ac:dyDescent="0.3">
      <c r="A133" s="4"/>
      <c r="B133" s="32"/>
      <c r="C133" s="32"/>
      <c r="D133" s="32"/>
      <c r="K133" s="6"/>
      <c r="L133" s="4"/>
      <c r="M133" s="4"/>
      <c r="N133" s="32"/>
      <c r="O133" s="32"/>
    </row>
    <row r="134" spans="1:15" s="119" customFormat="1" x14ac:dyDescent="0.3">
      <c r="A134" s="4"/>
      <c r="B134" s="32"/>
      <c r="C134" s="32"/>
      <c r="D134" s="32"/>
      <c r="K134" s="6"/>
      <c r="L134" s="4"/>
      <c r="M134" s="4"/>
      <c r="N134" s="32"/>
      <c r="O134" s="32"/>
    </row>
    <row r="135" spans="1:15" s="119" customFormat="1" x14ac:dyDescent="0.3">
      <c r="A135" s="4"/>
      <c r="B135" s="32"/>
      <c r="C135" s="32"/>
      <c r="D135" s="32"/>
      <c r="K135" s="6"/>
      <c r="L135" s="4"/>
      <c r="M135" s="4"/>
      <c r="N135" s="32"/>
      <c r="O135" s="32"/>
    </row>
    <row r="136" spans="1:15" s="119" customFormat="1" x14ac:dyDescent="0.3">
      <c r="A136" s="4"/>
      <c r="B136" s="32"/>
      <c r="C136" s="32"/>
      <c r="D136" s="32"/>
      <c r="K136" s="6"/>
      <c r="L136" s="4"/>
      <c r="M136" s="4"/>
      <c r="N136" s="32"/>
      <c r="O136" s="32"/>
    </row>
    <row r="137" spans="1:15" s="119" customFormat="1" x14ac:dyDescent="0.3">
      <c r="A137" s="4"/>
      <c r="B137" s="32"/>
      <c r="C137" s="32"/>
      <c r="D137" s="32"/>
      <c r="K137" s="6"/>
      <c r="L137" s="4"/>
      <c r="M137" s="4"/>
      <c r="N137" s="32"/>
      <c r="O137" s="32"/>
    </row>
    <row r="138" spans="1:15" s="119" customFormat="1" x14ac:dyDescent="0.3">
      <c r="A138" s="4"/>
      <c r="B138" s="32"/>
      <c r="C138" s="32"/>
      <c r="D138" s="32"/>
      <c r="K138" s="6"/>
      <c r="L138" s="4"/>
      <c r="M138" s="4"/>
      <c r="N138" s="32"/>
      <c r="O138" s="32"/>
    </row>
    <row r="139" spans="1:15" s="119" customFormat="1" x14ac:dyDescent="0.3">
      <c r="A139" s="4"/>
      <c r="B139" s="32"/>
      <c r="C139" s="32"/>
      <c r="D139" s="32"/>
      <c r="K139" s="6"/>
      <c r="L139" s="4"/>
      <c r="M139" s="4"/>
      <c r="N139" s="32"/>
      <c r="O139" s="32"/>
    </row>
    <row r="140" spans="1:15" s="119" customFormat="1" x14ac:dyDescent="0.3">
      <c r="A140" s="4"/>
      <c r="B140" s="32"/>
      <c r="C140" s="32"/>
      <c r="D140" s="32"/>
      <c r="K140" s="6"/>
      <c r="L140" s="4"/>
      <c r="M140" s="4"/>
      <c r="N140" s="32"/>
      <c r="O140" s="32"/>
    </row>
    <row r="141" spans="1:15" s="119" customFormat="1" x14ac:dyDescent="0.3">
      <c r="A141" s="4"/>
      <c r="B141" s="32"/>
      <c r="C141" s="32"/>
      <c r="D141" s="32"/>
      <c r="K141" s="6"/>
      <c r="L141" s="4"/>
      <c r="M141" s="4"/>
      <c r="N141" s="32"/>
      <c r="O141" s="32"/>
    </row>
    <row r="142" spans="1:15" s="119" customFormat="1" x14ac:dyDescent="0.3">
      <c r="A142" s="4"/>
      <c r="B142" s="32"/>
      <c r="C142" s="32"/>
      <c r="D142" s="32"/>
      <c r="K142" s="6"/>
      <c r="L142" s="4"/>
      <c r="M142" s="4"/>
      <c r="N142" s="32"/>
      <c r="O142" s="32"/>
    </row>
    <row r="143" spans="1:15" s="119" customFormat="1" x14ac:dyDescent="0.3">
      <c r="A143" s="4"/>
      <c r="B143" s="32"/>
      <c r="C143" s="32"/>
      <c r="D143" s="32"/>
      <c r="K143" s="6"/>
      <c r="L143" s="4"/>
      <c r="M143" s="4"/>
      <c r="N143" s="32"/>
      <c r="O143" s="32"/>
    </row>
    <row r="144" spans="1:15" s="119" customFormat="1" x14ac:dyDescent="0.3">
      <c r="A144" s="4"/>
      <c r="B144" s="32"/>
      <c r="C144" s="32"/>
      <c r="D144" s="32"/>
      <c r="K144" s="6"/>
      <c r="L144" s="4"/>
      <c r="M144" s="4"/>
      <c r="N144" s="32"/>
      <c r="O144" s="32"/>
    </row>
    <row r="145" spans="1:15" s="119" customFormat="1" x14ac:dyDescent="0.3">
      <c r="A145" s="4"/>
      <c r="B145" s="32"/>
      <c r="C145" s="32"/>
      <c r="D145" s="32"/>
      <c r="K145" s="6"/>
      <c r="L145" s="4"/>
      <c r="M145" s="4"/>
      <c r="N145" s="32"/>
      <c r="O145" s="32"/>
    </row>
    <row r="146" spans="1:15" s="119" customFormat="1" x14ac:dyDescent="0.3">
      <c r="A146" s="4"/>
      <c r="B146" s="32"/>
      <c r="C146" s="32"/>
      <c r="D146" s="32"/>
      <c r="K146" s="6"/>
      <c r="L146" s="4"/>
      <c r="M146" s="4"/>
      <c r="N146" s="32"/>
      <c r="O146" s="32"/>
    </row>
    <row r="147" spans="1:15" s="119" customFormat="1" x14ac:dyDescent="0.3">
      <c r="A147" s="4"/>
      <c r="B147" s="32"/>
      <c r="C147" s="32"/>
      <c r="D147" s="32"/>
      <c r="K147" s="6"/>
      <c r="L147" s="4"/>
      <c r="M147" s="4"/>
      <c r="N147" s="32"/>
      <c r="O147" s="32"/>
    </row>
    <row r="148" spans="1:15" s="119" customFormat="1" x14ac:dyDescent="0.3">
      <c r="A148" s="4"/>
      <c r="B148" s="32"/>
      <c r="C148" s="32"/>
      <c r="D148" s="32"/>
      <c r="K148" s="6"/>
      <c r="L148" s="4"/>
      <c r="M148" s="4"/>
      <c r="N148" s="32"/>
      <c r="O148" s="32"/>
    </row>
    <row r="149" spans="1:15" s="119" customFormat="1" x14ac:dyDescent="0.3">
      <c r="A149" s="4"/>
      <c r="B149" s="32"/>
      <c r="C149" s="32"/>
      <c r="D149" s="32"/>
      <c r="K149" s="6"/>
      <c r="L149" s="4"/>
      <c r="M149" s="4"/>
      <c r="N149" s="32"/>
      <c r="O149" s="32"/>
    </row>
    <row r="150" spans="1:15" s="119" customFormat="1" x14ac:dyDescent="0.3">
      <c r="A150" s="4"/>
      <c r="B150" s="32"/>
      <c r="C150" s="32"/>
      <c r="D150" s="32"/>
      <c r="K150" s="6"/>
      <c r="L150" s="4"/>
      <c r="M150" s="4"/>
      <c r="N150" s="32"/>
      <c r="O150" s="32"/>
    </row>
    <row r="151" spans="1:15" s="119" customFormat="1" x14ac:dyDescent="0.3">
      <c r="A151" s="4"/>
      <c r="B151" s="32"/>
      <c r="C151" s="32"/>
      <c r="D151" s="32"/>
      <c r="K151" s="6"/>
      <c r="L151" s="4"/>
      <c r="M151" s="4"/>
      <c r="N151" s="32"/>
      <c r="O151" s="32"/>
    </row>
    <row r="152" spans="1:15" s="119" customFormat="1" x14ac:dyDescent="0.3">
      <c r="A152" s="4"/>
      <c r="B152" s="32"/>
      <c r="C152" s="32"/>
      <c r="D152" s="32"/>
      <c r="K152" s="6"/>
      <c r="L152" s="4"/>
      <c r="M152" s="4"/>
      <c r="N152" s="32"/>
      <c r="O152" s="32"/>
    </row>
    <row r="153" spans="1:15" s="119" customFormat="1" x14ac:dyDescent="0.3">
      <c r="A153" s="4"/>
      <c r="B153" s="32"/>
      <c r="C153" s="32"/>
      <c r="D153" s="32"/>
      <c r="K153" s="6"/>
      <c r="L153" s="4"/>
      <c r="M153" s="4"/>
      <c r="N153" s="32"/>
      <c r="O153" s="32"/>
    </row>
    <row r="154" spans="1:15" s="119" customFormat="1" x14ac:dyDescent="0.3">
      <c r="A154" s="4"/>
      <c r="B154" s="32"/>
      <c r="C154" s="32"/>
      <c r="D154" s="32"/>
      <c r="K154" s="6"/>
      <c r="L154" s="4"/>
      <c r="M154" s="4"/>
      <c r="N154" s="32"/>
      <c r="O154" s="32"/>
    </row>
    <row r="155" spans="1:15" s="119" customFormat="1" x14ac:dyDescent="0.3">
      <c r="A155" s="4"/>
      <c r="B155" s="32"/>
      <c r="C155" s="32"/>
      <c r="D155" s="32"/>
      <c r="K155" s="6"/>
      <c r="L155" s="4"/>
      <c r="M155" s="4"/>
      <c r="N155" s="32"/>
      <c r="O155" s="32"/>
    </row>
    <row r="156" spans="1:15" s="119" customFormat="1" x14ac:dyDescent="0.3">
      <c r="A156" s="4"/>
      <c r="B156" s="32"/>
      <c r="C156" s="32"/>
      <c r="D156" s="32"/>
      <c r="K156" s="6"/>
      <c r="L156" s="4"/>
      <c r="M156" s="4"/>
      <c r="N156" s="32"/>
      <c r="O156" s="32"/>
    </row>
    <row r="157" spans="1:15" s="119" customFormat="1" x14ac:dyDescent="0.3">
      <c r="A157" s="4"/>
      <c r="B157" s="32"/>
      <c r="C157" s="32"/>
      <c r="D157" s="32"/>
      <c r="K157" s="6"/>
      <c r="L157" s="4"/>
      <c r="M157" s="4"/>
      <c r="N157" s="32"/>
      <c r="O157" s="32"/>
    </row>
    <row r="158" spans="1:15" s="119" customFormat="1" x14ac:dyDescent="0.3">
      <c r="A158" s="4"/>
      <c r="B158" s="32"/>
      <c r="C158" s="32"/>
      <c r="D158" s="32"/>
      <c r="K158" s="6"/>
      <c r="L158" s="4"/>
      <c r="M158" s="4"/>
      <c r="N158" s="32"/>
      <c r="O158" s="32"/>
    </row>
    <row r="159" spans="1:15" s="119" customFormat="1" x14ac:dyDescent="0.3">
      <c r="A159" s="4"/>
      <c r="B159" s="32"/>
      <c r="C159" s="32"/>
      <c r="D159" s="32"/>
      <c r="K159" s="6"/>
      <c r="L159" s="4"/>
      <c r="M159" s="4"/>
      <c r="N159" s="32"/>
      <c r="O159" s="32"/>
    </row>
    <row r="160" spans="1:15" s="119" customFormat="1" x14ac:dyDescent="0.3">
      <c r="A160" s="4"/>
      <c r="B160" s="32"/>
      <c r="C160" s="32"/>
      <c r="D160" s="32"/>
      <c r="K160" s="6"/>
      <c r="L160" s="4"/>
      <c r="M160" s="4"/>
      <c r="N160" s="32"/>
      <c r="O160" s="32"/>
    </row>
    <row r="161" spans="1:15" s="119" customFormat="1" x14ac:dyDescent="0.3">
      <c r="A161" s="4"/>
      <c r="B161" s="32"/>
      <c r="C161" s="32"/>
      <c r="D161" s="32"/>
      <c r="K161" s="6"/>
      <c r="L161" s="4"/>
      <c r="M161" s="4"/>
      <c r="N161" s="32"/>
      <c r="O161" s="32"/>
    </row>
    <row r="162" spans="1:15" s="119" customFormat="1" x14ac:dyDescent="0.3">
      <c r="A162" s="4"/>
      <c r="B162" s="32"/>
      <c r="C162" s="32"/>
      <c r="D162" s="32"/>
      <c r="K162" s="6"/>
      <c r="L162" s="4"/>
      <c r="M162" s="4"/>
      <c r="N162" s="32"/>
      <c r="O162" s="32"/>
    </row>
    <row r="163" spans="1:15" s="119" customFormat="1" x14ac:dyDescent="0.3">
      <c r="A163" s="4"/>
      <c r="B163" s="32"/>
      <c r="C163" s="32"/>
      <c r="D163" s="32"/>
      <c r="K163" s="6"/>
      <c r="L163" s="4"/>
      <c r="M163" s="4"/>
      <c r="N163" s="32"/>
      <c r="O163" s="32"/>
    </row>
    <row r="164" spans="1:15" s="119" customFormat="1" x14ac:dyDescent="0.3">
      <c r="A164" s="4"/>
      <c r="B164" s="32"/>
      <c r="C164" s="32"/>
      <c r="D164" s="32"/>
      <c r="K164" s="6"/>
      <c r="L164" s="4"/>
      <c r="M164" s="4"/>
      <c r="N164" s="32"/>
      <c r="O164" s="32"/>
    </row>
    <row r="165" spans="1:15" s="119" customFormat="1" x14ac:dyDescent="0.3">
      <c r="A165" s="4"/>
      <c r="B165" s="32"/>
      <c r="C165" s="32"/>
      <c r="D165" s="32"/>
      <c r="K165" s="6"/>
      <c r="L165" s="4"/>
      <c r="M165" s="4"/>
      <c r="N165" s="32"/>
      <c r="O165" s="32"/>
    </row>
    <row r="166" spans="1:15" s="119" customFormat="1" x14ac:dyDescent="0.3">
      <c r="A166" s="4"/>
      <c r="B166" s="32"/>
      <c r="C166" s="32"/>
      <c r="D166" s="32"/>
      <c r="K166" s="6"/>
      <c r="L166" s="4"/>
      <c r="M166" s="4"/>
      <c r="N166" s="32"/>
      <c r="O166" s="32"/>
    </row>
    <row r="167" spans="1:15" s="119" customFormat="1" x14ac:dyDescent="0.3">
      <c r="A167" s="4"/>
      <c r="B167" s="32"/>
      <c r="C167" s="32"/>
      <c r="D167" s="32"/>
      <c r="K167" s="6"/>
      <c r="L167" s="4"/>
      <c r="M167" s="4"/>
      <c r="N167" s="32"/>
      <c r="O167" s="32"/>
    </row>
    <row r="168" spans="1:15" s="119" customFormat="1" x14ac:dyDescent="0.3">
      <c r="A168" s="4"/>
      <c r="B168" s="32"/>
      <c r="C168" s="32"/>
      <c r="D168" s="32"/>
      <c r="K168" s="6"/>
      <c r="L168" s="4"/>
      <c r="M168" s="4"/>
      <c r="N168" s="32"/>
      <c r="O168" s="32"/>
    </row>
    <row r="169" spans="1:15" s="119" customFormat="1" x14ac:dyDescent="0.3">
      <c r="A169" s="4"/>
      <c r="B169" s="32"/>
      <c r="C169" s="32"/>
      <c r="D169" s="32"/>
      <c r="K169" s="6"/>
      <c r="L169" s="4"/>
      <c r="M169" s="4"/>
      <c r="N169" s="32"/>
      <c r="O169" s="32"/>
    </row>
    <row r="170" spans="1:15" s="119" customFormat="1" x14ac:dyDescent="0.3">
      <c r="A170" s="4"/>
      <c r="B170" s="32"/>
      <c r="C170" s="32"/>
      <c r="D170" s="32"/>
      <c r="K170" s="6"/>
      <c r="L170" s="4"/>
      <c r="M170" s="4"/>
      <c r="N170" s="32"/>
      <c r="O170" s="32"/>
    </row>
    <row r="171" spans="1:15" s="119" customFormat="1" x14ac:dyDescent="0.3">
      <c r="A171" s="4"/>
      <c r="B171" s="32"/>
      <c r="C171" s="32"/>
      <c r="D171" s="32"/>
      <c r="K171" s="6"/>
      <c r="L171" s="4"/>
      <c r="M171" s="4"/>
      <c r="N171" s="32"/>
      <c r="O171" s="32"/>
    </row>
    <row r="172" spans="1:15" s="119" customFormat="1" x14ac:dyDescent="0.3">
      <c r="A172" s="4"/>
      <c r="B172" s="32"/>
      <c r="C172" s="32"/>
      <c r="D172" s="32"/>
      <c r="K172" s="6"/>
      <c r="L172" s="4"/>
      <c r="M172" s="4"/>
      <c r="N172" s="32"/>
      <c r="O172" s="32"/>
    </row>
    <row r="173" spans="1:15" s="119" customFormat="1" x14ac:dyDescent="0.3">
      <c r="A173" s="4"/>
      <c r="B173" s="32"/>
      <c r="C173" s="32"/>
      <c r="D173" s="32"/>
      <c r="K173" s="6"/>
      <c r="L173" s="4"/>
      <c r="M173" s="4"/>
      <c r="N173" s="32"/>
      <c r="O173" s="32"/>
    </row>
  </sheetData>
  <mergeCells count="6">
    <mergeCell ref="B2:K2"/>
    <mergeCell ref="B6:K6"/>
    <mergeCell ref="B7:K7"/>
    <mergeCell ref="B3:K3"/>
    <mergeCell ref="B4:K4"/>
    <mergeCell ref="B5:K5"/>
  </mergeCells>
  <printOptions horizontalCentered="1"/>
  <pageMargins left="0.5" right="0.5" top="0.5" bottom="0.5" header="0.25" footer="0.25"/>
  <pageSetup scale="59" orientation="landscape" r:id="rId1"/>
  <headerFooter scaleWithDoc="0">
    <oddFooter>&amp;C&amp;"Times New Roman,Regular"&amp;10&amp;A</oddFooter>
  </headerFooter>
  <customProperties>
    <customPr name="_pios_id" r:id="rId2"/>
  </customPropertie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2:J48"/>
  <sheetViews>
    <sheetView zoomScale="80" zoomScaleNormal="80" workbookViewId="0"/>
  </sheetViews>
  <sheetFormatPr defaultColWidth="9.6640625" defaultRowHeight="15.6" x14ac:dyDescent="0.3"/>
  <cols>
    <col min="1" max="1" width="5.33203125" style="4" customWidth="1"/>
    <col min="2" max="2" width="15.33203125" style="32" customWidth="1"/>
    <col min="3" max="3" width="25.6640625" style="32" customWidth="1"/>
    <col min="4" max="6" width="16.6640625" style="4" customWidth="1"/>
    <col min="7" max="7" width="5.33203125" style="4" customWidth="1"/>
    <col min="8" max="8" width="7.6640625" style="32" customWidth="1"/>
    <col min="9" max="16384" width="9.6640625" style="32"/>
  </cols>
  <sheetData>
    <row r="2" spans="1:10" x14ac:dyDescent="0.3">
      <c r="B2" s="1222" t="s">
        <v>0</v>
      </c>
      <c r="C2" s="1222"/>
      <c r="D2" s="1222"/>
      <c r="E2" s="1222"/>
      <c r="F2" s="1222"/>
      <c r="G2" s="221"/>
      <c r="J2"/>
    </row>
    <row r="3" spans="1:10" x14ac:dyDescent="0.3">
      <c r="B3" s="1222" t="s">
        <v>715</v>
      </c>
      <c r="C3" s="1222"/>
      <c r="D3" s="1222"/>
      <c r="E3" s="1222"/>
      <c r="F3" s="1222"/>
      <c r="G3" s="221"/>
    </row>
    <row r="4" spans="1:10" x14ac:dyDescent="0.3">
      <c r="B4" s="1222" t="s">
        <v>1617</v>
      </c>
      <c r="C4" s="1222"/>
      <c r="D4" s="1222"/>
      <c r="E4" s="1222"/>
      <c r="F4" s="1222"/>
      <c r="G4" s="221"/>
    </row>
    <row r="5" spans="1:10" x14ac:dyDescent="0.3">
      <c r="B5" s="1225" t="s">
        <v>1618</v>
      </c>
      <c r="C5" s="1225"/>
      <c r="D5" s="1225"/>
      <c r="E5" s="1225"/>
      <c r="F5" s="1225"/>
      <c r="G5" s="221"/>
    </row>
    <row r="6" spans="1:10" x14ac:dyDescent="0.3">
      <c r="B6" s="1225" t="s">
        <v>1517</v>
      </c>
      <c r="C6" s="1225"/>
      <c r="D6" s="1225"/>
      <c r="E6" s="1225"/>
      <c r="F6" s="1225"/>
      <c r="G6" s="221"/>
    </row>
    <row r="7" spans="1:10" x14ac:dyDescent="0.3">
      <c r="A7" s="221"/>
      <c r="B7" s="4"/>
      <c r="C7" s="4"/>
    </row>
    <row r="8" spans="1:10" x14ac:dyDescent="0.3">
      <c r="A8" s="435"/>
      <c r="B8" s="291"/>
      <c r="C8" s="951"/>
      <c r="D8" s="951" t="s">
        <v>210</v>
      </c>
      <c r="E8" s="951" t="s">
        <v>211</v>
      </c>
      <c r="F8" s="436" t="s">
        <v>716</v>
      </c>
      <c r="G8" s="301"/>
      <c r="H8" s="221"/>
    </row>
    <row r="9" spans="1:10" x14ac:dyDescent="0.3">
      <c r="A9" s="435" t="s">
        <v>5</v>
      </c>
      <c r="B9" s="277" t="s">
        <v>482</v>
      </c>
      <c r="C9" s="273"/>
      <c r="D9" s="273" t="s">
        <v>717</v>
      </c>
      <c r="E9" s="273" t="s">
        <v>718</v>
      </c>
      <c r="F9" s="301" t="s">
        <v>200</v>
      </c>
      <c r="G9" s="300" t="s">
        <v>5</v>
      </c>
      <c r="H9" s="221"/>
    </row>
    <row r="10" spans="1:10" x14ac:dyDescent="0.3">
      <c r="A10" s="435" t="s">
        <v>6</v>
      </c>
      <c r="B10" s="279" t="s">
        <v>336</v>
      </c>
      <c r="C10" s="278" t="s">
        <v>337</v>
      </c>
      <c r="D10" s="278" t="s">
        <v>719</v>
      </c>
      <c r="E10" s="278" t="s">
        <v>719</v>
      </c>
      <c r="F10" s="309" t="s">
        <v>719</v>
      </c>
      <c r="G10" s="300" t="s">
        <v>6</v>
      </c>
      <c r="H10" s="221"/>
    </row>
    <row r="11" spans="1:10" x14ac:dyDescent="0.3">
      <c r="A11" s="435">
        <v>1</v>
      </c>
      <c r="B11" s="305" t="s">
        <v>720</v>
      </c>
      <c r="C11" s="960" t="s">
        <v>314</v>
      </c>
      <c r="D11" s="1008">
        <v>1.3599999999999999E-2</v>
      </c>
      <c r="E11" s="1008">
        <v>1.01E-2</v>
      </c>
      <c r="F11" s="117">
        <f>D11+E11</f>
        <v>2.3699999999999999E-2</v>
      </c>
      <c r="G11" s="300">
        <f>A11</f>
        <v>1</v>
      </c>
      <c r="H11" s="4"/>
    </row>
    <row r="12" spans="1:10" x14ac:dyDescent="0.3">
      <c r="A12" s="435">
        <f>A11+1</f>
        <v>2</v>
      </c>
      <c r="B12" s="305" t="s">
        <v>721</v>
      </c>
      <c r="C12" s="960" t="s">
        <v>692</v>
      </c>
      <c r="D12" s="1008">
        <v>1.2500000000000001E-2</v>
      </c>
      <c r="E12" s="1008">
        <v>9.2999999999999992E-3</v>
      </c>
      <c r="F12" s="117">
        <f t="shared" ref="F12:F13" si="0">D12+E12</f>
        <v>2.18E-2</v>
      </c>
      <c r="G12" s="300">
        <f>G11+1</f>
        <v>2</v>
      </c>
      <c r="H12" s="4"/>
    </row>
    <row r="13" spans="1:10" x14ac:dyDescent="0.3">
      <c r="A13" s="435">
        <f t="shared" ref="A13:A44" si="1">A12+1</f>
        <v>3</v>
      </c>
      <c r="B13" s="305" t="s">
        <v>722</v>
      </c>
      <c r="C13" s="960" t="s">
        <v>723</v>
      </c>
      <c r="D13" s="1008">
        <v>1.38E-2</v>
      </c>
      <c r="E13" s="1008">
        <v>1.03E-2</v>
      </c>
      <c r="F13" s="117">
        <f t="shared" si="0"/>
        <v>2.41E-2</v>
      </c>
      <c r="G13" s="300">
        <f t="shared" ref="G13:G44" si="2">G12+1</f>
        <v>3</v>
      </c>
      <c r="H13" s="4"/>
    </row>
    <row r="14" spans="1:10" x14ac:dyDescent="0.3">
      <c r="A14" s="435">
        <f t="shared" si="1"/>
        <v>4</v>
      </c>
      <c r="B14" s="437" t="s">
        <v>724</v>
      </c>
      <c r="C14" s="1009" t="s">
        <v>725</v>
      </c>
      <c r="D14" s="1010">
        <v>1.3552485311967791E-2</v>
      </c>
      <c r="E14" s="1010">
        <v>1.0073494391294673E-2</v>
      </c>
      <c r="F14" s="118">
        <f>D14+E14</f>
        <v>2.3625979703262464E-2</v>
      </c>
      <c r="G14" s="300">
        <f t="shared" si="2"/>
        <v>4</v>
      </c>
      <c r="H14" s="4"/>
    </row>
    <row r="15" spans="1:10" x14ac:dyDescent="0.3">
      <c r="A15" s="435">
        <f t="shared" si="1"/>
        <v>5</v>
      </c>
      <c r="B15" s="305" t="s">
        <v>726</v>
      </c>
      <c r="C15" s="960" t="s">
        <v>314</v>
      </c>
      <c r="D15" s="1008">
        <v>2.06E-2</v>
      </c>
      <c r="E15" s="1008">
        <v>1.43E-2</v>
      </c>
      <c r="F15" s="117">
        <f t="shared" ref="F15:F18" si="3">D15+E15</f>
        <v>3.49E-2</v>
      </c>
      <c r="G15" s="300">
        <f t="shared" si="2"/>
        <v>5</v>
      </c>
      <c r="H15" s="4"/>
    </row>
    <row r="16" spans="1:10" x14ac:dyDescent="0.3">
      <c r="A16" s="435">
        <f t="shared" si="1"/>
        <v>6</v>
      </c>
      <c r="B16" s="305" t="s">
        <v>727</v>
      </c>
      <c r="C16" s="960" t="s">
        <v>692</v>
      </c>
      <c r="D16" s="1008">
        <v>2.0500000000000001E-2</v>
      </c>
      <c r="E16" s="1008">
        <v>1.44E-2</v>
      </c>
      <c r="F16" s="117">
        <f t="shared" si="3"/>
        <v>3.49E-2</v>
      </c>
      <c r="G16" s="300">
        <f t="shared" si="2"/>
        <v>6</v>
      </c>
      <c r="H16" s="4"/>
    </row>
    <row r="17" spans="1:8" x14ac:dyDescent="0.3">
      <c r="A17" s="435">
        <f t="shared" si="1"/>
        <v>7</v>
      </c>
      <c r="B17" s="305" t="s">
        <v>728</v>
      </c>
      <c r="C17" s="960" t="s">
        <v>729</v>
      </c>
      <c r="D17" s="1008">
        <v>2.1399999999999999E-2</v>
      </c>
      <c r="E17" s="1008">
        <v>1.4999999999999999E-2</v>
      </c>
      <c r="F17" s="117">
        <f t="shared" si="3"/>
        <v>3.6400000000000002E-2</v>
      </c>
      <c r="G17" s="300">
        <f t="shared" si="2"/>
        <v>7</v>
      </c>
      <c r="H17" s="4"/>
    </row>
    <row r="18" spans="1:8" x14ac:dyDescent="0.3">
      <c r="A18" s="435">
        <f t="shared" si="1"/>
        <v>8</v>
      </c>
      <c r="B18" s="305" t="s">
        <v>730</v>
      </c>
      <c r="C18" s="960" t="s">
        <v>723</v>
      </c>
      <c r="D18" s="1008">
        <v>2.0500000000000001E-2</v>
      </c>
      <c r="E18" s="1008">
        <v>1.43E-2</v>
      </c>
      <c r="F18" s="117">
        <f t="shared" si="3"/>
        <v>3.4799999999999998E-2</v>
      </c>
      <c r="G18" s="300">
        <f t="shared" si="2"/>
        <v>8</v>
      </c>
      <c r="H18" s="4"/>
    </row>
    <row r="19" spans="1:8" x14ac:dyDescent="0.3">
      <c r="A19" s="435">
        <f t="shared" si="1"/>
        <v>9</v>
      </c>
      <c r="B19" s="437" t="s">
        <v>731</v>
      </c>
      <c r="C19" s="1009" t="s">
        <v>732</v>
      </c>
      <c r="D19" s="1010">
        <v>2.0578520879044104E-2</v>
      </c>
      <c r="E19" s="1010">
        <v>1.4315165413159553E-2</v>
      </c>
      <c r="F19" s="118">
        <f>D19+E19</f>
        <v>3.4893686292203657E-2</v>
      </c>
      <c r="G19" s="300">
        <f t="shared" si="2"/>
        <v>9</v>
      </c>
      <c r="H19" s="4"/>
    </row>
    <row r="20" spans="1:8" x14ac:dyDescent="0.3">
      <c r="A20" s="435">
        <f t="shared" si="1"/>
        <v>10</v>
      </c>
      <c r="B20" s="305" t="s">
        <v>733</v>
      </c>
      <c r="C20" s="960" t="s">
        <v>314</v>
      </c>
      <c r="D20" s="1008">
        <v>1.35E-2</v>
      </c>
      <c r="E20" s="1008">
        <v>1.01E-2</v>
      </c>
      <c r="F20" s="117">
        <f t="shared" ref="F20:F22" si="4">D20+E20</f>
        <v>2.3599999999999999E-2</v>
      </c>
      <c r="G20" s="300">
        <f t="shared" si="2"/>
        <v>10</v>
      </c>
      <c r="H20" s="4"/>
    </row>
    <row r="21" spans="1:8" x14ac:dyDescent="0.3">
      <c r="A21" s="435">
        <f t="shared" si="1"/>
        <v>11</v>
      </c>
      <c r="B21" s="305" t="s">
        <v>734</v>
      </c>
      <c r="C21" s="960" t="s">
        <v>692</v>
      </c>
      <c r="D21" s="1008">
        <v>1.1599999999999999E-2</v>
      </c>
      <c r="E21" s="1008">
        <v>8.6E-3</v>
      </c>
      <c r="F21" s="117">
        <f t="shared" si="4"/>
        <v>2.0199999999999999E-2</v>
      </c>
      <c r="G21" s="300">
        <f t="shared" si="2"/>
        <v>11</v>
      </c>
      <c r="H21" s="4"/>
    </row>
    <row r="22" spans="1:8" x14ac:dyDescent="0.3">
      <c r="A22" s="435">
        <f t="shared" si="1"/>
        <v>12</v>
      </c>
      <c r="B22" s="305" t="s">
        <v>735</v>
      </c>
      <c r="C22" s="960" t="s">
        <v>723</v>
      </c>
      <c r="D22" s="1008">
        <v>1.47E-2</v>
      </c>
      <c r="E22" s="1008">
        <v>1.0999999999999999E-2</v>
      </c>
      <c r="F22" s="117">
        <f t="shared" si="4"/>
        <v>2.5700000000000001E-2</v>
      </c>
      <c r="G22" s="300">
        <f t="shared" si="2"/>
        <v>12</v>
      </c>
      <c r="H22" s="4"/>
    </row>
    <row r="23" spans="1:8" x14ac:dyDescent="0.3">
      <c r="A23" s="435">
        <f t="shared" si="1"/>
        <v>13</v>
      </c>
      <c r="B23" s="437" t="s">
        <v>736</v>
      </c>
      <c r="C23" s="1009" t="s">
        <v>737</v>
      </c>
      <c r="D23" s="1010">
        <v>1.4361348036829161E-2</v>
      </c>
      <c r="E23" s="1010">
        <v>1.0741003401870097E-2</v>
      </c>
      <c r="F23" s="118">
        <f>D23+E23</f>
        <v>2.5102351438699259E-2</v>
      </c>
      <c r="G23" s="300">
        <f t="shared" si="2"/>
        <v>13</v>
      </c>
      <c r="H23" s="4"/>
    </row>
    <row r="24" spans="1:8" x14ac:dyDescent="0.3">
      <c r="A24" s="435">
        <f t="shared" si="1"/>
        <v>14</v>
      </c>
      <c r="B24" s="305" t="s">
        <v>738</v>
      </c>
      <c r="C24" s="960" t="s">
        <v>314</v>
      </c>
      <c r="D24" s="1008">
        <v>2.29E-2</v>
      </c>
      <c r="E24" s="1008">
        <v>2.2800000000000001E-2</v>
      </c>
      <c r="F24" s="117">
        <f t="shared" ref="F24:F26" si="5">D24+E24</f>
        <v>4.5700000000000005E-2</v>
      </c>
      <c r="G24" s="300">
        <f t="shared" si="2"/>
        <v>14</v>
      </c>
      <c r="H24" s="4"/>
    </row>
    <row r="25" spans="1:8" x14ac:dyDescent="0.3">
      <c r="A25" s="435">
        <f t="shared" si="1"/>
        <v>15</v>
      </c>
      <c r="B25" s="305" t="s">
        <v>739</v>
      </c>
      <c r="C25" s="960" t="s">
        <v>692</v>
      </c>
      <c r="D25" s="1008">
        <v>1.7000000000000001E-2</v>
      </c>
      <c r="E25" s="1008">
        <v>1.7000000000000001E-2</v>
      </c>
      <c r="F25" s="117">
        <f t="shared" si="5"/>
        <v>3.4000000000000002E-2</v>
      </c>
      <c r="G25" s="300">
        <f t="shared" si="2"/>
        <v>15</v>
      </c>
      <c r="H25" s="4"/>
    </row>
    <row r="26" spans="1:8" x14ac:dyDescent="0.3">
      <c r="A26" s="435">
        <f t="shared" si="1"/>
        <v>16</v>
      </c>
      <c r="B26" s="305" t="s">
        <v>740</v>
      </c>
      <c r="C26" s="960" t="s">
        <v>723</v>
      </c>
      <c r="D26" s="1008">
        <v>2.2599999999999999E-2</v>
      </c>
      <c r="E26" s="1008">
        <v>2.2499999999999999E-2</v>
      </c>
      <c r="F26" s="117">
        <f t="shared" si="5"/>
        <v>4.5100000000000001E-2</v>
      </c>
      <c r="G26" s="300">
        <f t="shared" si="2"/>
        <v>16</v>
      </c>
      <c r="H26" s="4"/>
    </row>
    <row r="27" spans="1:8" x14ac:dyDescent="0.3">
      <c r="A27" s="435">
        <f t="shared" si="1"/>
        <v>17</v>
      </c>
      <c r="B27" s="437" t="s">
        <v>741</v>
      </c>
      <c r="C27" s="1009" t="s">
        <v>742</v>
      </c>
      <c r="D27" s="1010">
        <v>2.2846812773545631E-2</v>
      </c>
      <c r="E27" s="1010">
        <v>2.2747699553363938E-2</v>
      </c>
      <c r="F27" s="118">
        <f>D27+E27</f>
        <v>4.5594512326909573E-2</v>
      </c>
      <c r="G27" s="300">
        <f t="shared" si="2"/>
        <v>17</v>
      </c>
      <c r="H27" s="4"/>
    </row>
    <row r="28" spans="1:8" x14ac:dyDescent="0.3">
      <c r="A28" s="435">
        <f t="shared" si="1"/>
        <v>18</v>
      </c>
      <c r="B28" s="305" t="s">
        <v>743</v>
      </c>
      <c r="C28" s="960" t="s">
        <v>314</v>
      </c>
      <c r="D28" s="1008">
        <v>1.52E-2</v>
      </c>
      <c r="E28" s="1008">
        <v>1.5100000000000001E-2</v>
      </c>
      <c r="F28" s="117">
        <f t="shared" ref="F28:F30" si="6">D28+E28</f>
        <v>3.0300000000000001E-2</v>
      </c>
      <c r="G28" s="300">
        <f t="shared" si="2"/>
        <v>18</v>
      </c>
      <c r="H28" s="4"/>
    </row>
    <row r="29" spans="1:8" x14ac:dyDescent="0.3">
      <c r="A29" s="435">
        <f t="shared" si="1"/>
        <v>19</v>
      </c>
      <c r="B29" s="305" t="s">
        <v>744</v>
      </c>
      <c r="C29" s="960" t="s">
        <v>692</v>
      </c>
      <c r="D29" s="1008">
        <v>7.1000000000000004E-3</v>
      </c>
      <c r="E29" s="1008">
        <v>7.1000000000000004E-3</v>
      </c>
      <c r="F29" s="117">
        <f t="shared" si="6"/>
        <v>1.4200000000000001E-2</v>
      </c>
      <c r="G29" s="300">
        <f t="shared" si="2"/>
        <v>19</v>
      </c>
      <c r="H29" s="4"/>
    </row>
    <row r="30" spans="1:8" x14ac:dyDescent="0.3">
      <c r="A30" s="435">
        <f t="shared" si="1"/>
        <v>20</v>
      </c>
      <c r="B30" s="305" t="s">
        <v>745</v>
      </c>
      <c r="C30" s="960" t="s">
        <v>723</v>
      </c>
      <c r="D30" s="1008">
        <v>1.61E-2</v>
      </c>
      <c r="E30" s="1008">
        <v>1.61E-2</v>
      </c>
      <c r="F30" s="117">
        <f t="shared" si="6"/>
        <v>3.2199999999999999E-2</v>
      </c>
      <c r="G30" s="300">
        <f t="shared" si="2"/>
        <v>20</v>
      </c>
      <c r="H30" s="4"/>
    </row>
    <row r="31" spans="1:8" x14ac:dyDescent="0.3">
      <c r="A31" s="435">
        <f t="shared" si="1"/>
        <v>21</v>
      </c>
      <c r="B31" s="437" t="s">
        <v>746</v>
      </c>
      <c r="C31" s="1009" t="s">
        <v>747</v>
      </c>
      <c r="D31" s="1010">
        <v>1.4971440251162434E-2</v>
      </c>
      <c r="E31" s="1010">
        <v>1.4894099271865517E-2</v>
      </c>
      <c r="F31" s="118">
        <f>D31+E31</f>
        <v>2.9865539523027951E-2</v>
      </c>
      <c r="G31" s="300">
        <f t="shared" si="2"/>
        <v>21</v>
      </c>
      <c r="H31" s="4"/>
    </row>
    <row r="32" spans="1:8" x14ac:dyDescent="0.3">
      <c r="A32" s="435">
        <f t="shared" si="1"/>
        <v>22</v>
      </c>
      <c r="B32" s="305" t="s">
        <v>748</v>
      </c>
      <c r="C32" s="960" t="s">
        <v>749</v>
      </c>
      <c r="D32" s="1008">
        <v>1.6500000000000001E-2</v>
      </c>
      <c r="E32" s="1008">
        <v>4.8999999999999998E-3</v>
      </c>
      <c r="F32" s="117">
        <f t="shared" ref="F32:F33" si="7">D32+E32</f>
        <v>2.1400000000000002E-2</v>
      </c>
      <c r="G32" s="300">
        <f t="shared" si="2"/>
        <v>22</v>
      </c>
      <c r="H32" s="4"/>
    </row>
    <row r="33" spans="1:10" x14ac:dyDescent="0.3">
      <c r="A33" s="435">
        <f t="shared" si="1"/>
        <v>23</v>
      </c>
      <c r="B33" s="305" t="s">
        <v>750</v>
      </c>
      <c r="C33" s="960" t="s">
        <v>751</v>
      </c>
      <c r="D33" s="1008">
        <v>1.6899999999999998E-2</v>
      </c>
      <c r="E33" s="1008">
        <v>5.1000000000000004E-3</v>
      </c>
      <c r="F33" s="117">
        <f t="shared" si="7"/>
        <v>2.1999999999999999E-2</v>
      </c>
      <c r="G33" s="300">
        <f t="shared" si="2"/>
        <v>23</v>
      </c>
      <c r="H33" s="4"/>
    </row>
    <row r="34" spans="1:10" x14ac:dyDescent="0.3">
      <c r="A34" s="435">
        <f t="shared" si="1"/>
        <v>24</v>
      </c>
      <c r="B34" s="437" t="s">
        <v>752</v>
      </c>
      <c r="C34" s="1009" t="s">
        <v>753</v>
      </c>
      <c r="D34" s="1010">
        <v>1.6549713819957807E-2</v>
      </c>
      <c r="E34" s="1010">
        <v>4.9248569885933903E-3</v>
      </c>
      <c r="F34" s="118">
        <f>D34+E34</f>
        <v>2.1474570808551197E-2</v>
      </c>
      <c r="G34" s="300">
        <f t="shared" si="2"/>
        <v>24</v>
      </c>
      <c r="H34" s="4"/>
    </row>
    <row r="35" spans="1:10" x14ac:dyDescent="0.3">
      <c r="A35" s="435">
        <f t="shared" si="1"/>
        <v>25</v>
      </c>
      <c r="B35" s="305" t="s">
        <v>754</v>
      </c>
      <c r="C35" s="960" t="s">
        <v>749</v>
      </c>
      <c r="D35" s="1008">
        <v>1.9400000000000001E-2</v>
      </c>
      <c r="E35" s="1008">
        <v>1.9E-3</v>
      </c>
      <c r="F35" s="117">
        <f t="shared" ref="F35:F36" si="8">D35+E35</f>
        <v>2.1299999999999999E-2</v>
      </c>
      <c r="G35" s="300">
        <f t="shared" si="2"/>
        <v>25</v>
      </c>
      <c r="H35" s="4"/>
    </row>
    <row r="36" spans="1:10" x14ac:dyDescent="0.3">
      <c r="A36" s="435">
        <f t="shared" si="1"/>
        <v>26</v>
      </c>
      <c r="B36" s="305" t="s">
        <v>755</v>
      </c>
      <c r="C36" s="960" t="s">
        <v>751</v>
      </c>
      <c r="D36" s="1008">
        <v>1.9900000000000001E-2</v>
      </c>
      <c r="E36" s="1008">
        <v>2E-3</v>
      </c>
      <c r="F36" s="117">
        <f t="shared" si="8"/>
        <v>2.1900000000000003E-2</v>
      </c>
      <c r="G36" s="300">
        <f t="shared" si="2"/>
        <v>26</v>
      </c>
      <c r="H36" s="4"/>
    </row>
    <row r="37" spans="1:10" x14ac:dyDescent="0.3">
      <c r="A37" s="435">
        <f t="shared" si="1"/>
        <v>27</v>
      </c>
      <c r="B37" s="437" t="s">
        <v>756</v>
      </c>
      <c r="C37" s="1009" t="s">
        <v>757</v>
      </c>
      <c r="D37" s="1010">
        <v>1.9501876820255094E-2</v>
      </c>
      <c r="E37" s="1010">
        <v>1.9203753250095056E-3</v>
      </c>
      <c r="F37" s="118">
        <f>D37+E37</f>
        <v>2.1422252145264602E-2</v>
      </c>
      <c r="G37" s="300">
        <f t="shared" si="2"/>
        <v>27</v>
      </c>
      <c r="H37" s="4"/>
    </row>
    <row r="38" spans="1:10" x14ac:dyDescent="0.3">
      <c r="A38" s="435">
        <f t="shared" si="1"/>
        <v>28</v>
      </c>
      <c r="B38" s="305" t="s">
        <v>758</v>
      </c>
      <c r="C38" s="960" t="s">
        <v>314</v>
      </c>
      <c r="D38" s="1008">
        <v>1.6899999999999998E-2</v>
      </c>
      <c r="E38" s="1008">
        <v>0</v>
      </c>
      <c r="F38" s="117">
        <f t="shared" ref="F38:F40" si="9">D38+E38</f>
        <v>1.6899999999999998E-2</v>
      </c>
      <c r="G38" s="300">
        <f t="shared" si="2"/>
        <v>28</v>
      </c>
      <c r="H38" s="4"/>
    </row>
    <row r="39" spans="1:10" x14ac:dyDescent="0.3">
      <c r="A39" s="435">
        <f t="shared" si="1"/>
        <v>29</v>
      </c>
      <c r="B39" s="305" t="s">
        <v>759</v>
      </c>
      <c r="C39" s="960" t="s">
        <v>692</v>
      </c>
      <c r="D39" s="1008">
        <v>1.5100000000000001E-2</v>
      </c>
      <c r="E39" s="1008">
        <v>0</v>
      </c>
      <c r="F39" s="117">
        <f t="shared" si="9"/>
        <v>1.5100000000000001E-2</v>
      </c>
      <c r="G39" s="300">
        <f t="shared" si="2"/>
        <v>29</v>
      </c>
      <c r="H39" s="4"/>
    </row>
    <row r="40" spans="1:10" x14ac:dyDescent="0.3">
      <c r="A40" s="435">
        <f t="shared" si="1"/>
        <v>30</v>
      </c>
      <c r="B40" s="305" t="s">
        <v>760</v>
      </c>
      <c r="C40" s="960" t="s">
        <v>723</v>
      </c>
      <c r="D40" s="1008">
        <v>1.66E-2</v>
      </c>
      <c r="E40" s="1008">
        <v>0</v>
      </c>
      <c r="F40" s="117">
        <f t="shared" si="9"/>
        <v>1.66E-2</v>
      </c>
      <c r="G40" s="300">
        <f t="shared" si="2"/>
        <v>30</v>
      </c>
      <c r="H40" s="4"/>
    </row>
    <row r="41" spans="1:10" x14ac:dyDescent="0.3">
      <c r="A41" s="435">
        <f t="shared" si="1"/>
        <v>31</v>
      </c>
      <c r="B41" s="437" t="s">
        <v>761</v>
      </c>
      <c r="C41" s="1009" t="s">
        <v>357</v>
      </c>
      <c r="D41" s="1010">
        <v>1.6684740774423272E-2</v>
      </c>
      <c r="E41" s="1010">
        <v>0</v>
      </c>
      <c r="F41" s="118">
        <f>D41+E41</f>
        <v>1.6684740774423272E-2</v>
      </c>
      <c r="G41" s="300">
        <f t="shared" si="2"/>
        <v>31</v>
      </c>
      <c r="H41" s="4"/>
    </row>
    <row r="42" spans="1:10" x14ac:dyDescent="0.3">
      <c r="A42" s="435">
        <f t="shared" si="1"/>
        <v>32</v>
      </c>
      <c r="B42" s="1011"/>
      <c r="C42" s="438"/>
      <c r="D42" s="1008"/>
      <c r="E42" s="1008"/>
      <c r="F42" s="1012"/>
      <c r="G42" s="300">
        <f t="shared" si="2"/>
        <v>32</v>
      </c>
      <c r="H42" s="4"/>
    </row>
    <row r="43" spans="1:10" x14ac:dyDescent="0.3">
      <c r="A43" s="435">
        <f t="shared" si="1"/>
        <v>33</v>
      </c>
      <c r="B43" s="1238" t="s">
        <v>157</v>
      </c>
      <c r="C43" s="1239"/>
      <c r="D43" s="1010">
        <v>1.8127791052453542E-2</v>
      </c>
      <c r="E43" s="1010">
        <v>1.2308637420735864E-2</v>
      </c>
      <c r="F43" s="118">
        <f>D43+E43</f>
        <v>3.0436428473189406E-2</v>
      </c>
      <c r="G43" s="300">
        <f t="shared" si="2"/>
        <v>33</v>
      </c>
      <c r="H43" s="4"/>
    </row>
    <row r="44" spans="1:10" x14ac:dyDescent="0.3">
      <c r="A44" s="435">
        <f t="shared" si="1"/>
        <v>34</v>
      </c>
      <c r="B44" s="1011"/>
      <c r="C44" s="438"/>
      <c r="D44" s="1008"/>
      <c r="E44" s="1008"/>
      <c r="F44" s="1012"/>
      <c r="G44" s="300">
        <f t="shared" si="2"/>
        <v>34</v>
      </c>
    </row>
    <row r="46" spans="1:10" ht="18" x14ac:dyDescent="0.3">
      <c r="A46" s="269"/>
      <c r="B46" s="32" t="s">
        <v>1616</v>
      </c>
      <c r="J46" s="258"/>
    </row>
    <row r="47" spans="1:10" x14ac:dyDescent="0.3">
      <c r="B47" s="32" t="s">
        <v>762</v>
      </c>
      <c r="D47" s="51"/>
      <c r="E47" s="51"/>
      <c r="J47" s="258"/>
    </row>
    <row r="48" spans="1:10" x14ac:dyDescent="0.3">
      <c r="B48" s="32" t="s">
        <v>1837</v>
      </c>
      <c r="D48" s="51"/>
      <c r="E48" s="439"/>
    </row>
  </sheetData>
  <mergeCells count="6">
    <mergeCell ref="B43:C43"/>
    <mergeCell ref="B2:F2"/>
    <mergeCell ref="B3:F3"/>
    <mergeCell ref="B4:F4"/>
    <mergeCell ref="B5:F5"/>
    <mergeCell ref="B6:F6"/>
  </mergeCells>
  <printOptions horizontalCentered="1"/>
  <pageMargins left="0.5" right="0.5" top="0.5" bottom="0.5" header="0.25" footer="0.25"/>
  <pageSetup scale="93" orientation="portrait" r:id="rId1"/>
  <headerFooter scaleWithDoc="0">
    <oddFooter>&amp;C&amp;"Times New Roman,Regular"&amp;10Transmission Plant Depreciation Rates
&amp;A</oddFooter>
  </headerFooter>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I47"/>
  <sheetViews>
    <sheetView topLeftCell="A10" zoomScale="80" zoomScaleNormal="80" workbookViewId="0"/>
  </sheetViews>
  <sheetFormatPr defaultColWidth="9.33203125" defaultRowHeight="15.6" x14ac:dyDescent="0.3"/>
  <cols>
    <col min="1" max="1" width="5.33203125" style="221" customWidth="1"/>
    <col min="2" max="2" width="35.33203125" style="1" customWidth="1"/>
    <col min="3" max="3" width="18.5546875" style="88" customWidth="1"/>
    <col min="4" max="4" width="25.33203125" style="1" customWidth="1"/>
    <col min="5" max="5" width="18.5546875" style="1" customWidth="1"/>
    <col min="6" max="6" width="62.5546875" style="1" customWidth="1"/>
    <col min="7" max="7" width="5.33203125" style="221" customWidth="1"/>
    <col min="8" max="8" width="24" style="1" customWidth="1"/>
    <col min="9" max="9" width="11" style="1" customWidth="1"/>
    <col min="10" max="10" width="7.33203125" style="1" customWidth="1"/>
    <col min="11" max="11" width="9.33203125" style="1" customWidth="1"/>
    <col min="12" max="12" width="14" style="1" customWidth="1"/>
    <col min="13" max="13" width="13.44140625" style="1" customWidth="1"/>
    <col min="14" max="16384" width="9.33203125" style="1"/>
  </cols>
  <sheetData>
    <row r="2" spans="1:9" x14ac:dyDescent="0.3">
      <c r="B2" s="1222" t="s">
        <v>0</v>
      </c>
      <c r="C2" s="1222"/>
      <c r="D2" s="1222"/>
      <c r="E2" s="1222"/>
      <c r="F2" s="1222"/>
    </row>
    <row r="3" spans="1:9" x14ac:dyDescent="0.3">
      <c r="B3" s="1222" t="s">
        <v>281</v>
      </c>
      <c r="C3" s="1222"/>
      <c r="D3" s="1222"/>
      <c r="E3" s="1222"/>
      <c r="F3" s="1222"/>
    </row>
    <row r="4" spans="1:9" x14ac:dyDescent="0.3">
      <c r="B4" s="1222" t="s">
        <v>282</v>
      </c>
      <c r="C4" s="1222"/>
      <c r="D4" s="1222"/>
      <c r="E4" s="1222"/>
      <c r="F4" s="1222"/>
    </row>
    <row r="5" spans="1:9" x14ac:dyDescent="0.3">
      <c r="B5" s="1222" t="s">
        <v>1514</v>
      </c>
      <c r="C5" s="1222"/>
      <c r="D5" s="1222"/>
      <c r="E5" s="1222"/>
      <c r="F5" s="1222"/>
    </row>
    <row r="6" spans="1:9" x14ac:dyDescent="0.3">
      <c r="B6" s="1226" t="s">
        <v>4</v>
      </c>
      <c r="C6" s="1226"/>
      <c r="D6" s="1226"/>
      <c r="E6" s="1226"/>
      <c r="F6" s="1226"/>
    </row>
    <row r="7" spans="1:9" x14ac:dyDescent="0.3">
      <c r="B7" s="270"/>
      <c r="C7" s="271"/>
      <c r="D7" s="270"/>
      <c r="E7" s="270"/>
      <c r="F7" s="270"/>
    </row>
    <row r="8" spans="1:9" x14ac:dyDescent="0.3">
      <c r="B8" s="1222" t="s">
        <v>283</v>
      </c>
      <c r="C8" s="1222"/>
      <c r="D8" s="1222"/>
      <c r="E8" s="1222"/>
      <c r="F8" s="1222"/>
    </row>
    <row r="10" spans="1:9" x14ac:dyDescent="0.3">
      <c r="B10" s="932"/>
      <c r="C10" s="272" t="s">
        <v>200</v>
      </c>
      <c r="D10" s="933"/>
      <c r="E10" s="272"/>
      <c r="F10" s="933"/>
    </row>
    <row r="11" spans="1:9" x14ac:dyDescent="0.3">
      <c r="B11" s="273"/>
      <c r="C11" s="221" t="s">
        <v>284</v>
      </c>
      <c r="D11" s="273"/>
      <c r="E11" s="274" t="s">
        <v>284</v>
      </c>
      <c r="F11" s="934"/>
    </row>
    <row r="12" spans="1:9" x14ac:dyDescent="0.3">
      <c r="A12" s="4" t="s">
        <v>5</v>
      </c>
      <c r="B12" s="276"/>
      <c r="C12" s="221" t="s">
        <v>285</v>
      </c>
      <c r="D12" s="273"/>
      <c r="E12" s="277" t="s">
        <v>285</v>
      </c>
      <c r="F12" s="934"/>
      <c r="G12" s="4" t="s">
        <v>5</v>
      </c>
    </row>
    <row r="13" spans="1:9" ht="18" x14ac:dyDescent="0.3">
      <c r="A13" s="4" t="s">
        <v>6</v>
      </c>
      <c r="B13" s="278" t="s">
        <v>286</v>
      </c>
      <c r="C13" s="935" t="s">
        <v>287</v>
      </c>
      <c r="D13" s="278" t="s">
        <v>8</v>
      </c>
      <c r="E13" s="279" t="s">
        <v>288</v>
      </c>
      <c r="F13" s="278" t="s">
        <v>8</v>
      </c>
      <c r="G13" s="4" t="s">
        <v>6</v>
      </c>
    </row>
    <row r="14" spans="1:9" x14ac:dyDescent="0.3">
      <c r="A14" s="4">
        <v>1</v>
      </c>
      <c r="B14" s="936" t="s">
        <v>1612</v>
      </c>
      <c r="C14" s="59">
        <v>562408.9543199999</v>
      </c>
      <c r="D14" s="937" t="s">
        <v>289</v>
      </c>
      <c r="E14" s="65">
        <v>578073.48988999985</v>
      </c>
      <c r="F14" s="937" t="s">
        <v>290</v>
      </c>
      <c r="G14" s="4">
        <f>A14</f>
        <v>1</v>
      </c>
      <c r="H14" s="280"/>
      <c r="I14" s="280"/>
    </row>
    <row r="15" spans="1:9" x14ac:dyDescent="0.3">
      <c r="A15" s="4">
        <f>A14+1</f>
        <v>2</v>
      </c>
      <c r="B15" s="936" t="s">
        <v>1515</v>
      </c>
      <c r="C15" s="53">
        <v>563623.27221999993</v>
      </c>
      <c r="D15" s="938"/>
      <c r="E15" s="66">
        <v>579287.80778999988</v>
      </c>
      <c r="F15" s="938"/>
      <c r="G15" s="4">
        <f>G14+1</f>
        <v>2</v>
      </c>
    </row>
    <row r="16" spans="1:9" x14ac:dyDescent="0.3">
      <c r="A16" s="4">
        <f t="shared" ref="A16:A32" si="0">A15+1</f>
        <v>3</v>
      </c>
      <c r="B16" s="939" t="s">
        <v>291</v>
      </c>
      <c r="C16" s="53">
        <v>563661.93705999991</v>
      </c>
      <c r="D16" s="938"/>
      <c r="E16" s="66">
        <v>579326.47262999986</v>
      </c>
      <c r="F16" s="938"/>
      <c r="G16" s="4">
        <f t="shared" ref="G16:G32" si="1">G15+1</f>
        <v>3</v>
      </c>
    </row>
    <row r="17" spans="1:9" x14ac:dyDescent="0.3">
      <c r="A17" s="4">
        <f t="shared" si="0"/>
        <v>4</v>
      </c>
      <c r="B17" s="939" t="s">
        <v>292</v>
      </c>
      <c r="C17" s="53">
        <v>563869.55168999999</v>
      </c>
      <c r="D17" s="938"/>
      <c r="E17" s="66">
        <v>579534.08725999994</v>
      </c>
      <c r="F17" s="938"/>
      <c r="G17" s="4">
        <f t="shared" si="1"/>
        <v>4</v>
      </c>
    </row>
    <row r="18" spans="1:9" x14ac:dyDescent="0.3">
      <c r="A18" s="4">
        <f t="shared" si="0"/>
        <v>5</v>
      </c>
      <c r="B18" s="939" t="s">
        <v>293</v>
      </c>
      <c r="C18" s="53">
        <v>564037.79978000012</v>
      </c>
      <c r="D18" s="938"/>
      <c r="E18" s="66">
        <v>579702.33535000007</v>
      </c>
      <c r="F18" s="938"/>
      <c r="G18" s="4">
        <f t="shared" si="1"/>
        <v>5</v>
      </c>
    </row>
    <row r="19" spans="1:9" x14ac:dyDescent="0.3">
      <c r="A19" s="4">
        <f t="shared" si="0"/>
        <v>6</v>
      </c>
      <c r="B19" s="939" t="s">
        <v>294</v>
      </c>
      <c r="C19" s="53">
        <v>564812.14225999976</v>
      </c>
      <c r="D19" s="938"/>
      <c r="E19" s="66">
        <v>580476.67782999971</v>
      </c>
      <c r="F19" s="938"/>
      <c r="G19" s="4">
        <f t="shared" si="1"/>
        <v>6</v>
      </c>
    </row>
    <row r="20" spans="1:9" x14ac:dyDescent="0.3">
      <c r="A20" s="4">
        <f>A19+1</f>
        <v>7</v>
      </c>
      <c r="B20" s="939" t="s">
        <v>295</v>
      </c>
      <c r="C20" s="53">
        <v>565723.80906</v>
      </c>
      <c r="D20" s="938"/>
      <c r="E20" s="66">
        <v>581388.34462999995</v>
      </c>
      <c r="F20" s="938"/>
      <c r="G20" s="4">
        <f>G19+1</f>
        <v>7</v>
      </c>
    </row>
    <row r="21" spans="1:9" x14ac:dyDescent="0.3">
      <c r="A21" s="4">
        <f t="shared" si="0"/>
        <v>8</v>
      </c>
      <c r="B21" s="939" t="s">
        <v>296</v>
      </c>
      <c r="C21" s="53">
        <v>567537.37085999991</v>
      </c>
      <c r="D21" s="938"/>
      <c r="E21" s="66">
        <v>583201.90642999986</v>
      </c>
      <c r="F21" s="938"/>
      <c r="G21" s="4">
        <f t="shared" si="1"/>
        <v>8</v>
      </c>
    </row>
    <row r="22" spans="1:9" x14ac:dyDescent="0.3">
      <c r="A22" s="4">
        <f t="shared" si="0"/>
        <v>9</v>
      </c>
      <c r="B22" s="939" t="s">
        <v>297</v>
      </c>
      <c r="C22" s="53">
        <v>574330.00165999983</v>
      </c>
      <c r="D22" s="938"/>
      <c r="E22" s="66">
        <v>589994.53722999978</v>
      </c>
      <c r="F22" s="938"/>
      <c r="G22" s="4">
        <f t="shared" si="1"/>
        <v>9</v>
      </c>
    </row>
    <row r="23" spans="1:9" x14ac:dyDescent="0.3">
      <c r="A23" s="4">
        <f t="shared" si="0"/>
        <v>10</v>
      </c>
      <c r="B23" s="939" t="s">
        <v>298</v>
      </c>
      <c r="C23" s="53">
        <v>574116.31579000014</v>
      </c>
      <c r="D23" s="938"/>
      <c r="E23" s="66">
        <v>589780.85136000009</v>
      </c>
      <c r="F23" s="938"/>
      <c r="G23" s="4">
        <f t="shared" si="1"/>
        <v>10</v>
      </c>
    </row>
    <row r="24" spans="1:9" x14ac:dyDescent="0.3">
      <c r="A24" s="4">
        <f t="shared" si="0"/>
        <v>11</v>
      </c>
      <c r="B24" s="939" t="s">
        <v>299</v>
      </c>
      <c r="C24" s="53">
        <v>574610.30617999984</v>
      </c>
      <c r="D24" s="938"/>
      <c r="E24" s="66">
        <v>590274.84174999979</v>
      </c>
      <c r="F24" s="938"/>
      <c r="G24" s="4">
        <f t="shared" si="1"/>
        <v>11</v>
      </c>
    </row>
    <row r="25" spans="1:9" x14ac:dyDescent="0.3">
      <c r="A25" s="4">
        <f t="shared" si="0"/>
        <v>12</v>
      </c>
      <c r="B25" s="939" t="s">
        <v>300</v>
      </c>
      <c r="C25" s="53">
        <v>574750.67025999993</v>
      </c>
      <c r="D25" s="938"/>
      <c r="E25" s="66">
        <v>590415.20582999988</v>
      </c>
      <c r="F25" s="938"/>
      <c r="G25" s="4">
        <f t="shared" si="1"/>
        <v>12</v>
      </c>
    </row>
    <row r="26" spans="1:9" x14ac:dyDescent="0.3">
      <c r="A26" s="4">
        <f t="shared" si="0"/>
        <v>13</v>
      </c>
      <c r="B26" s="633" t="s">
        <v>1516</v>
      </c>
      <c r="C26" s="54">
        <v>575385.30310999975</v>
      </c>
      <c r="D26" s="937" t="s">
        <v>289</v>
      </c>
      <c r="E26" s="54">
        <v>591049.8386799997</v>
      </c>
      <c r="F26" s="937" t="s">
        <v>301</v>
      </c>
      <c r="G26" s="4">
        <f t="shared" si="1"/>
        <v>13</v>
      </c>
      <c r="I26" s="280"/>
    </row>
    <row r="27" spans="1:9" x14ac:dyDescent="0.3">
      <c r="A27" s="4">
        <f t="shared" si="0"/>
        <v>14</v>
      </c>
      <c r="B27" s="281"/>
      <c r="C27" s="55"/>
      <c r="D27" s="932"/>
      <c r="E27" s="58"/>
      <c r="F27" s="932"/>
      <c r="G27" s="4">
        <f t="shared" si="1"/>
        <v>14</v>
      </c>
    </row>
    <row r="28" spans="1:9" x14ac:dyDescent="0.3">
      <c r="A28" s="4">
        <f t="shared" si="0"/>
        <v>15</v>
      </c>
      <c r="B28" s="281" t="s">
        <v>302</v>
      </c>
      <c r="C28" s="56">
        <f>SUM(C14:C26)</f>
        <v>7388867.4342499981</v>
      </c>
      <c r="D28" s="940" t="s">
        <v>303</v>
      </c>
      <c r="E28" s="56">
        <f>SUM(E14:E26)</f>
        <v>7592506.3966599973</v>
      </c>
      <c r="F28" s="940" t="s">
        <v>303</v>
      </c>
      <c r="G28" s="4">
        <f t="shared" si="1"/>
        <v>15</v>
      </c>
    </row>
    <row r="29" spans="1:9" x14ac:dyDescent="0.3">
      <c r="A29" s="4">
        <f t="shared" si="0"/>
        <v>16</v>
      </c>
      <c r="B29" s="120"/>
      <c r="C29" s="57"/>
      <c r="D29" s="120"/>
      <c r="E29" s="57"/>
      <c r="F29" s="120"/>
      <c r="G29" s="4">
        <f t="shared" si="1"/>
        <v>16</v>
      </c>
    </row>
    <row r="30" spans="1:9" x14ac:dyDescent="0.3">
      <c r="A30" s="4">
        <f t="shared" si="0"/>
        <v>17</v>
      </c>
      <c r="B30" s="281"/>
      <c r="C30" s="56"/>
      <c r="D30" s="281"/>
      <c r="E30" s="56"/>
      <c r="F30" s="281"/>
      <c r="G30" s="4">
        <f t="shared" si="1"/>
        <v>17</v>
      </c>
    </row>
    <row r="31" spans="1:9" x14ac:dyDescent="0.3">
      <c r="A31" s="4">
        <f t="shared" si="0"/>
        <v>18</v>
      </c>
      <c r="B31" s="281" t="s">
        <v>304</v>
      </c>
      <c r="C31" s="56">
        <f>C28/13</f>
        <v>568374.41801923059</v>
      </c>
      <c r="D31" s="937" t="s">
        <v>305</v>
      </c>
      <c r="E31" s="56">
        <f>E28/13</f>
        <v>584038.95358923054</v>
      </c>
      <c r="F31" s="937" t="s">
        <v>306</v>
      </c>
      <c r="G31" s="4">
        <f t="shared" si="1"/>
        <v>18</v>
      </c>
      <c r="H31" s="280"/>
      <c r="I31" s="280"/>
    </row>
    <row r="32" spans="1:9" x14ac:dyDescent="0.3">
      <c r="A32" s="4">
        <f t="shared" si="0"/>
        <v>19</v>
      </c>
      <c r="B32" s="120"/>
      <c r="C32" s="282"/>
      <c r="D32" s="120"/>
      <c r="E32" s="282"/>
      <c r="F32" s="120"/>
      <c r="G32" s="4">
        <f t="shared" si="1"/>
        <v>19</v>
      </c>
    </row>
    <row r="33" spans="1:5" x14ac:dyDescent="0.3">
      <c r="A33" s="4"/>
      <c r="C33" s="283"/>
      <c r="E33" s="283"/>
    </row>
    <row r="34" spans="1:5" x14ac:dyDescent="0.3">
      <c r="C34" s="283"/>
      <c r="E34" s="283"/>
    </row>
    <row r="35" spans="1:5" ht="18" x14ac:dyDescent="0.3">
      <c r="A35" s="269">
        <v>1</v>
      </c>
      <c r="B35" s="32" t="s">
        <v>307</v>
      </c>
      <c r="C35" s="283"/>
      <c r="E35" s="283"/>
    </row>
    <row r="36" spans="1:5" x14ac:dyDescent="0.3">
      <c r="B36" s="32" t="s">
        <v>308</v>
      </c>
      <c r="C36" s="283"/>
      <c r="E36" s="283"/>
    </row>
    <row r="37" spans="1:5" x14ac:dyDescent="0.3">
      <c r="C37" s="283"/>
      <c r="E37" s="283"/>
    </row>
    <row r="38" spans="1:5" x14ac:dyDescent="0.3">
      <c r="C38" s="283"/>
      <c r="E38" s="283"/>
    </row>
    <row r="39" spans="1:5" x14ac:dyDescent="0.3">
      <c r="C39" s="283"/>
      <c r="E39" s="283"/>
    </row>
    <row r="40" spans="1:5" x14ac:dyDescent="0.3">
      <c r="C40" s="283"/>
      <c r="E40" s="283"/>
    </row>
    <row r="41" spans="1:5" x14ac:dyDescent="0.3">
      <c r="C41" s="283"/>
      <c r="E41" s="283"/>
    </row>
    <row r="42" spans="1:5" x14ac:dyDescent="0.3">
      <c r="C42" s="283"/>
      <c r="E42" s="283"/>
    </row>
    <row r="43" spans="1:5" x14ac:dyDescent="0.3">
      <c r="C43" s="283"/>
      <c r="E43" s="283"/>
    </row>
    <row r="44" spans="1:5" x14ac:dyDescent="0.3">
      <c r="C44" s="283"/>
      <c r="E44" s="283"/>
    </row>
    <row r="45" spans="1:5" x14ac:dyDescent="0.3">
      <c r="C45" s="283"/>
      <c r="E45" s="283"/>
    </row>
    <row r="46" spans="1:5" x14ac:dyDescent="0.3">
      <c r="C46" s="283"/>
      <c r="E46" s="283"/>
    </row>
    <row r="47" spans="1:5" x14ac:dyDescent="0.3">
      <c r="C47" s="283"/>
      <c r="E47" s="283"/>
    </row>
  </sheetData>
  <mergeCells count="6">
    <mergeCell ref="B8:F8"/>
    <mergeCell ref="B5:F5"/>
    <mergeCell ref="B2:F2"/>
    <mergeCell ref="B3:F3"/>
    <mergeCell ref="B4:F4"/>
    <mergeCell ref="B6:F6"/>
  </mergeCells>
  <printOptions horizontalCentered="1"/>
  <pageMargins left="0.5" right="0.5" top="0.5" bottom="0.5" header="0.25" footer="0.25"/>
  <pageSetup scale="74" orientation="landscape" r:id="rId1"/>
  <headerFooter scaleWithDoc="0">
    <oddFooter>&amp;C&amp;"Times New Roman,Regular"&amp;10&amp;A</oddFooter>
  </headerFooter>
  <customProperties>
    <customPr name="_pios_id" r:id="rId2"/>
  </customPropertie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2:E37"/>
  <sheetViews>
    <sheetView zoomScale="80" zoomScaleNormal="80" workbookViewId="0"/>
  </sheetViews>
  <sheetFormatPr defaultColWidth="9.33203125" defaultRowHeight="15.6" x14ac:dyDescent="0.3"/>
  <cols>
    <col min="1" max="1" width="5.33203125" style="221" customWidth="1"/>
    <col min="2" max="2" width="35.33203125" style="1" customWidth="1"/>
    <col min="3" max="3" width="18.5546875" style="1" customWidth="1"/>
    <col min="4" max="4" width="62.5546875" style="1" customWidth="1"/>
    <col min="5" max="5" width="5.33203125" style="221" customWidth="1"/>
    <col min="6" max="6" width="11" style="1" customWidth="1"/>
    <col min="7" max="7" width="7.33203125" style="1" customWidth="1"/>
    <col min="8" max="8" width="9.33203125" style="1" customWidth="1"/>
    <col min="9" max="9" width="14" style="1" customWidth="1"/>
    <col min="10" max="10" width="13.44140625" style="1" customWidth="1"/>
    <col min="11" max="16384" width="9.33203125" style="1"/>
  </cols>
  <sheetData>
    <row r="2" spans="1:5" x14ac:dyDescent="0.3">
      <c r="B2" s="1222" t="s">
        <v>0</v>
      </c>
      <c r="C2" s="1222"/>
      <c r="D2" s="1222"/>
    </row>
    <row r="3" spans="1:5" x14ac:dyDescent="0.3">
      <c r="B3" s="1222" t="s">
        <v>676</v>
      </c>
      <c r="C3" s="1222"/>
      <c r="D3" s="1222"/>
    </row>
    <row r="4" spans="1:5" x14ac:dyDescent="0.3">
      <c r="B4" s="1222" t="s">
        <v>763</v>
      </c>
      <c r="C4" s="1222"/>
      <c r="D4" s="1222"/>
    </row>
    <row r="5" spans="1:5" x14ac:dyDescent="0.3">
      <c r="B5" s="1222" t="str">
        <f>'AD-1'!B5</f>
        <v>BASE PERIOD / TRUE UP PERIOD - 12/31/2023 PER BOOK</v>
      </c>
      <c r="C5" s="1222"/>
      <c r="D5" s="1222"/>
    </row>
    <row r="6" spans="1:5" x14ac:dyDescent="0.3">
      <c r="B6" s="1226" t="s">
        <v>4</v>
      </c>
      <c r="C6" s="1226"/>
      <c r="D6" s="1226"/>
    </row>
    <row r="7" spans="1:5" x14ac:dyDescent="0.3">
      <c r="B7" s="270"/>
      <c r="C7" s="270"/>
      <c r="D7" s="270"/>
    </row>
    <row r="8" spans="1:5" x14ac:dyDescent="0.3">
      <c r="B8" s="1222" t="s">
        <v>364</v>
      </c>
      <c r="C8" s="1222"/>
      <c r="D8" s="1222"/>
    </row>
    <row r="10" spans="1:5" x14ac:dyDescent="0.3">
      <c r="B10" s="932"/>
      <c r="C10" s="980" t="s">
        <v>482</v>
      </c>
      <c r="D10" s="970"/>
    </row>
    <row r="11" spans="1:5" x14ac:dyDescent="0.3">
      <c r="A11" s="4"/>
      <c r="B11" s="273"/>
      <c r="C11" s="273" t="s">
        <v>764</v>
      </c>
      <c r="D11" s="934"/>
      <c r="E11" s="4"/>
    </row>
    <row r="12" spans="1:5" x14ac:dyDescent="0.3">
      <c r="A12" s="4" t="s">
        <v>5</v>
      </c>
      <c r="B12" s="273"/>
      <c r="C12" s="273" t="s">
        <v>317</v>
      </c>
      <c r="D12" s="934"/>
      <c r="E12" s="4" t="s">
        <v>5</v>
      </c>
    </row>
    <row r="13" spans="1:5" x14ac:dyDescent="0.3">
      <c r="A13" s="4" t="s">
        <v>6</v>
      </c>
      <c r="B13" s="278" t="s">
        <v>286</v>
      </c>
      <c r="C13" s="278" t="s">
        <v>678</v>
      </c>
      <c r="D13" s="278" t="s">
        <v>8</v>
      </c>
      <c r="E13" s="4" t="s">
        <v>6</v>
      </c>
    </row>
    <row r="14" spans="1:5" x14ac:dyDescent="0.3">
      <c r="A14" s="4"/>
      <c r="B14" s="276"/>
      <c r="C14" s="968"/>
      <c r="D14" s="971"/>
      <c r="E14" s="4"/>
    </row>
    <row r="15" spans="1:5" x14ac:dyDescent="0.3">
      <c r="A15" s="4">
        <v>1</v>
      </c>
      <c r="B15" s="1013" t="str">
        <f>'AG-1'!B26</f>
        <v>Dec-23</v>
      </c>
      <c r="C15" s="235">
        <v>13510.349459999998</v>
      </c>
      <c r="D15" s="937" t="s">
        <v>765</v>
      </c>
      <c r="E15" s="4">
        <f>A15</f>
        <v>1</v>
      </c>
    </row>
    <row r="16" spans="1:5" x14ac:dyDescent="0.3">
      <c r="A16" s="4">
        <f>A15+1</f>
        <v>2</v>
      </c>
      <c r="B16" s="120"/>
      <c r="C16" s="94"/>
      <c r="D16" s="94"/>
      <c r="E16" s="4">
        <f>E15+1</f>
        <v>2</v>
      </c>
    </row>
    <row r="17" spans="1:5" x14ac:dyDescent="0.3">
      <c r="A17" s="4"/>
      <c r="B17" s="32"/>
      <c r="C17" s="29"/>
      <c r="D17" s="32"/>
    </row>
    <row r="18" spans="1:5" x14ac:dyDescent="0.3">
      <c r="B18" s="32"/>
      <c r="C18" s="32"/>
      <c r="D18" s="32"/>
    </row>
    <row r="19" spans="1:5" x14ac:dyDescent="0.3">
      <c r="B19" s="32"/>
      <c r="C19" s="32"/>
      <c r="D19" s="32"/>
    </row>
    <row r="20" spans="1:5" x14ac:dyDescent="0.3">
      <c r="B20" s="32"/>
      <c r="C20" s="32"/>
      <c r="D20" s="32"/>
    </row>
    <row r="21" spans="1:5" x14ac:dyDescent="0.3">
      <c r="B21" s="32"/>
      <c r="C21" s="32"/>
      <c r="D21" s="32"/>
    </row>
    <row r="22" spans="1:5" x14ac:dyDescent="0.3">
      <c r="B22" s="32"/>
      <c r="C22" s="32"/>
      <c r="D22" s="32"/>
    </row>
    <row r="23" spans="1:5" x14ac:dyDescent="0.3">
      <c r="B23" s="32"/>
      <c r="C23" s="32"/>
      <c r="D23" s="32"/>
    </row>
    <row r="24" spans="1:5" x14ac:dyDescent="0.3">
      <c r="B24" s="32"/>
      <c r="C24" s="32"/>
      <c r="D24" s="32"/>
    </row>
    <row r="25" spans="1:5" x14ac:dyDescent="0.3">
      <c r="B25" s="32"/>
      <c r="C25" s="32"/>
      <c r="D25" s="32"/>
    </row>
    <row r="26" spans="1:5" x14ac:dyDescent="0.3">
      <c r="B26" s="32"/>
      <c r="C26" s="32"/>
      <c r="D26" s="32"/>
    </row>
    <row r="27" spans="1:5" x14ac:dyDescent="0.3">
      <c r="B27" s="32"/>
      <c r="C27" s="32"/>
      <c r="D27" s="32"/>
    </row>
    <row r="28" spans="1:5" x14ac:dyDescent="0.3">
      <c r="B28" s="32"/>
      <c r="C28" s="32"/>
      <c r="D28" s="32"/>
    </row>
    <row r="29" spans="1:5" x14ac:dyDescent="0.3">
      <c r="B29" s="32"/>
      <c r="C29" s="32"/>
      <c r="D29" s="32"/>
    </row>
    <row r="30" spans="1:5" x14ac:dyDescent="0.3">
      <c r="B30" s="32"/>
      <c r="C30" s="32"/>
      <c r="D30" s="32"/>
    </row>
    <row r="31" spans="1:5" s="32" customFormat="1" x14ac:dyDescent="0.3">
      <c r="A31" s="4"/>
      <c r="E31" s="4"/>
    </row>
    <row r="32" spans="1:5" s="32" customFormat="1" x14ac:dyDescent="0.3">
      <c r="A32" s="4"/>
      <c r="E32" s="4"/>
    </row>
    <row r="33" spans="1:5" s="32" customFormat="1" x14ac:dyDescent="0.3">
      <c r="A33" s="4"/>
      <c r="E33" s="4"/>
    </row>
    <row r="34" spans="1:5" s="32" customFormat="1" x14ac:dyDescent="0.3">
      <c r="A34" s="4"/>
      <c r="E34" s="4"/>
    </row>
    <row r="35" spans="1:5" s="32" customFormat="1" x14ac:dyDescent="0.3">
      <c r="A35" s="4"/>
      <c r="E35" s="4"/>
    </row>
    <row r="36" spans="1:5" s="32" customFormat="1" x14ac:dyDescent="0.3">
      <c r="A36" s="4"/>
      <c r="E36" s="4"/>
    </row>
    <row r="37" spans="1:5" s="32" customFormat="1" x14ac:dyDescent="0.3">
      <c r="A37" s="4"/>
      <c r="E37" s="4"/>
    </row>
  </sheetData>
  <mergeCells count="6">
    <mergeCell ref="B8:D8"/>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H21"/>
  <sheetViews>
    <sheetView zoomScale="80" zoomScaleNormal="80" workbookViewId="0"/>
  </sheetViews>
  <sheetFormatPr defaultColWidth="8.6640625" defaultRowHeight="15.6" x14ac:dyDescent="0.3"/>
  <cols>
    <col min="1" max="1" width="5.33203125" style="4" customWidth="1"/>
    <col min="2" max="2" width="15.33203125" style="4" customWidth="1"/>
    <col min="3" max="3" width="50.6640625" style="32" customWidth="1"/>
    <col min="4" max="4" width="16.6640625" style="4" customWidth="1"/>
    <col min="5" max="5" width="5.33203125" style="32" customWidth="1"/>
    <col min="6" max="16384" width="8.6640625" style="32"/>
  </cols>
  <sheetData>
    <row r="1" spans="1:8" x14ac:dyDescent="0.3">
      <c r="B1" s="221"/>
      <c r="C1" s="221"/>
      <c r="D1" s="221"/>
      <c r="E1" s="221"/>
      <c r="F1" s="221"/>
    </row>
    <row r="2" spans="1:8" x14ac:dyDescent="0.3">
      <c r="B2" s="1222" t="s">
        <v>0</v>
      </c>
      <c r="C2" s="1234"/>
      <c r="D2" s="1234"/>
      <c r="E2" s="221"/>
      <c r="F2" s="221"/>
      <c r="G2" s="221"/>
      <c r="H2" s="221"/>
    </row>
    <row r="3" spans="1:8" x14ac:dyDescent="0.3">
      <c r="B3" s="1222" t="s">
        <v>715</v>
      </c>
      <c r="C3" s="1234"/>
      <c r="D3" s="1234"/>
      <c r="E3" s="221"/>
      <c r="F3" s="221"/>
      <c r="G3" s="221"/>
      <c r="H3" s="221"/>
    </row>
    <row r="4" spans="1:8" x14ac:dyDescent="0.3">
      <c r="B4" s="1222" t="s">
        <v>1619</v>
      </c>
      <c r="C4" s="1234"/>
      <c r="D4" s="1234"/>
      <c r="E4" s="221"/>
      <c r="F4" s="221"/>
      <c r="G4" s="221"/>
      <c r="H4" s="221"/>
    </row>
    <row r="5" spans="1:8" x14ac:dyDescent="0.3">
      <c r="B5" s="1225" t="s">
        <v>1618</v>
      </c>
      <c r="C5" s="1240"/>
      <c r="D5" s="1240"/>
      <c r="E5" s="221"/>
      <c r="F5" s="221"/>
      <c r="G5" s="221"/>
      <c r="H5" s="221"/>
    </row>
    <row r="7" spans="1:8" x14ac:dyDescent="0.3">
      <c r="A7" s="4" t="s">
        <v>5</v>
      </c>
      <c r="B7" s="951" t="s">
        <v>482</v>
      </c>
      <c r="C7" s="1014"/>
      <c r="D7" s="1015" t="s">
        <v>766</v>
      </c>
      <c r="E7" s="4" t="s">
        <v>5</v>
      </c>
    </row>
    <row r="8" spans="1:8" s="1" customFormat="1" x14ac:dyDescent="0.3">
      <c r="A8" s="4" t="s">
        <v>6</v>
      </c>
      <c r="B8" s="278" t="s">
        <v>767</v>
      </c>
      <c r="C8" s="1016" t="s">
        <v>768</v>
      </c>
      <c r="D8" s="440" t="s">
        <v>769</v>
      </c>
      <c r="E8" s="4" t="s">
        <v>6</v>
      </c>
    </row>
    <row r="9" spans="1:8" x14ac:dyDescent="0.3">
      <c r="B9" s="940"/>
      <c r="D9" s="940"/>
      <c r="E9" s="4"/>
    </row>
    <row r="10" spans="1:8" x14ac:dyDescent="0.3">
      <c r="A10" s="4">
        <v>1</v>
      </c>
      <c r="B10" s="1017"/>
      <c r="C10" s="1018" t="s">
        <v>770</v>
      </c>
      <c r="D10" s="1017"/>
      <c r="E10" s="4">
        <f>A10</f>
        <v>1</v>
      </c>
    </row>
    <row r="11" spans="1:8" x14ac:dyDescent="0.3">
      <c r="A11" s="4">
        <f>A10+1</f>
        <v>2</v>
      </c>
      <c r="B11" s="940" t="s">
        <v>771</v>
      </c>
      <c r="C11" s="33" t="s">
        <v>772</v>
      </c>
      <c r="D11" s="1019" t="s">
        <v>773</v>
      </c>
      <c r="E11" s="4">
        <f>E10+1</f>
        <v>2</v>
      </c>
    </row>
    <row r="12" spans="1:8" x14ac:dyDescent="0.3">
      <c r="A12" s="4">
        <f t="shared" ref="A12:A15" si="0">A11+1</f>
        <v>3</v>
      </c>
      <c r="B12" s="960" t="s">
        <v>774</v>
      </c>
      <c r="C12" s="1020" t="s">
        <v>775</v>
      </c>
      <c r="D12" s="1021" t="s">
        <v>776</v>
      </c>
      <c r="E12" s="4">
        <f t="shared" ref="E12:E16" si="1">E11+1</f>
        <v>3</v>
      </c>
    </row>
    <row r="13" spans="1:8" x14ac:dyDescent="0.3">
      <c r="A13" s="4">
        <f t="shared" si="0"/>
        <v>4</v>
      </c>
      <c r="B13" s="940"/>
      <c r="D13" s="940"/>
      <c r="E13" s="4">
        <f t="shared" si="1"/>
        <v>4</v>
      </c>
    </row>
    <row r="14" spans="1:8" x14ac:dyDescent="0.3">
      <c r="A14" s="4">
        <f t="shared" si="0"/>
        <v>5</v>
      </c>
      <c r="B14" s="960"/>
      <c r="C14" s="1022" t="s">
        <v>777</v>
      </c>
      <c r="D14" s="960"/>
      <c r="E14" s="4">
        <f t="shared" si="1"/>
        <v>5</v>
      </c>
    </row>
    <row r="15" spans="1:8" x14ac:dyDescent="0.3">
      <c r="A15" s="4">
        <f t="shared" si="0"/>
        <v>6</v>
      </c>
      <c r="B15" s="960" t="s">
        <v>778</v>
      </c>
      <c r="C15" s="1020" t="s">
        <v>779</v>
      </c>
      <c r="D15" s="1021" t="s">
        <v>780</v>
      </c>
      <c r="E15" s="4">
        <f t="shared" si="1"/>
        <v>6</v>
      </c>
    </row>
    <row r="16" spans="1:8" x14ac:dyDescent="0.3">
      <c r="A16" s="4">
        <f>A15+1</f>
        <v>7</v>
      </c>
      <c r="B16" s="422"/>
      <c r="C16" s="924"/>
      <c r="D16" s="441"/>
      <c r="E16" s="4">
        <f t="shared" si="1"/>
        <v>7</v>
      </c>
    </row>
    <row r="17" spans="1:4" x14ac:dyDescent="0.3">
      <c r="D17" s="263"/>
    </row>
    <row r="18" spans="1:4" ht="18" x14ac:dyDescent="0.3">
      <c r="A18" s="269"/>
      <c r="B18" s="32" t="s">
        <v>781</v>
      </c>
    </row>
    <row r="19" spans="1:4" x14ac:dyDescent="0.3">
      <c r="B19" s="32" t="s">
        <v>782</v>
      </c>
    </row>
    <row r="20" spans="1:4" x14ac:dyDescent="0.3">
      <c r="B20" s="33" t="s">
        <v>783</v>
      </c>
    </row>
    <row r="21" spans="1:4" x14ac:dyDescent="0.3">
      <c r="B21" s="32" t="s">
        <v>784</v>
      </c>
    </row>
  </sheetData>
  <mergeCells count="4">
    <mergeCell ref="B2:D2"/>
    <mergeCell ref="B3:D3"/>
    <mergeCell ref="B4:D4"/>
    <mergeCell ref="B5:D5"/>
  </mergeCells>
  <printOptions horizontalCentered="1"/>
  <pageMargins left="0.5" right="0.5" top="0.5" bottom="0.5" header="0.25" footer="0.25"/>
  <pageSetup orientation="portrait" r:id="rId1"/>
  <headerFooter scaleWithDoc="0">
    <oddFooter>&amp;C&amp;"Times New Roman,Regular"&amp;10Intangible Plant Amortization Period
&amp;A</oddFooter>
  </headerFooter>
  <customProperties>
    <customPr name="_pios_id" r:id="rId2"/>
  </customPropertie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2:E37"/>
  <sheetViews>
    <sheetView zoomScale="80" zoomScaleNormal="80" workbookViewId="0"/>
  </sheetViews>
  <sheetFormatPr defaultColWidth="9.33203125" defaultRowHeight="15.6" x14ac:dyDescent="0.3"/>
  <cols>
    <col min="1" max="1" width="5.33203125" style="221" customWidth="1"/>
    <col min="2" max="2" width="35.33203125" style="1" customWidth="1"/>
    <col min="3" max="3" width="18.5546875" style="1" customWidth="1"/>
    <col min="4" max="4" width="62.5546875" style="1" customWidth="1"/>
    <col min="5" max="5" width="5.33203125" style="221" customWidth="1"/>
    <col min="6" max="6" width="11" style="1" customWidth="1"/>
    <col min="7" max="7" width="7.33203125" style="1" customWidth="1"/>
    <col min="8" max="8" width="9.33203125" style="1" customWidth="1"/>
    <col min="9" max="9" width="14" style="1" customWidth="1"/>
    <col min="10" max="10" width="13.44140625" style="1" customWidth="1"/>
    <col min="11" max="16384" width="9.33203125" style="1"/>
  </cols>
  <sheetData>
    <row r="2" spans="1:5" x14ac:dyDescent="0.3">
      <c r="B2" s="1222" t="s">
        <v>0</v>
      </c>
      <c r="C2" s="1222"/>
      <c r="D2" s="1222"/>
    </row>
    <row r="3" spans="1:5" x14ac:dyDescent="0.3">
      <c r="B3" s="1222" t="s">
        <v>676</v>
      </c>
      <c r="C3" s="1222"/>
      <c r="D3" s="1222"/>
    </row>
    <row r="4" spans="1:5" x14ac:dyDescent="0.3">
      <c r="B4" s="1222" t="s">
        <v>763</v>
      </c>
      <c r="C4" s="1222"/>
      <c r="D4" s="1222"/>
    </row>
    <row r="5" spans="1:5" x14ac:dyDescent="0.3">
      <c r="B5" s="1222" t="str">
        <f>'AD-1'!B5</f>
        <v>BASE PERIOD / TRUE UP PERIOD - 12/31/2023 PER BOOK</v>
      </c>
      <c r="C5" s="1222"/>
      <c r="D5" s="1222"/>
    </row>
    <row r="6" spans="1:5" x14ac:dyDescent="0.3">
      <c r="B6" s="1226" t="s">
        <v>4</v>
      </c>
      <c r="C6" s="1226"/>
      <c r="D6" s="1226"/>
    </row>
    <row r="7" spans="1:5" x14ac:dyDescent="0.3">
      <c r="B7" s="270"/>
      <c r="C7" s="270"/>
      <c r="D7" s="270"/>
    </row>
    <row r="8" spans="1:5" x14ac:dyDescent="0.3">
      <c r="B8" s="1222" t="s">
        <v>368</v>
      </c>
      <c r="C8" s="1222"/>
      <c r="D8" s="1222"/>
    </row>
    <row r="10" spans="1:5" x14ac:dyDescent="0.3">
      <c r="B10" s="932"/>
      <c r="C10" s="980" t="s">
        <v>482</v>
      </c>
      <c r="D10" s="970"/>
      <c r="E10" s="4"/>
    </row>
    <row r="11" spans="1:5" x14ac:dyDescent="0.3">
      <c r="A11" s="4"/>
      <c r="B11" s="273"/>
      <c r="C11" s="273" t="s">
        <v>785</v>
      </c>
      <c r="D11" s="934"/>
      <c r="E11" s="4"/>
    </row>
    <row r="12" spans="1:5" x14ac:dyDescent="0.3">
      <c r="A12" s="4" t="s">
        <v>5</v>
      </c>
      <c r="B12" s="273"/>
      <c r="C12" s="273" t="s">
        <v>317</v>
      </c>
      <c r="D12" s="934"/>
      <c r="E12" s="4" t="s">
        <v>5</v>
      </c>
    </row>
    <row r="13" spans="1:5" x14ac:dyDescent="0.3">
      <c r="A13" s="4" t="s">
        <v>6</v>
      </c>
      <c r="B13" s="278" t="s">
        <v>286</v>
      </c>
      <c r="C13" s="278" t="s">
        <v>678</v>
      </c>
      <c r="D13" s="278" t="s">
        <v>8</v>
      </c>
      <c r="E13" s="4" t="s">
        <v>6</v>
      </c>
    </row>
    <row r="14" spans="1:5" x14ac:dyDescent="0.3">
      <c r="A14" s="4"/>
      <c r="B14" s="276"/>
      <c r="C14" s="968"/>
      <c r="D14" s="971"/>
      <c r="E14" s="4"/>
    </row>
    <row r="15" spans="1:5" x14ac:dyDescent="0.3">
      <c r="A15" s="4">
        <v>1</v>
      </c>
      <c r="B15" s="1013" t="str">
        <f>'AJ-2'!B15</f>
        <v>Dec-23</v>
      </c>
      <c r="C15" s="235">
        <v>26427.473339999971</v>
      </c>
      <c r="D15" s="946" t="s">
        <v>786</v>
      </c>
      <c r="E15" s="4">
        <f>A15</f>
        <v>1</v>
      </c>
    </row>
    <row r="16" spans="1:5" x14ac:dyDescent="0.3">
      <c r="A16" s="4">
        <f>A15+1</f>
        <v>2</v>
      </c>
      <c r="B16" s="120"/>
      <c r="C16" s="94"/>
      <c r="D16" s="94"/>
      <c r="E16" s="4">
        <f>E15+1</f>
        <v>2</v>
      </c>
    </row>
    <row r="17" spans="1:5" x14ac:dyDescent="0.3">
      <c r="A17" s="4"/>
      <c r="B17" s="32"/>
      <c r="C17" s="29"/>
      <c r="D17" s="32"/>
      <c r="E17" s="4"/>
    </row>
    <row r="18" spans="1:5" x14ac:dyDescent="0.3">
      <c r="B18" s="32"/>
      <c r="C18" s="32"/>
      <c r="D18" s="32"/>
    </row>
    <row r="19" spans="1:5" x14ac:dyDescent="0.3">
      <c r="B19" s="32"/>
      <c r="C19" s="32"/>
      <c r="D19" s="32"/>
    </row>
    <row r="20" spans="1:5" x14ac:dyDescent="0.3">
      <c r="B20" s="32"/>
      <c r="C20" s="32"/>
      <c r="D20" s="32"/>
    </row>
    <row r="21" spans="1:5" x14ac:dyDescent="0.3">
      <c r="B21" s="32"/>
      <c r="C21" s="32"/>
      <c r="D21" s="32"/>
    </row>
    <row r="22" spans="1:5" x14ac:dyDescent="0.3">
      <c r="B22" s="32"/>
      <c r="C22" s="32"/>
      <c r="D22" s="32"/>
    </row>
    <row r="23" spans="1:5" x14ac:dyDescent="0.3">
      <c r="B23" s="32"/>
      <c r="C23" s="32"/>
      <c r="D23" s="32"/>
    </row>
    <row r="24" spans="1:5" x14ac:dyDescent="0.3">
      <c r="B24" s="32"/>
      <c r="C24" s="32"/>
      <c r="D24" s="32"/>
    </row>
    <row r="25" spans="1:5" x14ac:dyDescent="0.3">
      <c r="B25" s="32"/>
      <c r="C25" s="32"/>
      <c r="D25" s="32"/>
    </row>
    <row r="26" spans="1:5" x14ac:dyDescent="0.3">
      <c r="B26" s="32"/>
      <c r="C26" s="32"/>
      <c r="D26" s="32"/>
    </row>
    <row r="27" spans="1:5" x14ac:dyDescent="0.3">
      <c r="B27" s="32"/>
      <c r="C27" s="32"/>
      <c r="D27" s="32"/>
    </row>
    <row r="28" spans="1:5" x14ac:dyDescent="0.3">
      <c r="B28" s="32"/>
      <c r="C28" s="32"/>
      <c r="D28" s="32"/>
    </row>
    <row r="29" spans="1:5" x14ac:dyDescent="0.3">
      <c r="B29" s="32"/>
      <c r="C29" s="32"/>
      <c r="D29" s="32"/>
    </row>
    <row r="30" spans="1:5" x14ac:dyDescent="0.3">
      <c r="B30" s="32"/>
      <c r="C30" s="32"/>
      <c r="D30" s="32"/>
    </row>
    <row r="31" spans="1:5" s="32" customFormat="1" x14ac:dyDescent="0.3">
      <c r="A31" s="4"/>
      <c r="E31" s="4"/>
    </row>
    <row r="32" spans="1:5" s="32" customFormat="1" x14ac:dyDescent="0.3">
      <c r="A32" s="4"/>
      <c r="E32" s="4"/>
    </row>
    <row r="33" spans="1:5" s="32" customFormat="1" x14ac:dyDescent="0.3">
      <c r="A33" s="4"/>
      <c r="E33" s="4"/>
    </row>
    <row r="34" spans="1:5" s="32" customFormat="1" x14ac:dyDescent="0.3">
      <c r="A34" s="4"/>
      <c r="E34" s="4"/>
    </row>
    <row r="35" spans="1:5" s="32" customFormat="1" x14ac:dyDescent="0.3">
      <c r="A35" s="4"/>
      <c r="E35" s="4"/>
    </row>
    <row r="36" spans="1:5" s="32" customFormat="1" x14ac:dyDescent="0.3">
      <c r="A36" s="4"/>
      <c r="E36" s="4"/>
    </row>
    <row r="37" spans="1:5" s="32" customFormat="1" x14ac:dyDescent="0.3">
      <c r="A37" s="4"/>
      <c r="E37" s="4"/>
    </row>
  </sheetData>
  <mergeCells count="6">
    <mergeCell ref="B8:D8"/>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2:I36"/>
  <sheetViews>
    <sheetView zoomScale="80" zoomScaleNormal="80" workbookViewId="0"/>
  </sheetViews>
  <sheetFormatPr defaultColWidth="8.6640625" defaultRowHeight="15.6" x14ac:dyDescent="0.3"/>
  <cols>
    <col min="1" max="1" width="5.33203125" style="4" customWidth="1"/>
    <col min="2" max="2" width="15.33203125" style="32" customWidth="1"/>
    <col min="3" max="3" width="25.6640625" style="32" customWidth="1"/>
    <col min="4" max="6" width="16.6640625" style="4" customWidth="1"/>
    <col min="7" max="7" width="5.33203125" style="4" customWidth="1"/>
    <col min="8" max="8" width="10.6640625" style="32" customWidth="1"/>
    <col min="9" max="9" width="8.33203125" style="32" bestFit="1" customWidth="1"/>
    <col min="10" max="16384" width="8.6640625" style="32"/>
  </cols>
  <sheetData>
    <row r="2" spans="1:9" x14ac:dyDescent="0.3">
      <c r="B2" s="1222" t="s">
        <v>0</v>
      </c>
      <c r="C2" s="1222"/>
      <c r="D2" s="1222"/>
      <c r="E2" s="1222"/>
      <c r="F2" s="1222"/>
    </row>
    <row r="3" spans="1:9" x14ac:dyDescent="0.3">
      <c r="B3" s="1222" t="s">
        <v>715</v>
      </c>
      <c r="C3" s="1222"/>
      <c r="D3" s="1222"/>
      <c r="E3" s="1222"/>
      <c r="F3" s="1222"/>
    </row>
    <row r="4" spans="1:9" x14ac:dyDescent="0.3">
      <c r="B4" s="1222" t="s">
        <v>1620</v>
      </c>
      <c r="C4" s="1222"/>
      <c r="D4" s="1222"/>
      <c r="E4" s="1222"/>
      <c r="F4" s="1222"/>
    </row>
    <row r="5" spans="1:9" x14ac:dyDescent="0.3">
      <c r="B5" s="1225" t="s">
        <v>1618</v>
      </c>
      <c r="C5" s="1225"/>
      <c r="D5" s="1225"/>
      <c r="E5" s="1225"/>
      <c r="F5" s="1225"/>
    </row>
    <row r="6" spans="1:9" x14ac:dyDescent="0.3">
      <c r="B6" s="1225" t="s">
        <v>1517</v>
      </c>
      <c r="C6" s="1225"/>
      <c r="D6" s="1225"/>
      <c r="E6" s="1225"/>
      <c r="F6" s="1225"/>
    </row>
    <row r="7" spans="1:9" x14ac:dyDescent="0.3">
      <c r="B7" s="4"/>
    </row>
    <row r="8" spans="1:9" x14ac:dyDescent="0.3">
      <c r="B8" s="1222" t="s">
        <v>1552</v>
      </c>
      <c r="C8" s="1222"/>
      <c r="D8" s="1222"/>
      <c r="E8" s="1222"/>
      <c r="F8" s="1222"/>
    </row>
    <row r="9" spans="1:9" x14ac:dyDescent="0.3">
      <c r="A9" s="221"/>
      <c r="B9" s="1241" t="s">
        <v>1551</v>
      </c>
      <c r="C9" s="1242"/>
      <c r="D9" s="1242"/>
      <c r="E9" s="1242"/>
      <c r="F9" s="1243"/>
    </row>
    <row r="10" spans="1:9" x14ac:dyDescent="0.3">
      <c r="A10" s="221"/>
      <c r="B10" s="951"/>
      <c r="C10" s="951"/>
      <c r="D10" s="986" t="s">
        <v>210</v>
      </c>
      <c r="E10" s="951" t="s">
        <v>211</v>
      </c>
      <c r="F10" s="933" t="s">
        <v>716</v>
      </c>
    </row>
    <row r="11" spans="1:9" x14ac:dyDescent="0.3">
      <c r="A11" s="4" t="s">
        <v>5</v>
      </c>
      <c r="B11" s="273" t="s">
        <v>482</v>
      </c>
      <c r="C11" s="221"/>
      <c r="D11" s="273" t="s">
        <v>717</v>
      </c>
      <c r="E11" s="273" t="s">
        <v>718</v>
      </c>
      <c r="F11" s="273" t="s">
        <v>200</v>
      </c>
      <c r="G11" s="4" t="s">
        <v>5</v>
      </c>
    </row>
    <row r="12" spans="1:9" x14ac:dyDescent="0.3">
      <c r="A12" s="4" t="s">
        <v>6</v>
      </c>
      <c r="B12" s="278" t="s">
        <v>336</v>
      </c>
      <c r="C12" s="278" t="s">
        <v>337</v>
      </c>
      <c r="D12" s="935" t="s">
        <v>719</v>
      </c>
      <c r="E12" s="440" t="s">
        <v>719</v>
      </c>
      <c r="F12" s="278" t="s">
        <v>719</v>
      </c>
      <c r="G12" s="4" t="s">
        <v>6</v>
      </c>
      <c r="I12" s="221"/>
    </row>
    <row r="13" spans="1:9" x14ac:dyDescent="0.3">
      <c r="B13" s="281"/>
      <c r="C13" s="281"/>
      <c r="D13" s="221"/>
      <c r="E13" s="273"/>
      <c r="F13" s="273"/>
    </row>
    <row r="14" spans="1:9" x14ac:dyDescent="0.3">
      <c r="A14" s="4">
        <v>1</v>
      </c>
      <c r="B14" s="960" t="s">
        <v>787</v>
      </c>
      <c r="C14" s="1023" t="s">
        <v>788</v>
      </c>
      <c r="D14" s="1024">
        <v>2.53E-2</v>
      </c>
      <c r="E14" s="1025">
        <v>0</v>
      </c>
      <c r="F14" s="1008">
        <f>D14+E14</f>
        <v>2.53E-2</v>
      </c>
      <c r="G14" s="4">
        <f>A14</f>
        <v>1</v>
      </c>
      <c r="I14" s="48"/>
    </row>
    <row r="15" spans="1:9" x14ac:dyDescent="0.3">
      <c r="A15" s="4">
        <f t="shared" ref="A15:A27" si="0">A14+1</f>
        <v>2</v>
      </c>
      <c r="B15" s="960" t="s">
        <v>789</v>
      </c>
      <c r="C15" s="1023" t="s">
        <v>790</v>
      </c>
      <c r="D15" s="1024">
        <v>0</v>
      </c>
      <c r="E15" s="1025">
        <v>0</v>
      </c>
      <c r="F15" s="1008">
        <f>D15+E15</f>
        <v>0</v>
      </c>
      <c r="G15" s="4">
        <f t="shared" ref="G15:G27" si="1">G14+1</f>
        <v>2</v>
      </c>
      <c r="I15" s="48"/>
    </row>
    <row r="16" spans="1:9" x14ac:dyDescent="0.3">
      <c r="A16" s="4">
        <f t="shared" si="0"/>
        <v>3</v>
      </c>
      <c r="B16" s="960" t="s">
        <v>791</v>
      </c>
      <c r="C16" s="1023" t="s">
        <v>792</v>
      </c>
      <c r="D16" s="1024">
        <v>4.3200000000000002E-2</v>
      </c>
      <c r="E16" s="1025">
        <v>0</v>
      </c>
      <c r="F16" s="1008">
        <f t="shared" ref="F16:F26" si="2">D16+E16</f>
        <v>4.3200000000000002E-2</v>
      </c>
      <c r="G16" s="4">
        <f t="shared" si="1"/>
        <v>3</v>
      </c>
      <c r="I16" s="48"/>
    </row>
    <row r="17" spans="1:9" x14ac:dyDescent="0.3">
      <c r="A17" s="4">
        <f t="shared" si="0"/>
        <v>4</v>
      </c>
      <c r="B17" s="960" t="s">
        <v>793</v>
      </c>
      <c r="C17" s="1023" t="s">
        <v>794</v>
      </c>
      <c r="D17" s="1024">
        <v>4.0099999999999997E-2</v>
      </c>
      <c r="E17" s="1025">
        <v>0</v>
      </c>
      <c r="F17" s="1008">
        <f t="shared" si="2"/>
        <v>4.0099999999999997E-2</v>
      </c>
      <c r="G17" s="4">
        <f t="shared" si="1"/>
        <v>4</v>
      </c>
      <c r="I17" s="48"/>
    </row>
    <row r="18" spans="1:9" x14ac:dyDescent="0.3">
      <c r="A18" s="4">
        <f t="shared" si="0"/>
        <v>5</v>
      </c>
      <c r="B18" s="940" t="s">
        <v>795</v>
      </c>
      <c r="C18" s="237" t="s">
        <v>796</v>
      </c>
      <c r="D18" s="1024">
        <v>3.73E-2</v>
      </c>
      <c r="E18" s="1025">
        <v>0</v>
      </c>
      <c r="F18" s="1008">
        <f t="shared" si="2"/>
        <v>3.73E-2</v>
      </c>
      <c r="G18" s="4">
        <f t="shared" si="1"/>
        <v>5</v>
      </c>
      <c r="I18" s="48"/>
    </row>
    <row r="19" spans="1:9" x14ac:dyDescent="0.3">
      <c r="A19" s="4">
        <f t="shared" si="0"/>
        <v>6</v>
      </c>
      <c r="B19" s="960" t="s">
        <v>797</v>
      </c>
      <c r="C19" s="1023" t="s">
        <v>798</v>
      </c>
      <c r="D19" s="1024">
        <v>2.23E-2</v>
      </c>
      <c r="E19" s="1025">
        <v>0</v>
      </c>
      <c r="F19" s="1008">
        <f t="shared" si="2"/>
        <v>2.23E-2</v>
      </c>
      <c r="G19" s="4">
        <f t="shared" si="1"/>
        <v>6</v>
      </c>
      <c r="I19" s="48"/>
    </row>
    <row r="20" spans="1:9" x14ac:dyDescent="0.3">
      <c r="A20" s="4">
        <f t="shared" si="0"/>
        <v>7</v>
      </c>
      <c r="B20" s="940" t="s">
        <v>799</v>
      </c>
      <c r="C20" s="237" t="s">
        <v>800</v>
      </c>
      <c r="D20" s="1024">
        <v>4.5400000000000003E-2</v>
      </c>
      <c r="E20" s="1025">
        <v>0</v>
      </c>
      <c r="F20" s="1008">
        <f t="shared" si="2"/>
        <v>4.5400000000000003E-2</v>
      </c>
      <c r="G20" s="4">
        <f t="shared" si="1"/>
        <v>7</v>
      </c>
      <c r="I20" s="48"/>
    </row>
    <row r="21" spans="1:9" x14ac:dyDescent="0.3">
      <c r="A21" s="4">
        <f t="shared" si="0"/>
        <v>8</v>
      </c>
      <c r="B21" s="960" t="s">
        <v>801</v>
      </c>
      <c r="C21" s="1023" t="s">
        <v>802</v>
      </c>
      <c r="D21" s="1024">
        <v>3.1E-2</v>
      </c>
      <c r="E21" s="1025">
        <v>1.7399999999999999E-2</v>
      </c>
      <c r="F21" s="1008">
        <f t="shared" si="2"/>
        <v>4.8399999999999999E-2</v>
      </c>
      <c r="G21" s="4">
        <f t="shared" si="1"/>
        <v>8</v>
      </c>
      <c r="I21" s="48"/>
    </row>
    <row r="22" spans="1:9" x14ac:dyDescent="0.3">
      <c r="A22" s="4">
        <f t="shared" si="0"/>
        <v>9</v>
      </c>
      <c r="B22" s="940" t="s">
        <v>803</v>
      </c>
      <c r="C22" s="237" t="s">
        <v>804</v>
      </c>
      <c r="D22" s="1024">
        <v>2.7300000000000001E-2</v>
      </c>
      <c r="E22" s="1025">
        <v>1.61E-2</v>
      </c>
      <c r="F22" s="1008">
        <f t="shared" si="2"/>
        <v>4.3400000000000001E-2</v>
      </c>
      <c r="G22" s="4">
        <f t="shared" si="1"/>
        <v>9</v>
      </c>
      <c r="I22" s="48"/>
    </row>
    <row r="23" spans="1:9" x14ac:dyDescent="0.3">
      <c r="A23" s="4">
        <f t="shared" si="0"/>
        <v>10</v>
      </c>
      <c r="B23" s="960" t="s">
        <v>805</v>
      </c>
      <c r="C23" s="1023" t="s">
        <v>806</v>
      </c>
      <c r="D23" s="1024">
        <v>3.1E-2</v>
      </c>
      <c r="E23" s="1025">
        <v>0</v>
      </c>
      <c r="F23" s="1008">
        <f t="shared" si="2"/>
        <v>3.1E-2</v>
      </c>
      <c r="G23" s="4">
        <f t="shared" si="1"/>
        <v>10</v>
      </c>
      <c r="I23" s="48"/>
    </row>
    <row r="24" spans="1:9" x14ac:dyDescent="0.3">
      <c r="A24" s="4">
        <f t="shared" si="0"/>
        <v>11</v>
      </c>
      <c r="B24" s="960" t="s">
        <v>807</v>
      </c>
      <c r="C24" s="1023" t="s">
        <v>808</v>
      </c>
      <c r="D24" s="1024">
        <v>3.3399999999999999E-2</v>
      </c>
      <c r="E24" s="1025">
        <v>1.7299999999999999E-2</v>
      </c>
      <c r="F24" s="1008">
        <f t="shared" si="2"/>
        <v>5.0699999999999995E-2</v>
      </c>
      <c r="G24" s="4">
        <f t="shared" si="1"/>
        <v>11</v>
      </c>
      <c r="I24" s="48"/>
    </row>
    <row r="25" spans="1:9" x14ac:dyDescent="0.3">
      <c r="A25" s="4">
        <f t="shared" si="0"/>
        <v>12</v>
      </c>
      <c r="B25" s="960" t="s">
        <v>809</v>
      </c>
      <c r="C25" s="1023" t="s">
        <v>810</v>
      </c>
      <c r="D25" s="1024">
        <v>6.25E-2</v>
      </c>
      <c r="E25" s="1025">
        <v>0</v>
      </c>
      <c r="F25" s="1008">
        <f t="shared" si="2"/>
        <v>6.25E-2</v>
      </c>
      <c r="G25" s="4">
        <f t="shared" si="1"/>
        <v>12</v>
      </c>
      <c r="I25" s="48"/>
    </row>
    <row r="26" spans="1:9" x14ac:dyDescent="0.3">
      <c r="A26" s="4">
        <f t="shared" si="0"/>
        <v>13</v>
      </c>
      <c r="B26" s="960" t="s">
        <v>811</v>
      </c>
      <c r="C26" s="1023" t="s">
        <v>812</v>
      </c>
      <c r="D26" s="1024">
        <v>0</v>
      </c>
      <c r="E26" s="1025">
        <v>0</v>
      </c>
      <c r="F26" s="1008">
        <f t="shared" si="2"/>
        <v>0</v>
      </c>
      <c r="G26" s="4">
        <f t="shared" si="1"/>
        <v>13</v>
      </c>
    </row>
    <row r="27" spans="1:9" x14ac:dyDescent="0.3">
      <c r="A27" s="4">
        <f t="shared" si="0"/>
        <v>14</v>
      </c>
      <c r="B27" s="1026"/>
      <c r="C27" s="1023"/>
      <c r="D27" s="1012"/>
      <c r="E27" s="1008"/>
      <c r="F27" s="960" t="s">
        <v>1</v>
      </c>
      <c r="G27" s="4">
        <f t="shared" si="1"/>
        <v>14</v>
      </c>
    </row>
    <row r="29" spans="1:9" ht="18" x14ac:dyDescent="0.3">
      <c r="A29" s="269"/>
      <c r="B29" s="33" t="s">
        <v>813</v>
      </c>
    </row>
    <row r="30" spans="1:9" x14ac:dyDescent="0.3">
      <c r="B30" s="33" t="s">
        <v>814</v>
      </c>
    </row>
    <row r="31" spans="1:9" ht="18" x14ac:dyDescent="0.3">
      <c r="A31" s="269"/>
      <c r="B31" s="32" t="s">
        <v>815</v>
      </c>
    </row>
    <row r="32" spans="1:9" x14ac:dyDescent="0.3">
      <c r="B32" s="32" t="s">
        <v>816</v>
      </c>
    </row>
    <row r="33" spans="2:2" x14ac:dyDescent="0.3">
      <c r="B33" s="32" t="s">
        <v>817</v>
      </c>
    </row>
    <row r="34" spans="2:2" x14ac:dyDescent="0.3">
      <c r="B34" s="32" t="s">
        <v>818</v>
      </c>
    </row>
    <row r="36" spans="2:2" x14ac:dyDescent="0.3">
      <c r="B36" s="33"/>
    </row>
  </sheetData>
  <mergeCells count="7">
    <mergeCell ref="B9:F9"/>
    <mergeCell ref="B8:F8"/>
    <mergeCell ref="B2:F2"/>
    <mergeCell ref="B3:F3"/>
    <mergeCell ref="B4:F4"/>
    <mergeCell ref="B5:F5"/>
    <mergeCell ref="B6:F6"/>
  </mergeCells>
  <printOptions horizontalCentered="1"/>
  <pageMargins left="0.5" right="0.5" top="0.5" bottom="0.5" header="0.25" footer="0.25"/>
  <pageSetup scale="93" orientation="portrait" r:id="rId1"/>
  <headerFooter scaleWithDoc="0">
    <oddFooter>&amp;C&amp;"Times New Roman,Regular"&amp;10General Plant Depreciation Rates
&amp;A</oddFooter>
  </headerFooter>
  <customProperties>
    <customPr name="_pios_id" r:id="rId2"/>
  </customPropertie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2:G20"/>
  <sheetViews>
    <sheetView zoomScale="80" zoomScaleNormal="80" workbookViewId="0"/>
  </sheetViews>
  <sheetFormatPr defaultColWidth="9.33203125" defaultRowHeight="15.6" x14ac:dyDescent="0.3"/>
  <cols>
    <col min="1" max="1" width="5.33203125" style="221" customWidth="1"/>
    <col min="2" max="2" width="8.5546875" style="1" customWidth="1"/>
    <col min="3" max="3" width="41.33203125" style="1" customWidth="1"/>
    <col min="4" max="4" width="18.5546875" style="1" customWidth="1"/>
    <col min="5" max="5" width="62.5546875" style="1" customWidth="1"/>
    <col min="6" max="6" width="5.33203125" style="221" customWidth="1"/>
    <col min="7" max="7" width="24" style="1" customWidth="1"/>
    <col min="8" max="8" width="11" style="1" customWidth="1"/>
    <col min="9" max="9" width="7.33203125" style="1" customWidth="1"/>
    <col min="10" max="10" width="9.33203125" style="1" customWidth="1"/>
    <col min="11" max="11" width="14" style="1" customWidth="1"/>
    <col min="12" max="12" width="13.44140625" style="1" customWidth="1"/>
    <col min="13" max="16384" width="9.33203125" style="1"/>
  </cols>
  <sheetData>
    <row r="2" spans="1:7" x14ac:dyDescent="0.3">
      <c r="B2" s="1222" t="s">
        <v>0</v>
      </c>
      <c r="C2" s="1222"/>
      <c r="D2" s="1222"/>
      <c r="E2" s="1222"/>
    </row>
    <row r="3" spans="1:7" x14ac:dyDescent="0.3">
      <c r="B3" s="1222" t="s">
        <v>676</v>
      </c>
      <c r="C3" s="1222"/>
      <c r="D3" s="1222"/>
      <c r="E3" s="1222"/>
      <c r="G3"/>
    </row>
    <row r="4" spans="1:7" x14ac:dyDescent="0.3">
      <c r="B4" s="1222" t="s">
        <v>763</v>
      </c>
      <c r="C4" s="1222"/>
      <c r="D4" s="1222"/>
      <c r="E4" s="1222"/>
    </row>
    <row r="5" spans="1:7" x14ac:dyDescent="0.3">
      <c r="B5" s="1244" t="str">
        <f>'AD-1'!B5</f>
        <v>BASE PERIOD / TRUE UP PERIOD - 12/31/2023 PER BOOK</v>
      </c>
      <c r="C5" s="1244"/>
      <c r="D5" s="1244"/>
      <c r="E5" s="1244"/>
      <c r="F5" s="486"/>
    </row>
    <row r="6" spans="1:7" x14ac:dyDescent="0.3">
      <c r="B6" s="1245" t="s">
        <v>4</v>
      </c>
      <c r="C6" s="1245"/>
      <c r="D6" s="1245"/>
      <c r="E6" s="1245"/>
      <c r="F6" s="486"/>
    </row>
    <row r="7" spans="1:7" x14ac:dyDescent="0.3">
      <c r="B7" s="443"/>
      <c r="C7" s="443"/>
      <c r="D7" s="443"/>
      <c r="E7" s="443"/>
      <c r="F7" s="486"/>
    </row>
    <row r="8" spans="1:7" x14ac:dyDescent="0.3">
      <c r="B8" s="1244" t="s">
        <v>370</v>
      </c>
      <c r="C8" s="1244"/>
      <c r="D8" s="1244"/>
      <c r="E8" s="1244"/>
      <c r="F8" s="486"/>
    </row>
    <row r="9" spans="1:7" x14ac:dyDescent="0.3">
      <c r="B9" s="442"/>
      <c r="C9" s="442"/>
      <c r="D9" s="442"/>
      <c r="E9" s="442"/>
      <c r="F9" s="486"/>
    </row>
    <row r="10" spans="1:7" x14ac:dyDescent="0.3">
      <c r="A10" s="4" t="s">
        <v>5</v>
      </c>
      <c r="B10" s="324"/>
      <c r="C10" s="324"/>
      <c r="D10" s="325"/>
      <c r="E10" s="326"/>
      <c r="F10" s="4" t="s">
        <v>5</v>
      </c>
    </row>
    <row r="11" spans="1:7" x14ac:dyDescent="0.3">
      <c r="A11" s="4" t="s">
        <v>6</v>
      </c>
      <c r="B11" s="309" t="s">
        <v>286</v>
      </c>
      <c r="C11" s="309" t="s">
        <v>337</v>
      </c>
      <c r="D11" s="309" t="s">
        <v>7</v>
      </c>
      <c r="E11" s="278" t="s">
        <v>8</v>
      </c>
      <c r="F11" s="4" t="s">
        <v>6</v>
      </c>
    </row>
    <row r="12" spans="1:7" x14ac:dyDescent="0.3">
      <c r="A12" s="4"/>
      <c r="B12" s="327"/>
      <c r="C12" s="327"/>
      <c r="D12" s="327"/>
      <c r="E12" s="573"/>
      <c r="F12" s="344"/>
    </row>
    <row r="13" spans="1:7" x14ac:dyDescent="0.3">
      <c r="A13" s="4">
        <v>1</v>
      </c>
      <c r="B13" s="632" t="str">
        <f>'AJ-3'!B15</f>
        <v>Dec-23</v>
      </c>
      <c r="C13" s="329" t="s">
        <v>371</v>
      </c>
      <c r="D13" s="1027">
        <v>222557.44399999999</v>
      </c>
      <c r="E13" s="573" t="s">
        <v>1518</v>
      </c>
      <c r="F13" s="4">
        <f>A13</f>
        <v>1</v>
      </c>
    </row>
    <row r="14" spans="1:7" x14ac:dyDescent="0.3">
      <c r="A14" s="4">
        <f>A13+1</f>
        <v>2</v>
      </c>
      <c r="B14" s="329"/>
      <c r="C14" s="329" t="s">
        <v>373</v>
      </c>
      <c r="D14" s="250">
        <v>0.73899999999999999</v>
      </c>
      <c r="E14" s="972" t="s">
        <v>1519</v>
      </c>
      <c r="F14" s="4">
        <f>F13+1</f>
        <v>2</v>
      </c>
    </row>
    <row r="15" spans="1:7" x14ac:dyDescent="0.3">
      <c r="A15" s="4">
        <f t="shared" ref="A15:A16" si="0">A14+1</f>
        <v>3</v>
      </c>
      <c r="B15" s="329"/>
      <c r="C15" s="329" t="s">
        <v>819</v>
      </c>
      <c r="D15" s="1028">
        <f>D13*D14</f>
        <v>164469.95111599998</v>
      </c>
      <c r="E15" s="946" t="s">
        <v>820</v>
      </c>
      <c r="F15" s="4">
        <f t="shared" ref="F15:F16" si="1">F14+1</f>
        <v>3</v>
      </c>
    </row>
    <row r="16" spans="1:7" x14ac:dyDescent="0.3">
      <c r="A16" s="4">
        <f t="shared" si="0"/>
        <v>4</v>
      </c>
      <c r="B16" s="330"/>
      <c r="C16" s="309"/>
      <c r="D16" s="330"/>
      <c r="E16" s="294"/>
      <c r="F16" s="4">
        <f t="shared" si="1"/>
        <v>4</v>
      </c>
    </row>
    <row r="17" spans="1:6" x14ac:dyDescent="0.3">
      <c r="A17" s="4"/>
      <c r="B17" s="32"/>
      <c r="C17" s="32"/>
      <c r="D17" s="107"/>
      <c r="E17" s="32"/>
      <c r="F17" s="4"/>
    </row>
    <row r="18" spans="1:6" x14ac:dyDescent="0.3">
      <c r="B18" s="32"/>
      <c r="C18" s="32"/>
      <c r="D18" s="32"/>
      <c r="E18" s="32"/>
      <c r="F18" s="4"/>
    </row>
    <row r="19" spans="1:6" x14ac:dyDescent="0.3">
      <c r="B19" s="32"/>
      <c r="C19" s="32"/>
      <c r="D19" s="32"/>
      <c r="E19" s="32"/>
    </row>
    <row r="20" spans="1:6" x14ac:dyDescent="0.3">
      <c r="B20" s="32"/>
      <c r="C20" s="32"/>
      <c r="D20" s="32"/>
      <c r="E20" s="32"/>
    </row>
  </sheetData>
  <mergeCells count="6">
    <mergeCell ref="B8:E8"/>
    <mergeCell ref="B2:E2"/>
    <mergeCell ref="B3:E3"/>
    <mergeCell ref="B4:E4"/>
    <mergeCell ref="B5:E5"/>
    <mergeCell ref="B6:E6"/>
  </mergeCells>
  <printOptions horizontalCentered="1"/>
  <pageMargins left="0.5" right="0.5" top="0.5" bottom="0.5" header="0.25" footer="0.25"/>
  <pageSetup scale="90" orientation="landscape" r:id="rId1"/>
  <headerFooter scaleWithDoc="0">
    <oddFooter>&amp;C&amp;"Times New Roman,Regular"&amp;10&amp;A</oddFooter>
  </headerFooter>
  <customProperties>
    <customPr name="_pios_id" r:id="rId2"/>
  </customPropertie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2:I36"/>
  <sheetViews>
    <sheetView zoomScale="80" zoomScaleNormal="80" workbookViewId="0"/>
  </sheetViews>
  <sheetFormatPr defaultColWidth="8.6640625" defaultRowHeight="15.6" x14ac:dyDescent="0.3"/>
  <cols>
    <col min="1" max="1" width="5.33203125" style="4" customWidth="1"/>
    <col min="2" max="2" width="15.33203125" style="32" customWidth="1"/>
    <col min="3" max="3" width="25.6640625" style="32" customWidth="1"/>
    <col min="4" max="6" width="16.6640625" style="4" customWidth="1"/>
    <col min="7" max="7" width="5.33203125" style="4" customWidth="1"/>
    <col min="8" max="8" width="10.6640625" style="32" customWidth="1"/>
    <col min="9" max="9" width="8.33203125" style="32" bestFit="1" customWidth="1"/>
    <col min="10" max="16384" width="8.6640625" style="32"/>
  </cols>
  <sheetData>
    <row r="2" spans="1:9" x14ac:dyDescent="0.3">
      <c r="B2" s="1222" t="s">
        <v>0</v>
      </c>
      <c r="C2" s="1222"/>
      <c r="D2" s="1222"/>
      <c r="E2" s="1222"/>
      <c r="F2" s="1222"/>
    </row>
    <row r="3" spans="1:9" x14ac:dyDescent="0.3">
      <c r="B3" s="1244" t="s">
        <v>715</v>
      </c>
      <c r="C3" s="1244"/>
      <c r="D3" s="1244"/>
      <c r="E3" s="1244"/>
      <c r="F3" s="1244"/>
      <c r="G3" s="344"/>
    </row>
    <row r="4" spans="1:9" x14ac:dyDescent="0.3">
      <c r="B4" s="1244" t="s">
        <v>1621</v>
      </c>
      <c r="C4" s="1244"/>
      <c r="D4" s="1244"/>
      <c r="E4" s="1244"/>
      <c r="F4" s="1244"/>
      <c r="G4" s="344"/>
    </row>
    <row r="5" spans="1:9" x14ac:dyDescent="0.3">
      <c r="B5" s="1249" t="s">
        <v>1618</v>
      </c>
      <c r="C5" s="1249"/>
      <c r="D5" s="1249"/>
      <c r="E5" s="1249"/>
      <c r="F5" s="1249"/>
      <c r="G5" s="344"/>
    </row>
    <row r="6" spans="1:9" x14ac:dyDescent="0.3">
      <c r="B6" s="1249" t="s">
        <v>1517</v>
      </c>
      <c r="C6" s="1249"/>
      <c r="D6" s="1249"/>
      <c r="E6" s="1249"/>
      <c r="F6" s="1249"/>
      <c r="G6" s="344"/>
    </row>
    <row r="7" spans="1:9" x14ac:dyDescent="0.3">
      <c r="A7" s="344"/>
      <c r="B7" s="344"/>
      <c r="C7" s="5"/>
      <c r="D7" s="344"/>
      <c r="E7" s="344"/>
      <c r="F7" s="344"/>
      <c r="G7" s="344"/>
    </row>
    <row r="8" spans="1:9" x14ac:dyDescent="0.3">
      <c r="A8" s="344"/>
      <c r="B8" s="1244" t="s">
        <v>1550</v>
      </c>
      <c r="C8" s="1244"/>
      <c r="D8" s="1244"/>
      <c r="E8" s="1244"/>
      <c r="F8" s="1244"/>
      <c r="G8" s="344"/>
    </row>
    <row r="9" spans="1:9" x14ac:dyDescent="0.3">
      <c r="A9" s="486"/>
      <c r="B9" s="1246" t="s">
        <v>1551</v>
      </c>
      <c r="C9" s="1247"/>
      <c r="D9" s="1247"/>
      <c r="E9" s="1247"/>
      <c r="F9" s="1248"/>
      <c r="G9" s="344"/>
    </row>
    <row r="10" spans="1:9" x14ac:dyDescent="0.3">
      <c r="A10" s="486"/>
      <c r="B10" s="1029"/>
      <c r="C10" s="1029"/>
      <c r="D10" s="1030" t="s">
        <v>210</v>
      </c>
      <c r="E10" s="1029" t="s">
        <v>211</v>
      </c>
      <c r="F10" s="1031" t="s">
        <v>716</v>
      </c>
      <c r="G10" s="344"/>
    </row>
    <row r="11" spans="1:9" x14ac:dyDescent="0.3">
      <c r="A11" s="344" t="s">
        <v>5</v>
      </c>
      <c r="B11" s="833" t="s">
        <v>482</v>
      </c>
      <c r="C11" s="486"/>
      <c r="D11" s="833" t="s">
        <v>717</v>
      </c>
      <c r="E11" s="833" t="s">
        <v>718</v>
      </c>
      <c r="F11" s="833" t="s">
        <v>200</v>
      </c>
      <c r="G11" s="344" t="s">
        <v>5</v>
      </c>
    </row>
    <row r="12" spans="1:9" x14ac:dyDescent="0.3">
      <c r="A12" s="344" t="s">
        <v>6</v>
      </c>
      <c r="B12" s="444" t="s">
        <v>336</v>
      </c>
      <c r="C12" s="444" t="s">
        <v>337</v>
      </c>
      <c r="D12" s="1032" t="s">
        <v>719</v>
      </c>
      <c r="E12" s="638" t="s">
        <v>719</v>
      </c>
      <c r="F12" s="444" t="s">
        <v>719</v>
      </c>
      <c r="G12" s="344" t="s">
        <v>6</v>
      </c>
      <c r="I12" s="221"/>
    </row>
    <row r="13" spans="1:9" x14ac:dyDescent="0.3">
      <c r="A13" s="344"/>
      <c r="B13" s="1033"/>
      <c r="C13" s="1033"/>
      <c r="D13" s="486"/>
      <c r="E13" s="833"/>
      <c r="F13" s="833"/>
      <c r="G13" s="344"/>
    </row>
    <row r="14" spans="1:9" x14ac:dyDescent="0.3">
      <c r="A14" s="344">
        <v>1</v>
      </c>
      <c r="B14" s="1034" t="s">
        <v>821</v>
      </c>
      <c r="C14" s="1035" t="s">
        <v>822</v>
      </c>
      <c r="D14" s="1036">
        <v>3.0700000000000002E-2</v>
      </c>
      <c r="E14" s="1037">
        <v>4.8999999999999998E-3</v>
      </c>
      <c r="F14" s="1038">
        <f>D14+E14</f>
        <v>3.56E-2</v>
      </c>
      <c r="G14" s="344">
        <f>A14</f>
        <v>1</v>
      </c>
      <c r="I14" s="48"/>
    </row>
    <row r="15" spans="1:9" x14ac:dyDescent="0.3">
      <c r="A15" s="344">
        <f t="shared" ref="A15:A27" si="0">A14+1</f>
        <v>2</v>
      </c>
      <c r="B15" s="1039" t="s">
        <v>823</v>
      </c>
      <c r="C15" s="1006" t="s">
        <v>824</v>
      </c>
      <c r="D15" s="1036">
        <v>5.67E-2</v>
      </c>
      <c r="E15" s="1037">
        <v>0</v>
      </c>
      <c r="F15" s="1038">
        <f t="shared" ref="F15:F26" si="1">D15+E15</f>
        <v>5.67E-2</v>
      </c>
      <c r="G15" s="344">
        <f t="shared" ref="G15:G27" si="2">G14+1</f>
        <v>2</v>
      </c>
      <c r="I15" s="48"/>
    </row>
    <row r="16" spans="1:9" x14ac:dyDescent="0.3">
      <c r="A16" s="344">
        <f t="shared" si="0"/>
        <v>3</v>
      </c>
      <c r="B16" s="1034" t="s">
        <v>825</v>
      </c>
      <c r="C16" s="1035" t="s">
        <v>826</v>
      </c>
      <c r="D16" s="1036">
        <v>0.20630000000000001</v>
      </c>
      <c r="E16" s="1037">
        <v>0</v>
      </c>
      <c r="F16" s="1038">
        <f t="shared" si="1"/>
        <v>0.20630000000000001</v>
      </c>
      <c r="G16" s="344">
        <f t="shared" si="2"/>
        <v>3</v>
      </c>
      <c r="I16" s="48"/>
    </row>
    <row r="17" spans="1:9" x14ac:dyDescent="0.3">
      <c r="A17" s="344">
        <f t="shared" si="0"/>
        <v>4</v>
      </c>
      <c r="B17" s="1034" t="s">
        <v>827</v>
      </c>
      <c r="C17" s="1035" t="s">
        <v>790</v>
      </c>
      <c r="D17" s="1036">
        <v>7.0000000000000007E-2</v>
      </c>
      <c r="E17" s="1037">
        <v>0</v>
      </c>
      <c r="F17" s="1038">
        <f t="shared" si="1"/>
        <v>7.0000000000000007E-2</v>
      </c>
      <c r="G17" s="344">
        <f t="shared" si="2"/>
        <v>4</v>
      </c>
      <c r="I17" s="48"/>
    </row>
    <row r="18" spans="1:9" x14ac:dyDescent="0.3">
      <c r="A18" s="344">
        <f t="shared" si="0"/>
        <v>5</v>
      </c>
      <c r="B18" s="1034" t="s">
        <v>828</v>
      </c>
      <c r="C18" s="1035" t="s">
        <v>792</v>
      </c>
      <c r="D18" s="1036">
        <v>4.7600000000000003E-2</v>
      </c>
      <c r="E18" s="1037">
        <v>0</v>
      </c>
      <c r="F18" s="1038">
        <f t="shared" si="1"/>
        <v>4.7600000000000003E-2</v>
      </c>
      <c r="G18" s="344">
        <f t="shared" si="2"/>
        <v>5</v>
      </c>
      <c r="I18" s="48"/>
    </row>
    <row r="19" spans="1:9" x14ac:dyDescent="0.3">
      <c r="A19" s="344">
        <f t="shared" si="0"/>
        <v>6</v>
      </c>
      <c r="B19" s="1039" t="s">
        <v>829</v>
      </c>
      <c r="C19" s="1006" t="s">
        <v>830</v>
      </c>
      <c r="D19" s="1040">
        <v>9.4899999999999998E-2</v>
      </c>
      <c r="E19" s="639">
        <v>0</v>
      </c>
      <c r="F19" s="1038">
        <f t="shared" si="1"/>
        <v>9.4899999999999998E-2</v>
      </c>
      <c r="G19" s="344">
        <f t="shared" si="2"/>
        <v>6</v>
      </c>
      <c r="I19" s="48"/>
    </row>
    <row r="20" spans="1:9" x14ac:dyDescent="0.3">
      <c r="A20" s="344">
        <f t="shared" si="0"/>
        <v>7</v>
      </c>
      <c r="B20" s="1034" t="s">
        <v>831</v>
      </c>
      <c r="C20" s="1035" t="s">
        <v>794</v>
      </c>
      <c r="D20" s="1036">
        <v>4.6800000000000001E-2</v>
      </c>
      <c r="E20" s="1037">
        <v>0</v>
      </c>
      <c r="F20" s="1038">
        <f t="shared" si="1"/>
        <v>4.6800000000000001E-2</v>
      </c>
      <c r="G20" s="344">
        <f t="shared" si="2"/>
        <v>7</v>
      </c>
      <c r="I20" s="48"/>
    </row>
    <row r="21" spans="1:9" x14ac:dyDescent="0.3">
      <c r="A21" s="344">
        <f t="shared" si="0"/>
        <v>8</v>
      </c>
      <c r="B21" s="1039" t="s">
        <v>832</v>
      </c>
      <c r="C21" s="1006" t="s">
        <v>796</v>
      </c>
      <c r="D21" s="1036">
        <v>4.02E-2</v>
      </c>
      <c r="E21" s="1037">
        <v>0</v>
      </c>
      <c r="F21" s="1038">
        <f t="shared" si="1"/>
        <v>4.02E-2</v>
      </c>
      <c r="G21" s="344">
        <f t="shared" si="2"/>
        <v>8</v>
      </c>
      <c r="I21" s="48"/>
    </row>
    <row r="22" spans="1:9" x14ac:dyDescent="0.3">
      <c r="A22" s="344">
        <f t="shared" si="0"/>
        <v>9</v>
      </c>
      <c r="B22" s="1034" t="s">
        <v>833</v>
      </c>
      <c r="C22" s="1035" t="s">
        <v>834</v>
      </c>
      <c r="D22" s="1036">
        <v>1.6299999999999999E-2</v>
      </c>
      <c r="E22" s="1037">
        <v>0</v>
      </c>
      <c r="F22" s="1038">
        <f t="shared" si="1"/>
        <v>1.6299999999999999E-2</v>
      </c>
      <c r="G22" s="344">
        <f t="shared" si="2"/>
        <v>9</v>
      </c>
      <c r="I22" s="48"/>
    </row>
    <row r="23" spans="1:9" x14ac:dyDescent="0.3">
      <c r="A23" s="344">
        <f t="shared" si="0"/>
        <v>10</v>
      </c>
      <c r="B23" s="1039" t="s">
        <v>835</v>
      </c>
      <c r="C23" s="1006" t="s">
        <v>836</v>
      </c>
      <c r="D23" s="1036">
        <v>6.0900000000000003E-2</v>
      </c>
      <c r="E23" s="1037">
        <v>0</v>
      </c>
      <c r="F23" s="1038">
        <f t="shared" si="1"/>
        <v>6.0900000000000003E-2</v>
      </c>
      <c r="G23" s="344">
        <f t="shared" si="2"/>
        <v>10</v>
      </c>
      <c r="I23" s="48"/>
    </row>
    <row r="24" spans="1:9" x14ac:dyDescent="0.3">
      <c r="A24" s="344">
        <f t="shared" si="0"/>
        <v>11</v>
      </c>
      <c r="B24" s="1034" t="s">
        <v>837</v>
      </c>
      <c r="C24" s="1035" t="s">
        <v>800</v>
      </c>
      <c r="D24" s="1036">
        <v>4.2999999999999997E-2</v>
      </c>
      <c r="E24" s="1037">
        <v>0</v>
      </c>
      <c r="F24" s="1038">
        <f t="shared" si="1"/>
        <v>4.2999999999999997E-2</v>
      </c>
      <c r="G24" s="344">
        <f t="shared" si="2"/>
        <v>11</v>
      </c>
      <c r="I24" s="48"/>
    </row>
    <row r="25" spans="1:9" x14ac:dyDescent="0.3">
      <c r="A25" s="344">
        <f t="shared" si="0"/>
        <v>12</v>
      </c>
      <c r="B25" s="1034" t="s">
        <v>838</v>
      </c>
      <c r="C25" s="1035" t="s">
        <v>802</v>
      </c>
      <c r="D25" s="1036">
        <v>7.7600000000000002E-2</v>
      </c>
      <c r="E25" s="1037">
        <v>0</v>
      </c>
      <c r="F25" s="1038">
        <f t="shared" si="1"/>
        <v>7.7600000000000002E-2</v>
      </c>
      <c r="G25" s="344">
        <f t="shared" si="2"/>
        <v>12</v>
      </c>
      <c r="I25" s="48"/>
    </row>
    <row r="26" spans="1:9" x14ac:dyDescent="0.3">
      <c r="A26" s="344">
        <f t="shared" si="0"/>
        <v>13</v>
      </c>
      <c r="B26" s="1039" t="s">
        <v>839</v>
      </c>
      <c r="C26" s="1006" t="s">
        <v>810</v>
      </c>
      <c r="D26" s="1036">
        <v>6.5199999999999994E-2</v>
      </c>
      <c r="E26" s="1037">
        <v>0</v>
      </c>
      <c r="F26" s="1038">
        <f t="shared" si="1"/>
        <v>6.5199999999999994E-2</v>
      </c>
      <c r="G26" s="344">
        <f t="shared" si="2"/>
        <v>13</v>
      </c>
    </row>
    <row r="27" spans="1:9" x14ac:dyDescent="0.3">
      <c r="A27" s="344">
        <f t="shared" si="0"/>
        <v>14</v>
      </c>
      <c r="B27" s="1041"/>
      <c r="C27" s="1035"/>
      <c r="D27" s="1042" t="s">
        <v>1</v>
      </c>
      <c r="E27" s="1034" t="s">
        <v>1</v>
      </c>
      <c r="F27" s="1034" t="s">
        <v>1</v>
      </c>
      <c r="G27" s="344">
        <f t="shared" si="2"/>
        <v>14</v>
      </c>
    </row>
    <row r="28" spans="1:9" x14ac:dyDescent="0.3">
      <c r="A28" s="344"/>
      <c r="B28" s="5"/>
      <c r="C28" s="5"/>
      <c r="D28" s="344"/>
      <c r="E28" s="344"/>
      <c r="F28" s="344"/>
      <c r="G28" s="344"/>
    </row>
    <row r="29" spans="1:9" ht="18" x14ac:dyDescent="0.3">
      <c r="A29" s="269"/>
      <c r="B29" s="33" t="s">
        <v>840</v>
      </c>
    </row>
    <row r="30" spans="1:9" x14ac:dyDescent="0.3">
      <c r="B30" s="33" t="s">
        <v>814</v>
      </c>
    </row>
    <row r="31" spans="1:9" ht="18" x14ac:dyDescent="0.3">
      <c r="A31" s="269"/>
      <c r="B31" s="32" t="s">
        <v>815</v>
      </c>
    </row>
    <row r="32" spans="1:9" x14ac:dyDescent="0.3">
      <c r="B32" s="32" t="s">
        <v>816</v>
      </c>
    </row>
    <row r="33" spans="2:6" x14ac:dyDescent="0.3">
      <c r="B33" s="32" t="s">
        <v>817</v>
      </c>
      <c r="D33" s="32"/>
      <c r="E33" s="32"/>
      <c r="F33" s="32"/>
    </row>
    <row r="34" spans="2:6" x14ac:dyDescent="0.3">
      <c r="B34" s="32" t="s">
        <v>818</v>
      </c>
      <c r="D34" s="32"/>
      <c r="E34" s="32"/>
      <c r="F34" s="32"/>
    </row>
    <row r="35" spans="2:6" x14ac:dyDescent="0.3">
      <c r="B35" s="33"/>
    </row>
    <row r="36" spans="2:6" x14ac:dyDescent="0.3">
      <c r="B36" s="33"/>
    </row>
  </sheetData>
  <mergeCells count="7">
    <mergeCell ref="B9:F9"/>
    <mergeCell ref="B8:F8"/>
    <mergeCell ref="B2:F2"/>
    <mergeCell ref="B3:F3"/>
    <mergeCell ref="B4:F4"/>
    <mergeCell ref="B5:F5"/>
    <mergeCell ref="B6:F6"/>
  </mergeCells>
  <printOptions horizontalCentered="1"/>
  <pageMargins left="0.5" right="0.5" top="0.5" bottom="0.5" header="0.25" footer="0.25"/>
  <pageSetup scale="93" orientation="portrait" r:id="rId1"/>
  <headerFooter scaleWithDoc="0">
    <oddFooter>&amp;C&amp;"Times New Roman,Regular"&amp;10Common Plant Depreciation Rates
&amp;A</oddFooter>
  </headerFooter>
  <customProperties>
    <customPr name="_pios_id" r:id="rId2"/>
  </customPropertie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2:L31"/>
  <sheetViews>
    <sheetView zoomScale="80" zoomScaleNormal="80" workbookViewId="0"/>
  </sheetViews>
  <sheetFormatPr defaultColWidth="9.33203125" defaultRowHeight="15.6" x14ac:dyDescent="0.3"/>
  <cols>
    <col min="1" max="1" width="5.33203125" style="221" customWidth="1"/>
    <col min="2" max="2" width="8.5546875" style="1" customWidth="1"/>
    <col min="3" max="3" width="53.33203125" style="1" customWidth="1"/>
    <col min="4" max="4" width="18.5546875" style="1" customWidth="1"/>
    <col min="5" max="5" width="27.6640625" style="1" customWidth="1"/>
    <col min="6" max="6" width="18.5546875" style="1" customWidth="1"/>
    <col min="7" max="7" width="27.6640625" style="1" customWidth="1"/>
    <col min="8" max="9" width="5.33203125" style="221" customWidth="1"/>
    <col min="10" max="10" width="9.44140625" style="1" bestFit="1" customWidth="1"/>
    <col min="11" max="16384" width="9.33203125" style="1"/>
  </cols>
  <sheetData>
    <row r="2" spans="1:12" x14ac:dyDescent="0.3">
      <c r="B2" s="1222" t="s">
        <v>0</v>
      </c>
      <c r="C2" s="1222"/>
      <c r="D2" s="1222"/>
      <c r="E2" s="1222"/>
      <c r="F2" s="1222"/>
      <c r="G2" s="1222"/>
    </row>
    <row r="3" spans="1:12" x14ac:dyDescent="0.3">
      <c r="B3" s="1222" t="s">
        <v>676</v>
      </c>
      <c r="C3" s="1222"/>
      <c r="D3" s="1222"/>
      <c r="E3" s="1222"/>
      <c r="F3" s="1222"/>
      <c r="G3" s="1222"/>
    </row>
    <row r="4" spans="1:12" x14ac:dyDescent="0.3">
      <c r="B4" s="1222" t="s">
        <v>841</v>
      </c>
      <c r="C4" s="1222"/>
      <c r="D4" s="1222"/>
      <c r="E4" s="1222"/>
      <c r="F4" s="1222"/>
      <c r="G4" s="1222"/>
    </row>
    <row r="5" spans="1:12" x14ac:dyDescent="0.3">
      <c r="B5" s="1222" t="str">
        <f>'AD-1'!B5</f>
        <v>BASE PERIOD / TRUE UP PERIOD - 12/31/2023 PER BOOK</v>
      </c>
      <c r="C5" s="1222"/>
      <c r="D5" s="1222"/>
      <c r="E5" s="1222"/>
      <c r="F5" s="1222"/>
      <c r="G5" s="1222"/>
    </row>
    <row r="6" spans="1:12" x14ac:dyDescent="0.3">
      <c r="B6" s="1222" t="s">
        <v>4</v>
      </c>
      <c r="C6" s="1222"/>
      <c r="D6" s="1222"/>
      <c r="E6" s="1222"/>
      <c r="F6" s="1222"/>
      <c r="G6" s="1222"/>
    </row>
    <row r="7" spans="1:12" x14ac:dyDescent="0.3">
      <c r="B7" s="221"/>
      <c r="C7" s="221"/>
      <c r="D7" s="221"/>
      <c r="E7" s="221"/>
      <c r="F7" s="221"/>
      <c r="G7" s="221"/>
    </row>
    <row r="8" spans="1:12" x14ac:dyDescent="0.3">
      <c r="B8" s="1222" t="s">
        <v>360</v>
      </c>
      <c r="C8" s="1222"/>
      <c r="D8" s="1222"/>
      <c r="E8" s="1222"/>
      <c r="F8" s="1222"/>
      <c r="G8" s="1222"/>
    </row>
    <row r="9" spans="1:12" x14ac:dyDescent="0.3">
      <c r="B9" s="997"/>
      <c r="C9" s="974"/>
      <c r="D9" s="974"/>
      <c r="E9" s="974"/>
      <c r="F9" s="974"/>
    </row>
    <row r="10" spans="1:12" x14ac:dyDescent="0.3">
      <c r="B10" s="998"/>
      <c r="C10" s="932"/>
      <c r="D10" s="933" t="s">
        <v>361</v>
      </c>
      <c r="E10" s="933"/>
      <c r="F10" s="933" t="s">
        <v>361</v>
      </c>
      <c r="G10" s="933"/>
      <c r="H10" s="4"/>
      <c r="I10" s="4"/>
    </row>
    <row r="11" spans="1:12" s="221" customFormat="1" x14ac:dyDescent="0.3">
      <c r="A11" s="4"/>
      <c r="B11" s="273"/>
      <c r="C11" s="273"/>
      <c r="D11" s="273" t="s">
        <v>321</v>
      </c>
      <c r="E11" s="273"/>
      <c r="F11" s="273" t="s">
        <v>321</v>
      </c>
      <c r="G11" s="273"/>
      <c r="H11" s="4"/>
      <c r="I11" s="4"/>
      <c r="K11" s="1"/>
      <c r="L11" s="1"/>
    </row>
    <row r="12" spans="1:12" x14ac:dyDescent="0.3">
      <c r="A12" s="4" t="s">
        <v>5</v>
      </c>
      <c r="B12" s="273" t="s">
        <v>336</v>
      </c>
      <c r="C12" s="273"/>
      <c r="D12" s="273" t="s">
        <v>678</v>
      </c>
      <c r="E12" s="273"/>
      <c r="F12" s="273" t="s">
        <v>678</v>
      </c>
      <c r="G12" s="273"/>
      <c r="H12" s="4" t="s">
        <v>5</v>
      </c>
      <c r="I12" s="4"/>
    </row>
    <row r="13" spans="1:12" x14ac:dyDescent="0.3">
      <c r="A13" s="4" t="s">
        <v>6</v>
      </c>
      <c r="B13" s="278" t="s">
        <v>6</v>
      </c>
      <c r="C13" s="278" t="s">
        <v>337</v>
      </c>
      <c r="D13" s="278" t="s">
        <v>287</v>
      </c>
      <c r="E13" s="278" t="s">
        <v>8</v>
      </c>
      <c r="F13" s="278" t="s">
        <v>842</v>
      </c>
      <c r="G13" s="278" t="s">
        <v>8</v>
      </c>
      <c r="H13" s="4" t="s">
        <v>6</v>
      </c>
      <c r="I13" s="4"/>
    </row>
    <row r="14" spans="1:12" x14ac:dyDescent="0.3">
      <c r="A14" s="4">
        <v>1</v>
      </c>
      <c r="B14" s="940">
        <v>303</v>
      </c>
      <c r="C14" s="1000" t="s">
        <v>345</v>
      </c>
      <c r="D14" s="235">
        <v>0</v>
      </c>
      <c r="E14" s="940" t="s">
        <v>289</v>
      </c>
      <c r="F14" s="235">
        <v>0</v>
      </c>
      <c r="G14" s="573" t="s">
        <v>289</v>
      </c>
      <c r="H14" s="4">
        <f>A14</f>
        <v>1</v>
      </c>
      <c r="I14" s="4"/>
    </row>
    <row r="15" spans="1:12" x14ac:dyDescent="0.3">
      <c r="A15" s="4">
        <f>A14+1</f>
        <v>2</v>
      </c>
      <c r="B15" s="940">
        <v>350</v>
      </c>
      <c r="C15" s="1000" t="s">
        <v>679</v>
      </c>
      <c r="D15" s="236">
        <v>0</v>
      </c>
      <c r="E15" s="1006"/>
      <c r="F15" s="236">
        <v>0</v>
      </c>
      <c r="G15" s="896"/>
      <c r="H15" s="4">
        <f>H14+1</f>
        <v>2</v>
      </c>
      <c r="I15" s="4"/>
    </row>
    <row r="16" spans="1:12" x14ac:dyDescent="0.3">
      <c r="A16" s="4">
        <f t="shared" ref="A16:A29" si="0">A15+1</f>
        <v>3</v>
      </c>
      <c r="B16" s="955">
        <v>351.1</v>
      </c>
      <c r="C16" s="237" t="s">
        <v>1593</v>
      </c>
      <c r="D16" s="236">
        <v>0</v>
      </c>
      <c r="E16" s="1109"/>
      <c r="F16" s="236">
        <v>0</v>
      </c>
      <c r="G16" s="1110"/>
      <c r="H16" s="4">
        <f t="shared" ref="H16:H29" si="1">H15+1</f>
        <v>3</v>
      </c>
      <c r="I16" s="361"/>
    </row>
    <row r="17" spans="1:10" x14ac:dyDescent="0.3">
      <c r="A17" s="4">
        <f t="shared" si="0"/>
        <v>4</v>
      </c>
      <c r="B17" s="955">
        <v>351.2</v>
      </c>
      <c r="C17" s="237" t="s">
        <v>1594</v>
      </c>
      <c r="D17" s="236">
        <v>0</v>
      </c>
      <c r="E17" s="1109"/>
      <c r="F17" s="236">
        <v>0</v>
      </c>
      <c r="G17" s="1110"/>
      <c r="H17" s="4">
        <f t="shared" si="1"/>
        <v>4</v>
      </c>
      <c r="I17" s="361"/>
    </row>
    <row r="18" spans="1:10" x14ac:dyDescent="0.3">
      <c r="A18" s="4">
        <f t="shared" si="0"/>
        <v>5</v>
      </c>
      <c r="B18" s="955">
        <v>351.3</v>
      </c>
      <c r="C18" s="237" t="s">
        <v>1595</v>
      </c>
      <c r="D18" s="236">
        <v>0</v>
      </c>
      <c r="E18" s="1109"/>
      <c r="F18" s="236">
        <v>0</v>
      </c>
      <c r="G18" s="1110"/>
      <c r="H18" s="4">
        <f t="shared" si="1"/>
        <v>5</v>
      </c>
      <c r="I18" s="361"/>
    </row>
    <row r="19" spans="1:10" x14ac:dyDescent="0.3">
      <c r="A19" s="4">
        <f t="shared" si="0"/>
        <v>6</v>
      </c>
      <c r="B19" s="940">
        <v>352</v>
      </c>
      <c r="C19" s="237" t="s">
        <v>680</v>
      </c>
      <c r="D19" s="236">
        <v>0</v>
      </c>
      <c r="E19" s="1006"/>
      <c r="F19" s="236">
        <v>0</v>
      </c>
      <c r="G19" s="896"/>
      <c r="H19" s="4">
        <f t="shared" si="1"/>
        <v>6</v>
      </c>
      <c r="I19" s="361"/>
    </row>
    <row r="20" spans="1:10" x14ac:dyDescent="0.3">
      <c r="A20" s="4">
        <f t="shared" si="0"/>
        <v>7</v>
      </c>
      <c r="B20" s="940">
        <v>353</v>
      </c>
      <c r="C20" s="237" t="s">
        <v>351</v>
      </c>
      <c r="D20" s="236">
        <v>0</v>
      </c>
      <c r="E20" s="1006"/>
      <c r="F20" s="236">
        <v>0</v>
      </c>
      <c r="G20" s="896"/>
      <c r="H20" s="4">
        <f t="shared" si="1"/>
        <v>7</v>
      </c>
      <c r="I20" s="361"/>
    </row>
    <row r="21" spans="1:10" x14ac:dyDescent="0.3">
      <c r="A21" s="4">
        <f t="shared" si="0"/>
        <v>8</v>
      </c>
      <c r="B21" s="940">
        <v>354</v>
      </c>
      <c r="C21" s="237" t="s">
        <v>352</v>
      </c>
      <c r="D21" s="236">
        <v>0</v>
      </c>
      <c r="E21" s="1006"/>
      <c r="F21" s="236">
        <v>0</v>
      </c>
      <c r="G21" s="896"/>
      <c r="H21" s="4">
        <f t="shared" si="1"/>
        <v>8</v>
      </c>
      <c r="I21" s="361"/>
    </row>
    <row r="22" spans="1:10" x14ac:dyDescent="0.3">
      <c r="A22" s="4">
        <f t="shared" si="0"/>
        <v>9</v>
      </c>
      <c r="B22" s="940">
        <v>355</v>
      </c>
      <c r="C22" s="237" t="s">
        <v>353</v>
      </c>
      <c r="D22" s="236">
        <v>0</v>
      </c>
      <c r="E22" s="1006"/>
      <c r="F22" s="236">
        <v>0</v>
      </c>
      <c r="G22" s="896"/>
      <c r="H22" s="4">
        <f t="shared" si="1"/>
        <v>9</v>
      </c>
      <c r="I22" s="361"/>
    </row>
    <row r="23" spans="1:10" x14ac:dyDescent="0.3">
      <c r="A23" s="4">
        <f t="shared" si="0"/>
        <v>10</v>
      </c>
      <c r="B23" s="940">
        <v>356</v>
      </c>
      <c r="C23" s="237" t="s">
        <v>681</v>
      </c>
      <c r="D23" s="236">
        <v>0</v>
      </c>
      <c r="E23" s="1006"/>
      <c r="F23" s="236">
        <v>0</v>
      </c>
      <c r="G23" s="896"/>
      <c r="H23" s="4">
        <f t="shared" si="1"/>
        <v>10</v>
      </c>
      <c r="I23" s="361"/>
    </row>
    <row r="24" spans="1:10" x14ac:dyDescent="0.3">
      <c r="A24" s="4">
        <f t="shared" si="0"/>
        <v>11</v>
      </c>
      <c r="B24" s="940">
        <v>357</v>
      </c>
      <c r="C24" s="237" t="s">
        <v>355</v>
      </c>
      <c r="D24" s="236">
        <v>0</v>
      </c>
      <c r="E24" s="1006"/>
      <c r="F24" s="236">
        <v>0</v>
      </c>
      <c r="G24" s="896"/>
      <c r="H24" s="4">
        <f t="shared" si="1"/>
        <v>11</v>
      </c>
      <c r="I24" s="361"/>
    </row>
    <row r="25" spans="1:10" x14ac:dyDescent="0.3">
      <c r="A25" s="4">
        <f t="shared" si="0"/>
        <v>12</v>
      </c>
      <c r="B25" s="940">
        <v>358</v>
      </c>
      <c r="C25" s="237" t="s">
        <v>682</v>
      </c>
      <c r="D25" s="236">
        <v>0</v>
      </c>
      <c r="E25" s="1006"/>
      <c r="F25" s="236">
        <v>0</v>
      </c>
      <c r="G25" s="896"/>
      <c r="H25" s="4">
        <f t="shared" si="1"/>
        <v>12</v>
      </c>
      <c r="I25" s="361"/>
    </row>
    <row r="26" spans="1:10" x14ac:dyDescent="0.3">
      <c r="A26" s="4">
        <f t="shared" si="0"/>
        <v>13</v>
      </c>
      <c r="B26" s="422">
        <v>359</v>
      </c>
      <c r="C26" s="288" t="s">
        <v>683</v>
      </c>
      <c r="D26" s="95">
        <v>0</v>
      </c>
      <c r="E26" s="595" t="s">
        <v>289</v>
      </c>
      <c r="F26" s="95">
        <v>0</v>
      </c>
      <c r="G26" s="595" t="s">
        <v>289</v>
      </c>
      <c r="H26" s="4">
        <f t="shared" si="1"/>
        <v>13</v>
      </c>
      <c r="I26" s="361"/>
    </row>
    <row r="27" spans="1:10" x14ac:dyDescent="0.3">
      <c r="A27" s="4">
        <f t="shared" si="0"/>
        <v>14</v>
      </c>
      <c r="B27" s="281"/>
      <c r="C27" s="281"/>
      <c r="D27" s="1043"/>
      <c r="E27" s="1043"/>
      <c r="F27" s="281"/>
      <c r="G27" s="1043"/>
      <c r="H27" s="4">
        <f t="shared" si="1"/>
        <v>14</v>
      </c>
      <c r="I27" s="361"/>
    </row>
    <row r="28" spans="1:10" x14ac:dyDescent="0.3">
      <c r="A28" s="4">
        <f t="shared" si="0"/>
        <v>15</v>
      </c>
      <c r="B28" s="281"/>
      <c r="C28" s="281" t="s">
        <v>843</v>
      </c>
      <c r="D28" s="1095">
        <f>SUM(D14:D26)</f>
        <v>0</v>
      </c>
      <c r="E28" s="940" t="s">
        <v>303</v>
      </c>
      <c r="F28" s="44">
        <f>SUM(F14:F26)</f>
        <v>0</v>
      </c>
      <c r="G28" s="940" t="s">
        <v>303</v>
      </c>
      <c r="H28" s="4">
        <f t="shared" si="1"/>
        <v>15</v>
      </c>
      <c r="I28" s="361"/>
      <c r="J28" s="445"/>
    </row>
    <row r="29" spans="1:10" x14ac:dyDescent="0.3">
      <c r="A29" s="4">
        <f t="shared" si="0"/>
        <v>16</v>
      </c>
      <c r="B29" s="120"/>
      <c r="C29" s="120"/>
      <c r="D29" s="446"/>
      <c r="E29" s="446"/>
      <c r="F29" s="120"/>
      <c r="G29" s="446"/>
      <c r="H29" s="4">
        <f t="shared" si="1"/>
        <v>16</v>
      </c>
      <c r="I29" s="361"/>
    </row>
    <row r="30" spans="1:10" x14ac:dyDescent="0.3">
      <c r="A30" s="4"/>
    </row>
    <row r="31" spans="1:10" x14ac:dyDescent="0.3">
      <c r="A31" s="4"/>
    </row>
  </sheetData>
  <mergeCells count="6">
    <mergeCell ref="B8:G8"/>
    <mergeCell ref="B2:G2"/>
    <mergeCell ref="B3:G3"/>
    <mergeCell ref="B4:G4"/>
    <mergeCell ref="B5:G5"/>
    <mergeCell ref="B6:G6"/>
  </mergeCells>
  <printOptions horizontalCentered="1"/>
  <pageMargins left="0.5" right="0.5" top="0.5" bottom="0.5" header="0.25" footer="0.25"/>
  <pageSetup scale="77" orientation="landscape" r:id="rId1"/>
  <headerFooter scaleWithDoc="0">
    <oddFooter>&amp;C&amp;"Times New Roman,Regular"&amp;10&amp;A</oddFooter>
  </headerFooter>
  <customProperties>
    <customPr name="_pios_id" r:id="rId2"/>
  </customPropertie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2:E22"/>
  <sheetViews>
    <sheetView zoomScale="80" zoomScaleNormal="80" workbookViewId="0"/>
  </sheetViews>
  <sheetFormatPr defaultColWidth="9.33203125" defaultRowHeight="15.6" x14ac:dyDescent="0.3"/>
  <cols>
    <col min="1" max="1" width="5.33203125" style="221" customWidth="1"/>
    <col min="2" max="2" width="35.33203125" style="1" customWidth="1"/>
    <col min="3" max="3" width="19.33203125" style="1" customWidth="1"/>
    <col min="4" max="4" width="62.5546875" style="1" customWidth="1"/>
    <col min="5" max="5" width="5.33203125" style="221" customWidth="1"/>
    <col min="6" max="6" width="24" style="1" customWidth="1"/>
    <col min="7" max="7" width="11" style="1" customWidth="1"/>
    <col min="8" max="8" width="7.33203125" style="1" customWidth="1"/>
    <col min="9" max="9" width="9.33203125" style="1" customWidth="1"/>
    <col min="10" max="10" width="14" style="1" customWidth="1"/>
    <col min="11" max="11" width="13.44140625" style="1" customWidth="1"/>
    <col min="12" max="16384" width="9.33203125" style="1"/>
  </cols>
  <sheetData>
    <row r="2" spans="1:5" x14ac:dyDescent="0.3">
      <c r="B2" s="1222" t="s">
        <v>0</v>
      </c>
      <c r="C2" s="1222"/>
      <c r="D2" s="1222"/>
    </row>
    <row r="3" spans="1:5" x14ac:dyDescent="0.3">
      <c r="B3" s="1222" t="s">
        <v>676</v>
      </c>
      <c r="C3" s="1222"/>
      <c r="D3" s="1222"/>
    </row>
    <row r="4" spans="1:5" x14ac:dyDescent="0.3">
      <c r="B4" s="1222" t="s">
        <v>763</v>
      </c>
      <c r="C4" s="1222"/>
      <c r="D4" s="1222"/>
    </row>
    <row r="5" spans="1:5" x14ac:dyDescent="0.3">
      <c r="B5" s="1222" t="str">
        <f>'AD-1'!B5</f>
        <v>BASE PERIOD / TRUE UP PERIOD - 12/31/2023 PER BOOK</v>
      </c>
      <c r="C5" s="1222"/>
      <c r="D5" s="1222"/>
    </row>
    <row r="6" spans="1:5" x14ac:dyDescent="0.3">
      <c r="B6" s="1226" t="s">
        <v>4</v>
      </c>
      <c r="C6" s="1226"/>
      <c r="D6" s="1226"/>
    </row>
    <row r="7" spans="1:5" x14ac:dyDescent="0.3">
      <c r="B7" s="270"/>
      <c r="C7" s="270"/>
      <c r="D7" s="270"/>
    </row>
    <row r="8" spans="1:5" x14ac:dyDescent="0.3">
      <c r="B8" s="1222" t="s">
        <v>844</v>
      </c>
      <c r="C8" s="1222"/>
      <c r="D8" s="1222"/>
    </row>
    <row r="10" spans="1:5" x14ac:dyDescent="0.3">
      <c r="B10" s="932"/>
      <c r="C10" s="933" t="s">
        <v>421</v>
      </c>
      <c r="D10" s="933"/>
    </row>
    <row r="11" spans="1:5" x14ac:dyDescent="0.3">
      <c r="B11" s="281"/>
      <c r="C11" s="273" t="s">
        <v>58</v>
      </c>
      <c r="D11" s="273"/>
    </row>
    <row r="12" spans="1:5" x14ac:dyDescent="0.3">
      <c r="B12" s="273"/>
      <c r="C12" s="273" t="s">
        <v>845</v>
      </c>
      <c r="D12" s="273"/>
    </row>
    <row r="13" spans="1:5" x14ac:dyDescent="0.3">
      <c r="A13" s="4"/>
      <c r="B13" s="273"/>
      <c r="C13" s="273" t="s">
        <v>846</v>
      </c>
      <c r="D13" s="273"/>
      <c r="E13" s="4"/>
    </row>
    <row r="14" spans="1:5" x14ac:dyDescent="0.3">
      <c r="A14" s="4" t="s">
        <v>5</v>
      </c>
      <c r="B14" s="276"/>
      <c r="C14" s="273" t="s">
        <v>847</v>
      </c>
      <c r="D14" s="273"/>
      <c r="E14" s="4" t="s">
        <v>5</v>
      </c>
    </row>
    <row r="15" spans="1:5" x14ac:dyDescent="0.3">
      <c r="A15" s="4" t="s">
        <v>6</v>
      </c>
      <c r="B15" s="278" t="s">
        <v>286</v>
      </c>
      <c r="C15" s="278" t="s">
        <v>287</v>
      </c>
      <c r="D15" s="278" t="s">
        <v>8</v>
      </c>
      <c r="E15" s="4" t="s">
        <v>6</v>
      </c>
    </row>
    <row r="16" spans="1:5" x14ac:dyDescent="0.3">
      <c r="A16" s="4"/>
      <c r="B16" s="457"/>
      <c r="C16" s="298"/>
      <c r="D16" s="1044"/>
      <c r="E16" s="4"/>
    </row>
    <row r="17" spans="1:5" x14ac:dyDescent="0.3">
      <c r="A17" s="4">
        <v>1</v>
      </c>
      <c r="B17" s="1013" t="str">
        <f>'AJ-4'!B13</f>
        <v>Dec-23</v>
      </c>
      <c r="C17" s="573">
        <v>0</v>
      </c>
      <c r="D17" s="947" t="s">
        <v>289</v>
      </c>
      <c r="E17" s="4">
        <f>A17</f>
        <v>1</v>
      </c>
    </row>
    <row r="18" spans="1:5" x14ac:dyDescent="0.3">
      <c r="A18" s="4">
        <f>A17+1</f>
        <v>2</v>
      </c>
      <c r="B18" s="120"/>
      <c r="C18" s="94"/>
      <c r="D18" s="120"/>
      <c r="E18" s="4">
        <f>E17+1</f>
        <v>2</v>
      </c>
    </row>
    <row r="19" spans="1:5" x14ac:dyDescent="0.3">
      <c r="A19" s="4"/>
      <c r="B19" s="32"/>
      <c r="C19" s="107"/>
      <c r="D19" s="32"/>
      <c r="E19" s="4"/>
    </row>
    <row r="20" spans="1:5" x14ac:dyDescent="0.3">
      <c r="A20" s="4"/>
      <c r="B20" s="32"/>
      <c r="C20" s="32"/>
      <c r="D20" s="32"/>
      <c r="E20" s="4"/>
    </row>
    <row r="21" spans="1:5" x14ac:dyDescent="0.3">
      <c r="B21" s="32"/>
      <c r="C21" s="32"/>
      <c r="D21" s="32"/>
    </row>
    <row r="22" spans="1:5" x14ac:dyDescent="0.3">
      <c r="B22" s="32"/>
      <c r="C22" s="32"/>
      <c r="D22" s="32"/>
    </row>
  </sheetData>
  <mergeCells count="6">
    <mergeCell ref="B8:D8"/>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2:E23"/>
  <sheetViews>
    <sheetView zoomScale="80" zoomScaleNormal="80" workbookViewId="0"/>
  </sheetViews>
  <sheetFormatPr defaultColWidth="9.33203125" defaultRowHeight="15.6" x14ac:dyDescent="0.3"/>
  <cols>
    <col min="1" max="1" width="5.33203125" style="221" customWidth="1"/>
    <col min="2" max="2" width="35.33203125" style="1" customWidth="1"/>
    <col min="3" max="3" width="19.33203125" style="1" bestFit="1" customWidth="1"/>
    <col min="4" max="4" width="62.5546875" style="1" customWidth="1"/>
    <col min="5" max="5" width="5.33203125" style="221" customWidth="1"/>
    <col min="6" max="6" width="24" style="1" customWidth="1"/>
    <col min="7" max="7" width="11" style="1" customWidth="1"/>
    <col min="8" max="8" width="7.33203125" style="1" customWidth="1"/>
    <col min="9" max="9" width="9.33203125" style="1" customWidth="1"/>
    <col min="10" max="10" width="14" style="1" customWidth="1"/>
    <col min="11" max="11" width="13.44140625" style="1" customWidth="1"/>
    <col min="12" max="16384" width="9.33203125" style="1"/>
  </cols>
  <sheetData>
    <row r="2" spans="1:5" x14ac:dyDescent="0.3">
      <c r="B2" s="1222" t="s">
        <v>0</v>
      </c>
      <c r="C2" s="1222"/>
      <c r="D2" s="1222"/>
    </row>
    <row r="3" spans="1:5" x14ac:dyDescent="0.3">
      <c r="B3" s="1222" t="s">
        <v>676</v>
      </c>
      <c r="C3" s="1222"/>
      <c r="D3" s="1222"/>
    </row>
    <row r="4" spans="1:5" x14ac:dyDescent="0.3">
      <c r="B4" s="1222" t="s">
        <v>763</v>
      </c>
      <c r="C4" s="1222"/>
      <c r="D4" s="1222"/>
    </row>
    <row r="5" spans="1:5" x14ac:dyDescent="0.3">
      <c r="B5" s="1222" t="str">
        <f>'AD-1'!B5</f>
        <v>BASE PERIOD / TRUE UP PERIOD - 12/31/2023 PER BOOK</v>
      </c>
      <c r="C5" s="1222"/>
      <c r="D5" s="1222"/>
    </row>
    <row r="6" spans="1:5" x14ac:dyDescent="0.3">
      <c r="B6" s="1226" t="s">
        <v>4</v>
      </c>
      <c r="C6" s="1226"/>
      <c r="D6" s="1226"/>
    </row>
    <row r="7" spans="1:5" x14ac:dyDescent="0.3">
      <c r="B7" s="270"/>
      <c r="C7" s="270"/>
      <c r="D7" s="270"/>
    </row>
    <row r="8" spans="1:5" x14ac:dyDescent="0.3">
      <c r="B8" s="1222" t="s">
        <v>848</v>
      </c>
      <c r="C8" s="1222"/>
      <c r="D8" s="1222"/>
    </row>
    <row r="10" spans="1:5" x14ac:dyDescent="0.3">
      <c r="B10" s="932"/>
      <c r="C10" s="933" t="s">
        <v>200</v>
      </c>
      <c r="D10" s="933"/>
      <c r="E10" s="4"/>
    </row>
    <row r="11" spans="1:5" x14ac:dyDescent="0.3">
      <c r="B11" s="281"/>
      <c r="C11" s="273" t="s">
        <v>58</v>
      </c>
      <c r="D11" s="273"/>
      <c r="E11" s="4"/>
    </row>
    <row r="12" spans="1:5" x14ac:dyDescent="0.3">
      <c r="B12" s="273"/>
      <c r="C12" s="273" t="s">
        <v>845</v>
      </c>
      <c r="D12" s="273"/>
      <c r="E12" s="4"/>
    </row>
    <row r="13" spans="1:5" x14ac:dyDescent="0.3">
      <c r="A13" s="4"/>
      <c r="B13" s="273"/>
      <c r="C13" s="273" t="s">
        <v>846</v>
      </c>
      <c r="D13" s="273"/>
      <c r="E13" s="4"/>
    </row>
    <row r="14" spans="1:5" x14ac:dyDescent="0.3">
      <c r="A14" s="4" t="s">
        <v>5</v>
      </c>
      <c r="B14" s="276"/>
      <c r="C14" s="273" t="s">
        <v>847</v>
      </c>
      <c r="D14" s="273"/>
      <c r="E14" s="4" t="s">
        <v>5</v>
      </c>
    </row>
    <row r="15" spans="1:5" x14ac:dyDescent="0.3">
      <c r="A15" s="4" t="s">
        <v>6</v>
      </c>
      <c r="B15" s="278" t="s">
        <v>286</v>
      </c>
      <c r="C15" s="278" t="s">
        <v>287</v>
      </c>
      <c r="D15" s="278" t="s">
        <v>8</v>
      </c>
      <c r="E15" s="4" t="s">
        <v>6</v>
      </c>
    </row>
    <row r="16" spans="1:5" x14ac:dyDescent="0.3">
      <c r="A16" s="4"/>
      <c r="B16" s="457"/>
      <c r="C16" s="298"/>
      <c r="D16" s="1044"/>
      <c r="E16" s="4"/>
    </row>
    <row r="17" spans="1:5" x14ac:dyDescent="0.3">
      <c r="A17" s="4">
        <v>1</v>
      </c>
      <c r="B17" s="1013" t="str">
        <f>'AJ-6'!B17</f>
        <v>Dec-23</v>
      </c>
      <c r="C17" s="573">
        <v>0</v>
      </c>
      <c r="D17" s="1045" t="s">
        <v>289</v>
      </c>
      <c r="E17" s="4">
        <f>A17</f>
        <v>1</v>
      </c>
    </row>
    <row r="18" spans="1:5" x14ac:dyDescent="0.3">
      <c r="A18" s="4">
        <f>A17+1</f>
        <v>2</v>
      </c>
      <c r="B18" s="120"/>
      <c r="C18" s="94"/>
      <c r="D18" s="120"/>
      <c r="E18" s="4">
        <f>E17+1</f>
        <v>2</v>
      </c>
    </row>
    <row r="19" spans="1:5" x14ac:dyDescent="0.3">
      <c r="A19" s="4"/>
      <c r="B19" s="32"/>
      <c r="C19" s="107"/>
      <c r="D19" s="32"/>
      <c r="E19" s="4"/>
    </row>
    <row r="20" spans="1:5" x14ac:dyDescent="0.3">
      <c r="B20" s="32"/>
      <c r="C20" s="32"/>
      <c r="D20" s="32"/>
      <c r="E20" s="4"/>
    </row>
    <row r="21" spans="1:5" x14ac:dyDescent="0.3">
      <c r="A21" s="265"/>
      <c r="B21" s="32"/>
      <c r="C21" s="32"/>
      <c r="D21" s="32"/>
      <c r="E21" s="4"/>
    </row>
    <row r="22" spans="1:5" x14ac:dyDescent="0.3">
      <c r="B22" s="32"/>
      <c r="C22" s="32"/>
      <c r="D22" s="32"/>
    </row>
    <row r="23" spans="1:5" x14ac:dyDescent="0.3">
      <c r="B23" s="32"/>
    </row>
  </sheetData>
  <mergeCells count="6">
    <mergeCell ref="B8:D8"/>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M28"/>
  <sheetViews>
    <sheetView zoomScale="80" zoomScaleNormal="80" workbookViewId="0"/>
  </sheetViews>
  <sheetFormatPr defaultColWidth="8.6640625" defaultRowHeight="15.6" x14ac:dyDescent="0.3"/>
  <cols>
    <col min="1" max="1" width="5.33203125" style="4" bestFit="1" customWidth="1"/>
    <col min="2" max="2" width="55.33203125" style="32" customWidth="1"/>
    <col min="3" max="3" width="24" style="32" customWidth="1"/>
    <col min="4" max="4" width="1.5546875" style="32" customWidth="1"/>
    <col min="5" max="5" width="16.6640625" style="32" customWidth="1"/>
    <col min="6" max="6" width="1.5546875" style="32" customWidth="1"/>
    <col min="7" max="7" width="34.5546875" style="32" customWidth="1"/>
    <col min="8" max="8" width="5.33203125" style="32" bestFit="1" customWidth="1"/>
    <col min="9" max="9" width="8.6640625" style="32"/>
    <col min="10" max="10" width="19.33203125" style="32" customWidth="1"/>
    <col min="11" max="11" width="17.6640625" style="32" customWidth="1"/>
    <col min="12" max="12" width="17.5546875" style="32" customWidth="1"/>
    <col min="13" max="16384" width="8.6640625" style="32"/>
  </cols>
  <sheetData>
    <row r="1" spans="1:11" x14ac:dyDescent="0.3">
      <c r="A1" s="4" t="s">
        <v>1</v>
      </c>
      <c r="G1" s="4"/>
      <c r="H1" s="4"/>
    </row>
    <row r="2" spans="1:11" x14ac:dyDescent="0.3">
      <c r="B2" s="1222" t="s">
        <v>0</v>
      </c>
      <c r="C2" s="1222"/>
      <c r="D2" s="1222"/>
      <c r="E2" s="1222"/>
      <c r="F2" s="1222"/>
      <c r="G2" s="1222"/>
      <c r="H2" s="4"/>
    </row>
    <row r="3" spans="1:11" x14ac:dyDescent="0.3">
      <c r="B3" s="1222" t="s">
        <v>849</v>
      </c>
      <c r="C3" s="1222"/>
      <c r="D3" s="1222"/>
      <c r="E3" s="1222"/>
      <c r="F3" s="1222"/>
      <c r="G3" s="1222"/>
      <c r="H3" s="4"/>
    </row>
    <row r="4" spans="1:11" x14ac:dyDescent="0.3">
      <c r="B4" s="1222" t="s">
        <v>850</v>
      </c>
      <c r="C4" s="1222"/>
      <c r="D4" s="1222"/>
      <c r="E4" s="1222"/>
      <c r="F4" s="1222"/>
      <c r="G4" s="1222"/>
      <c r="H4" s="4"/>
    </row>
    <row r="5" spans="1:11" x14ac:dyDescent="0.3">
      <c r="B5" s="1227" t="str">
        <f>'Stmt AD'!B5</f>
        <v>Base Period &amp; True-Up Period 12 - Months Ending December 31, 2023</v>
      </c>
      <c r="C5" s="1227"/>
      <c r="D5" s="1227"/>
      <c r="E5" s="1227"/>
      <c r="F5" s="1227"/>
      <c r="G5" s="1227"/>
      <c r="H5" s="4"/>
    </row>
    <row r="6" spans="1:11" x14ac:dyDescent="0.3">
      <c r="B6" s="1226" t="s">
        <v>4</v>
      </c>
      <c r="C6" s="1223"/>
      <c r="D6" s="1223"/>
      <c r="E6" s="1223"/>
      <c r="F6" s="1223"/>
      <c r="G6" s="1223"/>
      <c r="H6" s="4"/>
    </row>
    <row r="7" spans="1:11" x14ac:dyDescent="0.3">
      <c r="B7" s="4"/>
      <c r="C7" s="4"/>
      <c r="D7" s="4"/>
      <c r="E7" s="4"/>
      <c r="F7" s="4"/>
      <c r="G7" s="4"/>
      <c r="H7" s="4"/>
    </row>
    <row r="8" spans="1:11" x14ac:dyDescent="0.3">
      <c r="A8" s="4" t="s">
        <v>5</v>
      </c>
      <c r="B8" s="221"/>
      <c r="C8" s="4" t="s">
        <v>236</v>
      </c>
      <c r="D8" s="221"/>
      <c r="E8" s="221"/>
      <c r="F8" s="221"/>
      <c r="G8" s="4"/>
      <c r="H8" s="4" t="s">
        <v>5</v>
      </c>
    </row>
    <row r="9" spans="1:11" x14ac:dyDescent="0.3">
      <c r="A9" s="4" t="s">
        <v>6</v>
      </c>
      <c r="B9" s="221"/>
      <c r="C9" s="852" t="s">
        <v>238</v>
      </c>
      <c r="D9" s="221"/>
      <c r="E9" s="853" t="s">
        <v>7</v>
      </c>
      <c r="F9" s="221"/>
      <c r="G9" s="852" t="s">
        <v>8</v>
      </c>
      <c r="H9" s="4" t="s">
        <v>6</v>
      </c>
    </row>
    <row r="10" spans="1:11" x14ac:dyDescent="0.3">
      <c r="B10" s="4"/>
      <c r="C10" s="4"/>
      <c r="D10" s="4"/>
      <c r="E10" s="4"/>
      <c r="F10" s="221"/>
      <c r="G10" s="4"/>
      <c r="H10" s="4"/>
    </row>
    <row r="11" spans="1:11" ht="18" x14ac:dyDescent="0.3">
      <c r="A11" s="4">
        <v>1</v>
      </c>
      <c r="B11" s="32" t="s">
        <v>1742</v>
      </c>
      <c r="C11" s="4" t="s">
        <v>851</v>
      </c>
      <c r="E11" s="41">
        <v>184142.45431999999</v>
      </c>
      <c r="F11" s="221"/>
      <c r="G11" s="47"/>
      <c r="H11" s="4">
        <f>A11</f>
        <v>1</v>
      </c>
      <c r="K11" s="36"/>
    </row>
    <row r="12" spans="1:11" ht="16.2" customHeight="1" x14ac:dyDescent="0.3">
      <c r="A12" s="4">
        <f>+A11+1</f>
        <v>2</v>
      </c>
      <c r="E12" s="49"/>
      <c r="F12" s="221"/>
      <c r="G12" s="447"/>
      <c r="H12" s="4">
        <f>+H11+1</f>
        <v>2</v>
      </c>
    </row>
    <row r="13" spans="1:11" x14ac:dyDescent="0.3">
      <c r="A13" s="4">
        <f>+A12+1</f>
        <v>3</v>
      </c>
      <c r="B13" s="32" t="s">
        <v>522</v>
      </c>
      <c r="C13" s="29"/>
      <c r="D13" s="29"/>
      <c r="E13" s="931">
        <f>'Stmt AH'!E49</f>
        <v>0.38746286505185107</v>
      </c>
      <c r="F13" s="418"/>
      <c r="G13" s="4" t="s">
        <v>1848</v>
      </c>
      <c r="H13" s="4">
        <f>+H12+1</f>
        <v>3</v>
      </c>
      <c r="I13" s="362"/>
    </row>
    <row r="14" spans="1:11" x14ac:dyDescent="0.3">
      <c r="A14" s="4">
        <f t="shared" ref="A14:A22" si="0">+A13+1</f>
        <v>4</v>
      </c>
      <c r="C14" s="29"/>
      <c r="D14" s="29"/>
      <c r="F14" s="221"/>
      <c r="G14" s="4"/>
      <c r="H14" s="4">
        <f t="shared" ref="H14:H22" si="1">+H13+1</f>
        <v>4</v>
      </c>
      <c r="I14" s="258"/>
    </row>
    <row r="15" spans="1:11" ht="16.2" thickBot="1" x14ac:dyDescent="0.35">
      <c r="A15" s="4">
        <f t="shared" si="0"/>
        <v>5</v>
      </c>
      <c r="B15" s="32" t="s">
        <v>853</v>
      </c>
      <c r="C15" s="29"/>
      <c r="D15" s="29"/>
      <c r="E15" s="24">
        <f>E11*E13</f>
        <v>71348.362928506802</v>
      </c>
      <c r="F15" s="221"/>
      <c r="G15" s="4" t="s">
        <v>867</v>
      </c>
      <c r="H15" s="4">
        <f t="shared" si="1"/>
        <v>5</v>
      </c>
    </row>
    <row r="16" spans="1:11" ht="16.8" thickTop="1" thickBot="1" x14ac:dyDescent="0.35">
      <c r="A16" s="4">
        <f t="shared" si="0"/>
        <v>6</v>
      </c>
      <c r="B16" s="866"/>
      <c r="C16" s="1046"/>
      <c r="D16" s="1046"/>
      <c r="E16" s="866"/>
      <c r="F16" s="866"/>
      <c r="G16" s="866"/>
      <c r="H16" s="4">
        <f t="shared" si="1"/>
        <v>6</v>
      </c>
    </row>
    <row r="17" spans="1:13" x14ac:dyDescent="0.3">
      <c r="A17" s="4">
        <f>+A16+1</f>
        <v>7</v>
      </c>
      <c r="C17" s="29"/>
      <c r="D17" s="29"/>
      <c r="H17" s="4">
        <f>+H16+1</f>
        <v>7</v>
      </c>
    </row>
    <row r="18" spans="1:13" ht="18" x14ac:dyDescent="0.3">
      <c r="A18" s="4">
        <f t="shared" ref="A18:A19" si="2">+A17+1</f>
        <v>8</v>
      </c>
      <c r="B18" s="32" t="s">
        <v>1744</v>
      </c>
      <c r="C18" s="4" t="s">
        <v>854</v>
      </c>
      <c r="E18" s="41">
        <v>19228.440409999999</v>
      </c>
      <c r="F18" s="221"/>
      <c r="G18" s="92"/>
      <c r="H18" s="4">
        <f t="shared" si="1"/>
        <v>8</v>
      </c>
      <c r="J18"/>
      <c r="K18"/>
      <c r="L18"/>
      <c r="M18"/>
    </row>
    <row r="19" spans="1:13" x14ac:dyDescent="0.3">
      <c r="A19" s="4">
        <f t="shared" si="2"/>
        <v>9</v>
      </c>
      <c r="E19" s="71"/>
      <c r="F19" s="221"/>
      <c r="G19" s="47"/>
      <c r="H19" s="4">
        <f t="shared" si="1"/>
        <v>9</v>
      </c>
    </row>
    <row r="20" spans="1:13" x14ac:dyDescent="0.3">
      <c r="A20" s="4">
        <f t="shared" ref="A20" si="3">+A19+1</f>
        <v>10</v>
      </c>
      <c r="B20" s="32" t="s">
        <v>264</v>
      </c>
      <c r="E20" s="931">
        <f>'Stmt AI'!E25</f>
        <v>0.20002998415514117</v>
      </c>
      <c r="F20" s="221"/>
      <c r="G20" s="4" t="s">
        <v>265</v>
      </c>
      <c r="H20" s="4">
        <f t="shared" si="1"/>
        <v>10</v>
      </c>
      <c r="J20"/>
      <c r="K20"/>
    </row>
    <row r="21" spans="1:13" x14ac:dyDescent="0.3">
      <c r="A21" s="4">
        <f t="shared" ref="A21" si="4">+A20+1</f>
        <v>11</v>
      </c>
      <c r="E21" s="75"/>
      <c r="F21" s="221"/>
      <c r="G21" s="4"/>
      <c r="H21" s="4">
        <f t="shared" si="1"/>
        <v>11</v>
      </c>
    </row>
    <row r="22" spans="1:13" ht="16.2" thickBot="1" x14ac:dyDescent="0.35">
      <c r="A22" s="4">
        <f t="shared" si="0"/>
        <v>12</v>
      </c>
      <c r="B22" s="32" t="s">
        <v>855</v>
      </c>
      <c r="E22" s="24">
        <f>E18*E20</f>
        <v>3846.2646305403759</v>
      </c>
      <c r="F22" s="221"/>
      <c r="G22" s="92" t="s">
        <v>1743</v>
      </c>
      <c r="H22" s="4">
        <f t="shared" si="1"/>
        <v>12</v>
      </c>
    </row>
    <row r="23" spans="1:13" ht="16.2" thickTop="1" x14ac:dyDescent="0.3">
      <c r="E23" s="10"/>
      <c r="F23" s="221"/>
      <c r="G23" s="448"/>
      <c r="H23" s="4"/>
      <c r="J23" s="361"/>
    </row>
    <row r="24" spans="1:13" x14ac:dyDescent="0.3">
      <c r="B24" s="32" t="s">
        <v>1</v>
      </c>
      <c r="E24" s="71"/>
      <c r="F24" s="71"/>
      <c r="J24" s="449"/>
    </row>
    <row r="25" spans="1:13" ht="18" x14ac:dyDescent="0.3">
      <c r="A25" s="256">
        <v>1</v>
      </c>
      <c r="B25" s="32" t="s">
        <v>1561</v>
      </c>
      <c r="J25" s="361"/>
    </row>
    <row r="26" spans="1:13" ht="18" x14ac:dyDescent="0.3">
      <c r="A26" s="827">
        <v>2</v>
      </c>
      <c r="B26" s="32" t="s">
        <v>1562</v>
      </c>
    </row>
    <row r="27" spans="1:13" x14ac:dyDescent="0.3">
      <c r="J27" s="450"/>
    </row>
    <row r="28" spans="1:13" x14ac:dyDescent="0.3">
      <c r="J28" s="450"/>
    </row>
  </sheetData>
  <mergeCells count="5">
    <mergeCell ref="B2:G2"/>
    <mergeCell ref="B3:G3"/>
    <mergeCell ref="B4:G4"/>
    <mergeCell ref="B5:G5"/>
    <mergeCell ref="B6:G6"/>
  </mergeCells>
  <printOptions horizontalCentered="1"/>
  <pageMargins left="0.5" right="0.5" top="0.5" bottom="0.5" header="0.25" footer="0.25"/>
  <pageSetup scale="66" orientation="portrait" r:id="rId1"/>
  <headerFooter scaleWithDoc="0">
    <oddFooter>&amp;C&amp;"Times New Roman,Regular"&amp;10&amp;A</oddFooter>
  </headerFooter>
  <customProperties>
    <customPr name="_pios_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H39"/>
  <sheetViews>
    <sheetView zoomScale="80" zoomScaleNormal="80" workbookViewId="0"/>
  </sheetViews>
  <sheetFormatPr defaultColWidth="9.33203125" defaultRowHeight="15.6" x14ac:dyDescent="0.3"/>
  <cols>
    <col min="1" max="1" width="5.33203125" style="221" customWidth="1"/>
    <col min="2" max="2" width="35.33203125" style="1" customWidth="1"/>
    <col min="3" max="3" width="18.5546875" style="88" customWidth="1"/>
    <col min="4" max="4" width="25.33203125" style="1" customWidth="1"/>
    <col min="5" max="5" width="18.5546875" style="1" customWidth="1"/>
    <col min="6" max="6" width="62.5546875" style="1" customWidth="1"/>
    <col min="7" max="7" width="5.33203125" style="221" customWidth="1"/>
    <col min="8" max="8" width="24" style="1" customWidth="1"/>
    <col min="9" max="9" width="11" style="1" customWidth="1"/>
    <col min="10" max="10" width="7.33203125" style="1" customWidth="1"/>
    <col min="11" max="11" width="9.33203125" style="1" customWidth="1"/>
    <col min="12" max="12" width="14" style="1" customWidth="1"/>
    <col min="13" max="13" width="13.44140625" style="1" customWidth="1"/>
    <col min="14" max="16384" width="9.33203125" style="1"/>
  </cols>
  <sheetData>
    <row r="2" spans="1:8" x14ac:dyDescent="0.3">
      <c r="B2" s="1222" t="s">
        <v>0</v>
      </c>
      <c r="C2" s="1222"/>
      <c r="D2" s="1222"/>
      <c r="E2" s="1222"/>
      <c r="F2" s="1222"/>
    </row>
    <row r="3" spans="1:8" x14ac:dyDescent="0.3">
      <c r="B3" s="1222" t="s">
        <v>281</v>
      </c>
      <c r="C3" s="1222"/>
      <c r="D3" s="1222"/>
      <c r="E3" s="1222"/>
      <c r="F3" s="1222"/>
    </row>
    <row r="4" spans="1:8" x14ac:dyDescent="0.3">
      <c r="B4" s="1222" t="s">
        <v>282</v>
      </c>
      <c r="C4" s="1222"/>
      <c r="D4" s="1222"/>
      <c r="E4" s="1222"/>
      <c r="F4" s="1222"/>
    </row>
    <row r="5" spans="1:8" x14ac:dyDescent="0.3">
      <c r="B5" s="1222" t="str">
        <f>'AD-1'!B5</f>
        <v>BASE PERIOD / TRUE UP PERIOD - 12/31/2023 PER BOOK</v>
      </c>
      <c r="C5" s="1222"/>
      <c r="D5" s="1222"/>
      <c r="E5" s="1222"/>
      <c r="F5" s="1222"/>
    </row>
    <row r="6" spans="1:8" x14ac:dyDescent="0.3">
      <c r="B6" s="1226" t="s">
        <v>4</v>
      </c>
      <c r="C6" s="1226"/>
      <c r="D6" s="1226"/>
      <c r="E6" s="1226"/>
      <c r="F6" s="1226"/>
    </row>
    <row r="7" spans="1:8" x14ac:dyDescent="0.3">
      <c r="B7" s="270"/>
      <c r="C7" s="271"/>
      <c r="D7" s="270"/>
      <c r="E7" s="270"/>
      <c r="F7" s="270"/>
    </row>
    <row r="8" spans="1:8" x14ac:dyDescent="0.3">
      <c r="B8" s="1222" t="s">
        <v>309</v>
      </c>
      <c r="C8" s="1222"/>
      <c r="D8" s="1222"/>
      <c r="E8" s="1222"/>
      <c r="F8" s="1222"/>
    </row>
    <row r="10" spans="1:8" x14ac:dyDescent="0.3">
      <c r="B10" s="932"/>
      <c r="C10" s="272" t="s">
        <v>200</v>
      </c>
      <c r="D10" s="933"/>
      <c r="E10" s="272"/>
      <c r="F10" s="933"/>
    </row>
    <row r="11" spans="1:8" x14ac:dyDescent="0.3">
      <c r="B11" s="273"/>
      <c r="C11" s="277" t="s">
        <v>310</v>
      </c>
      <c r="D11" s="273"/>
      <c r="E11" s="277" t="s">
        <v>310</v>
      </c>
      <c r="F11" s="273"/>
      <c r="H11" s="284"/>
    </row>
    <row r="12" spans="1:8" x14ac:dyDescent="0.3">
      <c r="A12" s="4" t="s">
        <v>5</v>
      </c>
      <c r="B12" s="276"/>
      <c r="C12" s="221" t="s">
        <v>285</v>
      </c>
      <c r="D12" s="273"/>
      <c r="E12" s="277" t="s">
        <v>285</v>
      </c>
      <c r="F12" s="273"/>
      <c r="G12" s="4" t="s">
        <v>5</v>
      </c>
      <c r="H12" s="284"/>
    </row>
    <row r="13" spans="1:8" ht="18" x14ac:dyDescent="0.3">
      <c r="A13" s="4" t="s">
        <v>6</v>
      </c>
      <c r="B13" s="278" t="s">
        <v>286</v>
      </c>
      <c r="C13" s="935" t="s">
        <v>287</v>
      </c>
      <c r="D13" s="278" t="s">
        <v>8</v>
      </c>
      <c r="E13" s="279" t="s">
        <v>288</v>
      </c>
      <c r="F13" s="278" t="s">
        <v>8</v>
      </c>
      <c r="G13" s="4" t="s">
        <v>6</v>
      </c>
      <c r="H13" s="284"/>
    </row>
    <row r="14" spans="1:8" x14ac:dyDescent="0.3">
      <c r="A14" s="4">
        <v>1</v>
      </c>
      <c r="B14" s="936" t="str">
        <f>'AD-1'!B14</f>
        <v>Dec-22</v>
      </c>
      <c r="C14" s="59">
        <v>0</v>
      </c>
      <c r="D14" s="937" t="s">
        <v>289</v>
      </c>
      <c r="E14" s="59">
        <v>0</v>
      </c>
      <c r="F14" s="937" t="s">
        <v>290</v>
      </c>
      <c r="G14" s="4">
        <f>A14</f>
        <v>1</v>
      </c>
      <c r="H14" s="280"/>
    </row>
    <row r="15" spans="1:8" x14ac:dyDescent="0.3">
      <c r="A15" s="4">
        <f>A14+1</f>
        <v>2</v>
      </c>
      <c r="B15" s="936" t="str">
        <f>'AD-1'!B15</f>
        <v>Jan-23</v>
      </c>
      <c r="C15" s="53">
        <v>0</v>
      </c>
      <c r="D15" s="938"/>
      <c r="E15" s="53">
        <v>0</v>
      </c>
      <c r="F15" s="938"/>
      <c r="G15" s="4">
        <f>G14+1</f>
        <v>2</v>
      </c>
    </row>
    <row r="16" spans="1:8" x14ac:dyDescent="0.3">
      <c r="A16" s="4">
        <f t="shared" ref="A16:A32" si="0">A15+1</f>
        <v>3</v>
      </c>
      <c r="B16" s="939" t="s">
        <v>291</v>
      </c>
      <c r="C16" s="53">
        <v>0</v>
      </c>
      <c r="D16" s="938"/>
      <c r="E16" s="53">
        <v>0</v>
      </c>
      <c r="F16" s="938"/>
      <c r="G16" s="4">
        <f t="shared" ref="G16:G32" si="1">G15+1</f>
        <v>3</v>
      </c>
    </row>
    <row r="17" spans="1:8" x14ac:dyDescent="0.3">
      <c r="A17" s="4">
        <f t="shared" si="0"/>
        <v>4</v>
      </c>
      <c r="B17" s="939" t="s">
        <v>292</v>
      </c>
      <c r="C17" s="53">
        <v>0</v>
      </c>
      <c r="D17" s="938"/>
      <c r="E17" s="53">
        <v>0</v>
      </c>
      <c r="F17" s="938"/>
      <c r="G17" s="4">
        <f t="shared" si="1"/>
        <v>4</v>
      </c>
    </row>
    <row r="18" spans="1:8" x14ac:dyDescent="0.3">
      <c r="A18" s="4">
        <f t="shared" si="0"/>
        <v>5</v>
      </c>
      <c r="B18" s="939" t="s">
        <v>293</v>
      </c>
      <c r="C18" s="53">
        <v>0</v>
      </c>
      <c r="D18" s="938"/>
      <c r="E18" s="53">
        <v>0</v>
      </c>
      <c r="F18" s="938"/>
      <c r="G18" s="4">
        <f t="shared" si="1"/>
        <v>5</v>
      </c>
    </row>
    <row r="19" spans="1:8" x14ac:dyDescent="0.3">
      <c r="A19" s="4">
        <f t="shared" si="0"/>
        <v>6</v>
      </c>
      <c r="B19" s="939" t="s">
        <v>294</v>
      </c>
      <c r="C19" s="53">
        <v>0</v>
      </c>
      <c r="D19" s="938"/>
      <c r="E19" s="53">
        <v>0</v>
      </c>
      <c r="F19" s="938"/>
      <c r="G19" s="4">
        <f t="shared" si="1"/>
        <v>6</v>
      </c>
    </row>
    <row r="20" spans="1:8" x14ac:dyDescent="0.3">
      <c r="A20" s="4">
        <f>A19+1</f>
        <v>7</v>
      </c>
      <c r="B20" s="939" t="s">
        <v>295</v>
      </c>
      <c r="C20" s="53">
        <v>0</v>
      </c>
      <c r="D20" s="938"/>
      <c r="E20" s="53">
        <v>0</v>
      </c>
      <c r="F20" s="938"/>
      <c r="G20" s="4">
        <f>G19+1</f>
        <v>7</v>
      </c>
    </row>
    <row r="21" spans="1:8" x14ac:dyDescent="0.3">
      <c r="A21" s="4">
        <f t="shared" si="0"/>
        <v>8</v>
      </c>
      <c r="B21" s="939" t="s">
        <v>296</v>
      </c>
      <c r="C21" s="53">
        <v>0</v>
      </c>
      <c r="D21" s="938"/>
      <c r="E21" s="53">
        <v>0</v>
      </c>
      <c r="F21" s="938"/>
      <c r="G21" s="4">
        <f t="shared" si="1"/>
        <v>8</v>
      </c>
    </row>
    <row r="22" spans="1:8" x14ac:dyDescent="0.3">
      <c r="A22" s="4">
        <f t="shared" si="0"/>
        <v>9</v>
      </c>
      <c r="B22" s="939" t="s">
        <v>297</v>
      </c>
      <c r="C22" s="53">
        <v>0</v>
      </c>
      <c r="D22" s="938"/>
      <c r="E22" s="53">
        <v>0</v>
      </c>
      <c r="F22" s="938"/>
      <c r="G22" s="4">
        <f t="shared" si="1"/>
        <v>9</v>
      </c>
    </row>
    <row r="23" spans="1:8" x14ac:dyDescent="0.3">
      <c r="A23" s="4">
        <f t="shared" si="0"/>
        <v>10</v>
      </c>
      <c r="B23" s="939" t="s">
        <v>298</v>
      </c>
      <c r="C23" s="53">
        <v>0</v>
      </c>
      <c r="D23" s="938"/>
      <c r="E23" s="53">
        <v>0</v>
      </c>
      <c r="F23" s="938"/>
      <c r="G23" s="4">
        <f t="shared" si="1"/>
        <v>10</v>
      </c>
    </row>
    <row r="24" spans="1:8" x14ac:dyDescent="0.3">
      <c r="A24" s="4">
        <f t="shared" si="0"/>
        <v>11</v>
      </c>
      <c r="B24" s="939" t="s">
        <v>299</v>
      </c>
      <c r="C24" s="53">
        <v>0</v>
      </c>
      <c r="D24" s="938"/>
      <c r="E24" s="53">
        <v>0</v>
      </c>
      <c r="F24" s="938"/>
      <c r="G24" s="4">
        <f t="shared" si="1"/>
        <v>11</v>
      </c>
    </row>
    <row r="25" spans="1:8" x14ac:dyDescent="0.3">
      <c r="A25" s="4">
        <f t="shared" si="0"/>
        <v>12</v>
      </c>
      <c r="B25" s="939" t="s">
        <v>300</v>
      </c>
      <c r="C25" s="53">
        <v>0</v>
      </c>
      <c r="D25" s="938"/>
      <c r="E25" s="53">
        <v>0</v>
      </c>
      <c r="F25" s="938"/>
      <c r="G25" s="4">
        <f t="shared" si="1"/>
        <v>12</v>
      </c>
    </row>
    <row r="26" spans="1:8" x14ac:dyDescent="0.3">
      <c r="A26" s="4">
        <f t="shared" si="0"/>
        <v>13</v>
      </c>
      <c r="B26" s="633" t="str">
        <f>'AD-1'!B26</f>
        <v>Dec-23</v>
      </c>
      <c r="C26" s="54">
        <v>0</v>
      </c>
      <c r="D26" s="287" t="s">
        <v>289</v>
      </c>
      <c r="E26" s="54">
        <v>0</v>
      </c>
      <c r="F26" s="937" t="s">
        <v>301</v>
      </c>
      <c r="G26" s="4">
        <f t="shared" si="1"/>
        <v>13</v>
      </c>
      <c r="H26" s="280"/>
    </row>
    <row r="27" spans="1:8" x14ac:dyDescent="0.3">
      <c r="A27" s="4">
        <f t="shared" si="0"/>
        <v>14</v>
      </c>
      <c r="B27" s="281"/>
      <c r="C27" s="60"/>
      <c r="D27" s="281"/>
      <c r="E27" s="61"/>
      <c r="F27" s="932"/>
      <c r="G27" s="4">
        <f t="shared" si="1"/>
        <v>14</v>
      </c>
    </row>
    <row r="28" spans="1:8" x14ac:dyDescent="0.3">
      <c r="A28" s="4">
        <f t="shared" si="0"/>
        <v>15</v>
      </c>
      <c r="B28" s="281" t="s">
        <v>302</v>
      </c>
      <c r="C28" s="56">
        <f>SUM(C14:C26)</f>
        <v>0</v>
      </c>
      <c r="D28" s="940" t="s">
        <v>303</v>
      </c>
      <c r="E28" s="56">
        <f>SUM(E14:E26)</f>
        <v>0</v>
      </c>
      <c r="F28" s="940" t="s">
        <v>303</v>
      </c>
      <c r="G28" s="4">
        <f t="shared" si="1"/>
        <v>15</v>
      </c>
    </row>
    <row r="29" spans="1:8" x14ac:dyDescent="0.3">
      <c r="A29" s="4">
        <f t="shared" si="0"/>
        <v>16</v>
      </c>
      <c r="B29" s="120"/>
      <c r="C29" s="57"/>
      <c r="D29" s="120"/>
      <c r="E29" s="57"/>
      <c r="F29" s="120"/>
      <c r="G29" s="4">
        <f t="shared" si="1"/>
        <v>16</v>
      </c>
    </row>
    <row r="30" spans="1:8" x14ac:dyDescent="0.3">
      <c r="A30" s="4">
        <f t="shared" si="0"/>
        <v>17</v>
      </c>
      <c r="B30" s="281"/>
      <c r="C30" s="61"/>
      <c r="D30" s="281"/>
      <c r="E30" s="61"/>
      <c r="F30" s="281"/>
      <c r="G30" s="4">
        <f t="shared" si="1"/>
        <v>17</v>
      </c>
    </row>
    <row r="31" spans="1:8" x14ac:dyDescent="0.3">
      <c r="A31" s="4">
        <f t="shared" si="0"/>
        <v>18</v>
      </c>
      <c r="B31" s="281" t="s">
        <v>304</v>
      </c>
      <c r="C31" s="56">
        <f>C28/13</f>
        <v>0</v>
      </c>
      <c r="D31" s="940" t="s">
        <v>305</v>
      </c>
      <c r="E31" s="56">
        <f>E28/13</f>
        <v>0</v>
      </c>
      <c r="F31" s="937" t="s">
        <v>306</v>
      </c>
      <c r="G31" s="4">
        <f t="shared" si="1"/>
        <v>18</v>
      </c>
      <c r="H31" s="280"/>
    </row>
    <row r="32" spans="1:8" x14ac:dyDescent="0.3">
      <c r="A32" s="4">
        <f t="shared" si="0"/>
        <v>19</v>
      </c>
      <c r="B32" s="120"/>
      <c r="C32" s="62"/>
      <c r="D32" s="120"/>
      <c r="E32" s="62"/>
      <c r="F32" s="120"/>
      <c r="G32" s="4">
        <f t="shared" si="1"/>
        <v>19</v>
      </c>
    </row>
    <row r="33" spans="1:7" x14ac:dyDescent="0.3">
      <c r="B33" s="32"/>
      <c r="C33" s="6"/>
      <c r="D33" s="32"/>
      <c r="E33" s="6"/>
      <c r="F33" s="32"/>
      <c r="G33" s="583"/>
    </row>
    <row r="34" spans="1:7" x14ac:dyDescent="0.3">
      <c r="C34" s="6"/>
      <c r="D34" s="32"/>
      <c r="E34" s="6"/>
      <c r="F34" s="32"/>
      <c r="G34" s="583"/>
    </row>
    <row r="35" spans="1:7" ht="18" x14ac:dyDescent="0.3">
      <c r="A35" s="269">
        <v>1</v>
      </c>
      <c r="B35" s="32" t="s">
        <v>307</v>
      </c>
      <c r="C35" s="285"/>
      <c r="D35" s="32"/>
      <c r="E35" s="285"/>
      <c r="F35" s="32"/>
      <c r="G35" s="583"/>
    </row>
    <row r="36" spans="1:7" x14ac:dyDescent="0.3">
      <c r="B36" s="32" t="s">
        <v>308</v>
      </c>
      <c r="C36" s="285"/>
      <c r="D36" s="32"/>
      <c r="E36" s="285"/>
      <c r="F36" s="32"/>
      <c r="G36" s="583"/>
    </row>
    <row r="37" spans="1:7" x14ac:dyDescent="0.3">
      <c r="C37" s="285"/>
      <c r="D37" s="32"/>
      <c r="E37" s="285"/>
      <c r="F37" s="32"/>
      <c r="G37" s="583"/>
    </row>
    <row r="38" spans="1:7" x14ac:dyDescent="0.3">
      <c r="C38" s="285"/>
      <c r="D38" s="32"/>
      <c r="E38" s="285"/>
      <c r="F38" s="32"/>
      <c r="G38" s="583"/>
    </row>
    <row r="39" spans="1:7" x14ac:dyDescent="0.3">
      <c r="C39" s="284"/>
      <c r="E39" s="284"/>
      <c r="G39" s="583"/>
    </row>
  </sheetData>
  <mergeCells count="6">
    <mergeCell ref="B8:F8"/>
    <mergeCell ref="B5:F5"/>
    <mergeCell ref="B2:F2"/>
    <mergeCell ref="B3:F3"/>
    <mergeCell ref="B4:F4"/>
    <mergeCell ref="B6:F6"/>
  </mergeCells>
  <printOptions horizontalCentered="1"/>
  <pageMargins left="0.5" right="0.5" top="0.5" bottom="0.5" header="0.25" footer="0.25"/>
  <pageSetup scale="74" orientation="landscape" r:id="rId1"/>
  <headerFooter scaleWithDoc="0">
    <oddFooter>&amp;C&amp;"Times New Roman,Regular"&amp;10&amp;A</oddFooter>
  </headerFooter>
  <customProperties>
    <customPr name="_pios_id" r:id="rId2"/>
  </customPropertie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J49"/>
  <sheetViews>
    <sheetView zoomScale="80" zoomScaleNormal="80" workbookViewId="0"/>
  </sheetViews>
  <sheetFormatPr defaultColWidth="8.6640625" defaultRowHeight="15.6" x14ac:dyDescent="0.3"/>
  <cols>
    <col min="1" max="1" width="5.33203125" style="4" bestFit="1" customWidth="1"/>
    <col min="2" max="2" width="79.44140625" style="32" customWidth="1"/>
    <col min="3" max="3" width="25.5546875" style="361" bestFit="1" customWidth="1"/>
    <col min="4" max="4" width="1.5546875" style="32" customWidth="1"/>
    <col min="5" max="5" width="16.6640625" style="32" customWidth="1"/>
    <col min="6" max="6" width="1.5546875" style="32" customWidth="1"/>
    <col min="7" max="7" width="16.6640625" style="32" customWidth="1"/>
    <col min="8" max="8" width="1.5546875" style="32" customWidth="1"/>
    <col min="9" max="9" width="39.44140625" style="32" bestFit="1" customWidth="1"/>
    <col min="10" max="10" width="5.33203125" style="32" customWidth="1"/>
    <col min="11" max="16384" width="8.6640625" style="32"/>
  </cols>
  <sheetData>
    <row r="1" spans="1:10" x14ac:dyDescent="0.3">
      <c r="H1" s="4"/>
      <c r="I1" s="4"/>
      <c r="J1" s="4"/>
    </row>
    <row r="2" spans="1:10" x14ac:dyDescent="0.3">
      <c r="B2" s="1222" t="s">
        <v>0</v>
      </c>
      <c r="C2" s="1234"/>
      <c r="D2" s="1234"/>
      <c r="E2" s="1234"/>
      <c r="F2" s="1234"/>
      <c r="G2" s="1234"/>
      <c r="H2" s="1234"/>
      <c r="I2" s="1234"/>
      <c r="J2" s="221"/>
    </row>
    <row r="3" spans="1:10" x14ac:dyDescent="0.3">
      <c r="B3" s="1222" t="s">
        <v>856</v>
      </c>
      <c r="C3" s="1234"/>
      <c r="D3" s="1234"/>
      <c r="E3" s="1234"/>
      <c r="F3" s="1234"/>
      <c r="G3" s="1234"/>
      <c r="H3" s="1234"/>
      <c r="I3" s="1234"/>
      <c r="J3" s="221"/>
    </row>
    <row r="4" spans="1:10" x14ac:dyDescent="0.3">
      <c r="B4" s="1222" t="s">
        <v>857</v>
      </c>
      <c r="C4" s="1234"/>
      <c r="D4" s="1234"/>
      <c r="E4" s="1234"/>
      <c r="F4" s="1234"/>
      <c r="G4" s="1234"/>
      <c r="H4" s="1234"/>
      <c r="I4" s="1234"/>
      <c r="J4" s="221"/>
    </row>
    <row r="5" spans="1:10" x14ac:dyDescent="0.3">
      <c r="B5" s="1227" t="str">
        <f>'Stmt AD'!B5</f>
        <v>Base Period &amp; True-Up Period 12 - Months Ending December 31, 2023</v>
      </c>
      <c r="C5" s="1227"/>
      <c r="D5" s="1227"/>
      <c r="E5" s="1227"/>
      <c r="F5" s="1227"/>
      <c r="G5" s="1227"/>
      <c r="H5" s="1227"/>
      <c r="I5" s="1227"/>
      <c r="J5" s="221"/>
    </row>
    <row r="6" spans="1:10" x14ac:dyDescent="0.3">
      <c r="B6" s="1226" t="s">
        <v>4</v>
      </c>
      <c r="C6" s="1226"/>
      <c r="D6" s="1226"/>
      <c r="E6" s="1226"/>
      <c r="F6" s="1226"/>
      <c r="G6" s="1226"/>
      <c r="H6" s="1226"/>
      <c r="I6" s="1226"/>
      <c r="J6" s="1"/>
    </row>
    <row r="7" spans="1:10" x14ac:dyDescent="0.3">
      <c r="B7" s="4"/>
      <c r="D7" s="4"/>
      <c r="E7" s="4"/>
      <c r="F7" s="4"/>
      <c r="G7" s="4"/>
      <c r="H7" s="221"/>
      <c r="I7" s="221"/>
      <c r="J7" s="221"/>
    </row>
    <row r="8" spans="1:10" x14ac:dyDescent="0.3">
      <c r="A8" s="4" t="s">
        <v>5</v>
      </c>
      <c r="B8" s="221"/>
      <c r="C8" s="4" t="s">
        <v>236</v>
      </c>
      <c r="D8" s="4"/>
      <c r="E8" s="4" t="s">
        <v>858</v>
      </c>
      <c r="F8" s="4"/>
      <c r="G8" s="4" t="s">
        <v>859</v>
      </c>
      <c r="H8" s="221"/>
      <c r="I8" s="221"/>
      <c r="J8" s="4" t="s">
        <v>5</v>
      </c>
    </row>
    <row r="9" spans="1:10" x14ac:dyDescent="0.3">
      <c r="A9" s="4" t="s">
        <v>6</v>
      </c>
      <c r="B9" s="221"/>
      <c r="C9" s="852" t="s">
        <v>238</v>
      </c>
      <c r="D9" s="221"/>
      <c r="E9" s="853" t="s">
        <v>860</v>
      </c>
      <c r="F9" s="221"/>
      <c r="G9" s="853" t="s">
        <v>239</v>
      </c>
      <c r="H9" s="221"/>
      <c r="I9" s="852" t="s">
        <v>8</v>
      </c>
      <c r="J9" s="4" t="s">
        <v>6</v>
      </c>
    </row>
    <row r="10" spans="1:10" x14ac:dyDescent="0.3">
      <c r="B10" s="4"/>
      <c r="D10" s="4"/>
      <c r="E10" s="4"/>
      <c r="F10" s="4"/>
      <c r="G10" s="4"/>
      <c r="H10" s="4"/>
      <c r="I10" s="4"/>
      <c r="J10" s="4"/>
    </row>
    <row r="11" spans="1:10" ht="18" x14ac:dyDescent="0.3">
      <c r="A11" s="4">
        <v>1</v>
      </c>
      <c r="B11" s="32" t="s">
        <v>861</v>
      </c>
      <c r="C11" s="4" t="s">
        <v>862</v>
      </c>
      <c r="E11" s="49"/>
      <c r="F11" s="72"/>
      <c r="G11" s="41">
        <f>'AL-1'!C32</f>
        <v>134439.87015384616</v>
      </c>
      <c r="H11" s="72"/>
      <c r="I11" s="47" t="s">
        <v>863</v>
      </c>
      <c r="J11" s="4">
        <f>A11</f>
        <v>1</v>
      </c>
    </row>
    <row r="12" spans="1:10" x14ac:dyDescent="0.3">
      <c r="A12" s="4">
        <f>+A11+1</f>
        <v>2</v>
      </c>
      <c r="C12" s="4"/>
      <c r="E12" s="71"/>
      <c r="F12" s="42"/>
      <c r="G12" s="42"/>
      <c r="H12" s="42"/>
      <c r="I12" s="47"/>
      <c r="J12" s="4">
        <f>+J11+1</f>
        <v>2</v>
      </c>
    </row>
    <row r="13" spans="1:10" x14ac:dyDescent="0.3">
      <c r="A13" s="4">
        <f t="shared" ref="A13:A44" si="0">+A12+1</f>
        <v>3</v>
      </c>
      <c r="B13" s="32" t="s">
        <v>864</v>
      </c>
      <c r="C13" s="4"/>
      <c r="E13" s="73"/>
      <c r="F13" s="74"/>
      <c r="G13" s="976">
        <f>'Stmt AD'!I45</f>
        <v>0.38644486377474485</v>
      </c>
      <c r="H13" s="72"/>
      <c r="I13" s="47" t="s">
        <v>865</v>
      </c>
      <c r="J13" s="4">
        <f t="shared" ref="J13:J44" si="1">+J12+1</f>
        <v>3</v>
      </c>
    </row>
    <row r="14" spans="1:10" x14ac:dyDescent="0.3">
      <c r="A14" s="4">
        <f t="shared" si="0"/>
        <v>4</v>
      </c>
      <c r="C14" s="4"/>
      <c r="E14" s="71"/>
      <c r="F14" s="42"/>
      <c r="G14" s="71"/>
      <c r="H14" s="42"/>
      <c r="I14" s="47"/>
      <c r="J14" s="4">
        <f t="shared" si="1"/>
        <v>4</v>
      </c>
    </row>
    <row r="15" spans="1:10" ht="16.2" thickBot="1" x14ac:dyDescent="0.35">
      <c r="A15" s="4">
        <f t="shared" si="0"/>
        <v>5</v>
      </c>
      <c r="B15" s="32" t="s">
        <v>866</v>
      </c>
      <c r="C15" s="4"/>
      <c r="E15" s="76"/>
      <c r="F15" s="42"/>
      <c r="G15" s="78">
        <f>G11*G13</f>
        <v>51953.597307497468</v>
      </c>
      <c r="H15" s="72"/>
      <c r="I15" s="47" t="s">
        <v>867</v>
      </c>
      <c r="J15" s="4">
        <f t="shared" si="1"/>
        <v>5</v>
      </c>
    </row>
    <row r="16" spans="1:10" ht="16.2" thickTop="1" x14ac:dyDescent="0.3">
      <c r="A16" s="4">
        <f t="shared" si="0"/>
        <v>6</v>
      </c>
      <c r="C16" s="4"/>
      <c r="E16" s="6"/>
      <c r="F16" s="4"/>
      <c r="G16" s="4"/>
      <c r="H16" s="4"/>
      <c r="I16" s="47"/>
      <c r="J16" s="4">
        <f t="shared" si="1"/>
        <v>6</v>
      </c>
    </row>
    <row r="17" spans="1:10" ht="18" x14ac:dyDescent="0.3">
      <c r="A17" s="4">
        <f t="shared" si="0"/>
        <v>7</v>
      </c>
      <c r="B17" s="32" t="s">
        <v>868</v>
      </c>
      <c r="C17" s="4" t="s">
        <v>869</v>
      </c>
      <c r="D17" s="36"/>
      <c r="E17" s="49"/>
      <c r="F17" s="42"/>
      <c r="G17" s="1047">
        <f>'AL-2'!C30</f>
        <v>100558.3896923077</v>
      </c>
      <c r="H17" s="72"/>
      <c r="I17" s="47" t="s">
        <v>870</v>
      </c>
      <c r="J17" s="4">
        <f t="shared" si="1"/>
        <v>7</v>
      </c>
    </row>
    <row r="18" spans="1:10" x14ac:dyDescent="0.3">
      <c r="A18" s="4">
        <f t="shared" si="0"/>
        <v>8</v>
      </c>
      <c r="C18" s="4"/>
      <c r="E18" s="39"/>
      <c r="F18" s="42"/>
      <c r="G18" s="42"/>
      <c r="H18" s="42"/>
      <c r="I18" s="47"/>
      <c r="J18" s="4">
        <f t="shared" si="1"/>
        <v>8</v>
      </c>
    </row>
    <row r="19" spans="1:10" ht="16.2" thickBot="1" x14ac:dyDescent="0.35">
      <c r="A19" s="4">
        <f t="shared" si="0"/>
        <v>9</v>
      </c>
      <c r="B19" s="32" t="s">
        <v>871</v>
      </c>
      <c r="E19" s="49"/>
      <c r="F19" s="42"/>
      <c r="G19" s="78">
        <f>G13*G17</f>
        <v>38860.273206051555</v>
      </c>
      <c r="H19" s="72"/>
      <c r="I19" s="47" t="s">
        <v>872</v>
      </c>
      <c r="J19" s="4">
        <f t="shared" si="1"/>
        <v>9</v>
      </c>
    </row>
    <row r="20" spans="1:10" ht="16.2" thickTop="1" x14ac:dyDescent="0.3">
      <c r="A20" s="4">
        <f t="shared" si="0"/>
        <v>10</v>
      </c>
      <c r="E20" s="39"/>
      <c r="F20" s="42"/>
      <c r="G20" s="42"/>
      <c r="H20" s="42"/>
      <c r="I20" s="47"/>
      <c r="J20" s="4">
        <f t="shared" si="1"/>
        <v>10</v>
      </c>
    </row>
    <row r="21" spans="1:10" x14ac:dyDescent="0.3">
      <c r="A21" s="4">
        <f t="shared" si="0"/>
        <v>11</v>
      </c>
      <c r="B21" s="254" t="s">
        <v>873</v>
      </c>
      <c r="E21" s="39"/>
      <c r="F21" s="42"/>
      <c r="G21" s="42"/>
      <c r="H21" s="42"/>
      <c r="I21" s="47"/>
      <c r="J21" s="4">
        <f t="shared" si="1"/>
        <v>11</v>
      </c>
    </row>
    <row r="22" spans="1:10" x14ac:dyDescent="0.3">
      <c r="A22" s="4">
        <f t="shared" si="0"/>
        <v>12</v>
      </c>
      <c r="B22" s="32" t="s">
        <v>874</v>
      </c>
      <c r="E22" s="121">
        <f>'Stmt AH'!E15</f>
        <v>117262.21525000001</v>
      </c>
      <c r="F22" s="42"/>
      <c r="G22" s="49"/>
      <c r="H22" s="42"/>
      <c r="I22" s="47" t="s">
        <v>1606</v>
      </c>
      <c r="J22" s="4">
        <f t="shared" si="1"/>
        <v>12</v>
      </c>
    </row>
    <row r="23" spans="1:10" x14ac:dyDescent="0.3">
      <c r="A23" s="4">
        <f t="shared" si="0"/>
        <v>13</v>
      </c>
      <c r="B23" s="32" t="s">
        <v>875</v>
      </c>
      <c r="E23" s="21">
        <f>'Stmt AH'!E30</f>
        <v>120558.42457365181</v>
      </c>
      <c r="F23" s="1"/>
      <c r="G23" s="39"/>
      <c r="H23" s="42"/>
      <c r="I23" s="47" t="s">
        <v>1847</v>
      </c>
      <c r="J23" s="4">
        <f t="shared" si="1"/>
        <v>13</v>
      </c>
    </row>
    <row r="24" spans="1:10" x14ac:dyDescent="0.3">
      <c r="A24" s="4">
        <f t="shared" si="0"/>
        <v>14</v>
      </c>
      <c r="B24" s="32" t="s">
        <v>876</v>
      </c>
      <c r="E24" s="1048">
        <f>-'Stmt AH'!E20</f>
        <v>0</v>
      </c>
      <c r="F24" s="42"/>
      <c r="G24" s="39"/>
      <c r="H24" s="42"/>
      <c r="I24" s="47" t="s">
        <v>1607</v>
      </c>
      <c r="J24" s="4">
        <f t="shared" si="1"/>
        <v>14</v>
      </c>
    </row>
    <row r="25" spans="1:10" x14ac:dyDescent="0.3">
      <c r="A25" s="4">
        <f t="shared" si="0"/>
        <v>15</v>
      </c>
      <c r="B25" s="32" t="s">
        <v>877</v>
      </c>
      <c r="E25" s="10">
        <f>SUM(E22:E24)</f>
        <v>237820.63982365181</v>
      </c>
      <c r="F25" s="1"/>
      <c r="G25" s="36"/>
      <c r="H25" s="47"/>
      <c r="I25" s="47" t="s">
        <v>878</v>
      </c>
      <c r="J25" s="4">
        <f t="shared" si="1"/>
        <v>15</v>
      </c>
    </row>
    <row r="26" spans="1:10" x14ac:dyDescent="0.3">
      <c r="A26" s="4">
        <f t="shared" si="0"/>
        <v>16</v>
      </c>
      <c r="F26" s="4"/>
      <c r="H26" s="4"/>
      <c r="I26" s="47"/>
      <c r="J26" s="4">
        <f t="shared" si="1"/>
        <v>16</v>
      </c>
    </row>
    <row r="27" spans="1:10" x14ac:dyDescent="0.3">
      <c r="A27" s="4">
        <f t="shared" si="0"/>
        <v>17</v>
      </c>
      <c r="B27" s="32" t="s">
        <v>879</v>
      </c>
      <c r="E27" s="920">
        <f>1/8</f>
        <v>0.125</v>
      </c>
      <c r="F27" s="4"/>
      <c r="G27" s="48"/>
      <c r="H27" s="4"/>
      <c r="I27" s="47" t="s">
        <v>880</v>
      </c>
      <c r="J27" s="4">
        <f t="shared" si="1"/>
        <v>17</v>
      </c>
    </row>
    <row r="28" spans="1:10" x14ac:dyDescent="0.3">
      <c r="A28" s="4">
        <f t="shared" si="0"/>
        <v>18</v>
      </c>
      <c r="E28" s="71" t="s">
        <v>1</v>
      </c>
      <c r="F28" s="42"/>
      <c r="G28" s="71"/>
      <c r="H28" s="42"/>
      <c r="I28" s="47"/>
      <c r="J28" s="4">
        <f t="shared" si="1"/>
        <v>18</v>
      </c>
    </row>
    <row r="29" spans="1:10" ht="16.2" thickBot="1" x14ac:dyDescent="0.35">
      <c r="A29" s="4">
        <f t="shared" si="0"/>
        <v>19</v>
      </c>
      <c r="B29" s="32" t="s">
        <v>881</v>
      </c>
      <c r="E29" s="78">
        <f>E25*E27</f>
        <v>29727.579977956477</v>
      </c>
      <c r="F29" s="1"/>
      <c r="G29" s="76"/>
      <c r="H29" s="42"/>
      <c r="I29" s="4" t="s">
        <v>882</v>
      </c>
      <c r="J29" s="4">
        <f t="shared" si="1"/>
        <v>19</v>
      </c>
    </row>
    <row r="30" spans="1:10" ht="16.2" thickTop="1" x14ac:dyDescent="0.3">
      <c r="A30" s="4">
        <f t="shared" si="0"/>
        <v>20</v>
      </c>
      <c r="E30" s="76"/>
      <c r="F30" s="72"/>
      <c r="G30" s="76"/>
      <c r="H30" s="42"/>
      <c r="I30" s="4"/>
      <c r="J30" s="4">
        <f t="shared" si="1"/>
        <v>20</v>
      </c>
    </row>
    <row r="31" spans="1:10" x14ac:dyDescent="0.3">
      <c r="A31" s="4">
        <f t="shared" si="0"/>
        <v>21</v>
      </c>
      <c r="B31" s="254" t="s">
        <v>883</v>
      </c>
      <c r="E31" s="39"/>
      <c r="F31" s="42"/>
      <c r="G31" s="42"/>
      <c r="H31" s="42"/>
      <c r="I31" s="47"/>
      <c r="J31" s="4">
        <f t="shared" si="1"/>
        <v>21</v>
      </c>
    </row>
    <row r="32" spans="1:10" x14ac:dyDescent="0.3">
      <c r="A32" s="4">
        <f t="shared" si="0"/>
        <v>22</v>
      </c>
      <c r="B32" s="32" t="s">
        <v>876</v>
      </c>
      <c r="E32" s="49">
        <f>E24</f>
        <v>0</v>
      </c>
      <c r="F32" s="42"/>
      <c r="G32" s="49"/>
      <c r="H32" s="42"/>
      <c r="I32" s="47" t="s">
        <v>884</v>
      </c>
      <c r="J32" s="4">
        <f t="shared" si="1"/>
        <v>22</v>
      </c>
    </row>
    <row r="33" spans="1:10" x14ac:dyDescent="0.3">
      <c r="A33" s="4">
        <f t="shared" si="0"/>
        <v>23</v>
      </c>
      <c r="E33" s="115"/>
      <c r="F33" s="42"/>
      <c r="G33" s="49"/>
      <c r="H33" s="42"/>
      <c r="I33" s="47"/>
      <c r="J33" s="4">
        <f t="shared" si="1"/>
        <v>23</v>
      </c>
    </row>
    <row r="34" spans="1:10" x14ac:dyDescent="0.3">
      <c r="A34" s="4">
        <f t="shared" si="0"/>
        <v>24</v>
      </c>
      <c r="B34" s="32" t="s">
        <v>879</v>
      </c>
      <c r="E34" s="1049">
        <f>E27</f>
        <v>0.125</v>
      </c>
      <c r="F34" s="4"/>
      <c r="G34" s="48"/>
      <c r="H34" s="4"/>
      <c r="I34" s="47" t="s">
        <v>885</v>
      </c>
      <c r="J34" s="4">
        <f t="shared" si="1"/>
        <v>24</v>
      </c>
    </row>
    <row r="35" spans="1:10" x14ac:dyDescent="0.3">
      <c r="A35" s="4">
        <f t="shared" si="0"/>
        <v>25</v>
      </c>
      <c r="E35" s="48"/>
      <c r="F35" s="4"/>
      <c r="G35" s="48"/>
      <c r="H35" s="4"/>
      <c r="I35" s="47"/>
      <c r="J35" s="4">
        <f t="shared" si="1"/>
        <v>25</v>
      </c>
    </row>
    <row r="36" spans="1:10" x14ac:dyDescent="0.3">
      <c r="A36" s="4">
        <f t="shared" si="0"/>
        <v>26</v>
      </c>
      <c r="B36" s="32" t="s">
        <v>886</v>
      </c>
      <c r="E36" s="921">
        <f>E32*E34</f>
        <v>0</v>
      </c>
      <c r="F36" s="4"/>
      <c r="G36" s="48"/>
      <c r="H36" s="4"/>
      <c r="I36" s="4" t="s">
        <v>887</v>
      </c>
      <c r="J36" s="4">
        <f t="shared" si="1"/>
        <v>26</v>
      </c>
    </row>
    <row r="37" spans="1:10" x14ac:dyDescent="0.3">
      <c r="A37" s="4">
        <f t="shared" si="0"/>
        <v>27</v>
      </c>
      <c r="J37" s="4">
        <f t="shared" si="1"/>
        <v>27</v>
      </c>
    </row>
    <row r="38" spans="1:10" ht="18" x14ac:dyDescent="0.3">
      <c r="A38" s="4">
        <f t="shared" si="0"/>
        <v>28</v>
      </c>
      <c r="B38" s="33" t="s">
        <v>1702</v>
      </c>
      <c r="C38" s="4"/>
      <c r="E38" s="871">
        <f>IFERROR('Stmt AV'!G158,0)</f>
        <v>0.10681956539018267</v>
      </c>
      <c r="F38" s="1"/>
      <c r="I38" s="4" t="s">
        <v>1806</v>
      </c>
      <c r="J38" s="4">
        <f t="shared" si="1"/>
        <v>28</v>
      </c>
    </row>
    <row r="39" spans="1:10" x14ac:dyDescent="0.3">
      <c r="A39" s="4">
        <f t="shared" si="0"/>
        <v>29</v>
      </c>
      <c r="B39" s="33"/>
      <c r="C39" s="4"/>
      <c r="E39" s="26"/>
      <c r="F39" s="1"/>
      <c r="I39" s="4"/>
      <c r="J39" s="4">
        <f t="shared" si="1"/>
        <v>29</v>
      </c>
    </row>
    <row r="40" spans="1:10" ht="18.600000000000001" thickBot="1" x14ac:dyDescent="0.35">
      <c r="A40" s="4">
        <f t="shared" si="0"/>
        <v>30</v>
      </c>
      <c r="B40" s="32" t="s">
        <v>1864</v>
      </c>
      <c r="C40" s="4"/>
      <c r="E40" s="1125">
        <f>E36*E38</f>
        <v>0</v>
      </c>
      <c r="F40" s="1"/>
      <c r="I40" s="4" t="s">
        <v>1746</v>
      </c>
      <c r="J40" s="4">
        <f t="shared" si="1"/>
        <v>30</v>
      </c>
    </row>
    <row r="41" spans="1:10" ht="16.2" thickTop="1" x14ac:dyDescent="0.3">
      <c r="A41" s="4">
        <f t="shared" si="0"/>
        <v>31</v>
      </c>
      <c r="C41" s="4"/>
      <c r="E41" s="76"/>
      <c r="I41" s="4"/>
      <c r="J41" s="4">
        <f t="shared" si="1"/>
        <v>31</v>
      </c>
    </row>
    <row r="42" spans="1:10" ht="18" x14ac:dyDescent="0.3">
      <c r="A42" s="4">
        <f t="shared" si="0"/>
        <v>32</v>
      </c>
      <c r="B42" s="33" t="s">
        <v>1704</v>
      </c>
      <c r="C42" s="4"/>
      <c r="E42" s="1214">
        <f>IFERROR('Stmt AV'!G198,0)</f>
        <v>3.7833775791095577E-3</v>
      </c>
      <c r="I42" s="4" t="s">
        <v>1808</v>
      </c>
      <c r="J42" s="4">
        <f t="shared" si="1"/>
        <v>32</v>
      </c>
    </row>
    <row r="43" spans="1:10" x14ac:dyDescent="0.3">
      <c r="A43" s="4">
        <f t="shared" si="0"/>
        <v>33</v>
      </c>
      <c r="C43" s="4"/>
      <c r="E43" s="76"/>
      <c r="I43" s="4"/>
      <c r="J43" s="4">
        <f t="shared" si="1"/>
        <v>33</v>
      </c>
    </row>
    <row r="44" spans="1:10" ht="18.600000000000001" thickBot="1" x14ac:dyDescent="0.35">
      <c r="A44" s="4">
        <f t="shared" si="0"/>
        <v>34</v>
      </c>
      <c r="B44" s="32" t="s">
        <v>1865</v>
      </c>
      <c r="C44" s="4"/>
      <c r="E44" s="78">
        <f>E36*E42</f>
        <v>0</v>
      </c>
      <c r="I44" s="4" t="s">
        <v>1819</v>
      </c>
      <c r="J44" s="4">
        <f t="shared" si="1"/>
        <v>34</v>
      </c>
    </row>
    <row r="45" spans="1:10" ht="16.2" thickTop="1" x14ac:dyDescent="0.3">
      <c r="C45" s="4"/>
      <c r="E45" s="76"/>
      <c r="I45" s="4"/>
      <c r="J45" s="4"/>
    </row>
    <row r="46" spans="1:10" x14ac:dyDescent="0.3">
      <c r="C46" s="4"/>
    </row>
    <row r="47" spans="1:10" ht="18" x14ac:dyDescent="0.3">
      <c r="A47" s="256">
        <v>1</v>
      </c>
      <c r="B47" s="32" t="s">
        <v>888</v>
      </c>
      <c r="C47" s="4"/>
    </row>
    <row r="48" spans="1:10" ht="18" x14ac:dyDescent="0.3">
      <c r="A48" s="256">
        <v>2</v>
      </c>
      <c r="B48" s="32" t="s">
        <v>889</v>
      </c>
      <c r="C48" s="4"/>
    </row>
    <row r="49" spans="1:2" x14ac:dyDescent="0.3">
      <c r="A49" s="221"/>
      <c r="B49" s="1"/>
    </row>
  </sheetData>
  <mergeCells count="5">
    <mergeCell ref="B2:I2"/>
    <mergeCell ref="B3:I3"/>
    <mergeCell ref="B4:I4"/>
    <mergeCell ref="B5:I5"/>
    <mergeCell ref="B6:I6"/>
  </mergeCells>
  <printOptions horizontalCentered="1"/>
  <pageMargins left="0.5" right="0.5" top="0.5" bottom="0.5" header="0.25" footer="0.25"/>
  <pageSetup scale="49" orientation="portrait" r:id="rId1"/>
  <headerFooter scaleWithDoc="0">
    <oddFooter>&amp;C&amp;"Times New Roman,Regular"&amp;10&amp;A</oddFooter>
  </headerFooter>
  <customProperties>
    <customPr name="_pios_id" r:id="rId2"/>
  </customPropertie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2:I34"/>
  <sheetViews>
    <sheetView zoomScale="80" zoomScaleNormal="80" workbookViewId="0"/>
  </sheetViews>
  <sheetFormatPr defaultColWidth="9.33203125" defaultRowHeight="15.6" x14ac:dyDescent="0.3"/>
  <cols>
    <col min="1" max="1" width="5.33203125" style="221" customWidth="1"/>
    <col min="2" max="2" width="35.33203125" style="1" customWidth="1"/>
    <col min="3" max="3" width="18.5546875" style="88" customWidth="1"/>
    <col min="4" max="4" width="62.5546875" style="303" customWidth="1"/>
    <col min="5" max="5" width="5.33203125" style="303" customWidth="1"/>
    <col min="6" max="6" width="21.33203125" style="88" customWidth="1"/>
    <col min="7" max="7" width="20.33203125" style="88" customWidth="1"/>
    <col min="8" max="8" width="17.44140625" style="88" customWidth="1"/>
    <col min="9" max="9" width="16.6640625" style="88" customWidth="1"/>
    <col min="10" max="10" width="21.33203125" style="1" customWidth="1"/>
    <col min="11" max="11" width="15" style="1" customWidth="1"/>
    <col min="12" max="12" width="11" style="1" customWidth="1"/>
    <col min="13" max="13" width="7.33203125" style="1" customWidth="1"/>
    <col min="14" max="14" width="9.33203125" style="1" customWidth="1"/>
    <col min="15" max="15" width="14" style="1" customWidth="1"/>
    <col min="16" max="16" width="13.44140625" style="1" customWidth="1"/>
    <col min="17" max="16384" width="9.33203125" style="1"/>
  </cols>
  <sheetData>
    <row r="2" spans="1:6" x14ac:dyDescent="0.3">
      <c r="B2" s="1222" t="s">
        <v>0</v>
      </c>
      <c r="C2" s="1222"/>
      <c r="D2" s="1222"/>
      <c r="E2" s="303" t="s">
        <v>1</v>
      </c>
      <c r="F2" s="1"/>
    </row>
    <row r="3" spans="1:6" x14ac:dyDescent="0.3">
      <c r="B3" s="1222" t="s">
        <v>890</v>
      </c>
      <c r="C3" s="1222"/>
      <c r="D3" s="1222"/>
      <c r="E3" s="303" t="s">
        <v>1</v>
      </c>
      <c r="F3" s="1"/>
    </row>
    <row r="4" spans="1:6" x14ac:dyDescent="0.3">
      <c r="B4" s="1222" t="s">
        <v>891</v>
      </c>
      <c r="C4" s="1222"/>
      <c r="D4" s="1222"/>
      <c r="E4" s="303" t="s">
        <v>1</v>
      </c>
      <c r="F4" s="1"/>
    </row>
    <row r="5" spans="1:6" x14ac:dyDescent="0.3">
      <c r="B5" s="1222" t="str">
        <f>'AD-1'!B5</f>
        <v>BASE PERIOD / TRUE UP PERIOD - 12/31/2023 PER BOOK</v>
      </c>
      <c r="C5" s="1222"/>
      <c r="D5" s="1222"/>
      <c r="E5" s="221"/>
      <c r="F5" s="1"/>
    </row>
    <row r="6" spans="1:6" x14ac:dyDescent="0.3">
      <c r="B6" s="1250" t="s">
        <v>4</v>
      </c>
      <c r="C6" s="1250"/>
      <c r="D6" s="1250"/>
      <c r="E6" s="303" t="s">
        <v>1</v>
      </c>
      <c r="F6" s="271"/>
    </row>
    <row r="7" spans="1:6" x14ac:dyDescent="0.3">
      <c r="B7" s="451"/>
      <c r="C7" s="271"/>
      <c r="F7" s="271"/>
    </row>
    <row r="8" spans="1:6" x14ac:dyDescent="0.3">
      <c r="B8" s="1222" t="s">
        <v>892</v>
      </c>
      <c r="C8" s="1222"/>
      <c r="D8" s="1222"/>
      <c r="E8" s="221"/>
      <c r="F8" s="271"/>
    </row>
    <row r="9" spans="1:6" x14ac:dyDescent="0.3">
      <c r="B9" s="1222" t="s">
        <v>893</v>
      </c>
      <c r="C9" s="1222"/>
      <c r="D9" s="1222"/>
      <c r="E9" s="221"/>
    </row>
    <row r="10" spans="1:6" x14ac:dyDescent="0.3">
      <c r="B10" s="924"/>
      <c r="C10" s="1050"/>
      <c r="E10" s="303" t="s">
        <v>1</v>
      </c>
    </row>
    <row r="11" spans="1:6" x14ac:dyDescent="0.3">
      <c r="B11" s="932"/>
      <c r="C11" s="951" t="s">
        <v>200</v>
      </c>
      <c r="D11" s="933"/>
      <c r="E11" s="4"/>
      <c r="F11" s="32"/>
    </row>
    <row r="12" spans="1:6" x14ac:dyDescent="0.3">
      <c r="B12" s="276"/>
      <c r="C12" s="273" t="s">
        <v>894</v>
      </c>
      <c r="D12" s="273"/>
      <c r="E12" s="4"/>
      <c r="F12" s="32"/>
    </row>
    <row r="13" spans="1:6" x14ac:dyDescent="0.3">
      <c r="A13" s="4" t="s">
        <v>5</v>
      </c>
      <c r="B13" s="273"/>
      <c r="C13" s="273" t="s">
        <v>895</v>
      </c>
      <c r="D13" s="273"/>
      <c r="E13" s="4" t="s">
        <v>5</v>
      </c>
      <c r="F13" s="32"/>
    </row>
    <row r="14" spans="1:6" x14ac:dyDescent="0.3">
      <c r="A14" s="4" t="s">
        <v>6</v>
      </c>
      <c r="B14" s="278" t="s">
        <v>286</v>
      </c>
      <c r="C14" s="273" t="s">
        <v>896</v>
      </c>
      <c r="D14" s="278" t="s">
        <v>8</v>
      </c>
      <c r="E14" s="4" t="s">
        <v>6</v>
      </c>
      <c r="F14" s="32"/>
    </row>
    <row r="15" spans="1:6" x14ac:dyDescent="0.3">
      <c r="A15" s="452">
        <v>1</v>
      </c>
      <c r="B15" s="936" t="str">
        <f>'AG-1'!B14</f>
        <v>Dec-22</v>
      </c>
      <c r="C15" s="1051">
        <v>125709.182</v>
      </c>
      <c r="D15" s="947" t="s">
        <v>289</v>
      </c>
      <c r="E15" s="452">
        <f>A15</f>
        <v>1</v>
      </c>
      <c r="F15" s="453"/>
    </row>
    <row r="16" spans="1:6" x14ac:dyDescent="0.3">
      <c r="A16" s="452">
        <f>A15+1</f>
        <v>2</v>
      </c>
      <c r="B16" s="936" t="str">
        <f>'AG-1'!B15</f>
        <v>Jan-23</v>
      </c>
      <c r="C16" s="236">
        <v>133597.03200000001</v>
      </c>
      <c r="D16" s="947"/>
      <c r="E16" s="452">
        <f>E15+1</f>
        <v>2</v>
      </c>
      <c r="F16" s="453"/>
    </row>
    <row r="17" spans="1:6" x14ac:dyDescent="0.3">
      <c r="A17" s="452">
        <f t="shared" ref="A17:A32" si="0">A16+1</f>
        <v>3</v>
      </c>
      <c r="B17" s="939" t="s">
        <v>291</v>
      </c>
      <c r="C17" s="236">
        <v>134218.87</v>
      </c>
      <c r="D17" s="947"/>
      <c r="E17" s="452">
        <f t="shared" ref="E17:E32" si="1">E16+1</f>
        <v>3</v>
      </c>
      <c r="F17" s="453"/>
    </row>
    <row r="18" spans="1:6" x14ac:dyDescent="0.3">
      <c r="A18" s="452">
        <f t="shared" si="0"/>
        <v>4</v>
      </c>
      <c r="B18" s="939" t="s">
        <v>292</v>
      </c>
      <c r="C18" s="236">
        <v>133444.23000000001</v>
      </c>
      <c r="D18" s="947"/>
      <c r="E18" s="452">
        <f t="shared" si="1"/>
        <v>4</v>
      </c>
      <c r="F18" s="453"/>
    </row>
    <row r="19" spans="1:6" x14ac:dyDescent="0.3">
      <c r="A19" s="452">
        <f t="shared" si="0"/>
        <v>5</v>
      </c>
      <c r="B19" s="939" t="s">
        <v>293</v>
      </c>
      <c r="C19" s="236">
        <v>134071.856</v>
      </c>
      <c r="D19" s="947"/>
      <c r="E19" s="452">
        <f t="shared" si="1"/>
        <v>5</v>
      </c>
      <c r="F19" s="453"/>
    </row>
    <row r="20" spans="1:6" x14ac:dyDescent="0.3">
      <c r="A20" s="452">
        <f t="shared" si="0"/>
        <v>6</v>
      </c>
      <c r="B20" s="939" t="s">
        <v>294</v>
      </c>
      <c r="C20" s="236">
        <v>133642.514</v>
      </c>
      <c r="D20" s="947"/>
      <c r="E20" s="452">
        <f t="shared" si="1"/>
        <v>6</v>
      </c>
      <c r="F20" s="453"/>
    </row>
    <row r="21" spans="1:6" x14ac:dyDescent="0.3">
      <c r="A21" s="452">
        <f t="shared" si="0"/>
        <v>7</v>
      </c>
      <c r="B21" s="939" t="s">
        <v>295</v>
      </c>
      <c r="C21" s="236">
        <v>133450.408</v>
      </c>
      <c r="D21" s="947"/>
      <c r="E21" s="452">
        <f t="shared" si="1"/>
        <v>7</v>
      </c>
      <c r="F21" s="453"/>
    </row>
    <row r="22" spans="1:6" x14ac:dyDescent="0.3">
      <c r="A22" s="452">
        <f t="shared" si="0"/>
        <v>8</v>
      </c>
      <c r="B22" s="939" t="s">
        <v>296</v>
      </c>
      <c r="C22" s="236">
        <v>131639.28700000001</v>
      </c>
      <c r="D22" s="947"/>
      <c r="E22" s="452">
        <f t="shared" si="1"/>
        <v>8</v>
      </c>
      <c r="F22" s="453"/>
    </row>
    <row r="23" spans="1:6" x14ac:dyDescent="0.3">
      <c r="A23" s="452">
        <f t="shared" si="0"/>
        <v>9</v>
      </c>
      <c r="B23" s="939" t="s">
        <v>297</v>
      </c>
      <c r="C23" s="236">
        <v>132704.78700000001</v>
      </c>
      <c r="D23" s="947"/>
      <c r="E23" s="452">
        <f t="shared" si="1"/>
        <v>9</v>
      </c>
      <c r="F23" s="453"/>
    </row>
    <row r="24" spans="1:6" x14ac:dyDescent="0.3">
      <c r="A24" s="452">
        <f t="shared" si="0"/>
        <v>10</v>
      </c>
      <c r="B24" s="939" t="s">
        <v>298</v>
      </c>
      <c r="C24" s="236">
        <v>135792.51999999999</v>
      </c>
      <c r="D24" s="947"/>
      <c r="E24" s="452">
        <f t="shared" si="1"/>
        <v>10</v>
      </c>
      <c r="F24" s="453"/>
    </row>
    <row r="25" spans="1:6" x14ac:dyDescent="0.3">
      <c r="A25" s="452">
        <f t="shared" si="0"/>
        <v>11</v>
      </c>
      <c r="B25" s="939" t="s">
        <v>299</v>
      </c>
      <c r="C25" s="236">
        <v>137062.08799999999</v>
      </c>
      <c r="D25" s="947"/>
      <c r="E25" s="452">
        <f t="shared" si="1"/>
        <v>11</v>
      </c>
      <c r="F25" s="453"/>
    </row>
    <row r="26" spans="1:6" x14ac:dyDescent="0.3">
      <c r="A26" s="452">
        <f t="shared" si="0"/>
        <v>12</v>
      </c>
      <c r="B26" s="939" t="s">
        <v>300</v>
      </c>
      <c r="C26" s="236">
        <v>140765.24299999999</v>
      </c>
      <c r="D26" s="941"/>
      <c r="E26" s="452">
        <f t="shared" si="1"/>
        <v>12</v>
      </c>
      <c r="F26" s="453"/>
    </row>
    <row r="27" spans="1:6" x14ac:dyDescent="0.3">
      <c r="A27" s="452">
        <f t="shared" si="0"/>
        <v>13</v>
      </c>
      <c r="B27" s="633" t="str">
        <f>'AG-1'!B26</f>
        <v>Dec-23</v>
      </c>
      <c r="C27" s="95">
        <v>141620.29500000001</v>
      </c>
      <c r="D27" s="69" t="s">
        <v>289</v>
      </c>
      <c r="E27" s="452">
        <f t="shared" si="1"/>
        <v>13</v>
      </c>
      <c r="F27" s="453"/>
    </row>
    <row r="28" spans="1:6" x14ac:dyDescent="0.3">
      <c r="A28" s="452">
        <f t="shared" si="0"/>
        <v>14</v>
      </c>
      <c r="B28" s="1052"/>
      <c r="C28" s="1053"/>
      <c r="D28" s="1054"/>
      <c r="E28" s="452">
        <f t="shared" si="1"/>
        <v>14</v>
      </c>
      <c r="F28" s="32"/>
    </row>
    <row r="29" spans="1:6" x14ac:dyDescent="0.3">
      <c r="A29" s="452">
        <f t="shared" si="0"/>
        <v>15</v>
      </c>
      <c r="B29" s="281" t="s">
        <v>302</v>
      </c>
      <c r="C29" s="969">
        <f>SUM(C15:C27)</f>
        <v>1747718.3119999999</v>
      </c>
      <c r="D29" s="941" t="s">
        <v>303</v>
      </c>
      <c r="E29" s="452">
        <f t="shared" si="1"/>
        <v>15</v>
      </c>
      <c r="F29" s="32"/>
    </row>
    <row r="30" spans="1:6" x14ac:dyDescent="0.3">
      <c r="A30" s="452">
        <f t="shared" si="0"/>
        <v>16</v>
      </c>
      <c r="B30" s="120"/>
      <c r="C30" s="94"/>
      <c r="D30" s="69"/>
      <c r="E30" s="452">
        <f t="shared" si="1"/>
        <v>16</v>
      </c>
      <c r="F30" s="32"/>
    </row>
    <row r="31" spans="1:6" x14ac:dyDescent="0.3">
      <c r="A31" s="452">
        <f t="shared" si="0"/>
        <v>17</v>
      </c>
      <c r="B31" s="932"/>
      <c r="C31" s="1055"/>
      <c r="D31" s="1056"/>
      <c r="E31" s="452">
        <f t="shared" si="1"/>
        <v>17</v>
      </c>
      <c r="F31" s="32"/>
    </row>
    <row r="32" spans="1:6" x14ac:dyDescent="0.3">
      <c r="A32" s="452">
        <f t="shared" si="0"/>
        <v>18</v>
      </c>
      <c r="B32" s="281" t="s">
        <v>304</v>
      </c>
      <c r="C32" s="969">
        <f>C29/13</f>
        <v>134439.87015384616</v>
      </c>
      <c r="D32" s="573" t="s">
        <v>897</v>
      </c>
      <c r="E32" s="452">
        <f t="shared" si="1"/>
        <v>18</v>
      </c>
      <c r="F32" s="32"/>
    </row>
    <row r="33" spans="1:6" x14ac:dyDescent="0.3">
      <c r="A33" s="452">
        <f>A32+1</f>
        <v>19</v>
      </c>
      <c r="B33" s="120"/>
      <c r="C33" s="68"/>
      <c r="D33" s="454"/>
      <c r="E33" s="452">
        <f>E32+1</f>
        <v>19</v>
      </c>
      <c r="F33" s="32"/>
    </row>
    <row r="34" spans="1:6" x14ac:dyDescent="0.3">
      <c r="A34" s="4"/>
    </row>
  </sheetData>
  <mergeCells count="7">
    <mergeCell ref="B8:D8"/>
    <mergeCell ref="B9:D9"/>
    <mergeCell ref="B5:D5"/>
    <mergeCell ref="B3:D3"/>
    <mergeCell ref="B2:D2"/>
    <mergeCell ref="B6:D6"/>
    <mergeCell ref="B4:D4"/>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2:H142"/>
  <sheetViews>
    <sheetView topLeftCell="A7" zoomScale="80" zoomScaleNormal="80" workbookViewId="0"/>
  </sheetViews>
  <sheetFormatPr defaultColWidth="9.33203125" defaultRowHeight="15.6" x14ac:dyDescent="0.3"/>
  <cols>
    <col min="1" max="1" width="5.33203125" style="221" customWidth="1"/>
    <col min="2" max="2" width="35.33203125" style="1" customWidth="1"/>
    <col min="3" max="3" width="18.5546875" style="88" customWidth="1"/>
    <col min="4" max="4" width="62.5546875" style="88" customWidth="1"/>
    <col min="5" max="5" width="5.33203125" style="303" customWidth="1"/>
    <col min="6" max="6" width="9.44140625" style="1" bestFit="1" customWidth="1"/>
    <col min="7" max="16384" width="9.33203125" style="1"/>
  </cols>
  <sheetData>
    <row r="2" spans="1:6" s="32" customFormat="1" x14ac:dyDescent="0.3">
      <c r="A2" s="4"/>
      <c r="B2" s="1222" t="s">
        <v>0</v>
      </c>
      <c r="C2" s="1222"/>
      <c r="D2" s="1222"/>
      <c r="E2" s="4"/>
      <c r="F2" s="1"/>
    </row>
    <row r="3" spans="1:6" s="32" customFormat="1" x14ac:dyDescent="0.3">
      <c r="A3" s="4"/>
      <c r="B3" s="1222" t="s">
        <v>890</v>
      </c>
      <c r="C3" s="1222"/>
      <c r="D3" s="1222"/>
      <c r="E3" s="4"/>
      <c r="F3" s="1"/>
    </row>
    <row r="4" spans="1:6" s="32" customFormat="1" x14ac:dyDescent="0.3">
      <c r="A4" s="4"/>
      <c r="B4" s="1222" t="s">
        <v>891</v>
      </c>
      <c r="C4" s="1222"/>
      <c r="D4" s="1222"/>
      <c r="E4" s="4"/>
      <c r="F4" s="1"/>
    </row>
    <row r="5" spans="1:6" s="32" customFormat="1" x14ac:dyDescent="0.3">
      <c r="A5" s="4"/>
      <c r="B5" s="1222" t="str">
        <f>'AD-1'!B5</f>
        <v>BASE PERIOD / TRUE UP PERIOD - 12/31/2023 PER BOOK</v>
      </c>
      <c r="C5" s="1222"/>
      <c r="D5" s="1222"/>
      <c r="E5" s="4"/>
      <c r="F5" s="1"/>
    </row>
    <row r="6" spans="1:6" s="32" customFormat="1" x14ac:dyDescent="0.3">
      <c r="A6" s="4"/>
      <c r="B6" s="1250" t="s">
        <v>4</v>
      </c>
      <c r="C6" s="1250"/>
      <c r="D6" s="1250"/>
      <c r="E6" s="303" t="s">
        <v>1</v>
      </c>
    </row>
    <row r="7" spans="1:6" s="32" customFormat="1" x14ac:dyDescent="0.3">
      <c r="A7" s="4"/>
      <c r="B7" s="455"/>
      <c r="C7" s="455"/>
      <c r="D7" s="455"/>
      <c r="E7" s="303"/>
    </row>
    <row r="8" spans="1:6" s="32" customFormat="1" x14ac:dyDescent="0.3">
      <c r="A8" s="4"/>
      <c r="B8" s="1222" t="s">
        <v>898</v>
      </c>
      <c r="C8" s="1222"/>
      <c r="D8" s="1222"/>
      <c r="E8" s="303" t="s">
        <v>1</v>
      </c>
    </row>
    <row r="9" spans="1:6" s="32" customFormat="1" x14ac:dyDescent="0.3">
      <c r="A9" s="4"/>
      <c r="B9" s="1057"/>
      <c r="C9" s="1050"/>
      <c r="D9" s="88"/>
      <c r="E9" s="303"/>
    </row>
    <row r="10" spans="1:6" s="32" customFormat="1" x14ac:dyDescent="0.3">
      <c r="A10" s="4"/>
      <c r="B10" s="1058"/>
      <c r="C10" s="951" t="s">
        <v>200</v>
      </c>
      <c r="D10" s="933"/>
    </row>
    <row r="11" spans="1:6" s="32" customFormat="1" x14ac:dyDescent="0.3">
      <c r="A11" s="4" t="s">
        <v>5</v>
      </c>
      <c r="B11" s="273"/>
      <c r="C11" s="273" t="s">
        <v>894</v>
      </c>
      <c r="D11" s="273"/>
      <c r="E11" s="4" t="s">
        <v>5</v>
      </c>
    </row>
    <row r="12" spans="1:6" s="32" customFormat="1" x14ac:dyDescent="0.3">
      <c r="A12" s="4" t="s">
        <v>6</v>
      </c>
      <c r="B12" s="278" t="s">
        <v>286</v>
      </c>
      <c r="C12" s="273" t="s">
        <v>899</v>
      </c>
      <c r="D12" s="278" t="s">
        <v>8</v>
      </c>
      <c r="E12" s="4" t="s">
        <v>6</v>
      </c>
    </row>
    <row r="13" spans="1:6" s="32" customFormat="1" x14ac:dyDescent="0.3">
      <c r="A13" s="452">
        <v>1</v>
      </c>
      <c r="B13" s="936" t="str">
        <f>'AL-1'!B15</f>
        <v>Dec-22</v>
      </c>
      <c r="C13" s="1051">
        <v>109565.29300000001</v>
      </c>
      <c r="D13" s="947" t="s">
        <v>289</v>
      </c>
      <c r="E13" s="452">
        <f>A13</f>
        <v>1</v>
      </c>
      <c r="F13" s="456"/>
    </row>
    <row r="14" spans="1:6" s="32" customFormat="1" x14ac:dyDescent="0.3">
      <c r="A14" s="452">
        <f>A13+1</f>
        <v>2</v>
      </c>
      <c r="B14" s="936" t="str">
        <f>'AL-1'!B16</f>
        <v>Jan-23</v>
      </c>
      <c r="C14" s="962">
        <v>100833.433</v>
      </c>
      <c r="D14" s="947"/>
      <c r="E14" s="452">
        <f>E13+1</f>
        <v>2</v>
      </c>
      <c r="F14" s="456"/>
    </row>
    <row r="15" spans="1:6" s="32" customFormat="1" x14ac:dyDescent="0.3">
      <c r="A15" s="452">
        <f t="shared" ref="A15:A30" si="0">A14+1</f>
        <v>3</v>
      </c>
      <c r="B15" s="939" t="s">
        <v>291</v>
      </c>
      <c r="C15" s="962">
        <v>84833.160999999993</v>
      </c>
      <c r="D15" s="947"/>
      <c r="E15" s="452">
        <f t="shared" ref="E15:E30" si="1">E14+1</f>
        <v>3</v>
      </c>
      <c r="F15" s="456"/>
    </row>
    <row r="16" spans="1:6" s="32" customFormat="1" x14ac:dyDescent="0.3">
      <c r="A16" s="452">
        <f t="shared" si="0"/>
        <v>4</v>
      </c>
      <c r="B16" s="939" t="s">
        <v>292</v>
      </c>
      <c r="C16" s="962">
        <v>89649.267000000007</v>
      </c>
      <c r="D16" s="947"/>
      <c r="E16" s="452">
        <f t="shared" si="1"/>
        <v>4</v>
      </c>
      <c r="F16" s="456"/>
    </row>
    <row r="17" spans="1:6" s="32" customFormat="1" x14ac:dyDescent="0.3">
      <c r="A17" s="452">
        <f t="shared" si="0"/>
        <v>5</v>
      </c>
      <c r="B17" s="939" t="s">
        <v>293</v>
      </c>
      <c r="C17" s="236">
        <v>106742.111</v>
      </c>
      <c r="D17" s="947"/>
      <c r="E17" s="452">
        <f t="shared" si="1"/>
        <v>5</v>
      </c>
      <c r="F17" s="456"/>
    </row>
    <row r="18" spans="1:6" s="32" customFormat="1" x14ac:dyDescent="0.3">
      <c r="A18" s="452">
        <f t="shared" si="0"/>
        <v>6</v>
      </c>
      <c r="B18" s="939" t="s">
        <v>294</v>
      </c>
      <c r="C18" s="236">
        <v>73077.252999999997</v>
      </c>
      <c r="D18" s="947"/>
      <c r="E18" s="452">
        <f t="shared" si="1"/>
        <v>6</v>
      </c>
      <c r="F18" s="456"/>
    </row>
    <row r="19" spans="1:6" s="32" customFormat="1" x14ac:dyDescent="0.3">
      <c r="A19" s="452">
        <f t="shared" si="0"/>
        <v>7</v>
      </c>
      <c r="B19" s="939" t="s">
        <v>295</v>
      </c>
      <c r="C19" s="236">
        <v>38489.239000000001</v>
      </c>
      <c r="D19" s="947"/>
      <c r="E19" s="452">
        <f t="shared" si="1"/>
        <v>7</v>
      </c>
      <c r="F19" s="456"/>
    </row>
    <row r="20" spans="1:6" s="32" customFormat="1" x14ac:dyDescent="0.3">
      <c r="A20" s="452">
        <f t="shared" si="0"/>
        <v>8</v>
      </c>
      <c r="B20" s="939" t="s">
        <v>296</v>
      </c>
      <c r="C20" s="236">
        <v>146305.97200000001</v>
      </c>
      <c r="D20" s="947"/>
      <c r="E20" s="452">
        <f t="shared" si="1"/>
        <v>8</v>
      </c>
      <c r="F20" s="456"/>
    </row>
    <row r="21" spans="1:6" s="32" customFormat="1" x14ac:dyDescent="0.3">
      <c r="A21" s="452">
        <f t="shared" si="0"/>
        <v>9</v>
      </c>
      <c r="B21" s="939" t="s">
        <v>297</v>
      </c>
      <c r="C21" s="236">
        <v>129343.973</v>
      </c>
      <c r="D21" s="947"/>
      <c r="E21" s="452">
        <f t="shared" si="1"/>
        <v>9</v>
      </c>
      <c r="F21" s="456"/>
    </row>
    <row r="22" spans="1:6" s="32" customFormat="1" x14ac:dyDescent="0.3">
      <c r="A22" s="452">
        <f t="shared" si="0"/>
        <v>10</v>
      </c>
      <c r="B22" s="939" t="s">
        <v>298</v>
      </c>
      <c r="C22" s="236">
        <v>123607.848</v>
      </c>
      <c r="D22" s="947"/>
      <c r="E22" s="452">
        <f t="shared" si="1"/>
        <v>10</v>
      </c>
      <c r="F22" s="456"/>
    </row>
    <row r="23" spans="1:6" s="32" customFormat="1" x14ac:dyDescent="0.3">
      <c r="A23" s="452">
        <f t="shared" si="0"/>
        <v>11</v>
      </c>
      <c r="B23" s="939" t="s">
        <v>299</v>
      </c>
      <c r="C23" s="236">
        <v>112929.284</v>
      </c>
      <c r="D23" s="947"/>
      <c r="E23" s="452">
        <f t="shared" si="1"/>
        <v>11</v>
      </c>
      <c r="F23" s="456"/>
    </row>
    <row r="24" spans="1:6" s="32" customFormat="1" x14ac:dyDescent="0.3">
      <c r="A24" s="452">
        <f t="shared" si="0"/>
        <v>12</v>
      </c>
      <c r="B24" s="939" t="s">
        <v>300</v>
      </c>
      <c r="C24" s="236">
        <v>96600.032999999996</v>
      </c>
      <c r="D24" s="947"/>
      <c r="E24" s="452">
        <f t="shared" si="1"/>
        <v>12</v>
      </c>
      <c r="F24" s="456"/>
    </row>
    <row r="25" spans="1:6" s="32" customFormat="1" x14ac:dyDescent="0.3">
      <c r="A25" s="452">
        <f t="shared" si="0"/>
        <v>13</v>
      </c>
      <c r="B25" s="633" t="str">
        <f>'AL-1'!B27</f>
        <v>Dec-23</v>
      </c>
      <c r="C25" s="95">
        <v>95282.198999999993</v>
      </c>
      <c r="D25" s="69" t="s">
        <v>289</v>
      </c>
      <c r="E25" s="452">
        <f t="shared" si="1"/>
        <v>13</v>
      </c>
      <c r="F25" s="456"/>
    </row>
    <row r="26" spans="1:6" s="32" customFormat="1" x14ac:dyDescent="0.3">
      <c r="A26" s="452">
        <f t="shared" si="0"/>
        <v>14</v>
      </c>
      <c r="B26" s="1052"/>
      <c r="C26" s="1055"/>
      <c r="D26" s="1054"/>
      <c r="E26" s="452">
        <f t="shared" si="1"/>
        <v>14</v>
      </c>
      <c r="F26" s="456"/>
    </row>
    <row r="27" spans="1:6" s="32" customFormat="1" x14ac:dyDescent="0.3">
      <c r="A27" s="452">
        <f t="shared" si="0"/>
        <v>15</v>
      </c>
      <c r="B27" s="281" t="s">
        <v>302</v>
      </c>
      <c r="C27" s="969">
        <f>SUM(C13:C25)</f>
        <v>1307259.0660000001</v>
      </c>
      <c r="D27" s="941" t="s">
        <v>303</v>
      </c>
      <c r="E27" s="452">
        <f t="shared" si="1"/>
        <v>15</v>
      </c>
    </row>
    <row r="28" spans="1:6" s="32" customFormat="1" x14ac:dyDescent="0.3">
      <c r="A28" s="452">
        <f t="shared" si="0"/>
        <v>16</v>
      </c>
      <c r="B28" s="120"/>
      <c r="C28" s="94"/>
      <c r="D28" s="69"/>
      <c r="E28" s="452">
        <f t="shared" si="1"/>
        <v>16</v>
      </c>
    </row>
    <row r="29" spans="1:6" s="32" customFormat="1" x14ac:dyDescent="0.3">
      <c r="A29" s="452">
        <f t="shared" si="0"/>
        <v>17</v>
      </c>
      <c r="B29" s="932"/>
      <c r="C29" s="1055"/>
      <c r="D29" s="1056"/>
      <c r="E29" s="452">
        <f t="shared" si="1"/>
        <v>17</v>
      </c>
    </row>
    <row r="30" spans="1:6" s="32" customFormat="1" x14ac:dyDescent="0.3">
      <c r="A30" s="452">
        <f t="shared" si="0"/>
        <v>18</v>
      </c>
      <c r="B30" s="281" t="s">
        <v>480</v>
      </c>
      <c r="C30" s="969">
        <f>C27/13</f>
        <v>100558.3896923077</v>
      </c>
      <c r="D30" s="874" t="s">
        <v>900</v>
      </c>
      <c r="E30" s="452">
        <f t="shared" si="1"/>
        <v>18</v>
      </c>
      <c r="F30" s="456"/>
    </row>
    <row r="31" spans="1:6" s="32" customFormat="1" x14ac:dyDescent="0.3">
      <c r="A31" s="452">
        <f>A30+1</f>
        <v>19</v>
      </c>
      <c r="B31" s="120"/>
      <c r="C31" s="68"/>
      <c r="D31" s="304"/>
      <c r="E31" s="452">
        <f>E30+1</f>
        <v>19</v>
      </c>
    </row>
    <row r="32" spans="1:6" s="32" customFormat="1" x14ac:dyDescent="0.3">
      <c r="A32" s="4"/>
      <c r="C32" s="6"/>
      <c r="D32" s="6"/>
      <c r="E32" s="11"/>
    </row>
    <row r="33" spans="1:8" s="32" customFormat="1" x14ac:dyDescent="0.3">
      <c r="A33" s="35"/>
      <c r="E33" s="11"/>
    </row>
    <row r="34" spans="1:8" s="32" customFormat="1" x14ac:dyDescent="0.3">
      <c r="A34"/>
      <c r="B34"/>
      <c r="C34"/>
      <c r="D34"/>
      <c r="E34"/>
      <c r="F34"/>
      <c r="G34" s="258"/>
    </row>
    <row r="35" spans="1:8" s="32" customFormat="1" x14ac:dyDescent="0.3">
      <c r="A35"/>
      <c r="B35"/>
      <c r="C35"/>
      <c r="D35"/>
      <c r="E35"/>
      <c r="F35"/>
      <c r="H35" s="11"/>
    </row>
    <row r="36" spans="1:8" s="32" customFormat="1" x14ac:dyDescent="0.3">
      <c r="A36"/>
      <c r="B36"/>
      <c r="C36"/>
      <c r="D36"/>
      <c r="E36"/>
      <c r="F36"/>
    </row>
    <row r="37" spans="1:8" s="32" customFormat="1" x14ac:dyDescent="0.3">
      <c r="A37" s="4"/>
      <c r="C37" s="6"/>
      <c r="D37" s="6"/>
      <c r="E37" s="11"/>
    </row>
    <row r="38" spans="1:8" s="32" customFormat="1" x14ac:dyDescent="0.3">
      <c r="A38" s="4"/>
      <c r="C38" s="6"/>
      <c r="D38" s="6"/>
      <c r="E38" s="11"/>
    </row>
    <row r="39" spans="1:8" s="32" customFormat="1" x14ac:dyDescent="0.3">
      <c r="A39" s="4"/>
      <c r="C39" s="6"/>
      <c r="D39" s="6"/>
      <c r="E39" s="11"/>
    </row>
    <row r="40" spans="1:8" s="32" customFormat="1" x14ac:dyDescent="0.3">
      <c r="A40" s="4"/>
      <c r="C40" s="6"/>
      <c r="D40" s="6"/>
      <c r="E40" s="11"/>
    </row>
    <row r="41" spans="1:8" s="32" customFormat="1" x14ac:dyDescent="0.3">
      <c r="A41" s="4"/>
      <c r="C41" s="6"/>
      <c r="D41" s="6"/>
      <c r="E41" s="11"/>
    </row>
    <row r="42" spans="1:8" s="32" customFormat="1" x14ac:dyDescent="0.3">
      <c r="A42" s="4"/>
      <c r="C42" s="6"/>
      <c r="D42" s="6"/>
      <c r="E42" s="11"/>
    </row>
    <row r="43" spans="1:8" s="32" customFormat="1" x14ac:dyDescent="0.3">
      <c r="A43" s="4"/>
      <c r="C43" s="6"/>
      <c r="D43" s="6"/>
      <c r="E43" s="11"/>
    </row>
    <row r="44" spans="1:8" s="32" customFormat="1" x14ac:dyDescent="0.3">
      <c r="A44" s="4"/>
      <c r="C44" s="6"/>
      <c r="D44" s="6"/>
      <c r="E44" s="11"/>
    </row>
    <row r="45" spans="1:8" s="32" customFormat="1" x14ac:dyDescent="0.3">
      <c r="A45" s="4"/>
      <c r="C45" s="6"/>
      <c r="D45" s="6"/>
      <c r="E45" s="11"/>
    </row>
    <row r="46" spans="1:8" s="32" customFormat="1" x14ac:dyDescent="0.3">
      <c r="A46" s="4"/>
      <c r="C46" s="6"/>
      <c r="D46" s="6"/>
      <c r="E46" s="11"/>
    </row>
    <row r="47" spans="1:8" s="32" customFormat="1" x14ac:dyDescent="0.3">
      <c r="A47" s="4"/>
      <c r="C47" s="6"/>
      <c r="D47" s="6"/>
      <c r="E47" s="11"/>
    </row>
    <row r="48" spans="1:8" s="32" customFormat="1" x14ac:dyDescent="0.3">
      <c r="A48" s="4"/>
      <c r="C48" s="6"/>
      <c r="D48" s="6"/>
      <c r="E48" s="11"/>
    </row>
    <row r="49" spans="1:5" s="32" customFormat="1" x14ac:dyDescent="0.3">
      <c r="A49" s="4"/>
      <c r="C49" s="6"/>
      <c r="D49" s="6"/>
      <c r="E49" s="11"/>
    </row>
    <row r="50" spans="1:5" s="32" customFormat="1" x14ac:dyDescent="0.3">
      <c r="A50" s="4"/>
      <c r="C50" s="6"/>
      <c r="D50" s="6"/>
      <c r="E50" s="11"/>
    </row>
    <row r="51" spans="1:5" s="32" customFormat="1" x14ac:dyDescent="0.3">
      <c r="A51" s="4"/>
      <c r="C51" s="6"/>
      <c r="D51" s="6"/>
      <c r="E51" s="11"/>
    </row>
    <row r="52" spans="1:5" s="32" customFormat="1" x14ac:dyDescent="0.3">
      <c r="A52" s="4"/>
      <c r="C52" s="6"/>
      <c r="D52" s="6"/>
      <c r="E52" s="11"/>
    </row>
    <row r="53" spans="1:5" s="32" customFormat="1" x14ac:dyDescent="0.3">
      <c r="A53" s="4"/>
      <c r="C53" s="6"/>
      <c r="D53" s="6"/>
      <c r="E53" s="11"/>
    </row>
    <row r="54" spans="1:5" s="32" customFormat="1" x14ac:dyDescent="0.3">
      <c r="A54" s="4"/>
      <c r="C54" s="6"/>
      <c r="D54" s="6"/>
      <c r="E54" s="11"/>
    </row>
    <row r="55" spans="1:5" s="32" customFormat="1" x14ac:dyDescent="0.3">
      <c r="A55" s="4"/>
      <c r="C55" s="6"/>
      <c r="D55" s="6"/>
      <c r="E55" s="11"/>
    </row>
    <row r="56" spans="1:5" s="32" customFormat="1" x14ac:dyDescent="0.3">
      <c r="A56" s="4"/>
      <c r="C56" s="6"/>
      <c r="D56" s="6"/>
      <c r="E56" s="11"/>
    </row>
    <row r="57" spans="1:5" s="32" customFormat="1" x14ac:dyDescent="0.3">
      <c r="A57" s="4"/>
      <c r="C57" s="6"/>
      <c r="D57" s="6"/>
      <c r="E57" s="11"/>
    </row>
    <row r="58" spans="1:5" s="32" customFormat="1" x14ac:dyDescent="0.3">
      <c r="A58" s="4"/>
      <c r="C58" s="6"/>
      <c r="D58" s="6"/>
      <c r="E58" s="11"/>
    </row>
    <row r="59" spans="1:5" s="32" customFormat="1" x14ac:dyDescent="0.3">
      <c r="A59" s="4"/>
      <c r="C59" s="6"/>
      <c r="D59" s="6"/>
      <c r="E59" s="11"/>
    </row>
    <row r="60" spans="1:5" s="32" customFormat="1" x14ac:dyDescent="0.3">
      <c r="A60" s="4"/>
      <c r="C60" s="6"/>
      <c r="D60" s="6"/>
      <c r="E60" s="11"/>
    </row>
    <row r="61" spans="1:5" s="32" customFormat="1" x14ac:dyDescent="0.3">
      <c r="A61" s="4"/>
      <c r="C61" s="6"/>
      <c r="D61" s="6"/>
      <c r="E61" s="11"/>
    </row>
    <row r="62" spans="1:5" s="32" customFormat="1" x14ac:dyDescent="0.3">
      <c r="A62" s="4"/>
      <c r="C62" s="6"/>
      <c r="D62" s="6"/>
      <c r="E62" s="11"/>
    </row>
    <row r="63" spans="1:5" s="32" customFormat="1" x14ac:dyDescent="0.3">
      <c r="A63" s="4"/>
      <c r="C63" s="6"/>
      <c r="D63" s="6"/>
      <c r="E63" s="11"/>
    </row>
    <row r="64" spans="1:5" s="32" customFormat="1" x14ac:dyDescent="0.3">
      <c r="A64" s="4"/>
      <c r="C64" s="6"/>
      <c r="D64" s="6"/>
      <c r="E64" s="11"/>
    </row>
    <row r="65" spans="1:5" s="32" customFormat="1" x14ac:dyDescent="0.3">
      <c r="A65" s="4"/>
      <c r="C65" s="6"/>
      <c r="D65" s="6"/>
      <c r="E65" s="11"/>
    </row>
    <row r="66" spans="1:5" s="32" customFormat="1" x14ac:dyDescent="0.3">
      <c r="A66" s="4"/>
      <c r="C66" s="6"/>
      <c r="D66" s="6"/>
      <c r="E66" s="11"/>
    </row>
    <row r="67" spans="1:5" s="32" customFormat="1" x14ac:dyDescent="0.3">
      <c r="A67" s="4"/>
      <c r="C67" s="6"/>
      <c r="D67" s="6"/>
      <c r="E67" s="11"/>
    </row>
    <row r="68" spans="1:5" s="32" customFormat="1" x14ac:dyDescent="0.3">
      <c r="A68" s="4"/>
      <c r="C68" s="6"/>
      <c r="D68" s="6"/>
      <c r="E68" s="11"/>
    </row>
    <row r="69" spans="1:5" s="32" customFormat="1" x14ac:dyDescent="0.3">
      <c r="A69" s="4"/>
      <c r="C69" s="6"/>
      <c r="D69" s="6"/>
      <c r="E69" s="11"/>
    </row>
    <row r="70" spans="1:5" s="32" customFormat="1" x14ac:dyDescent="0.3">
      <c r="A70" s="4"/>
      <c r="C70" s="6"/>
      <c r="D70" s="6"/>
      <c r="E70" s="11"/>
    </row>
    <row r="71" spans="1:5" s="32" customFormat="1" x14ac:dyDescent="0.3">
      <c r="A71" s="4"/>
      <c r="C71" s="6"/>
      <c r="D71" s="6"/>
      <c r="E71" s="11"/>
    </row>
    <row r="72" spans="1:5" s="32" customFormat="1" x14ac:dyDescent="0.3">
      <c r="A72" s="4"/>
      <c r="C72" s="6"/>
      <c r="D72" s="6"/>
      <c r="E72" s="11"/>
    </row>
    <row r="73" spans="1:5" s="32" customFormat="1" x14ac:dyDescent="0.3">
      <c r="A73" s="4"/>
      <c r="C73" s="6"/>
      <c r="D73" s="6"/>
      <c r="E73" s="11"/>
    </row>
    <row r="74" spans="1:5" s="32" customFormat="1" x14ac:dyDescent="0.3">
      <c r="A74" s="4"/>
      <c r="C74" s="6"/>
      <c r="D74" s="6"/>
      <c r="E74" s="11"/>
    </row>
    <row r="75" spans="1:5" s="32" customFormat="1" x14ac:dyDescent="0.3">
      <c r="A75" s="4"/>
      <c r="C75" s="6"/>
      <c r="D75" s="6"/>
      <c r="E75" s="11"/>
    </row>
    <row r="76" spans="1:5" s="32" customFormat="1" x14ac:dyDescent="0.3">
      <c r="A76" s="4"/>
      <c r="C76" s="6"/>
      <c r="D76" s="6"/>
      <c r="E76" s="11"/>
    </row>
    <row r="77" spans="1:5" s="32" customFormat="1" x14ac:dyDescent="0.3">
      <c r="A77" s="4"/>
      <c r="C77" s="6"/>
      <c r="D77" s="6"/>
      <c r="E77" s="11"/>
    </row>
    <row r="78" spans="1:5" s="32" customFormat="1" x14ac:dyDescent="0.3">
      <c r="A78" s="4"/>
      <c r="C78" s="6"/>
      <c r="D78" s="6"/>
      <c r="E78" s="11"/>
    </row>
    <row r="79" spans="1:5" s="32" customFormat="1" x14ac:dyDescent="0.3">
      <c r="A79" s="4"/>
      <c r="C79" s="6"/>
      <c r="D79" s="6"/>
      <c r="E79" s="11"/>
    </row>
    <row r="80" spans="1:5" s="32" customFormat="1" x14ac:dyDescent="0.3">
      <c r="A80" s="4"/>
      <c r="C80" s="6"/>
      <c r="D80" s="6"/>
      <c r="E80" s="11"/>
    </row>
    <row r="81" spans="1:5" s="32" customFormat="1" x14ac:dyDescent="0.3">
      <c r="A81" s="4"/>
      <c r="C81" s="6"/>
      <c r="D81" s="6"/>
      <c r="E81" s="11"/>
    </row>
    <row r="82" spans="1:5" s="32" customFormat="1" x14ac:dyDescent="0.3">
      <c r="A82" s="4"/>
      <c r="C82" s="6"/>
      <c r="D82" s="6"/>
      <c r="E82" s="11"/>
    </row>
    <row r="83" spans="1:5" s="32" customFormat="1" x14ac:dyDescent="0.3">
      <c r="A83" s="4"/>
      <c r="C83" s="6"/>
      <c r="D83" s="6"/>
      <c r="E83" s="11"/>
    </row>
    <row r="84" spans="1:5" s="32" customFormat="1" x14ac:dyDescent="0.3">
      <c r="A84" s="4"/>
      <c r="C84" s="6"/>
      <c r="D84" s="6"/>
      <c r="E84" s="11"/>
    </row>
    <row r="85" spans="1:5" s="32" customFormat="1" x14ac:dyDescent="0.3">
      <c r="A85" s="4"/>
      <c r="C85" s="6"/>
      <c r="D85" s="6"/>
      <c r="E85" s="11"/>
    </row>
    <row r="86" spans="1:5" s="32" customFormat="1" x14ac:dyDescent="0.3">
      <c r="A86" s="4"/>
      <c r="C86" s="6"/>
      <c r="D86" s="6"/>
      <c r="E86" s="11"/>
    </row>
    <row r="87" spans="1:5" s="32" customFormat="1" x14ac:dyDescent="0.3">
      <c r="A87" s="4"/>
      <c r="C87" s="6"/>
      <c r="D87" s="6"/>
      <c r="E87" s="11"/>
    </row>
    <row r="88" spans="1:5" s="32" customFormat="1" x14ac:dyDescent="0.3">
      <c r="A88" s="4"/>
      <c r="C88" s="6"/>
      <c r="D88" s="6"/>
      <c r="E88" s="11"/>
    </row>
    <row r="89" spans="1:5" s="32" customFormat="1" x14ac:dyDescent="0.3">
      <c r="A89" s="4"/>
      <c r="C89" s="6"/>
      <c r="D89" s="6"/>
      <c r="E89" s="11"/>
    </row>
    <row r="90" spans="1:5" s="32" customFormat="1" x14ac:dyDescent="0.3">
      <c r="A90" s="4"/>
      <c r="C90" s="6"/>
      <c r="D90" s="6"/>
      <c r="E90" s="11"/>
    </row>
    <row r="91" spans="1:5" s="32" customFormat="1" x14ac:dyDescent="0.3">
      <c r="A91" s="4"/>
      <c r="C91" s="6"/>
      <c r="D91" s="6"/>
      <c r="E91" s="11"/>
    </row>
    <row r="92" spans="1:5" s="32" customFormat="1" x14ac:dyDescent="0.3">
      <c r="A92" s="4"/>
      <c r="C92" s="6"/>
      <c r="D92" s="6"/>
      <c r="E92" s="11"/>
    </row>
    <row r="93" spans="1:5" s="32" customFormat="1" x14ac:dyDescent="0.3">
      <c r="A93" s="4"/>
      <c r="C93" s="6"/>
      <c r="D93" s="6"/>
      <c r="E93" s="11"/>
    </row>
    <row r="94" spans="1:5" s="32" customFormat="1" x14ac:dyDescent="0.3">
      <c r="A94" s="4"/>
      <c r="C94" s="6"/>
      <c r="D94" s="6"/>
      <c r="E94" s="11"/>
    </row>
    <row r="95" spans="1:5" s="32" customFormat="1" x14ac:dyDescent="0.3">
      <c r="A95" s="4"/>
      <c r="C95" s="6"/>
      <c r="D95" s="6"/>
      <c r="E95" s="11"/>
    </row>
    <row r="96" spans="1:5" s="32" customFormat="1" x14ac:dyDescent="0.3">
      <c r="A96" s="4"/>
      <c r="C96" s="6"/>
      <c r="D96" s="6"/>
      <c r="E96" s="11"/>
    </row>
    <row r="97" spans="1:5" s="32" customFormat="1" x14ac:dyDescent="0.3">
      <c r="A97" s="4"/>
      <c r="C97" s="6"/>
      <c r="D97" s="6"/>
      <c r="E97" s="11"/>
    </row>
    <row r="98" spans="1:5" s="32" customFormat="1" x14ac:dyDescent="0.3">
      <c r="A98" s="4"/>
      <c r="C98" s="6"/>
      <c r="D98" s="6"/>
      <c r="E98" s="11"/>
    </row>
    <row r="99" spans="1:5" s="32" customFormat="1" x14ac:dyDescent="0.3">
      <c r="A99" s="4"/>
      <c r="C99" s="6"/>
      <c r="D99" s="6"/>
      <c r="E99" s="11"/>
    </row>
    <row r="100" spans="1:5" s="32" customFormat="1" x14ac:dyDescent="0.3">
      <c r="A100" s="4"/>
      <c r="C100" s="6"/>
      <c r="D100" s="6"/>
      <c r="E100" s="11"/>
    </row>
    <row r="101" spans="1:5" s="32" customFormat="1" x14ac:dyDescent="0.3">
      <c r="A101" s="4"/>
      <c r="C101" s="6"/>
      <c r="D101" s="6"/>
      <c r="E101" s="11"/>
    </row>
    <row r="102" spans="1:5" s="32" customFormat="1" x14ac:dyDescent="0.3">
      <c r="A102" s="4"/>
      <c r="C102" s="6"/>
      <c r="D102" s="6"/>
      <c r="E102" s="11"/>
    </row>
    <row r="103" spans="1:5" s="32" customFormat="1" x14ac:dyDescent="0.3">
      <c r="A103" s="4"/>
      <c r="C103" s="6"/>
      <c r="D103" s="6"/>
      <c r="E103" s="11"/>
    </row>
    <row r="104" spans="1:5" s="32" customFormat="1" x14ac:dyDescent="0.3">
      <c r="A104" s="4"/>
      <c r="C104" s="6"/>
      <c r="D104" s="6"/>
      <c r="E104" s="11"/>
    </row>
    <row r="105" spans="1:5" s="32" customFormat="1" x14ac:dyDescent="0.3">
      <c r="A105" s="4"/>
      <c r="C105" s="6"/>
      <c r="D105" s="6"/>
      <c r="E105" s="11"/>
    </row>
    <row r="106" spans="1:5" s="32" customFormat="1" x14ac:dyDescent="0.3">
      <c r="A106" s="4"/>
      <c r="C106" s="6"/>
      <c r="D106" s="6"/>
      <c r="E106" s="11"/>
    </row>
    <row r="107" spans="1:5" s="32" customFormat="1" x14ac:dyDescent="0.3">
      <c r="A107" s="4"/>
      <c r="C107" s="6"/>
      <c r="D107" s="6"/>
      <c r="E107" s="11"/>
    </row>
    <row r="108" spans="1:5" s="32" customFormat="1" x14ac:dyDescent="0.3">
      <c r="A108" s="4"/>
      <c r="C108" s="6"/>
      <c r="D108" s="6"/>
      <c r="E108" s="11"/>
    </row>
    <row r="109" spans="1:5" s="32" customFormat="1" x14ac:dyDescent="0.3">
      <c r="A109" s="4"/>
      <c r="C109" s="6"/>
      <c r="D109" s="6"/>
      <c r="E109" s="11"/>
    </row>
    <row r="110" spans="1:5" s="32" customFormat="1" x14ac:dyDescent="0.3">
      <c r="A110" s="4"/>
      <c r="C110" s="6"/>
      <c r="D110" s="6"/>
      <c r="E110" s="11"/>
    </row>
    <row r="111" spans="1:5" s="32" customFormat="1" x14ac:dyDescent="0.3">
      <c r="A111" s="4"/>
      <c r="C111" s="6"/>
      <c r="D111" s="6"/>
      <c r="E111" s="11"/>
    </row>
    <row r="112" spans="1:5" s="32" customFormat="1" x14ac:dyDescent="0.3">
      <c r="A112" s="4"/>
      <c r="C112" s="6"/>
      <c r="D112" s="6"/>
      <c r="E112" s="11"/>
    </row>
    <row r="113" spans="1:5" s="32" customFormat="1" x14ac:dyDescent="0.3">
      <c r="A113" s="4"/>
      <c r="C113" s="6"/>
      <c r="D113" s="6"/>
      <c r="E113" s="11"/>
    </row>
    <row r="114" spans="1:5" s="32" customFormat="1" x14ac:dyDescent="0.3">
      <c r="A114" s="4"/>
      <c r="C114" s="6"/>
      <c r="D114" s="6"/>
      <c r="E114" s="11"/>
    </row>
    <row r="115" spans="1:5" s="32" customFormat="1" x14ac:dyDescent="0.3">
      <c r="A115" s="4"/>
      <c r="C115" s="6"/>
      <c r="D115" s="6"/>
      <c r="E115" s="11"/>
    </row>
    <row r="116" spans="1:5" s="32" customFormat="1" x14ac:dyDescent="0.3">
      <c r="A116" s="4"/>
      <c r="C116" s="6"/>
      <c r="D116" s="6"/>
      <c r="E116" s="11"/>
    </row>
    <row r="117" spans="1:5" s="32" customFormat="1" x14ac:dyDescent="0.3">
      <c r="A117" s="4"/>
      <c r="C117" s="6"/>
      <c r="D117" s="6"/>
      <c r="E117" s="11"/>
    </row>
    <row r="118" spans="1:5" s="32" customFormat="1" x14ac:dyDescent="0.3">
      <c r="A118" s="4"/>
      <c r="C118" s="6"/>
      <c r="D118" s="6"/>
      <c r="E118" s="11"/>
    </row>
    <row r="119" spans="1:5" s="32" customFormat="1" x14ac:dyDescent="0.3">
      <c r="A119" s="4"/>
      <c r="C119" s="6"/>
      <c r="D119" s="6"/>
      <c r="E119" s="11"/>
    </row>
    <row r="120" spans="1:5" s="32" customFormat="1" x14ac:dyDescent="0.3">
      <c r="A120" s="4"/>
      <c r="C120" s="6"/>
      <c r="D120" s="6"/>
      <c r="E120" s="11"/>
    </row>
    <row r="121" spans="1:5" s="32" customFormat="1" x14ac:dyDescent="0.3">
      <c r="A121" s="4"/>
      <c r="C121" s="6"/>
      <c r="D121" s="6"/>
      <c r="E121" s="11"/>
    </row>
    <row r="122" spans="1:5" s="32" customFormat="1" x14ac:dyDescent="0.3">
      <c r="A122" s="4"/>
      <c r="C122" s="6"/>
      <c r="D122" s="6"/>
      <c r="E122" s="11"/>
    </row>
    <row r="123" spans="1:5" s="32" customFormat="1" x14ac:dyDescent="0.3">
      <c r="A123" s="4"/>
      <c r="C123" s="6"/>
      <c r="D123" s="6"/>
      <c r="E123" s="11"/>
    </row>
    <row r="124" spans="1:5" s="32" customFormat="1" x14ac:dyDescent="0.3">
      <c r="A124" s="4"/>
      <c r="C124" s="6"/>
      <c r="D124" s="6"/>
      <c r="E124" s="11"/>
    </row>
    <row r="125" spans="1:5" s="32" customFormat="1" x14ac:dyDescent="0.3">
      <c r="A125" s="4"/>
      <c r="C125" s="6"/>
      <c r="D125" s="6"/>
      <c r="E125" s="11"/>
    </row>
    <row r="126" spans="1:5" s="32" customFormat="1" x14ac:dyDescent="0.3">
      <c r="A126" s="4"/>
      <c r="C126" s="6"/>
      <c r="D126" s="6"/>
      <c r="E126" s="11"/>
    </row>
    <row r="127" spans="1:5" s="32" customFormat="1" x14ac:dyDescent="0.3">
      <c r="A127" s="4"/>
      <c r="C127" s="6"/>
      <c r="D127" s="6"/>
      <c r="E127" s="11"/>
    </row>
    <row r="128" spans="1:5" s="32" customFormat="1" x14ac:dyDescent="0.3">
      <c r="A128" s="4"/>
      <c r="C128" s="6"/>
      <c r="D128" s="6"/>
      <c r="E128" s="11"/>
    </row>
    <row r="129" spans="1:5" s="32" customFormat="1" x14ac:dyDescent="0.3">
      <c r="A129" s="4"/>
      <c r="C129" s="6"/>
      <c r="D129" s="6"/>
      <c r="E129" s="11"/>
    </row>
    <row r="130" spans="1:5" s="32" customFormat="1" x14ac:dyDescent="0.3">
      <c r="A130" s="4"/>
      <c r="C130" s="6"/>
      <c r="D130" s="6"/>
      <c r="E130" s="11"/>
    </row>
    <row r="131" spans="1:5" s="32" customFormat="1" x14ac:dyDescent="0.3">
      <c r="A131" s="4"/>
      <c r="C131" s="6"/>
      <c r="D131" s="6"/>
      <c r="E131" s="11"/>
    </row>
    <row r="132" spans="1:5" s="32" customFormat="1" x14ac:dyDescent="0.3">
      <c r="A132" s="4"/>
      <c r="C132" s="6"/>
      <c r="D132" s="6"/>
      <c r="E132" s="11"/>
    </row>
    <row r="133" spans="1:5" s="32" customFormat="1" x14ac:dyDescent="0.3">
      <c r="A133" s="4"/>
      <c r="C133" s="6"/>
      <c r="D133" s="6"/>
      <c r="E133" s="11"/>
    </row>
    <row r="134" spans="1:5" s="32" customFormat="1" x14ac:dyDescent="0.3">
      <c r="A134" s="4"/>
      <c r="C134" s="6"/>
      <c r="D134" s="6"/>
      <c r="E134" s="11"/>
    </row>
    <row r="135" spans="1:5" s="32" customFormat="1" x14ac:dyDescent="0.3">
      <c r="A135" s="4"/>
      <c r="C135" s="6"/>
      <c r="D135" s="6"/>
      <c r="E135" s="11"/>
    </row>
    <row r="136" spans="1:5" s="32" customFormat="1" x14ac:dyDescent="0.3">
      <c r="A136" s="4"/>
      <c r="C136" s="6"/>
      <c r="D136" s="6"/>
      <c r="E136" s="11"/>
    </row>
    <row r="137" spans="1:5" s="32" customFormat="1" x14ac:dyDescent="0.3">
      <c r="A137" s="4"/>
      <c r="C137" s="6"/>
      <c r="D137" s="6"/>
      <c r="E137" s="11"/>
    </row>
    <row r="138" spans="1:5" s="32" customFormat="1" x14ac:dyDescent="0.3">
      <c r="A138" s="4"/>
      <c r="C138" s="6"/>
      <c r="D138" s="6"/>
      <c r="E138" s="11"/>
    </row>
    <row r="139" spans="1:5" s="32" customFormat="1" x14ac:dyDescent="0.3">
      <c r="A139" s="4"/>
      <c r="C139" s="6"/>
      <c r="D139" s="6"/>
      <c r="E139" s="11"/>
    </row>
    <row r="140" spans="1:5" s="32" customFormat="1" x14ac:dyDescent="0.3">
      <c r="A140" s="4"/>
      <c r="C140" s="6"/>
      <c r="D140" s="6"/>
      <c r="E140" s="11"/>
    </row>
    <row r="141" spans="1:5" s="32" customFormat="1" x14ac:dyDescent="0.3">
      <c r="A141" s="4"/>
      <c r="C141" s="6"/>
      <c r="D141" s="6"/>
      <c r="E141" s="11"/>
    </row>
    <row r="142" spans="1:5" s="32" customFormat="1" x14ac:dyDescent="0.3">
      <c r="A142" s="4"/>
      <c r="C142" s="6"/>
      <c r="D142" s="6"/>
      <c r="E142" s="11"/>
    </row>
  </sheetData>
  <mergeCells count="6">
    <mergeCell ref="B8:D8"/>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A1:H18"/>
  <sheetViews>
    <sheetView zoomScale="80" zoomScaleNormal="80" workbookViewId="0"/>
  </sheetViews>
  <sheetFormatPr defaultColWidth="8.6640625" defaultRowHeight="15.6" x14ac:dyDescent="0.3"/>
  <cols>
    <col min="1" max="1" width="5.33203125" style="4" customWidth="1"/>
    <col min="2" max="2" width="52.5546875" style="32" customWidth="1"/>
    <col min="3" max="3" width="21.33203125" style="32" customWidth="1"/>
    <col min="4" max="4" width="1.5546875" style="32" customWidth="1"/>
    <col min="5" max="5" width="16.6640625" style="32" customWidth="1"/>
    <col min="6" max="6" width="1.5546875" style="32" customWidth="1"/>
    <col min="7" max="7" width="34.5546875" style="32" customWidth="1"/>
    <col min="8" max="8" width="5.33203125" style="4" customWidth="1"/>
    <col min="9" max="16384" width="8.6640625" style="32"/>
  </cols>
  <sheetData>
    <row r="1" spans="1:8" x14ac:dyDescent="0.3">
      <c r="C1" s="4"/>
      <c r="D1" s="4"/>
    </row>
    <row r="2" spans="1:8" x14ac:dyDescent="0.3">
      <c r="B2" s="1222" t="s">
        <v>0</v>
      </c>
      <c r="C2" s="1234"/>
      <c r="D2" s="1234"/>
      <c r="E2" s="1234"/>
      <c r="F2" s="1234"/>
      <c r="G2" s="1234"/>
    </row>
    <row r="3" spans="1:8" x14ac:dyDescent="0.3">
      <c r="B3" s="1222" t="s">
        <v>901</v>
      </c>
      <c r="C3" s="1224"/>
      <c r="D3" s="1224"/>
      <c r="E3" s="1224"/>
      <c r="F3" s="1224"/>
      <c r="G3" s="1224"/>
    </row>
    <row r="4" spans="1:8" x14ac:dyDescent="0.3">
      <c r="B4" s="1222" t="s">
        <v>902</v>
      </c>
      <c r="C4" s="1224"/>
      <c r="D4" s="1224"/>
      <c r="E4" s="1224"/>
      <c r="F4" s="1224"/>
      <c r="G4" s="1224"/>
    </row>
    <row r="5" spans="1:8" x14ac:dyDescent="0.3">
      <c r="B5" s="1227" t="str">
        <f>'Stmt AD'!B5</f>
        <v>Base Period &amp; True-Up Period 12 - Months Ending December 31, 2023</v>
      </c>
      <c r="C5" s="1227"/>
      <c r="D5" s="1228"/>
      <c r="E5" s="1228"/>
      <c r="F5" s="1228"/>
      <c r="G5" s="1228"/>
    </row>
    <row r="6" spans="1:8" x14ac:dyDescent="0.3">
      <c r="B6" s="1226" t="s">
        <v>4</v>
      </c>
      <c r="C6" s="1224"/>
      <c r="D6" s="1224"/>
      <c r="E6" s="1224"/>
      <c r="F6" s="1224"/>
      <c r="G6" s="1224"/>
    </row>
    <row r="7" spans="1:8" x14ac:dyDescent="0.3">
      <c r="B7" s="4"/>
      <c r="C7" s="4"/>
      <c r="D7" s="4"/>
    </row>
    <row r="8" spans="1:8" x14ac:dyDescent="0.3">
      <c r="A8" s="4" t="s">
        <v>5</v>
      </c>
      <c r="B8" s="221"/>
      <c r="C8" s="4" t="s">
        <v>236</v>
      </c>
      <c r="D8" s="4"/>
      <c r="E8" s="4" t="s">
        <v>859</v>
      </c>
      <c r="F8" s="221"/>
      <c r="H8" s="4" t="s">
        <v>5</v>
      </c>
    </row>
    <row r="9" spans="1:8" x14ac:dyDescent="0.3">
      <c r="A9" s="4" t="s">
        <v>6</v>
      </c>
      <c r="B9" s="221"/>
      <c r="C9" s="852" t="s">
        <v>238</v>
      </c>
      <c r="D9" s="221"/>
      <c r="E9" s="853" t="s">
        <v>239</v>
      </c>
      <c r="F9" s="221"/>
      <c r="G9" s="852" t="s">
        <v>8</v>
      </c>
      <c r="H9" s="4" t="s">
        <v>6</v>
      </c>
    </row>
    <row r="10" spans="1:8" x14ac:dyDescent="0.3">
      <c r="C10" s="266"/>
      <c r="D10" s="266"/>
      <c r="E10" s="266"/>
      <c r="F10" s="266"/>
      <c r="G10" s="266"/>
    </row>
    <row r="11" spans="1:8" ht="18.600000000000001" thickBot="1" x14ac:dyDescent="0.35">
      <c r="A11" s="4">
        <v>1</v>
      </c>
      <c r="B11" s="32" t="s">
        <v>903</v>
      </c>
      <c r="C11" s="49"/>
      <c r="D11" s="42"/>
      <c r="E11" s="79">
        <f>'AM-1'!E31</f>
        <v>0</v>
      </c>
      <c r="F11" s="42"/>
      <c r="G11" s="47" t="s">
        <v>904</v>
      </c>
      <c r="H11" s="4">
        <f>A11</f>
        <v>1</v>
      </c>
    </row>
    <row r="12" spans="1:8" ht="16.2" thickTop="1" x14ac:dyDescent="0.3">
      <c r="C12" s="4"/>
      <c r="D12" s="4"/>
    </row>
    <row r="13" spans="1:8" x14ac:dyDescent="0.3">
      <c r="C13" s="4"/>
      <c r="D13" s="4"/>
    </row>
    <row r="14" spans="1:8" ht="18" x14ac:dyDescent="0.3">
      <c r="A14" s="269">
        <v>1</v>
      </c>
      <c r="B14" s="32" t="s">
        <v>905</v>
      </c>
      <c r="C14" s="4"/>
      <c r="D14" s="4"/>
    </row>
    <row r="15" spans="1:8" ht="18" x14ac:dyDescent="0.3">
      <c r="A15" s="269"/>
      <c r="B15" s="32" t="s">
        <v>906</v>
      </c>
      <c r="C15" s="4"/>
      <c r="D15" s="4"/>
    </row>
    <row r="16" spans="1:8" x14ac:dyDescent="0.3">
      <c r="C16" s="4"/>
      <c r="D16" s="4"/>
    </row>
    <row r="17" spans="3:4" x14ac:dyDescent="0.3">
      <c r="C17" s="4"/>
      <c r="D17" s="4"/>
    </row>
    <row r="18" spans="3:4" x14ac:dyDescent="0.3">
      <c r="C18" s="4"/>
      <c r="D18" s="4"/>
    </row>
  </sheetData>
  <mergeCells count="5">
    <mergeCell ref="B2:G2"/>
    <mergeCell ref="B3:G3"/>
    <mergeCell ref="B4:G4"/>
    <mergeCell ref="B5:G5"/>
    <mergeCell ref="B6:G6"/>
  </mergeCells>
  <printOptions horizontalCentered="1"/>
  <pageMargins left="0.5" right="0.5" top="0.5" bottom="0.5" header="0.25" footer="0.25"/>
  <pageSetup scale="68" orientation="portrait" r:id="rId1"/>
  <headerFooter scaleWithDoc="0">
    <oddFooter>&amp;C&amp;"Times New Roman,Regular"&amp;10&amp;A</oddFooter>
  </headerFooter>
  <customProperties>
    <customPr name="_pios_id" r:id="rId2"/>
  </customPropertie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2:H38"/>
  <sheetViews>
    <sheetView zoomScale="80" zoomScaleNormal="80" workbookViewId="0"/>
  </sheetViews>
  <sheetFormatPr defaultColWidth="9.33203125" defaultRowHeight="15.6" x14ac:dyDescent="0.3"/>
  <cols>
    <col min="1" max="1" width="5.33203125" style="221" customWidth="1"/>
    <col min="2" max="2" width="35.33203125" style="1" customWidth="1"/>
    <col min="3" max="3" width="18.5546875" style="88" customWidth="1"/>
    <col min="4" max="4" width="25.33203125" style="88" customWidth="1"/>
    <col min="5" max="5" width="18.5546875" style="1" customWidth="1"/>
    <col min="6" max="6" width="62.5546875" style="1" customWidth="1"/>
    <col min="7" max="7" width="5.33203125" style="221" customWidth="1"/>
    <col min="8" max="8" width="24" style="1" customWidth="1"/>
    <col min="9" max="9" width="11" style="1" customWidth="1"/>
    <col min="10" max="10" width="7.33203125" style="1" customWidth="1"/>
    <col min="11" max="11" width="9.33203125" style="1" customWidth="1"/>
    <col min="12" max="12" width="14" style="1" customWidth="1"/>
    <col min="13" max="13" width="13.44140625" style="1" customWidth="1"/>
    <col min="14" max="16384" width="9.33203125" style="1"/>
  </cols>
  <sheetData>
    <row r="2" spans="1:8" x14ac:dyDescent="0.3">
      <c r="B2" s="1222" t="s">
        <v>0</v>
      </c>
      <c r="C2" s="1222"/>
      <c r="D2" s="1222"/>
      <c r="E2" s="1222"/>
      <c r="F2" s="1222"/>
    </row>
    <row r="3" spans="1:8" x14ac:dyDescent="0.3">
      <c r="B3" s="1222" t="s">
        <v>907</v>
      </c>
      <c r="C3" s="1222"/>
      <c r="D3" s="1222"/>
      <c r="E3" s="1222"/>
      <c r="F3" s="1222"/>
    </row>
    <row r="4" spans="1:8" x14ac:dyDescent="0.3">
      <c r="B4" s="1222" t="s">
        <v>282</v>
      </c>
      <c r="C4" s="1222"/>
      <c r="D4" s="1222"/>
      <c r="E4" s="1222"/>
      <c r="F4" s="1222"/>
    </row>
    <row r="5" spans="1:8" x14ac:dyDescent="0.3">
      <c r="B5" s="1222" t="str">
        <f>'AD-1'!B5</f>
        <v>BASE PERIOD / TRUE UP PERIOD - 12/31/2023 PER BOOK</v>
      </c>
      <c r="C5" s="1222"/>
      <c r="D5" s="1222"/>
      <c r="E5" s="1222"/>
      <c r="F5" s="1222"/>
    </row>
    <row r="6" spans="1:8" x14ac:dyDescent="0.3">
      <c r="B6" s="1226" t="s">
        <v>4</v>
      </c>
      <c r="C6" s="1226"/>
      <c r="D6" s="1226"/>
      <c r="E6" s="1226"/>
      <c r="F6" s="1226"/>
    </row>
    <row r="7" spans="1:8" x14ac:dyDescent="0.3">
      <c r="B7" s="270"/>
      <c r="C7" s="271"/>
      <c r="D7" s="271"/>
      <c r="E7" s="270"/>
      <c r="F7" s="270"/>
    </row>
    <row r="8" spans="1:8" x14ac:dyDescent="0.3">
      <c r="B8" s="1222" t="s">
        <v>908</v>
      </c>
      <c r="C8" s="1222"/>
      <c r="D8" s="1222"/>
      <c r="E8" s="1222"/>
      <c r="F8" s="1222"/>
    </row>
    <row r="10" spans="1:8" x14ac:dyDescent="0.3">
      <c r="B10" s="932"/>
      <c r="C10" s="272" t="s">
        <v>421</v>
      </c>
      <c r="D10" s="933"/>
      <c r="E10" s="272" t="s">
        <v>361</v>
      </c>
      <c r="F10" s="933"/>
    </row>
    <row r="11" spans="1:8" x14ac:dyDescent="0.3">
      <c r="A11" s="4"/>
      <c r="B11" s="273"/>
      <c r="C11" s="277" t="s">
        <v>321</v>
      </c>
      <c r="D11" s="273"/>
      <c r="E11" s="277" t="s">
        <v>321</v>
      </c>
      <c r="F11" s="273"/>
      <c r="G11" s="4"/>
    </row>
    <row r="12" spans="1:8" x14ac:dyDescent="0.3">
      <c r="A12" s="4" t="s">
        <v>5</v>
      </c>
      <c r="B12" s="276"/>
      <c r="C12" s="221" t="s">
        <v>909</v>
      </c>
      <c r="D12" s="273"/>
      <c r="E12" s="274" t="s">
        <v>909</v>
      </c>
      <c r="F12" s="273"/>
      <c r="G12" s="4" t="s">
        <v>5</v>
      </c>
    </row>
    <row r="13" spans="1:8" x14ac:dyDescent="0.3">
      <c r="A13" s="4" t="s">
        <v>6</v>
      </c>
      <c r="B13" s="278" t="s">
        <v>286</v>
      </c>
      <c r="C13" s="935" t="s">
        <v>287</v>
      </c>
      <c r="D13" s="278" t="s">
        <v>8</v>
      </c>
      <c r="E13" s="279" t="s">
        <v>363</v>
      </c>
      <c r="F13" s="278" t="s">
        <v>8</v>
      </c>
      <c r="G13" s="4" t="s">
        <v>6</v>
      </c>
    </row>
    <row r="14" spans="1:8" x14ac:dyDescent="0.3">
      <c r="A14" s="4">
        <v>1</v>
      </c>
      <c r="B14" s="936" t="str">
        <f>'AL-2'!B13</f>
        <v>Dec-22</v>
      </c>
      <c r="C14" s="59">
        <v>0</v>
      </c>
      <c r="D14" s="941" t="s">
        <v>289</v>
      </c>
      <c r="E14" s="59">
        <v>0</v>
      </c>
      <c r="F14" s="942" t="s">
        <v>289</v>
      </c>
      <c r="G14" s="4">
        <f>A14</f>
        <v>1</v>
      </c>
      <c r="H14" s="284"/>
    </row>
    <row r="15" spans="1:8" x14ac:dyDescent="0.3">
      <c r="A15" s="4">
        <f>A14+1</f>
        <v>2</v>
      </c>
      <c r="B15" s="936" t="str">
        <f>'AL-2'!B14</f>
        <v>Jan-23</v>
      </c>
      <c r="C15" s="53">
        <v>0</v>
      </c>
      <c r="D15" s="943"/>
      <c r="E15" s="66">
        <v>0</v>
      </c>
      <c r="F15" s="942"/>
      <c r="G15" s="4">
        <f>G14+1</f>
        <v>2</v>
      </c>
      <c r="H15" s="284"/>
    </row>
    <row r="16" spans="1:8" x14ac:dyDescent="0.3">
      <c r="A16" s="4">
        <f t="shared" ref="A16:A32" si="0">A15+1</f>
        <v>3</v>
      </c>
      <c r="B16" s="939" t="s">
        <v>291</v>
      </c>
      <c r="C16" s="53">
        <v>0</v>
      </c>
      <c r="D16" s="943"/>
      <c r="E16" s="66">
        <v>0</v>
      </c>
      <c r="F16" s="942"/>
      <c r="G16" s="4">
        <f t="shared" ref="G16:G32" si="1">G15+1</f>
        <v>3</v>
      </c>
      <c r="H16" s="284"/>
    </row>
    <row r="17" spans="1:8" x14ac:dyDescent="0.3">
      <c r="A17" s="4">
        <f t="shared" si="0"/>
        <v>4</v>
      </c>
      <c r="B17" s="939" t="s">
        <v>292</v>
      </c>
      <c r="C17" s="53">
        <v>0</v>
      </c>
      <c r="D17" s="943"/>
      <c r="E17" s="66">
        <v>0</v>
      </c>
      <c r="F17" s="942"/>
      <c r="G17" s="4">
        <f t="shared" si="1"/>
        <v>4</v>
      </c>
      <c r="H17" s="284"/>
    </row>
    <row r="18" spans="1:8" x14ac:dyDescent="0.3">
      <c r="A18" s="4">
        <f t="shared" si="0"/>
        <v>5</v>
      </c>
      <c r="B18" s="939" t="s">
        <v>293</v>
      </c>
      <c r="C18" s="53">
        <v>0</v>
      </c>
      <c r="D18" s="943"/>
      <c r="E18" s="66">
        <v>0</v>
      </c>
      <c r="F18" s="942"/>
      <c r="G18" s="4">
        <f t="shared" si="1"/>
        <v>5</v>
      </c>
      <c r="H18" s="284"/>
    </row>
    <row r="19" spans="1:8" x14ac:dyDescent="0.3">
      <c r="A19" s="4">
        <f t="shared" si="0"/>
        <v>6</v>
      </c>
      <c r="B19" s="939" t="s">
        <v>294</v>
      </c>
      <c r="C19" s="53">
        <v>0</v>
      </c>
      <c r="D19" s="943"/>
      <c r="E19" s="66">
        <v>0</v>
      </c>
      <c r="F19" s="942"/>
      <c r="G19" s="4">
        <f t="shared" si="1"/>
        <v>6</v>
      </c>
      <c r="H19" s="284"/>
    </row>
    <row r="20" spans="1:8" x14ac:dyDescent="0.3">
      <c r="A20" s="4">
        <f t="shared" si="0"/>
        <v>7</v>
      </c>
      <c r="B20" s="939" t="s">
        <v>295</v>
      </c>
      <c r="C20" s="53">
        <v>0</v>
      </c>
      <c r="D20" s="943"/>
      <c r="E20" s="66">
        <v>0</v>
      </c>
      <c r="F20" s="942"/>
      <c r="G20" s="4">
        <f t="shared" si="1"/>
        <v>7</v>
      </c>
      <c r="H20" s="284"/>
    </row>
    <row r="21" spans="1:8" x14ac:dyDescent="0.3">
      <c r="A21" s="4">
        <f t="shared" si="0"/>
        <v>8</v>
      </c>
      <c r="B21" s="939" t="s">
        <v>296</v>
      </c>
      <c r="C21" s="53">
        <v>0</v>
      </c>
      <c r="D21" s="943"/>
      <c r="E21" s="66">
        <v>0</v>
      </c>
      <c r="F21" s="942"/>
      <c r="G21" s="4">
        <f t="shared" si="1"/>
        <v>8</v>
      </c>
      <c r="H21" s="284"/>
    </row>
    <row r="22" spans="1:8" x14ac:dyDescent="0.3">
      <c r="A22" s="4">
        <f t="shared" si="0"/>
        <v>9</v>
      </c>
      <c r="B22" s="939" t="s">
        <v>297</v>
      </c>
      <c r="C22" s="53">
        <v>0</v>
      </c>
      <c r="D22" s="943"/>
      <c r="E22" s="66">
        <v>0</v>
      </c>
      <c r="F22" s="942"/>
      <c r="G22" s="4">
        <f t="shared" si="1"/>
        <v>9</v>
      </c>
      <c r="H22" s="284"/>
    </row>
    <row r="23" spans="1:8" x14ac:dyDescent="0.3">
      <c r="A23" s="4">
        <f t="shared" si="0"/>
        <v>10</v>
      </c>
      <c r="B23" s="939" t="s">
        <v>298</v>
      </c>
      <c r="C23" s="53">
        <v>0</v>
      </c>
      <c r="D23" s="943"/>
      <c r="E23" s="66">
        <v>0</v>
      </c>
      <c r="F23" s="942"/>
      <c r="G23" s="4">
        <f t="shared" si="1"/>
        <v>10</v>
      </c>
      <c r="H23" s="284"/>
    </row>
    <row r="24" spans="1:8" x14ac:dyDescent="0.3">
      <c r="A24" s="4">
        <f t="shared" si="0"/>
        <v>11</v>
      </c>
      <c r="B24" s="939" t="s">
        <v>299</v>
      </c>
      <c r="C24" s="53">
        <v>0</v>
      </c>
      <c r="D24" s="943"/>
      <c r="E24" s="66">
        <v>0</v>
      </c>
      <c r="F24" s="942"/>
      <c r="G24" s="4">
        <f t="shared" si="1"/>
        <v>11</v>
      </c>
      <c r="H24" s="284"/>
    </row>
    <row r="25" spans="1:8" x14ac:dyDescent="0.3">
      <c r="A25" s="4">
        <f t="shared" si="0"/>
        <v>12</v>
      </c>
      <c r="B25" s="939" t="s">
        <v>300</v>
      </c>
      <c r="C25" s="53">
        <v>0</v>
      </c>
      <c r="D25" s="943"/>
      <c r="E25" s="66">
        <v>0</v>
      </c>
      <c r="F25" s="942"/>
      <c r="G25" s="4">
        <f t="shared" si="1"/>
        <v>12</v>
      </c>
      <c r="H25" s="285"/>
    </row>
    <row r="26" spans="1:8" x14ac:dyDescent="0.3">
      <c r="A26" s="4">
        <f t="shared" si="0"/>
        <v>13</v>
      </c>
      <c r="B26" s="633" t="str">
        <f>'AL-2'!B25</f>
        <v>Dec-23</v>
      </c>
      <c r="C26" s="54">
        <v>0</v>
      </c>
      <c r="D26" s="69" t="s">
        <v>289</v>
      </c>
      <c r="E26" s="54">
        <v>0</v>
      </c>
      <c r="F26" s="593" t="s">
        <v>289</v>
      </c>
      <c r="G26" s="4">
        <f t="shared" si="1"/>
        <v>13</v>
      </c>
      <c r="H26" s="285"/>
    </row>
    <row r="27" spans="1:8" x14ac:dyDescent="0.3">
      <c r="A27" s="4">
        <f t="shared" si="0"/>
        <v>14</v>
      </c>
      <c r="B27" s="457"/>
      <c r="C27" s="61"/>
      <c r="D27" s="307"/>
      <c r="E27" s="61"/>
      <c r="F27" s="1059"/>
      <c r="G27" s="4">
        <f t="shared" si="1"/>
        <v>14</v>
      </c>
      <c r="H27" s="32"/>
    </row>
    <row r="28" spans="1:8" x14ac:dyDescent="0.3">
      <c r="A28" s="4">
        <f t="shared" si="0"/>
        <v>15</v>
      </c>
      <c r="B28" s="281" t="s">
        <v>302</v>
      </c>
      <c r="C28" s="56">
        <f>SUM(C14:C26)</f>
        <v>0</v>
      </c>
      <c r="D28" s="941" t="s">
        <v>303</v>
      </c>
      <c r="E28" s="56">
        <f>SUM(E14:E26)</f>
        <v>0</v>
      </c>
      <c r="F28" s="942" t="s">
        <v>303</v>
      </c>
      <c r="G28" s="4">
        <f t="shared" si="1"/>
        <v>15</v>
      </c>
      <c r="H28" s="285"/>
    </row>
    <row r="29" spans="1:8" x14ac:dyDescent="0.3">
      <c r="A29" s="4">
        <f t="shared" si="0"/>
        <v>16</v>
      </c>
      <c r="B29" s="120"/>
      <c r="C29" s="62"/>
      <c r="D29" s="95"/>
      <c r="E29" s="62"/>
      <c r="F29" s="313"/>
      <c r="G29" s="4">
        <f t="shared" si="1"/>
        <v>16</v>
      </c>
      <c r="H29" s="285"/>
    </row>
    <row r="30" spans="1:8" x14ac:dyDescent="0.3">
      <c r="A30" s="4">
        <f t="shared" si="0"/>
        <v>17</v>
      </c>
      <c r="B30" s="281"/>
      <c r="C30" s="61"/>
      <c r="D30" s="236"/>
      <c r="E30" s="61"/>
      <c r="F30" s="967"/>
      <c r="G30" s="4">
        <f t="shared" si="1"/>
        <v>17</v>
      </c>
      <c r="H30" s="284"/>
    </row>
    <row r="31" spans="1:8" x14ac:dyDescent="0.3">
      <c r="A31" s="4">
        <f t="shared" si="0"/>
        <v>18</v>
      </c>
      <c r="B31" s="281" t="s">
        <v>304</v>
      </c>
      <c r="C31" s="56">
        <f>C28/13</f>
        <v>0</v>
      </c>
      <c r="D31" s="941" t="s">
        <v>305</v>
      </c>
      <c r="E31" s="56">
        <f>E28/13</f>
        <v>0</v>
      </c>
      <c r="F31" s="942" t="s">
        <v>305</v>
      </c>
      <c r="G31" s="4">
        <f t="shared" si="1"/>
        <v>18</v>
      </c>
      <c r="H31" s="284"/>
    </row>
    <row r="32" spans="1:8" x14ac:dyDescent="0.3">
      <c r="A32" s="4">
        <f t="shared" si="0"/>
        <v>19</v>
      </c>
      <c r="B32" s="120"/>
      <c r="C32" s="62"/>
      <c r="D32" s="94"/>
      <c r="E32" s="62"/>
      <c r="F32" s="286"/>
      <c r="G32" s="4">
        <f t="shared" si="1"/>
        <v>19</v>
      </c>
      <c r="H32" s="284"/>
    </row>
    <row r="33" spans="2:8" x14ac:dyDescent="0.3">
      <c r="B33" s="32"/>
      <c r="C33" s="6"/>
      <c r="D33" s="6"/>
      <c r="E33" s="6"/>
      <c r="F33" s="285"/>
      <c r="G33" s="583"/>
      <c r="H33" s="284"/>
    </row>
    <row r="34" spans="2:8" x14ac:dyDescent="0.3">
      <c r="B34" s="296"/>
      <c r="C34" s="285"/>
      <c r="D34" s="285"/>
      <c r="E34" s="285"/>
      <c r="F34" s="285"/>
      <c r="G34" s="583"/>
      <c r="H34" s="284"/>
    </row>
    <row r="35" spans="2:8" x14ac:dyDescent="0.3">
      <c r="B35" s="32"/>
      <c r="C35" s="285"/>
      <c r="D35" s="285"/>
      <c r="E35" s="285"/>
      <c r="F35" s="285"/>
      <c r="G35" s="583"/>
      <c r="H35" s="284"/>
    </row>
    <row r="36" spans="2:8" x14ac:dyDescent="0.3">
      <c r="B36" s="32"/>
      <c r="C36" s="285"/>
      <c r="D36" s="285"/>
      <c r="E36" s="285"/>
      <c r="F36" s="285"/>
      <c r="G36" s="583"/>
      <c r="H36" s="284"/>
    </row>
    <row r="37" spans="2:8" x14ac:dyDescent="0.3">
      <c r="B37" s="32"/>
      <c r="C37" s="285"/>
      <c r="D37" s="285"/>
      <c r="E37" s="285"/>
      <c r="F37" s="285"/>
      <c r="G37" s="583"/>
      <c r="H37" s="284"/>
    </row>
    <row r="38" spans="2:8" x14ac:dyDescent="0.3">
      <c r="C38" s="284"/>
      <c r="D38" s="284"/>
      <c r="E38" s="284"/>
      <c r="F38" s="284"/>
      <c r="G38" s="583"/>
      <c r="H38" s="284"/>
    </row>
  </sheetData>
  <mergeCells count="6">
    <mergeCell ref="B8:F8"/>
    <mergeCell ref="B2:F2"/>
    <mergeCell ref="B3:F3"/>
    <mergeCell ref="B4:F4"/>
    <mergeCell ref="B5:F5"/>
    <mergeCell ref="B6:F6"/>
  </mergeCells>
  <printOptions horizontalCentered="1"/>
  <pageMargins left="0.5" right="0.5" top="0.5" bottom="0.5" header="0.25" footer="0.25"/>
  <pageSetup scale="74" orientation="landscape" r:id="rId1"/>
  <headerFooter scaleWithDoc="0">
    <oddFooter>&amp;C&amp;"Times New Roman,Regular"&amp;10&amp;A</oddFooter>
  </headerFooter>
  <customProperties>
    <customPr name="_pios_id" r:id="rId2"/>
  </customPropertie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H18"/>
  <sheetViews>
    <sheetView zoomScale="80" zoomScaleNormal="80" workbookViewId="0"/>
  </sheetViews>
  <sheetFormatPr defaultColWidth="8.6640625" defaultRowHeight="15.6" x14ac:dyDescent="0.3"/>
  <cols>
    <col min="1" max="1" width="5.33203125" style="32" customWidth="1"/>
    <col min="2" max="2" width="55.33203125" style="32" customWidth="1"/>
    <col min="3" max="3" width="24" style="32" customWidth="1"/>
    <col min="4" max="4" width="1.5546875" style="32" customWidth="1"/>
    <col min="5" max="5" width="16.6640625" style="32" customWidth="1"/>
    <col min="6" max="6" width="1.5546875" style="32" customWidth="1"/>
    <col min="7" max="7" width="34.5546875" style="32" customWidth="1"/>
    <col min="8" max="8" width="5.33203125" style="32" customWidth="1"/>
    <col min="9" max="16384" width="8.6640625" style="32"/>
  </cols>
  <sheetData>
    <row r="1" spans="1:8" x14ac:dyDescent="0.3">
      <c r="A1" s="4"/>
      <c r="E1" s="71"/>
      <c r="F1" s="71"/>
      <c r="G1" s="4"/>
      <c r="H1" s="4"/>
    </row>
    <row r="2" spans="1:8" x14ac:dyDescent="0.3">
      <c r="A2" s="4"/>
      <c r="B2" s="1222" t="s">
        <v>0</v>
      </c>
      <c r="C2" s="1222"/>
      <c r="D2" s="1222"/>
      <c r="E2" s="1222"/>
      <c r="F2" s="1222"/>
      <c r="G2" s="1222"/>
      <c r="H2" s="4"/>
    </row>
    <row r="3" spans="1:8" x14ac:dyDescent="0.3">
      <c r="A3" s="4"/>
      <c r="B3" s="1222" t="s">
        <v>910</v>
      </c>
      <c r="C3" s="1222"/>
      <c r="D3" s="1222"/>
      <c r="E3" s="1222"/>
      <c r="F3" s="1222"/>
      <c r="G3" s="1222"/>
      <c r="H3" s="4"/>
    </row>
    <row r="4" spans="1:8" x14ac:dyDescent="0.3">
      <c r="A4" s="4"/>
      <c r="B4" s="1222" t="s">
        <v>911</v>
      </c>
      <c r="C4" s="1222"/>
      <c r="D4" s="1222"/>
      <c r="E4" s="1222"/>
      <c r="F4" s="1222"/>
      <c r="G4" s="1222"/>
      <c r="H4" s="4"/>
    </row>
    <row r="5" spans="1:8" x14ac:dyDescent="0.3">
      <c r="A5" s="4"/>
      <c r="B5" s="1227" t="str">
        <f>'Stmt AD'!B5</f>
        <v>Base Period &amp; True-Up Period 12 - Months Ending December 31, 2023</v>
      </c>
      <c r="C5" s="1227"/>
      <c r="D5" s="1227"/>
      <c r="E5" s="1227"/>
      <c r="F5" s="1227"/>
      <c r="G5" s="1227"/>
      <c r="H5" s="4"/>
    </row>
    <row r="6" spans="1:8" x14ac:dyDescent="0.3">
      <c r="A6" s="4"/>
      <c r="B6" s="1226" t="s">
        <v>4</v>
      </c>
      <c r="C6" s="1223"/>
      <c r="D6" s="1223"/>
      <c r="E6" s="1223"/>
      <c r="F6" s="1223"/>
      <c r="G6" s="1223"/>
      <c r="H6" s="4"/>
    </row>
    <row r="7" spans="1:8" x14ac:dyDescent="0.3">
      <c r="A7" s="4"/>
      <c r="B7" s="4"/>
      <c r="C7" s="4"/>
      <c r="D7" s="4"/>
      <c r="E7" s="4"/>
      <c r="F7" s="4"/>
      <c r="G7" s="4"/>
      <c r="H7" s="4"/>
    </row>
    <row r="8" spans="1:8" x14ac:dyDescent="0.3">
      <c r="A8" s="4" t="s">
        <v>5</v>
      </c>
      <c r="B8" s="4"/>
      <c r="C8" s="4" t="s">
        <v>236</v>
      </c>
      <c r="D8" s="4"/>
      <c r="E8" s="4"/>
      <c r="F8" s="4"/>
      <c r="G8" s="4"/>
      <c r="H8" s="4" t="s">
        <v>5</v>
      </c>
    </row>
    <row r="9" spans="1:8" x14ac:dyDescent="0.3">
      <c r="A9" s="4" t="s">
        <v>6</v>
      </c>
      <c r="C9" s="852" t="s">
        <v>238</v>
      </c>
      <c r="E9" s="852" t="s">
        <v>7</v>
      </c>
      <c r="F9" s="71"/>
      <c r="G9" s="852" t="s">
        <v>8</v>
      </c>
      <c r="H9" s="4" t="s">
        <v>6</v>
      </c>
    </row>
    <row r="10" spans="1:8" x14ac:dyDescent="0.3">
      <c r="A10" s="4"/>
      <c r="E10" s="71"/>
      <c r="F10" s="71"/>
      <c r="G10" s="4"/>
      <c r="H10" s="4"/>
    </row>
    <row r="11" spans="1:8" x14ac:dyDescent="0.3">
      <c r="A11" s="4">
        <f>+A10+1</f>
        <v>1</v>
      </c>
      <c r="B11" s="32" t="s">
        <v>912</v>
      </c>
      <c r="C11" s="4" t="s">
        <v>913</v>
      </c>
      <c r="E11" s="682">
        <v>1304.0991895338727</v>
      </c>
      <c r="F11" s="71"/>
      <c r="G11" s="416"/>
      <c r="H11" s="4">
        <f>A11</f>
        <v>1</v>
      </c>
    </row>
    <row r="12" spans="1:8" x14ac:dyDescent="0.3">
      <c r="A12" s="4">
        <f>+A11+1</f>
        <v>2</v>
      </c>
      <c r="E12" s="71"/>
      <c r="F12" s="71"/>
      <c r="G12" s="4"/>
      <c r="H12" s="4">
        <f>+H11+1</f>
        <v>2</v>
      </c>
    </row>
    <row r="13" spans="1:8" ht="16.2" thickBot="1" x14ac:dyDescent="0.35">
      <c r="A13" s="4">
        <f>+A12+1</f>
        <v>3</v>
      </c>
      <c r="B13" s="32" t="s">
        <v>914</v>
      </c>
      <c r="E13" s="38">
        <f>E11</f>
        <v>1304.0991895338727</v>
      </c>
      <c r="F13" s="36"/>
      <c r="G13" s="4" t="s">
        <v>915</v>
      </c>
      <c r="H13" s="4">
        <f>+H12+1</f>
        <v>3</v>
      </c>
    </row>
    <row r="14" spans="1:8" ht="16.2" thickTop="1" x14ac:dyDescent="0.3"/>
    <row r="18" spans="2:2" x14ac:dyDescent="0.3">
      <c r="B18" s="37"/>
    </row>
  </sheetData>
  <mergeCells count="5">
    <mergeCell ref="B2:G2"/>
    <mergeCell ref="B3:G3"/>
    <mergeCell ref="B4:G4"/>
    <mergeCell ref="B5:G5"/>
    <mergeCell ref="B6:G6"/>
  </mergeCells>
  <printOptions horizontalCentered="1"/>
  <pageMargins left="0.5" right="0.5" top="0.5" bottom="0.5" header="0.25" footer="0.25"/>
  <pageSetup scale="66" orientation="portrait" r:id="rId1"/>
  <headerFooter scaleWithDoc="0">
    <oddFooter>&amp;C&amp;"Times New Roman,Regular"&amp;10&amp;A</oddFooter>
  </headerFooter>
  <customProperties>
    <customPr name="_pios_id" r:id="rId2"/>
  </customPropertie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A1:H25"/>
  <sheetViews>
    <sheetView zoomScale="80" zoomScaleNormal="80" workbookViewId="0"/>
  </sheetViews>
  <sheetFormatPr defaultColWidth="8.6640625" defaultRowHeight="15.6" x14ac:dyDescent="0.3"/>
  <cols>
    <col min="1" max="1" width="5.33203125" style="4" bestFit="1" customWidth="1"/>
    <col min="2" max="2" width="68.6640625" style="32" customWidth="1"/>
    <col min="3" max="3" width="25.44140625" style="32" bestFit="1" customWidth="1"/>
    <col min="4" max="4" width="1.5546875" style="32" customWidth="1"/>
    <col min="5" max="5" width="16.6640625" style="32" customWidth="1"/>
    <col min="6" max="6" width="1.5546875" style="32" customWidth="1"/>
    <col min="7" max="7" width="34.5546875" style="32" customWidth="1"/>
    <col min="8" max="8" width="5.33203125" style="32" customWidth="1"/>
    <col min="9" max="9" width="8.6640625" style="32"/>
    <col min="10" max="10" width="20.44140625" style="32" bestFit="1" customWidth="1"/>
    <col min="11" max="16384" width="8.6640625" style="32"/>
  </cols>
  <sheetData>
    <row r="1" spans="1:8" x14ac:dyDescent="0.3">
      <c r="E1" s="71"/>
      <c r="F1" s="71"/>
      <c r="G1" s="4"/>
      <c r="H1" s="4"/>
    </row>
    <row r="2" spans="1:8" x14ac:dyDescent="0.3">
      <c r="B2" s="1222" t="s">
        <v>0</v>
      </c>
      <c r="C2" s="1222"/>
      <c r="D2" s="1222"/>
      <c r="E2" s="1222"/>
      <c r="F2" s="1222"/>
      <c r="G2" s="1222"/>
      <c r="H2" s="4"/>
    </row>
    <row r="3" spans="1:8" x14ac:dyDescent="0.3">
      <c r="B3" s="1222" t="s">
        <v>916</v>
      </c>
      <c r="C3" s="1222"/>
      <c r="D3" s="1222"/>
      <c r="E3" s="1222"/>
      <c r="F3" s="1222"/>
      <c r="G3" s="1222"/>
      <c r="H3" s="4"/>
    </row>
    <row r="4" spans="1:8" x14ac:dyDescent="0.3">
      <c r="B4" s="1222" t="s">
        <v>917</v>
      </c>
      <c r="C4" s="1222"/>
      <c r="D4" s="1222"/>
      <c r="E4" s="1222"/>
      <c r="F4" s="1222"/>
      <c r="G4" s="1222"/>
      <c r="H4" s="4"/>
    </row>
    <row r="5" spans="1:8" x14ac:dyDescent="0.3">
      <c r="B5" s="1227" t="str">
        <f>'Stmt AD'!B5</f>
        <v>Base Period &amp; True-Up Period 12 - Months Ending December 31, 2023</v>
      </c>
      <c r="C5" s="1227"/>
      <c r="D5" s="1227"/>
      <c r="E5" s="1227"/>
      <c r="F5" s="1227"/>
      <c r="G5" s="1227"/>
      <c r="H5" s="4"/>
    </row>
    <row r="6" spans="1:8" x14ac:dyDescent="0.3">
      <c r="B6" s="1226" t="s">
        <v>4</v>
      </c>
      <c r="C6" s="1223"/>
      <c r="D6" s="1223"/>
      <c r="E6" s="1223"/>
      <c r="F6" s="1223"/>
      <c r="G6" s="1223"/>
      <c r="H6" s="4"/>
    </row>
    <row r="7" spans="1:8" x14ac:dyDescent="0.3">
      <c r="B7" s="4"/>
      <c r="C7" s="4"/>
      <c r="D7" s="4"/>
      <c r="E7" s="4"/>
      <c r="F7" s="4"/>
      <c r="G7" s="4"/>
      <c r="H7" s="4"/>
    </row>
    <row r="8" spans="1:8" x14ac:dyDescent="0.3">
      <c r="A8" s="4" t="s">
        <v>5</v>
      </c>
      <c r="C8" s="4" t="s">
        <v>236</v>
      </c>
      <c r="E8" s="4"/>
      <c r="F8" s="4"/>
      <c r="G8" s="4"/>
      <c r="H8" s="4" t="s">
        <v>5</v>
      </c>
    </row>
    <row r="9" spans="1:8" x14ac:dyDescent="0.3">
      <c r="A9" s="4" t="s">
        <v>6</v>
      </c>
      <c r="B9" s="32" t="s">
        <v>1</v>
      </c>
      <c r="C9" s="852" t="s">
        <v>238</v>
      </c>
      <c r="E9" s="852" t="s">
        <v>7</v>
      </c>
      <c r="F9" s="626"/>
      <c r="G9" s="852" t="s">
        <v>8</v>
      </c>
      <c r="H9" s="4" t="s">
        <v>6</v>
      </c>
    </row>
    <row r="10" spans="1:8" x14ac:dyDescent="0.3">
      <c r="E10" s="71"/>
      <c r="F10" s="71"/>
      <c r="G10" s="4"/>
      <c r="H10" s="4"/>
    </row>
    <row r="11" spans="1:8" ht="18" x14ac:dyDescent="0.3">
      <c r="A11" s="4">
        <f>+A10+1</f>
        <v>1</v>
      </c>
      <c r="B11" s="32" t="s">
        <v>918</v>
      </c>
      <c r="C11" s="4" t="s">
        <v>919</v>
      </c>
      <c r="E11" s="84">
        <v>-264.76299999999998</v>
      </c>
      <c r="F11" s="626"/>
      <c r="G11" s="626"/>
      <c r="H11" s="4">
        <f>A11</f>
        <v>1</v>
      </c>
    </row>
    <row r="12" spans="1:8" x14ac:dyDescent="0.3">
      <c r="A12" s="4">
        <f>+A11+1</f>
        <v>2</v>
      </c>
      <c r="E12" s="71"/>
      <c r="F12" s="71"/>
      <c r="G12" s="626"/>
      <c r="H12" s="4">
        <f>+H11+1</f>
        <v>2</v>
      </c>
    </row>
    <row r="13" spans="1:8" x14ac:dyDescent="0.3">
      <c r="A13" s="4">
        <f>+A12+1</f>
        <v>3</v>
      </c>
      <c r="B13" s="32" t="s">
        <v>920</v>
      </c>
      <c r="E13" s="71"/>
      <c r="F13" s="626"/>
      <c r="G13" s="626"/>
      <c r="H13" s="4">
        <f>+H12+1</f>
        <v>3</v>
      </c>
    </row>
    <row r="14" spans="1:8" x14ac:dyDescent="0.3">
      <c r="A14" s="4">
        <f t="shared" ref="A14:A19" si="0">+A13+1</f>
        <v>4</v>
      </c>
      <c r="B14" s="33" t="s">
        <v>921</v>
      </c>
      <c r="C14" s="4"/>
      <c r="E14" s="43">
        <f>'AR-1'!G18</f>
        <v>1513.2060849959987</v>
      </c>
      <c r="F14" s="626"/>
      <c r="G14" s="4" t="s">
        <v>922</v>
      </c>
      <c r="H14" s="4">
        <f t="shared" ref="H14:H19" si="1">+H13+1</f>
        <v>4</v>
      </c>
    </row>
    <row r="15" spans="1:8" x14ac:dyDescent="0.3">
      <c r="A15" s="4">
        <f t="shared" si="0"/>
        <v>5</v>
      </c>
      <c r="B15" s="33" t="s">
        <v>923</v>
      </c>
      <c r="C15" s="4"/>
      <c r="E15" s="43">
        <f>'AR-1'!G25</f>
        <v>-5166.1872437088459</v>
      </c>
      <c r="F15" s="626"/>
      <c r="G15" s="4" t="s">
        <v>924</v>
      </c>
      <c r="H15" s="4">
        <f t="shared" si="1"/>
        <v>5</v>
      </c>
    </row>
    <row r="16" spans="1:8" x14ac:dyDescent="0.3">
      <c r="A16" s="4">
        <f t="shared" si="0"/>
        <v>6</v>
      </c>
      <c r="B16" s="33" t="s">
        <v>925</v>
      </c>
      <c r="C16" s="4"/>
      <c r="E16" s="912">
        <f>'AR-1'!G33</f>
        <v>0</v>
      </c>
      <c r="F16" s="626"/>
      <c r="G16" s="4" t="s">
        <v>926</v>
      </c>
      <c r="H16" s="4">
        <f t="shared" si="1"/>
        <v>6</v>
      </c>
    </row>
    <row r="17" spans="1:8" x14ac:dyDescent="0.3">
      <c r="A17" s="4">
        <f t="shared" si="0"/>
        <v>7</v>
      </c>
      <c r="B17" s="33" t="s">
        <v>927</v>
      </c>
      <c r="C17" s="4"/>
      <c r="E17" s="1060">
        <f>SUM(E14:E16)</f>
        <v>-3652.981158712847</v>
      </c>
      <c r="F17" s="626"/>
      <c r="G17" s="4" t="s">
        <v>928</v>
      </c>
      <c r="H17" s="4">
        <f t="shared" si="1"/>
        <v>7</v>
      </c>
    </row>
    <row r="18" spans="1:8" x14ac:dyDescent="0.3">
      <c r="A18" s="4">
        <f t="shared" si="0"/>
        <v>8</v>
      </c>
      <c r="E18" s="6"/>
      <c r="F18" s="6"/>
      <c r="G18" s="45"/>
      <c r="H18" s="4">
        <f t="shared" si="1"/>
        <v>8</v>
      </c>
    </row>
    <row r="19" spans="1:8" ht="16.2" thickBot="1" x14ac:dyDescent="0.35">
      <c r="A19" s="4">
        <f t="shared" si="0"/>
        <v>9</v>
      </c>
      <c r="B19" s="32" t="s">
        <v>929</v>
      </c>
      <c r="E19" s="38">
        <f>E11+E17</f>
        <v>-3917.7441587128469</v>
      </c>
      <c r="F19" s="36"/>
      <c r="G19" s="4" t="s">
        <v>930</v>
      </c>
      <c r="H19" s="4">
        <f t="shared" si="1"/>
        <v>9</v>
      </c>
    </row>
    <row r="20" spans="1:8" ht="16.2" thickTop="1" x14ac:dyDescent="0.3">
      <c r="E20" s="36"/>
      <c r="F20" s="36"/>
      <c r="G20" s="4"/>
      <c r="H20" s="4"/>
    </row>
    <row r="21" spans="1:8" x14ac:dyDescent="0.3">
      <c r="H21" s="4"/>
    </row>
    <row r="22" spans="1:8" ht="18" x14ac:dyDescent="0.3">
      <c r="A22" s="256">
        <v>1</v>
      </c>
      <c r="B22" s="32" t="s">
        <v>931</v>
      </c>
      <c r="H22" s="4"/>
    </row>
    <row r="23" spans="1:8" ht="18" x14ac:dyDescent="0.3">
      <c r="A23" s="269"/>
      <c r="B23" s="33"/>
      <c r="H23" s="4"/>
    </row>
    <row r="24" spans="1:8" x14ac:dyDescent="0.3">
      <c r="B24" s="33"/>
      <c r="H24" s="4"/>
    </row>
    <row r="25" spans="1:8" ht="16.2" x14ac:dyDescent="0.3">
      <c r="B25" s="729"/>
    </row>
  </sheetData>
  <mergeCells count="5">
    <mergeCell ref="B2:G2"/>
    <mergeCell ref="B3:G3"/>
    <mergeCell ref="B4:G4"/>
    <mergeCell ref="B5:G5"/>
    <mergeCell ref="B6:G6"/>
  </mergeCells>
  <printOptions horizontalCentered="1"/>
  <pageMargins left="0.5" right="0.5" top="0.5" bottom="0.5" header="0.25" footer="0.25"/>
  <pageSetup scale="60" orientation="portrait" r:id="rId1"/>
  <headerFooter scaleWithDoc="0">
    <oddFooter>&amp;C&amp;"Times New Roman,Regular"&amp;10&amp;A</oddFooter>
  </headerFooter>
  <customProperties>
    <customPr name="_pios_id" r:id="rId2"/>
  </customPropertie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2D1C5-253E-4292-AC19-76ECF2CF8CF8}">
  <sheetPr>
    <pageSetUpPr fitToPage="1"/>
  </sheetPr>
  <dimension ref="A2:K42"/>
  <sheetViews>
    <sheetView zoomScale="80" zoomScaleNormal="80" workbookViewId="0"/>
  </sheetViews>
  <sheetFormatPr defaultColWidth="8.5546875" defaultRowHeight="15.6" x14ac:dyDescent="0.3"/>
  <cols>
    <col min="1" max="1" width="5.44140625" style="4" customWidth="1"/>
    <col min="2" max="2" width="50.6640625" style="32" customWidth="1"/>
    <col min="3" max="3" width="20.33203125" style="32" customWidth="1"/>
    <col min="4" max="4" width="1.5546875" style="32" customWidth="1"/>
    <col min="5" max="5" width="21.33203125" style="32" bestFit="1" customWidth="1"/>
    <col min="6" max="6" width="1.5546875" style="32" customWidth="1"/>
    <col min="7" max="7" width="23.44140625" style="32" bestFit="1" customWidth="1"/>
    <col min="8" max="8" width="62.5546875" style="32" customWidth="1"/>
    <col min="9" max="9" width="5.44140625" style="4" customWidth="1"/>
    <col min="10" max="10" width="9.6640625" style="32" bestFit="1" customWidth="1"/>
    <col min="11" max="11" width="10.44140625" style="32" customWidth="1"/>
    <col min="12" max="16384" width="8.5546875" style="32"/>
  </cols>
  <sheetData>
    <row r="2" spans="1:11" x14ac:dyDescent="0.3">
      <c r="B2" s="1222" t="s">
        <v>0</v>
      </c>
      <c r="C2" s="1222"/>
      <c r="D2" s="1222"/>
      <c r="E2" s="1222"/>
      <c r="F2" s="1222"/>
      <c r="G2" s="1222"/>
      <c r="H2" s="1222"/>
    </row>
    <row r="3" spans="1:11" x14ac:dyDescent="0.3">
      <c r="B3" s="1222" t="s">
        <v>932</v>
      </c>
      <c r="C3" s="1222"/>
      <c r="D3" s="1222"/>
      <c r="E3" s="1222"/>
      <c r="F3" s="1222"/>
      <c r="G3" s="1222"/>
      <c r="H3" s="1222"/>
    </row>
    <row r="4" spans="1:11" x14ac:dyDescent="0.3">
      <c r="B4" s="1222" t="s">
        <v>933</v>
      </c>
      <c r="C4" s="1222"/>
      <c r="D4" s="1222"/>
      <c r="E4" s="1222"/>
      <c r="F4" s="1222"/>
      <c r="G4" s="1222"/>
      <c r="H4" s="1222"/>
    </row>
    <row r="5" spans="1:11" x14ac:dyDescent="0.3">
      <c r="B5" s="1222" t="s">
        <v>1740</v>
      </c>
      <c r="C5" s="1222"/>
      <c r="D5" s="1222"/>
      <c r="E5" s="1222"/>
      <c r="F5" s="1222"/>
      <c r="G5" s="1222"/>
      <c r="H5" s="1222"/>
    </row>
    <row r="6" spans="1:11" ht="15.75" customHeight="1" x14ac:dyDescent="0.3">
      <c r="B6" s="1226" t="s">
        <v>4</v>
      </c>
      <c r="C6" s="1226"/>
      <c r="D6" s="1226"/>
      <c r="E6" s="1226"/>
      <c r="F6" s="1226"/>
      <c r="G6" s="1226"/>
      <c r="H6" s="1226"/>
    </row>
    <row r="8" spans="1:11" x14ac:dyDescent="0.3">
      <c r="B8" s="1"/>
      <c r="C8" s="265" t="s">
        <v>210</v>
      </c>
      <c r="D8" s="265"/>
      <c r="E8" s="265" t="s">
        <v>211</v>
      </c>
      <c r="F8" s="265"/>
      <c r="G8" s="265" t="s">
        <v>934</v>
      </c>
      <c r="H8" s="265"/>
    </row>
    <row r="9" spans="1:11" ht="18" x14ac:dyDescent="0.3">
      <c r="A9" s="4" t="s">
        <v>5</v>
      </c>
      <c r="B9" s="1"/>
      <c r="C9" s="265" t="s">
        <v>446</v>
      </c>
      <c r="D9" s="902"/>
      <c r="E9" s="265" t="s">
        <v>445</v>
      </c>
      <c r="F9" s="265"/>
      <c r="G9" s="265"/>
      <c r="H9" s="265"/>
      <c r="I9" s="4" t="s">
        <v>5</v>
      </c>
    </row>
    <row r="10" spans="1:11" x14ac:dyDescent="0.3">
      <c r="A10" s="4" t="s">
        <v>6</v>
      </c>
      <c r="B10" s="935" t="s">
        <v>337</v>
      </c>
      <c r="C10" s="731" t="s">
        <v>449</v>
      </c>
      <c r="D10" s="731"/>
      <c r="E10" s="731" t="s">
        <v>448</v>
      </c>
      <c r="F10" s="731"/>
      <c r="G10" s="935" t="s">
        <v>200</v>
      </c>
      <c r="H10" s="935" t="s">
        <v>8</v>
      </c>
      <c r="I10" s="4" t="s">
        <v>6</v>
      </c>
    </row>
    <row r="11" spans="1:11" x14ac:dyDescent="0.3">
      <c r="B11" s="1"/>
      <c r="C11" s="342"/>
      <c r="D11" s="342"/>
      <c r="E11" s="342"/>
      <c r="F11" s="342"/>
      <c r="G11" s="92"/>
      <c r="H11" s="92"/>
    </row>
    <row r="12" spans="1:11" x14ac:dyDescent="0.3">
      <c r="A12" s="4">
        <v>1</v>
      </c>
      <c r="B12" s="33" t="s">
        <v>450</v>
      </c>
      <c r="C12" s="91"/>
      <c r="D12" s="91"/>
      <c r="E12" s="91"/>
      <c r="F12" s="91"/>
      <c r="G12" s="92"/>
      <c r="H12" s="92"/>
      <c r="I12" s="4">
        <f>A12</f>
        <v>1</v>
      </c>
    </row>
    <row r="13" spans="1:11" x14ac:dyDescent="0.3">
      <c r="A13" s="4">
        <f t="shared" ref="A13:A18" si="0">A12+1</f>
        <v>2</v>
      </c>
      <c r="B13" s="33" t="s">
        <v>451</v>
      </c>
      <c r="C13" s="36">
        <f>-SUM('Order 864-3'!I15:I16)</f>
        <v>0</v>
      </c>
      <c r="D13" s="36"/>
      <c r="E13" s="36">
        <f>-SUM('Order 864-3'!H15:H17,'Order 864-3'!H19)</f>
        <v>0</v>
      </c>
      <c r="F13" s="89"/>
      <c r="G13" s="36">
        <f>SUM(C13:E13)</f>
        <v>0</v>
      </c>
      <c r="H13" s="629" t="s">
        <v>289</v>
      </c>
      <c r="I13" s="4">
        <f t="shared" ref="I13:I18" si="1">I12+1</f>
        <v>2</v>
      </c>
      <c r="K13" s="258"/>
    </row>
    <row r="14" spans="1:11" x14ac:dyDescent="0.3">
      <c r="A14" s="4">
        <f t="shared" si="0"/>
        <v>3</v>
      </c>
      <c r="B14" s="33" t="s">
        <v>935</v>
      </c>
      <c r="C14" s="6">
        <f>-'Order 864-3'!I27</f>
        <v>0</v>
      </c>
      <c r="D14" s="6"/>
      <c r="E14" s="6">
        <f>-SUM('Order 864-3'!H27,'Order 864-3'!F27)</f>
        <v>1513.2060849959987</v>
      </c>
      <c r="F14" s="6"/>
      <c r="G14" s="6">
        <f>SUM(C14:E14)</f>
        <v>1513.2060849959987</v>
      </c>
      <c r="H14" s="629" t="s">
        <v>289</v>
      </c>
      <c r="I14" s="4">
        <f t="shared" si="1"/>
        <v>3</v>
      </c>
    </row>
    <row r="15" spans="1:11" x14ac:dyDescent="0.3">
      <c r="A15" s="4">
        <f t="shared" si="0"/>
        <v>4</v>
      </c>
      <c r="B15" s="813"/>
      <c r="C15" s="6">
        <v>0</v>
      </c>
      <c r="D15" s="6"/>
      <c r="E15" s="6">
        <v>0</v>
      </c>
      <c r="F15" s="6"/>
      <c r="G15" s="6">
        <f>SUM(C15:E15)</f>
        <v>0</v>
      </c>
      <c r="H15" s="814"/>
      <c r="I15" s="4">
        <f t="shared" si="1"/>
        <v>4</v>
      </c>
    </row>
    <row r="16" spans="1:11" x14ac:dyDescent="0.3">
      <c r="A16" s="4">
        <f t="shared" si="0"/>
        <v>5</v>
      </c>
      <c r="B16" s="33"/>
      <c r="C16" s="6">
        <v>0</v>
      </c>
      <c r="D16" s="6"/>
      <c r="E16" s="6">
        <v>0</v>
      </c>
      <c r="F16" s="6"/>
      <c r="G16" s="6">
        <f>SUM(C16:E16)</f>
        <v>0</v>
      </c>
      <c r="H16" s="6"/>
      <c r="I16" s="4">
        <f t="shared" si="1"/>
        <v>5</v>
      </c>
    </row>
    <row r="17" spans="1:11" x14ac:dyDescent="0.3">
      <c r="A17" s="4">
        <f t="shared" si="0"/>
        <v>6</v>
      </c>
      <c r="C17" s="6">
        <v>0</v>
      </c>
      <c r="D17" s="6"/>
      <c r="E17" s="6">
        <v>0</v>
      </c>
      <c r="F17" s="6"/>
      <c r="G17" s="6">
        <f>SUM(C17:E17)</f>
        <v>0</v>
      </c>
      <c r="H17" s="6"/>
      <c r="I17" s="4">
        <f t="shared" si="1"/>
        <v>6</v>
      </c>
    </row>
    <row r="18" spans="1:11" ht="18.600000000000001" thickBot="1" x14ac:dyDescent="0.35">
      <c r="A18" s="4">
        <f t="shared" si="0"/>
        <v>7</v>
      </c>
      <c r="B18" s="343" t="s">
        <v>936</v>
      </c>
      <c r="C18" s="90">
        <f>SUM(C13:C17)</f>
        <v>0</v>
      </c>
      <c r="D18" s="44"/>
      <c r="E18" s="90">
        <f>SUM(E13:E17)</f>
        <v>1513.2060849959987</v>
      </c>
      <c r="F18" s="6"/>
      <c r="G18" s="90">
        <f>SUM(G13:G17)</f>
        <v>1513.2060849959987</v>
      </c>
      <c r="H18" s="45" t="s">
        <v>454</v>
      </c>
      <c r="I18" s="4">
        <f t="shared" si="1"/>
        <v>7</v>
      </c>
      <c r="J18" s="432"/>
    </row>
    <row r="19" spans="1:11" ht="16.2" thickTop="1" x14ac:dyDescent="0.3">
      <c r="A19" s="4">
        <f t="shared" ref="A19:A35" si="2">A18+1</f>
        <v>8</v>
      </c>
      <c r="C19" s="86"/>
      <c r="D19" s="86"/>
      <c r="E19" s="86"/>
      <c r="F19" s="86"/>
      <c r="G19" s="878"/>
      <c r="H19" s="86"/>
      <c r="I19" s="4">
        <f t="shared" ref="I19:I35" si="3">I18+1</f>
        <v>8</v>
      </c>
    </row>
    <row r="20" spans="1:11" x14ac:dyDescent="0.3">
      <c r="A20" s="4">
        <f t="shared" si="2"/>
        <v>9</v>
      </c>
      <c r="B20" s="33" t="s">
        <v>455</v>
      </c>
      <c r="C20" s="91"/>
      <c r="D20" s="91"/>
      <c r="E20" s="91"/>
      <c r="F20" s="91"/>
      <c r="G20" s="92"/>
      <c r="H20" s="92"/>
      <c r="I20" s="4">
        <f t="shared" si="3"/>
        <v>9</v>
      </c>
    </row>
    <row r="21" spans="1:11" x14ac:dyDescent="0.3">
      <c r="A21" s="4">
        <f t="shared" si="2"/>
        <v>10</v>
      </c>
      <c r="B21" s="727" t="s">
        <v>452</v>
      </c>
      <c r="C21" s="36">
        <f>-SUM('Order 864-3'!G29:G30, 'Order 864-3'!I29:I30,'Order 864-3'!G37,'Order 864-3'!I37,'Order 864-3'!G40,'Order 864-3'!I40)</f>
        <v>-5967.4540330612144</v>
      </c>
      <c r="D21" s="36"/>
      <c r="E21" s="36">
        <f>-SUM('Order 864-3'!F29:F30, 'Order 864-3'!H29:H30,'Order 864-3'!F37,'Order 864-3'!H37,'Order 864-3'!F40,'Order 864-3'!H40)</f>
        <v>801.26678935236828</v>
      </c>
      <c r="F21" s="36"/>
      <c r="G21" s="36">
        <f>SUM(C21:E21)</f>
        <v>-5166.1872437088459</v>
      </c>
      <c r="H21" s="911" t="s">
        <v>937</v>
      </c>
      <c r="I21" s="4">
        <f t="shared" si="3"/>
        <v>10</v>
      </c>
      <c r="K21" s="258"/>
    </row>
    <row r="22" spans="1:11" x14ac:dyDescent="0.3">
      <c r="A22" s="4">
        <f t="shared" si="2"/>
        <v>11</v>
      </c>
      <c r="C22" s="6">
        <v>0</v>
      </c>
      <c r="D22" s="6"/>
      <c r="E22" s="6">
        <v>0</v>
      </c>
      <c r="F22" s="6"/>
      <c r="G22" s="6">
        <f>SUM(C22:E22)</f>
        <v>0</v>
      </c>
      <c r="H22" s="6"/>
      <c r="I22" s="4">
        <f t="shared" si="3"/>
        <v>11</v>
      </c>
    </row>
    <row r="23" spans="1:11" x14ac:dyDescent="0.3">
      <c r="A23" s="4">
        <f t="shared" si="2"/>
        <v>12</v>
      </c>
      <c r="C23" s="6">
        <v>0</v>
      </c>
      <c r="D23" s="6"/>
      <c r="E23" s="6">
        <v>0</v>
      </c>
      <c r="F23" s="6"/>
      <c r="G23" s="6">
        <f>SUM(C23:E23)</f>
        <v>0</v>
      </c>
      <c r="H23" s="6"/>
      <c r="I23" s="4">
        <f t="shared" si="3"/>
        <v>12</v>
      </c>
    </row>
    <row r="24" spans="1:11" x14ac:dyDescent="0.3">
      <c r="A24" s="4">
        <f t="shared" si="2"/>
        <v>13</v>
      </c>
      <c r="C24" s="6">
        <v>0</v>
      </c>
      <c r="D24" s="6"/>
      <c r="E24" s="6">
        <v>0</v>
      </c>
      <c r="F24" s="6"/>
      <c r="G24" s="6">
        <f>SUM(C24:E24)</f>
        <v>0</v>
      </c>
      <c r="H24" s="6"/>
      <c r="I24" s="4">
        <f t="shared" si="3"/>
        <v>13</v>
      </c>
    </row>
    <row r="25" spans="1:11" ht="16.2" thickBot="1" x14ac:dyDescent="0.35">
      <c r="A25" s="4">
        <f t="shared" si="2"/>
        <v>14</v>
      </c>
      <c r="B25" s="343" t="s">
        <v>456</v>
      </c>
      <c r="C25" s="90">
        <f>SUM(C21:C24)</f>
        <v>-5967.4540330612144</v>
      </c>
      <c r="D25" s="44"/>
      <c r="E25" s="90">
        <f>SUM(E21:E24)</f>
        <v>801.26678935236828</v>
      </c>
      <c r="F25" s="6"/>
      <c r="G25" s="90">
        <f>SUM(G21:G24)</f>
        <v>-5166.1872437088459</v>
      </c>
      <c r="H25" s="45" t="s">
        <v>457</v>
      </c>
      <c r="I25" s="4">
        <f t="shared" si="3"/>
        <v>14</v>
      </c>
    </row>
    <row r="26" spans="1:11" ht="16.2" thickTop="1" x14ac:dyDescent="0.3">
      <c r="A26" s="4">
        <f t="shared" si="2"/>
        <v>15</v>
      </c>
      <c r="I26" s="4">
        <f t="shared" si="3"/>
        <v>15</v>
      </c>
    </row>
    <row r="27" spans="1:11" x14ac:dyDescent="0.3">
      <c r="A27" s="4">
        <f t="shared" si="2"/>
        <v>16</v>
      </c>
      <c r="B27" s="33" t="s">
        <v>458</v>
      </c>
      <c r="C27" s="91"/>
      <c r="D27" s="91"/>
      <c r="E27" s="91"/>
      <c r="F27" s="91"/>
      <c r="G27" s="92"/>
      <c r="H27" s="4"/>
      <c r="I27" s="4">
        <f t="shared" si="3"/>
        <v>16</v>
      </c>
    </row>
    <row r="28" spans="1:11" x14ac:dyDescent="0.3">
      <c r="A28" s="4">
        <f t="shared" si="2"/>
        <v>17</v>
      </c>
      <c r="B28" s="33" t="s">
        <v>451</v>
      </c>
      <c r="C28" s="36">
        <f>-SUM('Order 864-3'!I21:I22)</f>
        <v>0</v>
      </c>
      <c r="D28" s="36"/>
      <c r="E28" s="36">
        <f>-SUM('Order 864-3'!H21:H22)</f>
        <v>0</v>
      </c>
      <c r="F28" s="89"/>
      <c r="G28" s="36">
        <f>SUM(C28:E28)</f>
        <v>0</v>
      </c>
      <c r="H28" s="629" t="s">
        <v>289</v>
      </c>
      <c r="I28" s="4">
        <f t="shared" si="3"/>
        <v>17</v>
      </c>
    </row>
    <row r="29" spans="1:11" x14ac:dyDescent="0.3">
      <c r="A29" s="4">
        <f t="shared" si="2"/>
        <v>18</v>
      </c>
      <c r="B29" s="33"/>
      <c r="C29" s="6">
        <v>0</v>
      </c>
      <c r="D29" s="6"/>
      <c r="E29" s="6">
        <v>0</v>
      </c>
      <c r="F29" s="6"/>
      <c r="G29" s="6">
        <f>SUM(C29:E29)</f>
        <v>0</v>
      </c>
      <c r="H29" s="4"/>
      <c r="I29" s="4">
        <f t="shared" si="3"/>
        <v>18</v>
      </c>
    </row>
    <row r="30" spans="1:11" x14ac:dyDescent="0.3">
      <c r="A30" s="4">
        <f t="shared" si="2"/>
        <v>19</v>
      </c>
      <c r="B30" s="33"/>
      <c r="C30" s="6">
        <v>0</v>
      </c>
      <c r="D30" s="6"/>
      <c r="E30" s="6">
        <v>0</v>
      </c>
      <c r="F30" s="6"/>
      <c r="G30" s="6">
        <f>SUM(C30:E30)</f>
        <v>0</v>
      </c>
      <c r="H30" s="6"/>
      <c r="I30" s="4">
        <f t="shared" si="3"/>
        <v>19</v>
      </c>
    </row>
    <row r="31" spans="1:11" x14ac:dyDescent="0.3">
      <c r="A31" s="4">
        <f t="shared" si="2"/>
        <v>20</v>
      </c>
      <c r="B31" s="33"/>
      <c r="C31" s="6">
        <v>0</v>
      </c>
      <c r="D31" s="6"/>
      <c r="E31" s="6">
        <v>0</v>
      </c>
      <c r="F31" s="6"/>
      <c r="G31" s="6">
        <f>SUM(C31:E31)</f>
        <v>0</v>
      </c>
      <c r="H31" s="6"/>
      <c r="I31" s="4">
        <f t="shared" si="3"/>
        <v>20</v>
      </c>
    </row>
    <row r="32" spans="1:11" x14ac:dyDescent="0.3">
      <c r="A32" s="4">
        <f t="shared" si="2"/>
        <v>21</v>
      </c>
      <c r="B32" s="33"/>
      <c r="C32" s="6">
        <v>0</v>
      </c>
      <c r="D32" s="6"/>
      <c r="E32" s="6">
        <v>0</v>
      </c>
      <c r="F32" s="6"/>
      <c r="G32" s="6">
        <f>SUM(C32:E32)</f>
        <v>0</v>
      </c>
      <c r="H32" s="6"/>
      <c r="I32" s="4">
        <f t="shared" si="3"/>
        <v>21</v>
      </c>
    </row>
    <row r="33" spans="1:9" ht="16.2" thickBot="1" x14ac:dyDescent="0.35">
      <c r="A33" s="4">
        <f t="shared" si="2"/>
        <v>22</v>
      </c>
      <c r="B33" s="343" t="s">
        <v>459</v>
      </c>
      <c r="C33" s="90">
        <f>SUM(C28:C32)</f>
        <v>0</v>
      </c>
      <c r="D33" s="44"/>
      <c r="E33" s="90">
        <f>SUM(E28:E32)</f>
        <v>0</v>
      </c>
      <c r="F33" s="6"/>
      <c r="G33" s="90">
        <f>SUM(G28:G32)</f>
        <v>0</v>
      </c>
      <c r="H33" s="45" t="s">
        <v>460</v>
      </c>
      <c r="I33" s="4">
        <f t="shared" si="3"/>
        <v>22</v>
      </c>
    </row>
    <row r="34" spans="1:9" ht="16.2" thickTop="1" x14ac:dyDescent="0.3">
      <c r="A34" s="4">
        <f t="shared" si="2"/>
        <v>23</v>
      </c>
      <c r="I34" s="4">
        <f t="shared" si="3"/>
        <v>23</v>
      </c>
    </row>
    <row r="35" spans="1:9" ht="16.2" thickBot="1" x14ac:dyDescent="0.35">
      <c r="A35" s="4">
        <f t="shared" si="2"/>
        <v>24</v>
      </c>
      <c r="B35" s="1" t="s">
        <v>938</v>
      </c>
      <c r="C35" s="90">
        <f>+C18+C25+C33</f>
        <v>-5967.4540330612144</v>
      </c>
      <c r="D35" s="44"/>
      <c r="E35" s="90">
        <f>+E18+E25+E33</f>
        <v>2314.472874348367</v>
      </c>
      <c r="G35" s="90">
        <f>+G18+G25+G33</f>
        <v>-3652.981158712847</v>
      </c>
      <c r="H35" s="45" t="s">
        <v>462</v>
      </c>
      <c r="I35" s="4">
        <f t="shared" si="3"/>
        <v>24</v>
      </c>
    </row>
    <row r="36" spans="1:9" ht="16.2" thickTop="1" x14ac:dyDescent="0.3">
      <c r="B36" s="1"/>
      <c r="C36" s="44"/>
      <c r="D36" s="44"/>
      <c r="E36" s="44"/>
      <c r="G36" s="44"/>
      <c r="H36" s="45"/>
    </row>
    <row r="38" spans="1:9" ht="18" x14ac:dyDescent="0.3">
      <c r="A38" s="256">
        <v>1</v>
      </c>
      <c r="B38" s="32" t="s">
        <v>463</v>
      </c>
    </row>
    <row r="39" spans="1:9" ht="18" x14ac:dyDescent="0.3">
      <c r="A39" s="256">
        <v>2</v>
      </c>
      <c r="B39" s="32" t="s">
        <v>939</v>
      </c>
    </row>
    <row r="40" spans="1:9" ht="18" x14ac:dyDescent="0.3">
      <c r="A40" s="256">
        <v>3</v>
      </c>
      <c r="B40" s="32" t="s">
        <v>940</v>
      </c>
    </row>
    <row r="41" spans="1:9" ht="18" x14ac:dyDescent="0.3">
      <c r="A41" s="269">
        <v>4</v>
      </c>
      <c r="B41" s="828" t="s">
        <v>1548</v>
      </c>
    </row>
    <row r="42" spans="1:9" x14ac:dyDescent="0.3">
      <c r="B42" s="828" t="s">
        <v>1549</v>
      </c>
    </row>
  </sheetData>
  <mergeCells count="5">
    <mergeCell ref="B2:H2"/>
    <mergeCell ref="B3:H3"/>
    <mergeCell ref="B4:H4"/>
    <mergeCell ref="B5:H5"/>
    <mergeCell ref="B6:H6"/>
  </mergeCells>
  <printOptions horizontalCentered="1"/>
  <pageMargins left="0.5" right="0.5" top="0.5" bottom="0.5" header="0.25" footer="0.25"/>
  <pageSetup scale="66" orientation="landscape" r:id="rId1"/>
  <headerFooter scaleWithDoc="0">
    <oddFooter>&amp;C&amp;"Times New Roman,Regular"&amp;10&amp;A</oddFooter>
  </headerFooter>
  <customProperties>
    <customPr name="_pios_id" r:id="rId2"/>
  </customPropertie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090EE-2B17-43C7-B737-AD07CA784388}">
  <sheetPr>
    <pageSetUpPr fitToPage="1"/>
  </sheetPr>
  <dimension ref="A1:H24"/>
  <sheetViews>
    <sheetView zoomScale="80" zoomScaleNormal="80" workbookViewId="0"/>
  </sheetViews>
  <sheetFormatPr defaultColWidth="8.6640625" defaultRowHeight="15.6" x14ac:dyDescent="0.3"/>
  <cols>
    <col min="1" max="1" width="5.33203125" style="4" bestFit="1" customWidth="1"/>
    <col min="2" max="2" width="68.6640625" style="32" customWidth="1"/>
    <col min="3" max="3" width="24" style="32" customWidth="1"/>
    <col min="4" max="4" width="1.5546875" style="32" customWidth="1"/>
    <col min="5" max="5" width="16.6640625" style="32" customWidth="1"/>
    <col min="6" max="6" width="1.5546875" style="32" customWidth="1"/>
    <col min="7" max="7" width="34.5546875" style="32" customWidth="1"/>
    <col min="8" max="8" width="5.33203125" style="32" customWidth="1"/>
    <col min="9" max="9" width="8.6640625" style="32"/>
    <col min="10" max="10" width="20.44140625" style="32" bestFit="1" customWidth="1"/>
    <col min="11" max="16384" width="8.6640625" style="32"/>
  </cols>
  <sheetData>
    <row r="1" spans="1:8" x14ac:dyDescent="0.3">
      <c r="E1" s="71"/>
      <c r="F1" s="71"/>
      <c r="G1" s="4"/>
      <c r="H1" s="4"/>
    </row>
    <row r="2" spans="1:8" x14ac:dyDescent="0.3">
      <c r="B2" s="1222" t="s">
        <v>0</v>
      </c>
      <c r="C2" s="1222"/>
      <c r="D2" s="1222"/>
      <c r="E2" s="1222"/>
      <c r="F2" s="1222"/>
      <c r="G2" s="1222"/>
      <c r="H2" s="4"/>
    </row>
    <row r="3" spans="1:8" x14ac:dyDescent="0.3">
      <c r="B3" s="1222" t="s">
        <v>941</v>
      </c>
      <c r="C3" s="1222"/>
      <c r="D3" s="1222"/>
      <c r="E3" s="1222"/>
      <c r="F3" s="1222"/>
      <c r="G3" s="1222"/>
      <c r="H3" s="4"/>
    </row>
    <row r="4" spans="1:8" x14ac:dyDescent="0.3">
      <c r="B4" s="1222" t="s">
        <v>942</v>
      </c>
      <c r="C4" s="1222"/>
      <c r="D4" s="1222"/>
      <c r="E4" s="1222"/>
      <c r="F4" s="1222"/>
      <c r="G4" s="1222"/>
      <c r="H4" s="4"/>
    </row>
    <row r="5" spans="1:8" x14ac:dyDescent="0.3">
      <c r="B5" s="1227" t="str">
        <f>'Stmt AD'!B5</f>
        <v>Base Period &amp; True-Up Period 12 - Months Ending December 31, 2023</v>
      </c>
      <c r="C5" s="1227"/>
      <c r="D5" s="1227"/>
      <c r="E5" s="1227"/>
      <c r="F5" s="1227"/>
      <c r="G5" s="1227"/>
      <c r="H5" s="4"/>
    </row>
    <row r="6" spans="1:8" x14ac:dyDescent="0.3">
      <c r="B6" s="1226" t="s">
        <v>4</v>
      </c>
      <c r="C6" s="1223"/>
      <c r="D6" s="1223"/>
      <c r="E6" s="1223"/>
      <c r="F6" s="1223"/>
      <c r="G6" s="1223"/>
      <c r="H6" s="4"/>
    </row>
    <row r="7" spans="1:8" x14ac:dyDescent="0.3">
      <c r="B7" s="4"/>
      <c r="C7" s="4"/>
      <c r="D7" s="4"/>
      <c r="E7" s="4"/>
      <c r="F7" s="4"/>
      <c r="G7" s="4"/>
      <c r="H7" s="4"/>
    </row>
    <row r="8" spans="1:8" x14ac:dyDescent="0.3">
      <c r="A8" s="4" t="s">
        <v>5</v>
      </c>
      <c r="C8" s="4" t="s">
        <v>236</v>
      </c>
      <c r="E8" s="4"/>
      <c r="F8" s="4"/>
      <c r="G8" s="4"/>
      <c r="H8" s="4" t="s">
        <v>5</v>
      </c>
    </row>
    <row r="9" spans="1:8" x14ac:dyDescent="0.3">
      <c r="A9" s="4" t="s">
        <v>6</v>
      </c>
      <c r="B9" s="32" t="s">
        <v>1</v>
      </c>
      <c r="C9" s="852" t="s">
        <v>238</v>
      </c>
      <c r="E9" s="852" t="s">
        <v>7</v>
      </c>
      <c r="F9" s="626"/>
      <c r="G9" s="852" t="s">
        <v>8</v>
      </c>
      <c r="H9" s="4" t="s">
        <v>6</v>
      </c>
    </row>
    <row r="10" spans="1:8" x14ac:dyDescent="0.3">
      <c r="E10" s="71"/>
      <c r="F10" s="71"/>
      <c r="G10" s="4"/>
      <c r="H10" s="4"/>
    </row>
    <row r="11" spans="1:8" ht="18" x14ac:dyDescent="0.3">
      <c r="A11" s="4">
        <f>+A10+1</f>
        <v>1</v>
      </c>
      <c r="B11" s="32" t="s">
        <v>918</v>
      </c>
      <c r="C11" s="4"/>
      <c r="E11" s="84">
        <v>0</v>
      </c>
      <c r="F11" s="626"/>
      <c r="G11" s="626"/>
      <c r="H11" s="4">
        <f>A11</f>
        <v>1</v>
      </c>
    </row>
    <row r="12" spans="1:8" x14ac:dyDescent="0.3">
      <c r="A12" s="4">
        <f>+A11+1</f>
        <v>2</v>
      </c>
      <c r="E12" s="71"/>
      <c r="F12" s="71"/>
      <c r="G12" s="626"/>
      <c r="H12" s="4">
        <f>+H11+1</f>
        <v>2</v>
      </c>
    </row>
    <row r="13" spans="1:8" x14ac:dyDescent="0.3">
      <c r="A13" s="4">
        <f>+A12+1</f>
        <v>3</v>
      </c>
      <c r="B13" s="32" t="s">
        <v>920</v>
      </c>
      <c r="E13" s="71"/>
      <c r="F13" s="626"/>
      <c r="G13" s="626"/>
      <c r="H13" s="4">
        <f>+H12+1</f>
        <v>3</v>
      </c>
    </row>
    <row r="14" spans="1:8" x14ac:dyDescent="0.3">
      <c r="A14" s="4">
        <f t="shared" ref="A14:A19" si="0">+A13+1</f>
        <v>4</v>
      </c>
      <c r="B14" s="33" t="s">
        <v>921</v>
      </c>
      <c r="C14" s="4"/>
      <c r="E14" s="43">
        <f>'AT-1'!G18</f>
        <v>0</v>
      </c>
      <c r="F14" s="626"/>
      <c r="G14" s="4" t="s">
        <v>943</v>
      </c>
      <c r="H14" s="4">
        <f t="shared" ref="H14:H19" si="1">+H13+1</f>
        <v>4</v>
      </c>
    </row>
    <row r="15" spans="1:8" x14ac:dyDescent="0.3">
      <c r="A15" s="4">
        <f t="shared" si="0"/>
        <v>5</v>
      </c>
      <c r="B15" s="33" t="s">
        <v>923</v>
      </c>
      <c r="C15" s="4"/>
      <c r="E15" s="43">
        <f>'AT-1'!G25</f>
        <v>0</v>
      </c>
      <c r="F15" s="626"/>
      <c r="G15" s="4" t="s">
        <v>944</v>
      </c>
      <c r="H15" s="4">
        <f t="shared" si="1"/>
        <v>5</v>
      </c>
    </row>
    <row r="16" spans="1:8" x14ac:dyDescent="0.3">
      <c r="A16" s="4">
        <f t="shared" si="0"/>
        <v>6</v>
      </c>
      <c r="B16" s="33" t="s">
        <v>925</v>
      </c>
      <c r="C16" s="4"/>
      <c r="E16" s="912">
        <f>'AT-1'!G33</f>
        <v>0</v>
      </c>
      <c r="F16" s="626"/>
      <c r="G16" s="4" t="s">
        <v>945</v>
      </c>
      <c r="H16" s="4">
        <f t="shared" si="1"/>
        <v>6</v>
      </c>
    </row>
    <row r="17" spans="1:8" x14ac:dyDescent="0.3">
      <c r="A17" s="4">
        <f t="shared" si="0"/>
        <v>7</v>
      </c>
      <c r="B17" s="33" t="s">
        <v>927</v>
      </c>
      <c r="C17" s="4"/>
      <c r="E17" s="1060">
        <f>SUM(E14:E16)</f>
        <v>0</v>
      </c>
      <c r="F17" s="626"/>
      <c r="G17" s="4" t="s">
        <v>928</v>
      </c>
      <c r="H17" s="4">
        <f t="shared" si="1"/>
        <v>7</v>
      </c>
    </row>
    <row r="18" spans="1:8" x14ac:dyDescent="0.3">
      <c r="A18" s="4">
        <f t="shared" si="0"/>
        <v>8</v>
      </c>
      <c r="E18" s="6"/>
      <c r="F18" s="6"/>
      <c r="G18" s="45"/>
      <c r="H18" s="4">
        <f t="shared" si="1"/>
        <v>8</v>
      </c>
    </row>
    <row r="19" spans="1:8" ht="16.2" thickBot="1" x14ac:dyDescent="0.35">
      <c r="A19" s="4">
        <f t="shared" si="0"/>
        <v>9</v>
      </c>
      <c r="B19" s="32" t="s">
        <v>946</v>
      </c>
      <c r="E19" s="38">
        <f>E11+E17</f>
        <v>0</v>
      </c>
      <c r="F19" s="36"/>
      <c r="G19" s="4" t="s">
        <v>930</v>
      </c>
      <c r="H19" s="4">
        <f t="shared" si="1"/>
        <v>9</v>
      </c>
    </row>
    <row r="20" spans="1:8" ht="16.2" thickTop="1" x14ac:dyDescent="0.3">
      <c r="E20" s="36"/>
      <c r="F20" s="36"/>
      <c r="G20" s="4"/>
      <c r="H20" s="4"/>
    </row>
    <row r="21" spans="1:8" x14ac:dyDescent="0.3">
      <c r="H21" s="4"/>
    </row>
    <row r="22" spans="1:8" ht="18" x14ac:dyDescent="0.3">
      <c r="A22" s="256">
        <v>1</v>
      </c>
      <c r="B22" s="32" t="s">
        <v>931</v>
      </c>
      <c r="H22" s="4"/>
    </row>
    <row r="23" spans="1:8" ht="18" x14ac:dyDescent="0.3">
      <c r="A23" s="269"/>
      <c r="B23" s="33"/>
      <c r="H23" s="4"/>
    </row>
    <row r="24" spans="1:8" x14ac:dyDescent="0.3">
      <c r="B24" s="33"/>
      <c r="H24" s="4"/>
    </row>
  </sheetData>
  <mergeCells count="5">
    <mergeCell ref="B2:G2"/>
    <mergeCell ref="B3:G3"/>
    <mergeCell ref="B4:G4"/>
    <mergeCell ref="B5:G5"/>
    <mergeCell ref="B6:G6"/>
  </mergeCells>
  <printOptions horizontalCentered="1"/>
  <pageMargins left="0.5" right="0.5" top="0.5" bottom="0.5" header="0.25" footer="0.25"/>
  <pageSetup scale="60" orientation="portrait" r:id="rId1"/>
  <headerFooter scaleWithDoc="0">
    <oddFooter>&amp;C&amp;"Times New Roman,Regular"&amp;10&amp;A</oddFooter>
  </headerFooter>
  <customProperties>
    <customPr name="_pios_id" r:id="rId2"/>
  </customPropertie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3EB3C-0A2B-4302-A540-E91ABC88C881}">
  <sheetPr>
    <pageSetUpPr fitToPage="1"/>
  </sheetPr>
  <dimension ref="A2:I40"/>
  <sheetViews>
    <sheetView zoomScale="80" zoomScaleNormal="80" workbookViewId="0"/>
  </sheetViews>
  <sheetFormatPr defaultColWidth="8.5546875" defaultRowHeight="15.6" x14ac:dyDescent="0.3"/>
  <cols>
    <col min="1" max="1" width="5.44140625" style="4" customWidth="1"/>
    <col min="2" max="2" width="50.6640625" style="32" customWidth="1"/>
    <col min="3" max="3" width="20.33203125" style="32" customWidth="1"/>
    <col min="4" max="4" width="1.5546875" style="32" customWidth="1"/>
    <col min="5" max="5" width="20.33203125" style="32" customWidth="1"/>
    <col min="6" max="6" width="1.5546875" style="32" customWidth="1"/>
    <col min="7" max="7" width="23.44140625" style="32" bestFit="1" customWidth="1"/>
    <col min="8" max="8" width="62.5546875" style="32" customWidth="1"/>
    <col min="9" max="9" width="5.44140625" style="4" customWidth="1"/>
    <col min="10" max="16384" width="8.5546875" style="32"/>
  </cols>
  <sheetData>
    <row r="2" spans="1:9" x14ac:dyDescent="0.3">
      <c r="B2" s="1222" t="s">
        <v>0</v>
      </c>
      <c r="C2" s="1222"/>
      <c r="D2" s="1222"/>
      <c r="E2" s="1222"/>
      <c r="F2" s="1222"/>
      <c r="G2" s="1222"/>
      <c r="H2" s="1222"/>
    </row>
    <row r="3" spans="1:9" x14ac:dyDescent="0.3">
      <c r="B3" s="1222" t="s">
        <v>947</v>
      </c>
      <c r="C3" s="1222"/>
      <c r="D3" s="1222"/>
      <c r="E3" s="1222"/>
      <c r="F3" s="1222"/>
      <c r="G3" s="1222"/>
      <c r="H3" s="1222"/>
    </row>
    <row r="4" spans="1:9" x14ac:dyDescent="0.3">
      <c r="B4" s="1222" t="s">
        <v>933</v>
      </c>
      <c r="C4" s="1222"/>
      <c r="D4" s="1222"/>
      <c r="E4" s="1222"/>
      <c r="F4" s="1222"/>
      <c r="G4" s="1222"/>
      <c r="H4" s="1222"/>
    </row>
    <row r="5" spans="1:9" x14ac:dyDescent="0.3">
      <c r="B5" s="1222" t="str">
        <f>'AR-1'!B5</f>
        <v>BASE PERIOD 12 MONTHS ENDING DECEMBER 31, 2023</v>
      </c>
      <c r="C5" s="1222"/>
      <c r="D5" s="1222"/>
      <c r="E5" s="1222"/>
      <c r="F5" s="1222"/>
      <c r="G5" s="1222"/>
      <c r="H5" s="1222"/>
    </row>
    <row r="6" spans="1:9" ht="15.75" customHeight="1" x14ac:dyDescent="0.3">
      <c r="B6" s="1226" t="s">
        <v>4</v>
      </c>
      <c r="C6" s="1226"/>
      <c r="D6" s="1226"/>
      <c r="E6" s="1226"/>
      <c r="F6" s="1226"/>
      <c r="G6" s="1226"/>
      <c r="H6" s="1226"/>
    </row>
    <row r="8" spans="1:9" x14ac:dyDescent="0.3">
      <c r="B8" s="1"/>
      <c r="C8" s="265" t="s">
        <v>210</v>
      </c>
      <c r="D8" s="265"/>
      <c r="E8" s="265" t="s">
        <v>211</v>
      </c>
      <c r="F8" s="265"/>
      <c r="G8" s="265" t="s">
        <v>934</v>
      </c>
      <c r="H8" s="265"/>
    </row>
    <row r="9" spans="1:9" ht="18" x14ac:dyDescent="0.3">
      <c r="A9" s="4" t="s">
        <v>5</v>
      </c>
      <c r="B9" s="1"/>
      <c r="C9" s="265" t="s">
        <v>948</v>
      </c>
      <c r="D9" s="265"/>
      <c r="E9" s="265" t="s">
        <v>949</v>
      </c>
      <c r="F9" s="265"/>
      <c r="G9" s="265"/>
      <c r="H9" s="265"/>
      <c r="I9" s="4" t="s">
        <v>5</v>
      </c>
    </row>
    <row r="10" spans="1:9" x14ac:dyDescent="0.3">
      <c r="A10" s="4" t="s">
        <v>6</v>
      </c>
      <c r="B10" s="935" t="s">
        <v>337</v>
      </c>
      <c r="C10" s="731" t="s">
        <v>448</v>
      </c>
      <c r="D10" s="731"/>
      <c r="E10" s="731" t="s">
        <v>449</v>
      </c>
      <c r="F10" s="731"/>
      <c r="G10" s="935" t="s">
        <v>200</v>
      </c>
      <c r="H10" s="935" t="s">
        <v>8</v>
      </c>
      <c r="I10" s="4" t="s">
        <v>6</v>
      </c>
    </row>
    <row r="11" spans="1:9" x14ac:dyDescent="0.3">
      <c r="B11" s="1"/>
      <c r="C11" s="342"/>
      <c r="D11" s="342"/>
      <c r="E11" s="342"/>
      <c r="F11" s="342"/>
      <c r="G11" s="92"/>
      <c r="H11" s="92"/>
    </row>
    <row r="12" spans="1:9" x14ac:dyDescent="0.3">
      <c r="A12" s="4">
        <v>1</v>
      </c>
      <c r="B12" s="33" t="s">
        <v>450</v>
      </c>
      <c r="C12" s="91"/>
      <c r="D12" s="91"/>
      <c r="E12" s="91"/>
      <c r="F12" s="91"/>
      <c r="G12" s="92"/>
      <c r="H12" s="45"/>
      <c r="I12" s="4">
        <f>A12</f>
        <v>1</v>
      </c>
    </row>
    <row r="13" spans="1:9" x14ac:dyDescent="0.3">
      <c r="A13" s="4">
        <f>A12+1</f>
        <v>2</v>
      </c>
      <c r="B13" s="33" t="s">
        <v>451</v>
      </c>
      <c r="C13" s="36">
        <v>0</v>
      </c>
      <c r="D13" s="36"/>
      <c r="E13" s="36">
        <v>0</v>
      </c>
      <c r="F13" s="89"/>
      <c r="G13" s="36">
        <f>SUM(C13:E13)</f>
        <v>0</v>
      </c>
      <c r="H13" s="45" t="s">
        <v>1536</v>
      </c>
      <c r="I13" s="4">
        <f>I12+1</f>
        <v>2</v>
      </c>
    </row>
    <row r="14" spans="1:9" x14ac:dyDescent="0.3">
      <c r="A14" s="4">
        <f>A13+1</f>
        <v>3</v>
      </c>
      <c r="B14" s="33" t="s">
        <v>452</v>
      </c>
      <c r="C14" s="6">
        <v>0</v>
      </c>
      <c r="D14" s="6"/>
      <c r="E14" s="6">
        <v>0</v>
      </c>
      <c r="F14" s="6"/>
      <c r="G14" s="6">
        <f>SUM(C14:E14)</f>
        <v>0</v>
      </c>
      <c r="H14" s="45" t="str">
        <f>H13</f>
        <v>Not Applicable to 2023 Base Period</v>
      </c>
      <c r="I14" s="4">
        <f>I13+1</f>
        <v>3</v>
      </c>
    </row>
    <row r="15" spans="1:9" x14ac:dyDescent="0.3">
      <c r="A15" s="4">
        <f>A14+1</f>
        <v>4</v>
      </c>
      <c r="B15" s="813"/>
      <c r="C15" s="6">
        <v>0</v>
      </c>
      <c r="D15" s="6"/>
      <c r="E15" s="6">
        <v>0</v>
      </c>
      <c r="F15" s="6"/>
      <c r="G15" s="6">
        <f>SUM(C15:E15)</f>
        <v>0</v>
      </c>
      <c r="H15" s="812"/>
      <c r="I15" s="4">
        <f>I14+1</f>
        <v>4</v>
      </c>
    </row>
    <row r="16" spans="1:9" x14ac:dyDescent="0.3">
      <c r="A16" s="4">
        <f>A15+1</f>
        <v>5</v>
      </c>
      <c r="B16" s="33"/>
      <c r="C16" s="6">
        <v>0</v>
      </c>
      <c r="D16" s="6"/>
      <c r="E16" s="6">
        <v>0</v>
      </c>
      <c r="F16" s="6"/>
      <c r="G16" s="6">
        <f>SUM(C16:E16)</f>
        <v>0</v>
      </c>
      <c r="H16" s="45"/>
      <c r="I16" s="4">
        <f>I15+1</f>
        <v>5</v>
      </c>
    </row>
    <row r="17" spans="1:9" x14ac:dyDescent="0.3">
      <c r="A17" s="4">
        <f t="shared" ref="A17:A35" si="0">A16+1</f>
        <v>6</v>
      </c>
      <c r="C17" s="6">
        <v>0</v>
      </c>
      <c r="D17" s="6"/>
      <c r="E17" s="6">
        <v>0</v>
      </c>
      <c r="F17" s="6"/>
      <c r="G17" s="6">
        <f>SUM(C17:E17)</f>
        <v>0</v>
      </c>
      <c r="H17" s="45"/>
      <c r="I17" s="4">
        <f t="shared" ref="I17:I35" si="1">I16+1</f>
        <v>6</v>
      </c>
    </row>
    <row r="18" spans="1:9" ht="16.2" thickBot="1" x14ac:dyDescent="0.35">
      <c r="A18" s="4">
        <f t="shared" si="0"/>
        <v>7</v>
      </c>
      <c r="B18" s="343" t="s">
        <v>453</v>
      </c>
      <c r="C18" s="90">
        <f>SUM(C13:C17)</f>
        <v>0</v>
      </c>
      <c r="D18" s="44"/>
      <c r="E18" s="90">
        <f>SUM(E13:E17)</f>
        <v>0</v>
      </c>
      <c r="F18" s="6"/>
      <c r="G18" s="90">
        <f>SUM(G13:G17)</f>
        <v>0</v>
      </c>
      <c r="H18" s="45" t="s">
        <v>454</v>
      </c>
      <c r="I18" s="4">
        <f t="shared" si="1"/>
        <v>7</v>
      </c>
    </row>
    <row r="19" spans="1:9" ht="16.2" thickTop="1" x14ac:dyDescent="0.3">
      <c r="A19" s="4">
        <f t="shared" si="0"/>
        <v>8</v>
      </c>
      <c r="C19" s="86"/>
      <c r="D19" s="86"/>
      <c r="E19" s="86"/>
      <c r="F19" s="86"/>
      <c r="G19" s="86"/>
      <c r="H19" s="45"/>
      <c r="I19" s="4">
        <f t="shared" si="1"/>
        <v>8</v>
      </c>
    </row>
    <row r="20" spans="1:9" x14ac:dyDescent="0.3">
      <c r="A20" s="4">
        <f t="shared" si="0"/>
        <v>9</v>
      </c>
      <c r="B20" s="33" t="s">
        <v>455</v>
      </c>
      <c r="C20" s="91"/>
      <c r="D20" s="91"/>
      <c r="E20" s="91"/>
      <c r="F20" s="91"/>
      <c r="G20" s="92"/>
      <c r="H20" s="45"/>
      <c r="I20" s="4">
        <f t="shared" si="1"/>
        <v>9</v>
      </c>
    </row>
    <row r="21" spans="1:9" x14ac:dyDescent="0.3">
      <c r="A21" s="4">
        <f t="shared" si="0"/>
        <v>10</v>
      </c>
      <c r="B21" s="727" t="s">
        <v>452</v>
      </c>
      <c r="C21" s="36">
        <v>0</v>
      </c>
      <c r="D21" s="36"/>
      <c r="E21" s="36">
        <v>0</v>
      </c>
      <c r="F21" s="36"/>
      <c r="G21" s="36">
        <f>SUM(C21:E21)</f>
        <v>0</v>
      </c>
      <c r="H21" s="45" t="str">
        <f>H13</f>
        <v>Not Applicable to 2023 Base Period</v>
      </c>
      <c r="I21" s="4">
        <f t="shared" si="1"/>
        <v>10</v>
      </c>
    </row>
    <row r="22" spans="1:9" x14ac:dyDescent="0.3">
      <c r="A22" s="4">
        <f t="shared" si="0"/>
        <v>11</v>
      </c>
      <c r="C22" s="6">
        <v>0</v>
      </c>
      <c r="D22" s="6"/>
      <c r="E22" s="6">
        <v>0</v>
      </c>
      <c r="F22" s="6"/>
      <c r="G22" s="6">
        <f>SUM(C22:E22)</f>
        <v>0</v>
      </c>
      <c r="H22" s="45"/>
      <c r="I22" s="4">
        <f t="shared" si="1"/>
        <v>11</v>
      </c>
    </row>
    <row r="23" spans="1:9" x14ac:dyDescent="0.3">
      <c r="A23" s="4">
        <f t="shared" si="0"/>
        <v>12</v>
      </c>
      <c r="C23" s="6">
        <v>0</v>
      </c>
      <c r="D23" s="6"/>
      <c r="E23" s="6">
        <v>0</v>
      </c>
      <c r="F23" s="6"/>
      <c r="G23" s="6">
        <f>SUM(C23:E23)</f>
        <v>0</v>
      </c>
      <c r="H23" s="45"/>
      <c r="I23" s="4">
        <f t="shared" si="1"/>
        <v>12</v>
      </c>
    </row>
    <row r="24" spans="1:9" x14ac:dyDescent="0.3">
      <c r="A24" s="4">
        <f t="shared" si="0"/>
        <v>13</v>
      </c>
      <c r="C24" s="6">
        <v>0</v>
      </c>
      <c r="D24" s="6"/>
      <c r="E24" s="6">
        <v>0</v>
      </c>
      <c r="F24" s="6"/>
      <c r="G24" s="6">
        <f>SUM(C24:E24)</f>
        <v>0</v>
      </c>
      <c r="H24" s="45"/>
      <c r="I24" s="4">
        <f t="shared" si="1"/>
        <v>13</v>
      </c>
    </row>
    <row r="25" spans="1:9" ht="16.2" thickBot="1" x14ac:dyDescent="0.35">
      <c r="A25" s="4">
        <f t="shared" si="0"/>
        <v>14</v>
      </c>
      <c r="B25" s="343" t="s">
        <v>456</v>
      </c>
      <c r="C25" s="90">
        <f>SUM(C21:C24)</f>
        <v>0</v>
      </c>
      <c r="D25" s="44"/>
      <c r="E25" s="90">
        <f>SUM(E21:E24)</f>
        <v>0</v>
      </c>
      <c r="F25" s="6"/>
      <c r="G25" s="90">
        <f>SUM(G21:G24)</f>
        <v>0</v>
      </c>
      <c r="H25" s="45" t="s">
        <v>457</v>
      </c>
      <c r="I25" s="4">
        <f t="shared" si="1"/>
        <v>14</v>
      </c>
    </row>
    <row r="26" spans="1:9" ht="16.2" thickTop="1" x14ac:dyDescent="0.3">
      <c r="A26" s="4">
        <f t="shared" si="0"/>
        <v>15</v>
      </c>
      <c r="H26" s="45"/>
      <c r="I26" s="4">
        <f t="shared" si="1"/>
        <v>15</v>
      </c>
    </row>
    <row r="27" spans="1:9" x14ac:dyDescent="0.3">
      <c r="A27" s="4">
        <f t="shared" si="0"/>
        <v>16</v>
      </c>
      <c r="B27" s="33" t="s">
        <v>458</v>
      </c>
      <c r="C27" s="91"/>
      <c r="D27" s="91"/>
      <c r="E27" s="91"/>
      <c r="F27" s="91"/>
      <c r="G27" s="92"/>
      <c r="H27" s="45"/>
      <c r="I27" s="4">
        <f t="shared" si="1"/>
        <v>16</v>
      </c>
    </row>
    <row r="28" spans="1:9" x14ac:dyDescent="0.3">
      <c r="A28" s="4">
        <f t="shared" si="0"/>
        <v>17</v>
      </c>
      <c r="B28" s="33" t="s">
        <v>451</v>
      </c>
      <c r="C28" s="36">
        <v>0</v>
      </c>
      <c r="D28" s="36"/>
      <c r="E28" s="36">
        <v>0</v>
      </c>
      <c r="F28" s="89"/>
      <c r="G28" s="36">
        <f>SUM(C28:E28)</f>
        <v>0</v>
      </c>
      <c r="H28" s="45" t="str">
        <f>H13</f>
        <v>Not Applicable to 2023 Base Period</v>
      </c>
      <c r="I28" s="4">
        <f t="shared" si="1"/>
        <v>17</v>
      </c>
    </row>
    <row r="29" spans="1:9" x14ac:dyDescent="0.3">
      <c r="A29" s="4">
        <f t="shared" si="0"/>
        <v>18</v>
      </c>
      <c r="B29" s="33"/>
      <c r="C29" s="6">
        <v>0</v>
      </c>
      <c r="D29" s="6"/>
      <c r="E29" s="6">
        <v>0</v>
      </c>
      <c r="F29" s="6"/>
      <c r="G29" s="6">
        <f>SUM(C29:E29)</f>
        <v>0</v>
      </c>
      <c r="H29" s="4"/>
      <c r="I29" s="4">
        <f t="shared" si="1"/>
        <v>18</v>
      </c>
    </row>
    <row r="30" spans="1:9" x14ac:dyDescent="0.3">
      <c r="A30" s="4">
        <f t="shared" si="0"/>
        <v>19</v>
      </c>
      <c r="B30" s="33"/>
      <c r="C30" s="6">
        <v>0</v>
      </c>
      <c r="D30" s="6"/>
      <c r="E30" s="6">
        <v>0</v>
      </c>
      <c r="F30" s="6"/>
      <c r="G30" s="6">
        <f>SUM(C30:E30)</f>
        <v>0</v>
      </c>
      <c r="H30" s="6"/>
      <c r="I30" s="4">
        <f t="shared" si="1"/>
        <v>19</v>
      </c>
    </row>
    <row r="31" spans="1:9" x14ac:dyDescent="0.3">
      <c r="A31" s="4">
        <f t="shared" si="0"/>
        <v>20</v>
      </c>
      <c r="B31" s="33"/>
      <c r="C31" s="6">
        <v>0</v>
      </c>
      <c r="D31" s="6"/>
      <c r="E31" s="6">
        <v>0</v>
      </c>
      <c r="F31" s="6"/>
      <c r="G31" s="6">
        <f>SUM(C31:E31)</f>
        <v>0</v>
      </c>
      <c r="H31" s="6"/>
      <c r="I31" s="4">
        <f t="shared" si="1"/>
        <v>20</v>
      </c>
    </row>
    <row r="32" spans="1:9" x14ac:dyDescent="0.3">
      <c r="A32" s="4">
        <f t="shared" si="0"/>
        <v>21</v>
      </c>
      <c r="B32" s="33"/>
      <c r="C32" s="6">
        <v>0</v>
      </c>
      <c r="D32" s="6"/>
      <c r="E32" s="6">
        <v>0</v>
      </c>
      <c r="F32" s="6"/>
      <c r="G32" s="6">
        <f>SUM(C32:E32)</f>
        <v>0</v>
      </c>
      <c r="H32" s="6"/>
      <c r="I32" s="4">
        <f t="shared" si="1"/>
        <v>21</v>
      </c>
    </row>
    <row r="33" spans="1:9" ht="16.2" thickBot="1" x14ac:dyDescent="0.35">
      <c r="A33" s="4">
        <f t="shared" si="0"/>
        <v>22</v>
      </c>
      <c r="B33" s="343" t="s">
        <v>459</v>
      </c>
      <c r="C33" s="90">
        <f>SUM(C28:C32)</f>
        <v>0</v>
      </c>
      <c r="D33" s="44"/>
      <c r="E33" s="90">
        <f>SUM(E28:E32)</f>
        <v>0</v>
      </c>
      <c r="F33" s="6"/>
      <c r="G33" s="90">
        <f>SUM(G28:G32)</f>
        <v>0</v>
      </c>
      <c r="H33" s="45" t="s">
        <v>460</v>
      </c>
      <c r="I33" s="4">
        <f t="shared" si="1"/>
        <v>22</v>
      </c>
    </row>
    <row r="34" spans="1:9" ht="16.2" thickTop="1" x14ac:dyDescent="0.3">
      <c r="A34" s="4">
        <f t="shared" si="0"/>
        <v>23</v>
      </c>
      <c r="H34" s="45"/>
      <c r="I34" s="4">
        <f t="shared" si="1"/>
        <v>23</v>
      </c>
    </row>
    <row r="35" spans="1:9" ht="16.2" thickBot="1" x14ac:dyDescent="0.35">
      <c r="A35" s="4">
        <f t="shared" si="0"/>
        <v>24</v>
      </c>
      <c r="B35" s="1" t="s">
        <v>950</v>
      </c>
      <c r="C35" s="90">
        <f>+C18+C25+C33</f>
        <v>0</v>
      </c>
      <c r="D35" s="44"/>
      <c r="E35" s="90">
        <f>+E18+E25+E33</f>
        <v>0</v>
      </c>
      <c r="G35" s="90">
        <f>+G18+G25+G33</f>
        <v>0</v>
      </c>
      <c r="H35" s="45" t="s">
        <v>462</v>
      </c>
      <c r="I35" s="4">
        <f t="shared" si="1"/>
        <v>24</v>
      </c>
    </row>
    <row r="36" spans="1:9" ht="16.2" thickTop="1" x14ac:dyDescent="0.3">
      <c r="B36" s="1"/>
      <c r="C36" s="44"/>
      <c r="D36" s="44"/>
      <c r="E36" s="44"/>
      <c r="G36" s="44"/>
      <c r="H36" s="45"/>
    </row>
    <row r="38" spans="1:9" ht="18" x14ac:dyDescent="0.3">
      <c r="A38" s="256">
        <v>1</v>
      </c>
      <c r="B38" s="32" t="s">
        <v>463</v>
      </c>
    </row>
    <row r="39" spans="1:9" ht="18" x14ac:dyDescent="0.3">
      <c r="A39" s="256"/>
    </row>
    <row r="40" spans="1:9" ht="18" x14ac:dyDescent="0.3">
      <c r="A40" s="256"/>
    </row>
  </sheetData>
  <mergeCells count="5">
    <mergeCell ref="B2:H2"/>
    <mergeCell ref="B3:H3"/>
    <mergeCell ref="B4:H4"/>
    <mergeCell ref="B5:H5"/>
    <mergeCell ref="B6:H6"/>
  </mergeCells>
  <printOptions horizontalCentered="1"/>
  <pageMargins left="0.5" right="0.5" top="0.5" bottom="0.5" header="0.25" footer="0.25"/>
  <pageSetup scale="66" orientation="landscape" r:id="rId1"/>
  <headerFooter scaleWithDoc="0">
    <oddFooter>&amp;C&amp;"Times New Roman,Regular"&amp;10&amp;A</oddFooter>
  </headerFooter>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I38"/>
  <sheetViews>
    <sheetView zoomScale="80" zoomScaleNormal="80" workbookViewId="0"/>
  </sheetViews>
  <sheetFormatPr defaultColWidth="9.33203125" defaultRowHeight="15.6" x14ac:dyDescent="0.3"/>
  <cols>
    <col min="1" max="1" width="5.33203125" style="221" customWidth="1"/>
    <col min="2" max="2" width="35.33203125" style="1" customWidth="1"/>
    <col min="3" max="3" width="18.5546875" style="88" customWidth="1"/>
    <col min="4" max="4" width="25.33203125" style="88" customWidth="1"/>
    <col min="5" max="5" width="18.5546875" style="1" customWidth="1"/>
    <col min="6" max="6" width="62.5546875" style="1" customWidth="1"/>
    <col min="7" max="7" width="5.33203125" style="221" customWidth="1"/>
    <col min="8" max="8" width="24" style="1" customWidth="1"/>
    <col min="9" max="9" width="11" style="1" customWidth="1"/>
    <col min="10" max="10" width="7.33203125" style="1" customWidth="1"/>
    <col min="11" max="11" width="9.33203125" style="1" customWidth="1"/>
    <col min="12" max="12" width="14" style="1" customWidth="1"/>
    <col min="13" max="13" width="13.44140625" style="1" customWidth="1"/>
    <col min="14" max="16384" width="9.33203125" style="1"/>
  </cols>
  <sheetData>
    <row r="2" spans="1:9" x14ac:dyDescent="0.3">
      <c r="B2" s="1222" t="s">
        <v>0</v>
      </c>
      <c r="C2" s="1222"/>
      <c r="D2" s="1222"/>
      <c r="E2" s="1222"/>
      <c r="F2" s="1222"/>
    </row>
    <row r="3" spans="1:9" x14ac:dyDescent="0.3">
      <c r="B3" s="1222" t="s">
        <v>281</v>
      </c>
      <c r="C3" s="1222"/>
      <c r="D3" s="1222"/>
      <c r="E3" s="1222"/>
      <c r="F3" s="1222"/>
    </row>
    <row r="4" spans="1:9" x14ac:dyDescent="0.3">
      <c r="B4" s="1222" t="s">
        <v>282</v>
      </c>
      <c r="C4" s="1222"/>
      <c r="D4" s="1222"/>
      <c r="E4" s="1222"/>
      <c r="F4" s="1222"/>
    </row>
    <row r="5" spans="1:9" x14ac:dyDescent="0.3">
      <c r="B5" s="1222" t="str">
        <f>'AD-1'!B5</f>
        <v>BASE PERIOD / TRUE UP PERIOD - 12/31/2023 PER BOOK</v>
      </c>
      <c r="C5" s="1222"/>
      <c r="D5" s="1222"/>
      <c r="E5" s="1222"/>
      <c r="F5" s="1222"/>
    </row>
    <row r="6" spans="1:9" x14ac:dyDescent="0.3">
      <c r="B6" s="1226" t="s">
        <v>4</v>
      </c>
      <c r="C6" s="1226"/>
      <c r="D6" s="1226"/>
      <c r="E6" s="1226"/>
      <c r="F6" s="1226"/>
    </row>
    <row r="7" spans="1:9" x14ac:dyDescent="0.3">
      <c r="B7" s="270"/>
      <c r="C7" s="271"/>
      <c r="D7" s="271"/>
      <c r="E7" s="270"/>
      <c r="F7" s="270"/>
    </row>
    <row r="8" spans="1:9" x14ac:dyDescent="0.3">
      <c r="B8" s="1222" t="s">
        <v>311</v>
      </c>
      <c r="C8" s="1222"/>
      <c r="D8" s="1222"/>
      <c r="E8" s="1222"/>
      <c r="F8" s="1222"/>
    </row>
    <row r="10" spans="1:9" x14ac:dyDescent="0.3">
      <c r="B10" s="932"/>
      <c r="C10" s="272" t="s">
        <v>200</v>
      </c>
      <c r="D10" s="933"/>
      <c r="E10" s="272"/>
      <c r="F10" s="933"/>
    </row>
    <row r="11" spans="1:9" x14ac:dyDescent="0.3">
      <c r="B11" s="273"/>
      <c r="C11" s="277" t="s">
        <v>312</v>
      </c>
      <c r="D11" s="273"/>
      <c r="E11" s="277" t="s">
        <v>312</v>
      </c>
      <c r="F11" s="273"/>
    </row>
    <row r="12" spans="1:9" x14ac:dyDescent="0.3">
      <c r="A12" s="4" t="s">
        <v>5</v>
      </c>
      <c r="B12" s="276"/>
      <c r="C12" s="221" t="s">
        <v>285</v>
      </c>
      <c r="D12" s="273"/>
      <c r="E12" s="277" t="s">
        <v>285</v>
      </c>
      <c r="F12" s="273"/>
      <c r="G12" s="4" t="s">
        <v>5</v>
      </c>
    </row>
    <row r="13" spans="1:9" ht="18" x14ac:dyDescent="0.3">
      <c r="A13" s="4" t="s">
        <v>6</v>
      </c>
      <c r="B13" s="278" t="s">
        <v>286</v>
      </c>
      <c r="C13" s="935" t="s">
        <v>287</v>
      </c>
      <c r="D13" s="278" t="s">
        <v>8</v>
      </c>
      <c r="E13" s="279" t="s">
        <v>288</v>
      </c>
      <c r="F13" s="278" t="s">
        <v>8</v>
      </c>
      <c r="G13" s="4" t="s">
        <v>6</v>
      </c>
      <c r="H13" s="284"/>
    </row>
    <row r="14" spans="1:9" x14ac:dyDescent="0.3">
      <c r="A14" s="4">
        <v>1</v>
      </c>
      <c r="B14" s="936" t="str">
        <f>'AD-1'!B14</f>
        <v>Dec-22</v>
      </c>
      <c r="C14" s="59">
        <v>0</v>
      </c>
      <c r="D14" s="941" t="s">
        <v>289</v>
      </c>
      <c r="E14" s="59">
        <v>0</v>
      </c>
      <c r="F14" s="942" t="s">
        <v>289</v>
      </c>
      <c r="G14" s="4">
        <f>A14</f>
        <v>1</v>
      </c>
      <c r="H14" s="284"/>
      <c r="I14" s="284"/>
    </row>
    <row r="15" spans="1:9" x14ac:dyDescent="0.3">
      <c r="A15" s="4">
        <f>A14+1</f>
        <v>2</v>
      </c>
      <c r="B15" s="936" t="str">
        <f>'AD-1'!B15</f>
        <v>Jan-23</v>
      </c>
      <c r="C15" s="53">
        <v>0</v>
      </c>
      <c r="D15" s="943"/>
      <c r="E15" s="53">
        <v>0</v>
      </c>
      <c r="F15" s="942"/>
      <c r="G15" s="4">
        <f>G14+1</f>
        <v>2</v>
      </c>
      <c r="H15" s="284"/>
    </row>
    <row r="16" spans="1:9" x14ac:dyDescent="0.3">
      <c r="A16" s="4">
        <f t="shared" ref="A16:A32" si="0">A15+1</f>
        <v>3</v>
      </c>
      <c r="B16" s="939" t="s">
        <v>291</v>
      </c>
      <c r="C16" s="53">
        <v>0</v>
      </c>
      <c r="D16" s="943"/>
      <c r="E16" s="53">
        <v>0</v>
      </c>
      <c r="F16" s="942"/>
      <c r="G16" s="4">
        <f t="shared" ref="G16:G32" si="1">G15+1</f>
        <v>3</v>
      </c>
      <c r="H16" s="284"/>
    </row>
    <row r="17" spans="1:9" x14ac:dyDescent="0.3">
      <c r="A17" s="4">
        <f t="shared" si="0"/>
        <v>4</v>
      </c>
      <c r="B17" s="939" t="s">
        <v>292</v>
      </c>
      <c r="C17" s="53">
        <v>0</v>
      </c>
      <c r="D17" s="943"/>
      <c r="E17" s="53">
        <v>0</v>
      </c>
      <c r="F17" s="942"/>
      <c r="G17" s="4">
        <f t="shared" si="1"/>
        <v>4</v>
      </c>
      <c r="H17" s="284"/>
    </row>
    <row r="18" spans="1:9" x14ac:dyDescent="0.3">
      <c r="A18" s="4">
        <f t="shared" si="0"/>
        <v>5</v>
      </c>
      <c r="B18" s="939" t="s">
        <v>293</v>
      </c>
      <c r="C18" s="53">
        <v>0</v>
      </c>
      <c r="D18" s="943"/>
      <c r="E18" s="53">
        <v>0</v>
      </c>
      <c r="F18" s="942"/>
      <c r="G18" s="4">
        <f t="shared" si="1"/>
        <v>5</v>
      </c>
      <c r="H18" s="284"/>
    </row>
    <row r="19" spans="1:9" x14ac:dyDescent="0.3">
      <c r="A19" s="4">
        <f t="shared" si="0"/>
        <v>6</v>
      </c>
      <c r="B19" s="939" t="s">
        <v>294</v>
      </c>
      <c r="C19" s="53">
        <v>0</v>
      </c>
      <c r="D19" s="943"/>
      <c r="E19" s="53">
        <v>0</v>
      </c>
      <c r="F19" s="942"/>
      <c r="G19" s="4">
        <f t="shared" si="1"/>
        <v>6</v>
      </c>
      <c r="H19" s="284"/>
    </row>
    <row r="20" spans="1:9" x14ac:dyDescent="0.3">
      <c r="A20" s="4">
        <f>A19+1</f>
        <v>7</v>
      </c>
      <c r="B20" s="939" t="s">
        <v>295</v>
      </c>
      <c r="C20" s="53">
        <v>0</v>
      </c>
      <c r="D20" s="943"/>
      <c r="E20" s="53">
        <v>0</v>
      </c>
      <c r="F20" s="942"/>
      <c r="G20" s="4">
        <f>G19+1</f>
        <v>7</v>
      </c>
      <c r="H20" s="284"/>
    </row>
    <row r="21" spans="1:9" x14ac:dyDescent="0.3">
      <c r="A21" s="4">
        <f t="shared" si="0"/>
        <v>8</v>
      </c>
      <c r="B21" s="939" t="s">
        <v>296</v>
      </c>
      <c r="C21" s="53">
        <v>0</v>
      </c>
      <c r="D21" s="943"/>
      <c r="E21" s="53">
        <v>0</v>
      </c>
      <c r="F21" s="942"/>
      <c r="G21" s="4">
        <f t="shared" si="1"/>
        <v>8</v>
      </c>
    </row>
    <row r="22" spans="1:9" x14ac:dyDescent="0.3">
      <c r="A22" s="4">
        <f t="shared" si="0"/>
        <v>9</v>
      </c>
      <c r="B22" s="939" t="s">
        <v>297</v>
      </c>
      <c r="C22" s="53">
        <v>0</v>
      </c>
      <c r="D22" s="943"/>
      <c r="E22" s="53">
        <v>0</v>
      </c>
      <c r="F22" s="942"/>
      <c r="G22" s="4">
        <f t="shared" si="1"/>
        <v>9</v>
      </c>
    </row>
    <row r="23" spans="1:9" x14ac:dyDescent="0.3">
      <c r="A23" s="4">
        <f t="shared" si="0"/>
        <v>10</v>
      </c>
      <c r="B23" s="939" t="s">
        <v>298</v>
      </c>
      <c r="C23" s="53">
        <v>0</v>
      </c>
      <c r="D23" s="943"/>
      <c r="E23" s="53">
        <v>0</v>
      </c>
      <c r="F23" s="942"/>
      <c r="G23" s="4">
        <f t="shared" si="1"/>
        <v>10</v>
      </c>
    </row>
    <row r="24" spans="1:9" x14ac:dyDescent="0.3">
      <c r="A24" s="4">
        <f t="shared" si="0"/>
        <v>11</v>
      </c>
      <c r="B24" s="939" t="s">
        <v>299</v>
      </c>
      <c r="C24" s="53">
        <v>0</v>
      </c>
      <c r="D24" s="943"/>
      <c r="E24" s="53">
        <v>0</v>
      </c>
      <c r="F24" s="942"/>
      <c r="G24" s="4">
        <f t="shared" si="1"/>
        <v>11</v>
      </c>
    </row>
    <row r="25" spans="1:9" x14ac:dyDescent="0.3">
      <c r="A25" s="4">
        <f t="shared" si="0"/>
        <v>12</v>
      </c>
      <c r="B25" s="939" t="s">
        <v>300</v>
      </c>
      <c r="C25" s="53">
        <v>0</v>
      </c>
      <c r="D25" s="943"/>
      <c r="E25" s="53">
        <v>0</v>
      </c>
      <c r="F25" s="942"/>
      <c r="G25" s="4">
        <f t="shared" si="1"/>
        <v>12</v>
      </c>
    </row>
    <row r="26" spans="1:9" x14ac:dyDescent="0.3">
      <c r="A26" s="4">
        <f t="shared" si="0"/>
        <v>13</v>
      </c>
      <c r="B26" s="633" t="str">
        <f>'AD-1'!B26</f>
        <v>Dec-23</v>
      </c>
      <c r="C26" s="54">
        <v>0</v>
      </c>
      <c r="D26" s="69" t="s">
        <v>289</v>
      </c>
      <c r="E26" s="54">
        <v>0</v>
      </c>
      <c r="F26" s="593" t="s">
        <v>289</v>
      </c>
      <c r="G26" s="4">
        <f t="shared" si="1"/>
        <v>13</v>
      </c>
      <c r="I26" s="284"/>
    </row>
    <row r="27" spans="1:9" x14ac:dyDescent="0.3">
      <c r="A27" s="4">
        <f t="shared" si="0"/>
        <v>14</v>
      </c>
      <c r="B27" s="281"/>
      <c r="C27" s="60"/>
      <c r="D27" s="357"/>
      <c r="E27" s="61"/>
      <c r="F27" s="944"/>
      <c r="G27" s="4">
        <f t="shared" si="1"/>
        <v>14</v>
      </c>
    </row>
    <row r="28" spans="1:9" x14ac:dyDescent="0.3">
      <c r="A28" s="4">
        <f t="shared" si="0"/>
        <v>15</v>
      </c>
      <c r="B28" s="281" t="s">
        <v>302</v>
      </c>
      <c r="C28" s="56">
        <f>SUM(C14:C26)</f>
        <v>0</v>
      </c>
      <c r="D28" s="941" t="s">
        <v>303</v>
      </c>
      <c r="E28" s="56">
        <f>SUM(E14:E26)</f>
        <v>0</v>
      </c>
      <c r="F28" s="942" t="s">
        <v>303</v>
      </c>
      <c r="G28" s="4">
        <f t="shared" si="1"/>
        <v>15</v>
      </c>
    </row>
    <row r="29" spans="1:9" x14ac:dyDescent="0.3">
      <c r="A29" s="4">
        <f t="shared" si="0"/>
        <v>16</v>
      </c>
      <c r="B29" s="120"/>
      <c r="C29" s="62"/>
      <c r="D29" s="95"/>
      <c r="E29" s="62"/>
      <c r="F29" s="286"/>
      <c r="G29" s="4">
        <f t="shared" si="1"/>
        <v>16</v>
      </c>
    </row>
    <row r="30" spans="1:9" x14ac:dyDescent="0.3">
      <c r="A30" s="4">
        <f t="shared" si="0"/>
        <v>17</v>
      </c>
      <c r="B30" s="281"/>
      <c r="C30" s="61"/>
      <c r="D30" s="236"/>
      <c r="E30" s="61"/>
      <c r="F30" s="945"/>
      <c r="G30" s="4">
        <f t="shared" si="1"/>
        <v>17</v>
      </c>
    </row>
    <row r="31" spans="1:9" x14ac:dyDescent="0.3">
      <c r="A31" s="4">
        <f t="shared" si="0"/>
        <v>18</v>
      </c>
      <c r="B31" s="281" t="s">
        <v>304</v>
      </c>
      <c r="C31" s="56">
        <f>C28/13</f>
        <v>0</v>
      </c>
      <c r="D31" s="941" t="s">
        <v>305</v>
      </c>
      <c r="E31" s="56">
        <f>E28/13</f>
        <v>0</v>
      </c>
      <c r="F31" s="942" t="s">
        <v>305</v>
      </c>
      <c r="G31" s="4">
        <f t="shared" si="1"/>
        <v>18</v>
      </c>
      <c r="I31" s="284"/>
    </row>
    <row r="32" spans="1:9" x14ac:dyDescent="0.3">
      <c r="A32" s="4">
        <f t="shared" si="0"/>
        <v>19</v>
      </c>
      <c r="B32" s="120"/>
      <c r="C32" s="62"/>
      <c r="D32" s="94"/>
      <c r="E32" s="62"/>
      <c r="F32" s="286"/>
      <c r="G32" s="4">
        <f t="shared" si="1"/>
        <v>19</v>
      </c>
    </row>
    <row r="33" spans="1:7" x14ac:dyDescent="0.3">
      <c r="A33" s="4"/>
      <c r="B33" s="32"/>
      <c r="C33" s="6"/>
      <c r="D33" s="6"/>
      <c r="E33" s="6"/>
      <c r="F33" s="285"/>
      <c r="G33" s="583"/>
    </row>
    <row r="34" spans="1:7" x14ac:dyDescent="0.3">
      <c r="A34" s="4"/>
      <c r="C34" s="285"/>
      <c r="D34" s="285"/>
      <c r="E34" s="285"/>
      <c r="F34" s="285"/>
      <c r="G34" s="583"/>
    </row>
    <row r="35" spans="1:7" ht="18" x14ac:dyDescent="0.3">
      <c r="A35" s="269">
        <v>1</v>
      </c>
      <c r="B35" s="32" t="s">
        <v>307</v>
      </c>
      <c r="C35" s="285"/>
      <c r="D35" s="285"/>
      <c r="E35" s="285"/>
      <c r="F35" s="285"/>
      <c r="G35" s="583"/>
    </row>
    <row r="36" spans="1:7" x14ac:dyDescent="0.3">
      <c r="B36" s="32" t="s">
        <v>308</v>
      </c>
      <c r="C36" s="285"/>
      <c r="D36" s="285"/>
      <c r="E36" s="285"/>
      <c r="F36" s="285"/>
      <c r="G36" s="583"/>
    </row>
    <row r="37" spans="1:7" x14ac:dyDescent="0.3">
      <c r="C37" s="285"/>
      <c r="D37" s="285"/>
      <c r="E37" s="285"/>
      <c r="F37" s="285"/>
      <c r="G37" s="583"/>
    </row>
    <row r="38" spans="1:7" x14ac:dyDescent="0.3">
      <c r="C38" s="284"/>
      <c r="D38" s="284"/>
      <c r="E38" s="284"/>
      <c r="F38" s="284"/>
      <c r="G38" s="583"/>
    </row>
  </sheetData>
  <mergeCells count="6">
    <mergeCell ref="B8:F8"/>
    <mergeCell ref="B2:F2"/>
    <mergeCell ref="B3:F3"/>
    <mergeCell ref="B4:F4"/>
    <mergeCell ref="B5:F5"/>
    <mergeCell ref="B6:F6"/>
  </mergeCells>
  <printOptions horizontalCentered="1"/>
  <pageMargins left="0.5" right="0.5" top="0.5" bottom="0.5" header="0.25" footer="0.25"/>
  <pageSetup scale="74" orientation="landscape" r:id="rId1"/>
  <headerFooter scaleWithDoc="0">
    <oddFooter>&amp;C&amp;"Times New Roman,Regular"&amp;10&amp;A</oddFooter>
  </headerFooter>
  <customProperties>
    <customPr name="_pios_id" r:id="rId2"/>
  </customPropertie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H30"/>
  <sheetViews>
    <sheetView zoomScale="80" zoomScaleNormal="80" workbookViewId="0"/>
  </sheetViews>
  <sheetFormatPr defaultColWidth="8.6640625" defaultRowHeight="15.6" x14ac:dyDescent="0.3"/>
  <cols>
    <col min="1" max="1" width="5.33203125" style="4" customWidth="1"/>
    <col min="2" max="2" width="63.44140625" style="32" customWidth="1"/>
    <col min="3" max="3" width="25.5546875" style="32" bestFit="1" customWidth="1"/>
    <col min="4" max="4" width="1.5546875" style="32" customWidth="1"/>
    <col min="5" max="5" width="16.6640625" style="32" customWidth="1"/>
    <col min="6" max="6" width="1.5546875" style="32" customWidth="1"/>
    <col min="7" max="7" width="38.33203125" style="32" customWidth="1"/>
    <col min="8" max="8" width="5.33203125" style="32" customWidth="1"/>
    <col min="9" max="9" width="8.6640625" style="32"/>
    <col min="10" max="10" width="20.44140625" style="32" bestFit="1" customWidth="1"/>
    <col min="11" max="16384" width="8.6640625" style="32"/>
  </cols>
  <sheetData>
    <row r="1" spans="1:8" x14ac:dyDescent="0.3">
      <c r="E1" s="71"/>
      <c r="F1" s="71"/>
      <c r="G1" s="4"/>
      <c r="H1" s="4"/>
    </row>
    <row r="2" spans="1:8" x14ac:dyDescent="0.3">
      <c r="B2" s="1222" t="s">
        <v>0</v>
      </c>
      <c r="C2" s="1222"/>
      <c r="D2" s="1222"/>
      <c r="E2" s="1222"/>
      <c r="F2" s="1222"/>
      <c r="G2" s="1222"/>
      <c r="H2" s="4"/>
    </row>
    <row r="3" spans="1:8" x14ac:dyDescent="0.3">
      <c r="B3" s="1222" t="s">
        <v>951</v>
      </c>
      <c r="C3" s="1222"/>
      <c r="D3" s="1222"/>
      <c r="E3" s="1222"/>
      <c r="F3" s="1222"/>
      <c r="G3" s="1222"/>
      <c r="H3" s="4"/>
    </row>
    <row r="4" spans="1:8" x14ac:dyDescent="0.3">
      <c r="B4" s="1222" t="s">
        <v>952</v>
      </c>
      <c r="C4" s="1222"/>
      <c r="D4" s="1222"/>
      <c r="E4" s="1222"/>
      <c r="F4" s="1222"/>
      <c r="G4" s="1222"/>
      <c r="H4" s="4"/>
    </row>
    <row r="5" spans="1:8" x14ac:dyDescent="0.3">
      <c r="B5" s="1227" t="str">
        <f>'Stmt AD'!B5</f>
        <v>Base Period &amp; True-Up Period 12 - Months Ending December 31, 2023</v>
      </c>
      <c r="C5" s="1227"/>
      <c r="D5" s="1227"/>
      <c r="E5" s="1227"/>
      <c r="F5" s="1227"/>
      <c r="G5" s="1227"/>
      <c r="H5" s="4"/>
    </row>
    <row r="6" spans="1:8" x14ac:dyDescent="0.3">
      <c r="B6" s="1226" t="s">
        <v>4</v>
      </c>
      <c r="C6" s="1223"/>
      <c r="D6" s="1223"/>
      <c r="E6" s="1223"/>
      <c r="F6" s="1223"/>
      <c r="G6" s="1223"/>
      <c r="H6" s="4"/>
    </row>
    <row r="7" spans="1:8" x14ac:dyDescent="0.3">
      <c r="B7" s="4"/>
      <c r="C7" s="4"/>
      <c r="D7" s="4"/>
      <c r="E7" s="4"/>
      <c r="F7" s="4"/>
      <c r="G7" s="4"/>
      <c r="H7" s="4"/>
    </row>
    <row r="8" spans="1:8" x14ac:dyDescent="0.3">
      <c r="A8" s="4" t="s">
        <v>5</v>
      </c>
      <c r="B8" s="221"/>
      <c r="C8" s="4" t="s">
        <v>236</v>
      </c>
      <c r="D8" s="221"/>
      <c r="E8" s="221"/>
      <c r="F8" s="221"/>
      <c r="G8" s="4"/>
      <c r="H8" s="4" t="s">
        <v>5</v>
      </c>
    </row>
    <row r="9" spans="1:8" x14ac:dyDescent="0.3">
      <c r="A9" s="4" t="s">
        <v>6</v>
      </c>
      <c r="B9" s="221"/>
      <c r="C9" s="852" t="s">
        <v>238</v>
      </c>
      <c r="D9" s="221"/>
      <c r="E9" s="853" t="s">
        <v>7</v>
      </c>
      <c r="F9" s="221"/>
      <c r="G9" s="852" t="s">
        <v>8</v>
      </c>
      <c r="H9" s="4" t="s">
        <v>6</v>
      </c>
    </row>
    <row r="10" spans="1:8" x14ac:dyDescent="0.3">
      <c r="B10" s="4"/>
      <c r="C10" s="4"/>
      <c r="D10" s="4"/>
      <c r="E10" s="4"/>
      <c r="F10" s="4"/>
      <c r="G10" s="986"/>
      <c r="H10" s="4"/>
    </row>
    <row r="11" spans="1:8" ht="18" x14ac:dyDescent="0.3">
      <c r="A11" s="4">
        <v>1</v>
      </c>
      <c r="B11" s="32" t="s">
        <v>953</v>
      </c>
      <c r="C11" s="4" t="s">
        <v>954</v>
      </c>
      <c r="E11" s="41">
        <v>0</v>
      </c>
      <c r="F11" s="221"/>
      <c r="G11" s="4"/>
      <c r="H11" s="4">
        <f>A11</f>
        <v>1</v>
      </c>
    </row>
    <row r="12" spans="1:8" x14ac:dyDescent="0.3">
      <c r="A12" s="4">
        <f>+A11+1</f>
        <v>2</v>
      </c>
      <c r="E12" s="39"/>
      <c r="F12" s="221"/>
      <c r="G12" s="4"/>
      <c r="H12" s="4">
        <f>+H11+1</f>
        <v>2</v>
      </c>
    </row>
    <row r="13" spans="1:8" x14ac:dyDescent="0.3">
      <c r="A13" s="4">
        <f t="shared" ref="A13:A25" si="0">+A12+1</f>
        <v>3</v>
      </c>
      <c r="B13" s="32" t="s">
        <v>955</v>
      </c>
      <c r="C13" s="4" t="s">
        <v>956</v>
      </c>
      <c r="E13" s="43">
        <v>0</v>
      </c>
      <c r="F13" s="221"/>
      <c r="G13" s="4"/>
      <c r="H13" s="4">
        <f t="shared" ref="H13:H25" si="1">+H12+1</f>
        <v>3</v>
      </c>
    </row>
    <row r="14" spans="1:8" x14ac:dyDescent="0.3">
      <c r="A14" s="4">
        <f t="shared" si="0"/>
        <v>4</v>
      </c>
      <c r="E14" s="39"/>
      <c r="F14" s="221"/>
      <c r="G14" s="4"/>
      <c r="H14" s="4">
        <f t="shared" si="1"/>
        <v>4</v>
      </c>
    </row>
    <row r="15" spans="1:8" x14ac:dyDescent="0.3">
      <c r="A15" s="4">
        <f t="shared" si="0"/>
        <v>5</v>
      </c>
      <c r="B15" s="32" t="s">
        <v>957</v>
      </c>
      <c r="C15" s="4" t="s">
        <v>958</v>
      </c>
      <c r="E15" s="43">
        <f>'AU-1'!V15/1000</f>
        <v>-2115.2620000000002</v>
      </c>
      <c r="F15" s="221"/>
      <c r="G15" s="4" t="s">
        <v>1511</v>
      </c>
      <c r="H15" s="4">
        <f t="shared" si="1"/>
        <v>5</v>
      </c>
    </row>
    <row r="16" spans="1:8" x14ac:dyDescent="0.3">
      <c r="A16" s="4">
        <f t="shared" si="0"/>
        <v>6</v>
      </c>
      <c r="E16" s="39"/>
      <c r="F16" s="221"/>
      <c r="G16" s="4"/>
      <c r="H16" s="4">
        <f t="shared" si="1"/>
        <v>6</v>
      </c>
    </row>
    <row r="17" spans="1:8" x14ac:dyDescent="0.3">
      <c r="A17" s="4">
        <f t="shared" si="0"/>
        <v>7</v>
      </c>
      <c r="B17" s="32" t="s">
        <v>959</v>
      </c>
      <c r="C17" s="4" t="s">
        <v>960</v>
      </c>
      <c r="E17" s="43">
        <v>0</v>
      </c>
      <c r="F17" s="221"/>
      <c r="G17" s="4"/>
      <c r="H17" s="4">
        <f t="shared" si="1"/>
        <v>7</v>
      </c>
    </row>
    <row r="18" spans="1:8" x14ac:dyDescent="0.3">
      <c r="A18" s="4">
        <f t="shared" si="0"/>
        <v>8</v>
      </c>
      <c r="E18" s="39"/>
      <c r="F18" s="221"/>
      <c r="G18" s="4"/>
      <c r="H18" s="4">
        <f t="shared" si="1"/>
        <v>8</v>
      </c>
    </row>
    <row r="19" spans="1:8" x14ac:dyDescent="0.3">
      <c r="A19" s="4">
        <f t="shared" si="0"/>
        <v>9</v>
      </c>
      <c r="B19" s="32" t="s">
        <v>961</v>
      </c>
      <c r="C19" s="4" t="s">
        <v>962</v>
      </c>
      <c r="E19" s="43">
        <f>('AU-1'!V29/1000)</f>
        <v>-6590.7520000000004</v>
      </c>
      <c r="F19" s="221"/>
      <c r="G19" s="4" t="s">
        <v>1512</v>
      </c>
      <c r="H19" s="4">
        <f t="shared" si="1"/>
        <v>9</v>
      </c>
    </row>
    <row r="20" spans="1:8" x14ac:dyDescent="0.3">
      <c r="A20" s="4">
        <f t="shared" si="0"/>
        <v>10</v>
      </c>
      <c r="E20" s="39"/>
      <c r="F20" s="221"/>
      <c r="G20" s="4"/>
      <c r="H20" s="4">
        <f t="shared" si="1"/>
        <v>10</v>
      </c>
    </row>
    <row r="21" spans="1:8" x14ac:dyDescent="0.3">
      <c r="A21" s="4">
        <f t="shared" si="0"/>
        <v>11</v>
      </c>
      <c r="B21" s="32" t="s">
        <v>963</v>
      </c>
      <c r="E21" s="912">
        <f>'AU-1'!V34/1000</f>
        <v>-794.63599999999997</v>
      </c>
      <c r="F21" s="221"/>
      <c r="G21" s="4" t="s">
        <v>1513</v>
      </c>
      <c r="H21" s="4">
        <f t="shared" si="1"/>
        <v>11</v>
      </c>
    </row>
    <row r="22" spans="1:8" x14ac:dyDescent="0.3">
      <c r="A22" s="4">
        <f t="shared" si="0"/>
        <v>12</v>
      </c>
      <c r="E22" s="39"/>
      <c r="F22" s="221"/>
      <c r="G22" s="4"/>
      <c r="H22" s="4">
        <f t="shared" si="1"/>
        <v>12</v>
      </c>
    </row>
    <row r="23" spans="1:8" ht="16.2" thickBot="1" x14ac:dyDescent="0.35">
      <c r="A23" s="4">
        <f t="shared" si="0"/>
        <v>13</v>
      </c>
      <c r="B23" s="32" t="s">
        <v>964</v>
      </c>
      <c r="E23" s="122">
        <f>SUM(E11:E21)</f>
        <v>-9500.6500000000015</v>
      </c>
      <c r="F23" s="221"/>
      <c r="G23" s="4" t="s">
        <v>653</v>
      </c>
      <c r="H23" s="4">
        <f t="shared" si="1"/>
        <v>13</v>
      </c>
    </row>
    <row r="24" spans="1:8" ht="16.2" thickTop="1" x14ac:dyDescent="0.3">
      <c r="A24" s="4">
        <f t="shared" si="0"/>
        <v>14</v>
      </c>
      <c r="E24" s="71" t="s">
        <v>1</v>
      </c>
      <c r="F24" s="221"/>
      <c r="G24" s="4"/>
      <c r="H24" s="4">
        <f t="shared" si="1"/>
        <v>14</v>
      </c>
    </row>
    <row r="25" spans="1:8" ht="16.2" thickBot="1" x14ac:dyDescent="0.35">
      <c r="A25" s="4">
        <f t="shared" si="0"/>
        <v>15</v>
      </c>
      <c r="B25" s="32" t="s">
        <v>965</v>
      </c>
      <c r="E25" s="79">
        <v>0</v>
      </c>
      <c r="F25" s="221"/>
      <c r="G25" s="4" t="s">
        <v>966</v>
      </c>
      <c r="H25" s="4">
        <f t="shared" si="1"/>
        <v>15</v>
      </c>
    </row>
    <row r="26" spans="1:8" ht="16.2" thickTop="1" x14ac:dyDescent="0.3">
      <c r="F26" s="221"/>
    </row>
    <row r="27" spans="1:8" x14ac:dyDescent="0.3">
      <c r="F27" s="221"/>
    </row>
    <row r="28" spans="1:8" ht="18" x14ac:dyDescent="0.3">
      <c r="A28" s="269">
        <v>1</v>
      </c>
      <c r="B28" s="32" t="s">
        <v>967</v>
      </c>
    </row>
    <row r="29" spans="1:8" ht="18" x14ac:dyDescent="0.3">
      <c r="A29" s="269"/>
      <c r="B29" s="32" t="s">
        <v>968</v>
      </c>
    </row>
    <row r="30" spans="1:8" x14ac:dyDescent="0.3">
      <c r="B30" s="32" t="s">
        <v>969</v>
      </c>
    </row>
  </sheetData>
  <mergeCells count="5">
    <mergeCell ref="B2:G2"/>
    <mergeCell ref="B3:G3"/>
    <mergeCell ref="B4:G4"/>
    <mergeCell ref="B5:G5"/>
    <mergeCell ref="B6:G6"/>
  </mergeCells>
  <printOptions horizontalCentered="1"/>
  <pageMargins left="0.5" right="0.5" top="0.5" bottom="0.5" header="0.25" footer="0.25"/>
  <pageSetup scale="60" orientation="portrait" r:id="rId1"/>
  <headerFooter scaleWithDoc="0">
    <oddFooter>&amp;C&amp;"Times New Roman,Regular"&amp;10&amp;A</oddFooter>
  </headerFooter>
  <customProperties>
    <customPr name="_pios_id" r:id="rId2"/>
  </customPropertie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2:AG53"/>
  <sheetViews>
    <sheetView topLeftCell="J9" zoomScale="80" zoomScaleNormal="80" workbookViewId="0">
      <selection activeCell="AA34" sqref="AA34"/>
    </sheetView>
  </sheetViews>
  <sheetFormatPr defaultColWidth="9.33203125" defaultRowHeight="15.6" x14ac:dyDescent="0.3"/>
  <cols>
    <col min="1" max="1" width="5.33203125" style="4" customWidth="1"/>
    <col min="2" max="3" width="11.44140625" style="32" customWidth="1"/>
    <col min="4" max="4" width="50.33203125" style="32" customWidth="1"/>
    <col min="5" max="11" width="15.5546875" style="32" customWidth="1"/>
    <col min="12" max="13" width="5.33203125" style="4" customWidth="1"/>
    <col min="14" max="15" width="11.44140625" style="32" customWidth="1"/>
    <col min="16" max="16" width="51.5546875" style="32" customWidth="1"/>
    <col min="17" max="21" width="15.5546875" style="32" customWidth="1"/>
    <col min="22" max="22" width="18.5546875" style="32" customWidth="1"/>
    <col min="23" max="23" width="5.33203125" style="4" customWidth="1"/>
    <col min="24" max="24" width="13" style="32" bestFit="1" customWidth="1"/>
    <col min="25" max="32" width="9.33203125" style="32"/>
    <col min="33" max="33" width="9.6640625" style="32" bestFit="1" customWidth="1"/>
    <col min="34" max="16384" width="9.33203125" style="32"/>
  </cols>
  <sheetData>
    <row r="2" spans="1:23" s="1" customFormat="1" x14ac:dyDescent="0.3">
      <c r="A2" s="221"/>
      <c r="B2" s="1222" t="s">
        <v>0</v>
      </c>
      <c r="C2" s="1222"/>
      <c r="D2" s="1222"/>
      <c r="E2" s="1222"/>
      <c r="F2" s="1222"/>
      <c r="G2" s="1222"/>
      <c r="H2" s="1222"/>
      <c r="I2" s="1222"/>
      <c r="J2" s="1222"/>
      <c r="K2" s="1222"/>
      <c r="L2" s="221"/>
      <c r="M2" s="221"/>
      <c r="N2" s="1222" t="str">
        <f>B2</f>
        <v>SAN DIEGO GAS &amp; ELECTRIC COMPANY</v>
      </c>
      <c r="O2" s="1222"/>
      <c r="P2" s="1222"/>
      <c r="Q2" s="1222"/>
      <c r="R2" s="1222"/>
      <c r="S2" s="1222"/>
      <c r="T2" s="1222"/>
      <c r="U2" s="1222"/>
      <c r="V2" s="1222"/>
      <c r="W2" s="221"/>
    </row>
    <row r="3" spans="1:23" s="1" customFormat="1" x14ac:dyDescent="0.3">
      <c r="A3" s="221"/>
      <c r="B3" s="1222" t="s">
        <v>951</v>
      </c>
      <c r="C3" s="1222"/>
      <c r="D3" s="1222"/>
      <c r="E3" s="1222"/>
      <c r="F3" s="1222"/>
      <c r="G3" s="1222"/>
      <c r="H3" s="1222"/>
      <c r="I3" s="1222"/>
      <c r="J3" s="1222"/>
      <c r="K3" s="1222"/>
      <c r="L3" s="221"/>
      <c r="M3" s="221"/>
      <c r="N3" s="1222" t="str">
        <f>B3</f>
        <v>Statement AU</v>
      </c>
      <c r="O3" s="1222"/>
      <c r="P3" s="1222"/>
      <c r="Q3" s="1222"/>
      <c r="R3" s="1222"/>
      <c r="S3" s="1222"/>
      <c r="T3" s="1222"/>
      <c r="U3" s="1222"/>
      <c r="V3" s="1222"/>
      <c r="W3" s="221"/>
    </row>
    <row r="4" spans="1:23" s="1" customFormat="1" x14ac:dyDescent="0.3">
      <c r="A4" s="221"/>
      <c r="B4" s="1222" t="s">
        <v>952</v>
      </c>
      <c r="C4" s="1222"/>
      <c r="D4" s="1222"/>
      <c r="E4" s="1222"/>
      <c r="F4" s="1222"/>
      <c r="G4" s="1222"/>
      <c r="H4" s="1222"/>
      <c r="I4" s="1222"/>
      <c r="J4" s="1222"/>
      <c r="K4" s="1222"/>
      <c r="L4" s="221"/>
      <c r="M4" s="221"/>
      <c r="N4" s="1222" t="str">
        <f>B4</f>
        <v>Revenue Credits</v>
      </c>
      <c r="O4" s="1222"/>
      <c r="P4" s="1222"/>
      <c r="Q4" s="1222"/>
      <c r="R4" s="1222"/>
      <c r="S4" s="1222"/>
      <c r="T4" s="1222"/>
      <c r="U4" s="1222"/>
      <c r="V4" s="1222"/>
      <c r="W4" s="221"/>
    </row>
    <row r="5" spans="1:23" s="1" customFormat="1" x14ac:dyDescent="0.3">
      <c r="A5" s="221"/>
      <c r="B5" s="1222" t="s">
        <v>1623</v>
      </c>
      <c r="C5" s="1222"/>
      <c r="D5" s="1222"/>
      <c r="E5" s="1222"/>
      <c r="F5" s="1222"/>
      <c r="G5" s="1222"/>
      <c r="H5" s="1222"/>
      <c r="I5" s="1222"/>
      <c r="J5" s="1222"/>
      <c r="K5" s="1222"/>
      <c r="L5" s="221"/>
      <c r="M5" s="221"/>
      <c r="N5" s="1222" t="str">
        <f>B5</f>
        <v>12 Months Ending December 31, 2023</v>
      </c>
      <c r="O5" s="1222"/>
      <c r="P5" s="1222"/>
      <c r="Q5" s="1222"/>
      <c r="R5" s="1222"/>
      <c r="S5" s="1222"/>
      <c r="T5" s="1222"/>
      <c r="U5" s="1222"/>
      <c r="V5" s="1222"/>
      <c r="W5" s="221"/>
    </row>
    <row r="6" spans="1:23" ht="16.2" thickBot="1" x14ac:dyDescent="0.35">
      <c r="V6" s="4"/>
    </row>
    <row r="7" spans="1:23" s="1" customFormat="1" x14ac:dyDescent="0.3">
      <c r="A7" s="4" t="s">
        <v>5</v>
      </c>
      <c r="B7" s="458" t="s">
        <v>970</v>
      </c>
      <c r="C7" s="459" t="s">
        <v>482</v>
      </c>
      <c r="D7" s="460"/>
      <c r="E7" s="459" t="s">
        <v>210</v>
      </c>
      <c r="F7" s="461" t="s">
        <v>211</v>
      </c>
      <c r="G7" s="461" t="s">
        <v>212</v>
      </c>
      <c r="H7" s="461" t="s">
        <v>971</v>
      </c>
      <c r="I7" s="461" t="s">
        <v>972</v>
      </c>
      <c r="J7" s="461" t="s">
        <v>973</v>
      </c>
      <c r="K7" s="462" t="s">
        <v>974</v>
      </c>
      <c r="L7" s="4" t="s">
        <v>5</v>
      </c>
      <c r="M7" s="4" t="str">
        <f t="shared" ref="M7:P24" si="0">A7</f>
        <v>Line</v>
      </c>
      <c r="N7" s="458" t="str">
        <f t="shared" si="0"/>
        <v>SAP</v>
      </c>
      <c r="O7" s="459" t="str">
        <f t="shared" si="0"/>
        <v>FERC</v>
      </c>
      <c r="P7" s="460"/>
      <c r="Q7" s="461" t="s">
        <v>975</v>
      </c>
      <c r="R7" s="461" t="s">
        <v>976</v>
      </c>
      <c r="S7" s="461" t="s">
        <v>977</v>
      </c>
      <c r="T7" s="461" t="s">
        <v>978</v>
      </c>
      <c r="U7" s="461" t="s">
        <v>979</v>
      </c>
      <c r="V7" s="463" t="s">
        <v>980</v>
      </c>
      <c r="W7" s="4" t="str">
        <f>L7</f>
        <v>Line</v>
      </c>
    </row>
    <row r="8" spans="1:23" s="1" customFormat="1" ht="16.2" thickBot="1" x14ac:dyDescent="0.35">
      <c r="A8" s="4" t="s">
        <v>6</v>
      </c>
      <c r="B8" s="599" t="s">
        <v>981</v>
      </c>
      <c r="C8" s="895" t="s">
        <v>981</v>
      </c>
      <c r="D8" s="600" t="s">
        <v>982</v>
      </c>
      <c r="E8" s="640" t="s">
        <v>1515</v>
      </c>
      <c r="F8" s="1061" t="s">
        <v>1520</v>
      </c>
      <c r="G8" s="640" t="s">
        <v>1521</v>
      </c>
      <c r="H8" s="640" t="s">
        <v>1522</v>
      </c>
      <c r="I8" s="640" t="s">
        <v>1523</v>
      </c>
      <c r="J8" s="640" t="s">
        <v>1524</v>
      </c>
      <c r="K8" s="641" t="s">
        <v>1525</v>
      </c>
      <c r="L8" s="4" t="s">
        <v>983</v>
      </c>
      <c r="M8" s="4" t="str">
        <f t="shared" si="0"/>
        <v>No.</v>
      </c>
      <c r="N8" s="599" t="str">
        <f t="shared" si="0"/>
        <v>Account #</v>
      </c>
      <c r="O8" s="895" t="str">
        <f t="shared" si="0"/>
        <v>Account #</v>
      </c>
      <c r="P8" s="600" t="str">
        <f t="shared" si="0"/>
        <v>SAP Account Description</v>
      </c>
      <c r="Q8" s="640" t="s">
        <v>1526</v>
      </c>
      <c r="R8" s="640" t="s">
        <v>1527</v>
      </c>
      <c r="S8" s="640" t="s">
        <v>1528</v>
      </c>
      <c r="T8" s="640" t="s">
        <v>1529</v>
      </c>
      <c r="U8" s="640" t="s">
        <v>1516</v>
      </c>
      <c r="V8" s="602" t="s">
        <v>200</v>
      </c>
      <c r="W8" s="4" t="str">
        <f t="shared" ref="W8" si="1">L8</f>
        <v>No</v>
      </c>
    </row>
    <row r="9" spans="1:23" x14ac:dyDescent="0.3">
      <c r="B9" s="464"/>
      <c r="C9" s="388"/>
      <c r="D9" s="465"/>
      <c r="E9" s="2"/>
      <c r="F9" s="896"/>
      <c r="G9" s="2"/>
      <c r="H9" s="896"/>
      <c r="I9" s="2"/>
      <c r="J9" s="896"/>
      <c r="K9" s="576"/>
      <c r="N9" s="464"/>
      <c r="O9" s="388"/>
      <c r="P9" s="465"/>
      <c r="Q9" s="896"/>
      <c r="R9" s="2"/>
      <c r="S9" s="896"/>
      <c r="T9" s="2"/>
      <c r="U9" s="896"/>
      <c r="V9" s="642"/>
    </row>
    <row r="10" spans="1:23" x14ac:dyDescent="0.3">
      <c r="A10" s="4">
        <v>1</v>
      </c>
      <c r="B10" s="378">
        <v>4370119</v>
      </c>
      <c r="C10" s="388" t="s">
        <v>1508</v>
      </c>
      <c r="D10" s="648" t="s">
        <v>1510</v>
      </c>
      <c r="E10" s="123">
        <v>0</v>
      </c>
      <c r="F10" s="123">
        <v>0</v>
      </c>
      <c r="G10" s="123">
        <v>0</v>
      </c>
      <c r="H10" s="123">
        <v>0</v>
      </c>
      <c r="I10" s="123">
        <v>0</v>
      </c>
      <c r="J10" s="123">
        <v>0</v>
      </c>
      <c r="K10" s="596">
        <v>-2200</v>
      </c>
      <c r="L10" s="108">
        <v>1</v>
      </c>
      <c r="M10" s="108">
        <v>1</v>
      </c>
      <c r="N10" s="378">
        <v>4370119</v>
      </c>
      <c r="O10" s="388" t="s">
        <v>1508</v>
      </c>
      <c r="P10" s="648" t="s">
        <v>1510</v>
      </c>
      <c r="Q10" s="123">
        <v>0</v>
      </c>
      <c r="R10" s="123">
        <v>0</v>
      </c>
      <c r="S10" s="123">
        <v>0</v>
      </c>
      <c r="T10" s="123">
        <v>0</v>
      </c>
      <c r="U10" s="123">
        <v>0</v>
      </c>
      <c r="V10" s="596">
        <f>SUM(E10:K10,Q10:U10)</f>
        <v>-2200</v>
      </c>
      <c r="W10" s="494">
        <v>1</v>
      </c>
    </row>
    <row r="11" spans="1:23" s="2" customFormat="1" x14ac:dyDescent="0.3">
      <c r="A11" s="108">
        <f>A10+1</f>
        <v>2</v>
      </c>
      <c r="B11" s="378" t="s">
        <v>984</v>
      </c>
      <c r="C11" s="388">
        <v>454</v>
      </c>
      <c r="D11" s="879" t="s">
        <v>561</v>
      </c>
      <c r="E11" s="128">
        <v>-3361</v>
      </c>
      <c r="F11" s="128">
        <v>-21408</v>
      </c>
      <c r="G11" s="128">
        <v>-13991</v>
      </c>
      <c r="H11" s="128">
        <v>-26817</v>
      </c>
      <c r="I11" s="128">
        <v>-16437</v>
      </c>
      <c r="J11" s="128">
        <v>-18316</v>
      </c>
      <c r="K11" s="577">
        <v>-17390</v>
      </c>
      <c r="L11" s="108">
        <f>A11</f>
        <v>2</v>
      </c>
      <c r="M11" s="108">
        <f t="shared" ref="M11:P27" si="2">A11</f>
        <v>2</v>
      </c>
      <c r="N11" s="378" t="s">
        <v>984</v>
      </c>
      <c r="O11" s="388">
        <v>454</v>
      </c>
      <c r="P11" s="879" t="s">
        <v>561</v>
      </c>
      <c r="Q11" s="128">
        <v>-76008</v>
      </c>
      <c r="R11" s="128">
        <v>-21448</v>
      </c>
      <c r="S11" s="128">
        <v>-21448</v>
      </c>
      <c r="T11" s="128">
        <v>-21448</v>
      </c>
      <c r="U11" s="128">
        <v>-62613</v>
      </c>
      <c r="V11" s="577">
        <f>SUM(E11:K11,Q11:U11)</f>
        <v>-320685</v>
      </c>
      <c r="W11" s="108">
        <f>W10+1</f>
        <v>2</v>
      </c>
    </row>
    <row r="12" spans="1:23" s="2" customFormat="1" x14ac:dyDescent="0.3">
      <c r="A12" s="108">
        <f>A11+1</f>
        <v>3</v>
      </c>
      <c r="B12" s="378" t="s">
        <v>985</v>
      </c>
      <c r="C12" s="388">
        <v>454</v>
      </c>
      <c r="D12" s="879" t="s">
        <v>986</v>
      </c>
      <c r="E12" s="128">
        <v>-3333</v>
      </c>
      <c r="F12" s="128">
        <v>-3334</v>
      </c>
      <c r="G12" s="128">
        <v>-3333</v>
      </c>
      <c r="H12" s="128">
        <v>-3333</v>
      </c>
      <c r="I12" s="128">
        <v>-3334</v>
      </c>
      <c r="J12" s="128">
        <v>-3333</v>
      </c>
      <c r="K12" s="577">
        <v>-3333</v>
      </c>
      <c r="L12" s="108">
        <f t="shared" ref="L12:L38" si="3">A12</f>
        <v>3</v>
      </c>
      <c r="M12" s="108">
        <f t="shared" si="2"/>
        <v>3</v>
      </c>
      <c r="N12" s="378" t="s">
        <v>985</v>
      </c>
      <c r="O12" s="388">
        <v>454</v>
      </c>
      <c r="P12" s="879" t="s">
        <v>986</v>
      </c>
      <c r="Q12" s="128">
        <v>-4787</v>
      </c>
      <c r="R12" s="128">
        <v>-9708</v>
      </c>
      <c r="S12" s="128">
        <v>-3334</v>
      </c>
      <c r="T12" s="128">
        <v>-3333</v>
      </c>
      <c r="U12" s="128">
        <v>-3333</v>
      </c>
      <c r="V12" s="577">
        <f>SUM(E12:K12,Q12:U12)</f>
        <v>-47828</v>
      </c>
      <c r="W12" s="108">
        <f t="shared" ref="W12:W38" si="4">W11+1</f>
        <v>3</v>
      </c>
    </row>
    <row r="13" spans="1:23" s="2" customFormat="1" x14ac:dyDescent="0.3">
      <c r="A13" s="108">
        <f t="shared" ref="A13:A38" si="5">A12+1</f>
        <v>4</v>
      </c>
      <c r="B13" s="378">
        <v>4371080</v>
      </c>
      <c r="C13" s="388" t="s">
        <v>1508</v>
      </c>
      <c r="D13" s="879" t="s">
        <v>1509</v>
      </c>
      <c r="E13" s="904">
        <v>-51462</v>
      </c>
      <c r="F13" s="904">
        <v>-49987</v>
      </c>
      <c r="G13" s="904">
        <v>-52453</v>
      </c>
      <c r="H13" s="904">
        <v>-49698</v>
      </c>
      <c r="I13" s="904">
        <v>-50728</v>
      </c>
      <c r="J13" s="904">
        <v>-60012</v>
      </c>
      <c r="K13" s="124">
        <v>-50965</v>
      </c>
      <c r="L13" s="108">
        <f t="shared" si="3"/>
        <v>4</v>
      </c>
      <c r="M13" s="108">
        <f t="shared" si="2"/>
        <v>4</v>
      </c>
      <c r="N13" s="378">
        <v>4371080</v>
      </c>
      <c r="O13" s="388" t="s">
        <v>1508</v>
      </c>
      <c r="P13" s="879" t="s">
        <v>1509</v>
      </c>
      <c r="Q13" s="904">
        <v>-50702</v>
      </c>
      <c r="R13" s="904">
        <v>-648064</v>
      </c>
      <c r="S13" s="904">
        <v>-76282</v>
      </c>
      <c r="T13" s="904">
        <v>-50203</v>
      </c>
      <c r="U13" s="904">
        <v>-553993</v>
      </c>
      <c r="V13" s="124">
        <f>SUM(E13:K13,Q13:U13)</f>
        <v>-1744549</v>
      </c>
      <c r="W13" s="108">
        <f t="shared" si="4"/>
        <v>4</v>
      </c>
    </row>
    <row r="14" spans="1:23" s="2" customFormat="1" x14ac:dyDescent="0.3">
      <c r="A14" s="108">
        <f t="shared" si="5"/>
        <v>5</v>
      </c>
      <c r="B14" s="643"/>
      <c r="C14" s="388"/>
      <c r="D14" s="879"/>
      <c r="E14" s="6"/>
      <c r="F14" s="236"/>
      <c r="G14" s="236"/>
      <c r="H14" s="236"/>
      <c r="I14" s="236"/>
      <c r="J14" s="236"/>
      <c r="K14" s="577"/>
      <c r="L14" s="108">
        <f t="shared" si="3"/>
        <v>5</v>
      </c>
      <c r="M14" s="108">
        <f t="shared" si="2"/>
        <v>5</v>
      </c>
      <c r="N14" s="643"/>
      <c r="O14" s="388"/>
      <c r="P14" s="879"/>
      <c r="Q14" s="236"/>
      <c r="R14" s="236"/>
      <c r="S14" s="236"/>
      <c r="T14" s="236"/>
      <c r="U14" s="236"/>
      <c r="V14" s="131"/>
      <c r="W14" s="108">
        <f t="shared" si="4"/>
        <v>5</v>
      </c>
    </row>
    <row r="15" spans="1:23" s="2" customFormat="1" ht="18" x14ac:dyDescent="0.3">
      <c r="A15" s="108">
        <f t="shared" si="5"/>
        <v>6</v>
      </c>
      <c r="B15" s="643"/>
      <c r="C15" s="388"/>
      <c r="D15" s="276" t="s">
        <v>987</v>
      </c>
      <c r="E15" s="94">
        <f>SUM(E10:E13)</f>
        <v>-58156</v>
      </c>
      <c r="F15" s="94">
        <f t="shared" ref="F15:J15" si="6">SUM(F10:F13)</f>
        <v>-74729</v>
      </c>
      <c r="G15" s="94">
        <f t="shared" si="6"/>
        <v>-69777</v>
      </c>
      <c r="H15" s="94">
        <f t="shared" si="6"/>
        <v>-79848</v>
      </c>
      <c r="I15" s="94">
        <f t="shared" si="6"/>
        <v>-70499</v>
      </c>
      <c r="J15" s="94">
        <f t="shared" si="6"/>
        <v>-81661</v>
      </c>
      <c r="K15" s="125">
        <f>SUM(K10:K13)</f>
        <v>-73888</v>
      </c>
      <c r="L15" s="108">
        <f t="shared" si="3"/>
        <v>6</v>
      </c>
      <c r="M15" s="108">
        <f t="shared" si="2"/>
        <v>6</v>
      </c>
      <c r="N15" s="643"/>
      <c r="O15" s="388"/>
      <c r="P15" s="276" t="s">
        <v>987</v>
      </c>
      <c r="Q15" s="62">
        <f>SUM(Q10:Q13)</f>
        <v>-131497</v>
      </c>
      <c r="R15" s="62">
        <f t="shared" ref="R15:U15" si="7">SUM(R10:R13)</f>
        <v>-679220</v>
      </c>
      <c r="S15" s="62">
        <f t="shared" si="7"/>
        <v>-101064</v>
      </c>
      <c r="T15" s="62">
        <f t="shared" si="7"/>
        <v>-74984</v>
      </c>
      <c r="U15" s="62">
        <f t="shared" si="7"/>
        <v>-619939</v>
      </c>
      <c r="V15" s="125">
        <f>SUM(V10:V13)</f>
        <v>-2115262</v>
      </c>
      <c r="W15" s="108">
        <f t="shared" si="4"/>
        <v>6</v>
      </c>
    </row>
    <row r="16" spans="1:23" s="2" customFormat="1" ht="16.2" thickBot="1" x14ac:dyDescent="0.35">
      <c r="A16" s="108">
        <f t="shared" si="5"/>
        <v>7</v>
      </c>
      <c r="B16" s="644"/>
      <c r="C16" s="897"/>
      <c r="D16" s="645"/>
      <c r="E16" s="898"/>
      <c r="F16" s="185"/>
      <c r="G16" s="898"/>
      <c r="H16" s="185"/>
      <c r="I16" s="898"/>
      <c r="J16" s="185"/>
      <c r="K16" s="186"/>
      <c r="L16" s="108">
        <f t="shared" si="3"/>
        <v>7</v>
      </c>
      <c r="M16" s="108">
        <f t="shared" si="2"/>
        <v>7</v>
      </c>
      <c r="N16" s="644"/>
      <c r="O16" s="897"/>
      <c r="P16" s="645"/>
      <c r="Q16" s="185"/>
      <c r="R16" s="898"/>
      <c r="S16" s="185"/>
      <c r="T16" s="898"/>
      <c r="U16" s="185"/>
      <c r="V16" s="216"/>
      <c r="W16" s="108">
        <f t="shared" si="4"/>
        <v>7</v>
      </c>
    </row>
    <row r="17" spans="1:33" s="2" customFormat="1" x14ac:dyDescent="0.3">
      <c r="A17" s="108">
        <f t="shared" si="5"/>
        <v>8</v>
      </c>
      <c r="B17" s="646" t="s">
        <v>988</v>
      </c>
      <c r="C17" s="388">
        <v>456</v>
      </c>
      <c r="D17" s="879" t="s">
        <v>989</v>
      </c>
      <c r="E17" s="126">
        <v>-761270</v>
      </c>
      <c r="F17" s="126">
        <v>-301988</v>
      </c>
      <c r="G17" s="126">
        <v>-194030</v>
      </c>
      <c r="H17" s="126">
        <v>-196603</v>
      </c>
      <c r="I17" s="126">
        <v>-194030</v>
      </c>
      <c r="J17" s="126">
        <v>-290817</v>
      </c>
      <c r="K17" s="127">
        <v>-202872</v>
      </c>
      <c r="L17" s="108">
        <f t="shared" si="3"/>
        <v>8</v>
      </c>
      <c r="M17" s="108">
        <f t="shared" si="2"/>
        <v>8</v>
      </c>
      <c r="N17" s="646" t="str">
        <f t="shared" si="2"/>
        <v>4371016</v>
      </c>
      <c r="O17" s="388">
        <f t="shared" si="2"/>
        <v>456</v>
      </c>
      <c r="P17" s="879" t="str">
        <f t="shared" si="0"/>
        <v>Generation Interconnection</v>
      </c>
      <c r="Q17" s="126">
        <v>-203709</v>
      </c>
      <c r="R17" s="126">
        <v>-203708</v>
      </c>
      <c r="S17" s="126">
        <v>-203709</v>
      </c>
      <c r="T17" s="126">
        <v>-203709</v>
      </c>
      <c r="U17" s="132">
        <v>-203709</v>
      </c>
      <c r="V17" s="577">
        <f t="shared" ref="V17:V27" si="8">SUM(E17:K17,Q17:U17)</f>
        <v>-3160154</v>
      </c>
      <c r="W17" s="108">
        <f t="shared" si="4"/>
        <v>8</v>
      </c>
    </row>
    <row r="18" spans="1:33" s="2" customFormat="1" x14ac:dyDescent="0.3">
      <c r="A18" s="108">
        <f t="shared" si="5"/>
        <v>9</v>
      </c>
      <c r="B18" s="643" t="s">
        <v>990</v>
      </c>
      <c r="C18" s="388">
        <v>456</v>
      </c>
      <c r="D18" s="879" t="s">
        <v>991</v>
      </c>
      <c r="E18" s="6">
        <v>-275242</v>
      </c>
      <c r="F18" s="128">
        <v>-33200</v>
      </c>
      <c r="G18" s="128">
        <v>-39332</v>
      </c>
      <c r="H18" s="128">
        <v>-5000</v>
      </c>
      <c r="I18" s="128">
        <v>-12690</v>
      </c>
      <c r="J18" s="128">
        <v>0</v>
      </c>
      <c r="K18" s="577">
        <v>-17652</v>
      </c>
      <c r="L18" s="108">
        <f t="shared" si="3"/>
        <v>9</v>
      </c>
      <c r="M18" s="108">
        <f t="shared" si="2"/>
        <v>9</v>
      </c>
      <c r="N18" s="643" t="str">
        <f t="shared" si="2"/>
        <v>4371040</v>
      </c>
      <c r="O18" s="388">
        <f t="shared" si="2"/>
        <v>456</v>
      </c>
      <c r="P18" s="879" t="str">
        <f t="shared" si="0"/>
        <v xml:space="preserve">Revenue Enhancement </v>
      </c>
      <c r="Q18" s="128">
        <v>-7853</v>
      </c>
      <c r="R18" s="128">
        <v>-8325</v>
      </c>
      <c r="S18" s="128">
        <v>0</v>
      </c>
      <c r="T18" s="128">
        <v>-3986</v>
      </c>
      <c r="U18" s="128">
        <v>0</v>
      </c>
      <c r="V18" s="577">
        <f t="shared" si="8"/>
        <v>-403280</v>
      </c>
      <c r="W18" s="108">
        <f t="shared" si="4"/>
        <v>9</v>
      </c>
    </row>
    <row r="19" spans="1:33" s="2" customFormat="1" x14ac:dyDescent="0.3">
      <c r="A19" s="108">
        <f t="shared" si="5"/>
        <v>10</v>
      </c>
      <c r="B19" s="647" t="s">
        <v>992</v>
      </c>
      <c r="C19" s="388">
        <v>456</v>
      </c>
      <c r="D19" s="648" t="s">
        <v>993</v>
      </c>
      <c r="E19" s="905">
        <v>-200972</v>
      </c>
      <c r="F19" s="128">
        <v>-203892</v>
      </c>
      <c r="G19" s="128">
        <v>-215511</v>
      </c>
      <c r="H19" s="128">
        <v>-220273</v>
      </c>
      <c r="I19" s="128">
        <v>-226873</v>
      </c>
      <c r="J19" s="128">
        <v>-237504</v>
      </c>
      <c r="K19" s="577">
        <v>-252397</v>
      </c>
      <c r="L19" s="108">
        <f t="shared" si="3"/>
        <v>10</v>
      </c>
      <c r="M19" s="108">
        <f t="shared" si="2"/>
        <v>10</v>
      </c>
      <c r="N19" s="647" t="str">
        <f t="shared" si="2"/>
        <v>4371055</v>
      </c>
      <c r="O19" s="388">
        <f t="shared" si="2"/>
        <v>456</v>
      </c>
      <c r="P19" s="648" t="str">
        <f t="shared" si="0"/>
        <v>Shared Asset Revenue</v>
      </c>
      <c r="Q19" s="128">
        <v>-258051</v>
      </c>
      <c r="R19" s="128">
        <v>-256733</v>
      </c>
      <c r="S19" s="128">
        <v>-255044</v>
      </c>
      <c r="T19" s="128">
        <v>-253437</v>
      </c>
      <c r="U19" s="128">
        <v>-252422</v>
      </c>
      <c r="V19" s="577">
        <f t="shared" si="8"/>
        <v>-2833109</v>
      </c>
      <c r="W19" s="108">
        <f t="shared" si="4"/>
        <v>10</v>
      </c>
    </row>
    <row r="20" spans="1:33" s="2" customFormat="1" x14ac:dyDescent="0.3">
      <c r="A20" s="108">
        <f t="shared" si="5"/>
        <v>11</v>
      </c>
      <c r="B20" s="647" t="s">
        <v>994</v>
      </c>
      <c r="C20" s="899">
        <v>456</v>
      </c>
      <c r="D20" s="649" t="s">
        <v>995</v>
      </c>
      <c r="E20" s="128">
        <v>0</v>
      </c>
      <c r="F20" s="128">
        <v>-672</v>
      </c>
      <c r="G20" s="128">
        <v>0</v>
      </c>
      <c r="H20" s="128">
        <v>0</v>
      </c>
      <c r="I20" s="128">
        <v>0</v>
      </c>
      <c r="J20" s="128">
        <v>0</v>
      </c>
      <c r="K20" s="577">
        <v>-29244</v>
      </c>
      <c r="L20" s="108">
        <f t="shared" si="3"/>
        <v>11</v>
      </c>
      <c r="M20" s="108">
        <f t="shared" si="2"/>
        <v>11</v>
      </c>
      <c r="N20" s="647" t="str">
        <f t="shared" si="2"/>
        <v>4371058</v>
      </c>
      <c r="O20" s="899">
        <f t="shared" si="2"/>
        <v>456</v>
      </c>
      <c r="P20" s="649" t="str">
        <f t="shared" si="0"/>
        <v>Elec Trans Joint Pole Activity</v>
      </c>
      <c r="Q20" s="128">
        <v>-4177</v>
      </c>
      <c r="R20" s="128">
        <v>-3506</v>
      </c>
      <c r="S20" s="128">
        <v>-13137</v>
      </c>
      <c r="T20" s="128">
        <v>4228</v>
      </c>
      <c r="U20" s="128">
        <v>-4228</v>
      </c>
      <c r="V20" s="577">
        <f t="shared" si="8"/>
        <v>-50736</v>
      </c>
      <c r="W20" s="108">
        <f t="shared" si="4"/>
        <v>11</v>
      </c>
    </row>
    <row r="21" spans="1:33" s="2" customFormat="1" x14ac:dyDescent="0.3">
      <c r="A21" s="108">
        <f t="shared" si="5"/>
        <v>12</v>
      </c>
      <c r="B21" s="647" t="s">
        <v>996</v>
      </c>
      <c r="C21" s="899">
        <v>456</v>
      </c>
      <c r="D21" s="649" t="s">
        <v>997</v>
      </c>
      <c r="E21" s="128">
        <v>-1439</v>
      </c>
      <c r="F21" s="128">
        <v>-1438</v>
      </c>
      <c r="G21" s="128">
        <v>-1439</v>
      </c>
      <c r="H21" s="128">
        <v>-1438</v>
      </c>
      <c r="I21" s="128">
        <v>-1439</v>
      </c>
      <c r="J21" s="128">
        <v>-1438</v>
      </c>
      <c r="K21" s="577">
        <v>-1439</v>
      </c>
      <c r="L21" s="108">
        <f t="shared" si="3"/>
        <v>12</v>
      </c>
      <c r="M21" s="108">
        <f t="shared" si="2"/>
        <v>12</v>
      </c>
      <c r="N21" s="647" t="str">
        <f t="shared" si="2"/>
        <v>4371061</v>
      </c>
      <c r="O21" s="899">
        <f t="shared" si="2"/>
        <v>456</v>
      </c>
      <c r="P21" s="649" t="str">
        <f t="shared" si="0"/>
        <v>Excess Microwave Capacity - Elec Trans</v>
      </c>
      <c r="Q21" s="128">
        <v>-1438</v>
      </c>
      <c r="R21" s="128">
        <v>-1439</v>
      </c>
      <c r="S21" s="128">
        <v>-1438</v>
      </c>
      <c r="T21" s="128">
        <v>-1439</v>
      </c>
      <c r="U21" s="128">
        <v>-1438</v>
      </c>
      <c r="V21" s="577">
        <f t="shared" si="8"/>
        <v>-17262</v>
      </c>
      <c r="W21" s="108">
        <f t="shared" si="4"/>
        <v>12</v>
      </c>
    </row>
    <row r="22" spans="1:33" s="2" customFormat="1" x14ac:dyDescent="0.3">
      <c r="A22" s="108">
        <f t="shared" si="5"/>
        <v>13</v>
      </c>
      <c r="B22" s="647" t="s">
        <v>998</v>
      </c>
      <c r="C22" s="899">
        <v>456</v>
      </c>
      <c r="D22" s="649" t="s">
        <v>999</v>
      </c>
      <c r="E22" s="128">
        <v>0</v>
      </c>
      <c r="F22" s="128">
        <v>0</v>
      </c>
      <c r="G22" s="128">
        <v>0</v>
      </c>
      <c r="H22" s="128">
        <v>0</v>
      </c>
      <c r="I22" s="128">
        <v>0</v>
      </c>
      <c r="J22" s="128">
        <v>0</v>
      </c>
      <c r="K22" s="577">
        <v>0</v>
      </c>
      <c r="L22" s="108">
        <f t="shared" si="3"/>
        <v>13</v>
      </c>
      <c r="M22" s="108">
        <f t="shared" si="2"/>
        <v>13</v>
      </c>
      <c r="N22" s="647" t="str">
        <f t="shared" si="2"/>
        <v>4371065</v>
      </c>
      <c r="O22" s="899">
        <f t="shared" si="2"/>
        <v>456</v>
      </c>
      <c r="P22" s="649" t="str">
        <f t="shared" si="0"/>
        <v>Trans Revenue Trsfr to Gen</v>
      </c>
      <c r="Q22" s="128">
        <v>0</v>
      </c>
      <c r="R22" s="128">
        <v>0</v>
      </c>
      <c r="S22" s="128">
        <v>0</v>
      </c>
      <c r="T22" s="128">
        <v>0</v>
      </c>
      <c r="U22" s="128">
        <v>-33000</v>
      </c>
      <c r="V22" s="577">
        <f t="shared" si="8"/>
        <v>-33000</v>
      </c>
      <c r="W22" s="108">
        <f t="shared" si="4"/>
        <v>13</v>
      </c>
      <c r="AG22" s="6"/>
    </row>
    <row r="23" spans="1:33" s="2" customFormat="1" x14ac:dyDescent="0.3">
      <c r="A23" s="108">
        <f t="shared" si="5"/>
        <v>14</v>
      </c>
      <c r="B23" s="647" t="s">
        <v>1000</v>
      </c>
      <c r="C23" s="899">
        <v>456</v>
      </c>
      <c r="D23" s="649" t="s">
        <v>1001</v>
      </c>
      <c r="E23" s="128">
        <v>0</v>
      </c>
      <c r="F23" s="128">
        <v>0</v>
      </c>
      <c r="G23" s="128">
        <v>0</v>
      </c>
      <c r="H23" s="128">
        <v>0</v>
      </c>
      <c r="I23" s="128">
        <v>0</v>
      </c>
      <c r="J23" s="128">
        <v>0</v>
      </c>
      <c r="K23" s="577">
        <v>0</v>
      </c>
      <c r="L23" s="108">
        <f t="shared" si="3"/>
        <v>14</v>
      </c>
      <c r="M23" s="108">
        <f t="shared" si="2"/>
        <v>14</v>
      </c>
      <c r="N23" s="647" t="str">
        <f t="shared" si="2"/>
        <v>4371067</v>
      </c>
      <c r="O23" s="899">
        <f t="shared" si="2"/>
        <v>456</v>
      </c>
      <c r="P23" s="649" t="str">
        <f t="shared" si="0"/>
        <v>Trans Revenue Trsfr to Dist</v>
      </c>
      <c r="Q23" s="128">
        <v>0</v>
      </c>
      <c r="R23" s="128">
        <v>0</v>
      </c>
      <c r="S23" s="128">
        <v>0</v>
      </c>
      <c r="T23" s="128">
        <v>0</v>
      </c>
      <c r="U23" s="128">
        <v>270000</v>
      </c>
      <c r="V23" s="577">
        <f t="shared" si="8"/>
        <v>270000</v>
      </c>
      <c r="W23" s="108">
        <f t="shared" si="4"/>
        <v>14</v>
      </c>
      <c r="AG23" s="6"/>
    </row>
    <row r="24" spans="1:33" s="2" customFormat="1" x14ac:dyDescent="0.3">
      <c r="A24" s="108">
        <f t="shared" si="5"/>
        <v>15</v>
      </c>
      <c r="B24" s="647" t="s">
        <v>1002</v>
      </c>
      <c r="C24" s="899">
        <v>456</v>
      </c>
      <c r="D24" s="649" t="s">
        <v>1003</v>
      </c>
      <c r="E24" s="128">
        <v>0</v>
      </c>
      <c r="F24" s="128">
        <v>0</v>
      </c>
      <c r="G24" s="128">
        <v>0</v>
      </c>
      <c r="H24" s="128">
        <v>0</v>
      </c>
      <c r="I24" s="128">
        <v>0</v>
      </c>
      <c r="J24" s="128">
        <v>0</v>
      </c>
      <c r="K24" s="577">
        <v>0</v>
      </c>
      <c r="L24" s="108">
        <f t="shared" si="3"/>
        <v>15</v>
      </c>
      <c r="M24" s="108">
        <f t="shared" si="2"/>
        <v>15</v>
      </c>
      <c r="N24" s="647" t="str">
        <f t="shared" si="2"/>
        <v>4371070</v>
      </c>
      <c r="O24" s="899">
        <f t="shared" si="2"/>
        <v>456</v>
      </c>
      <c r="P24" s="649" t="str">
        <f t="shared" si="0"/>
        <v>Trans Revenue Trsfr from Dist</v>
      </c>
      <c r="Q24" s="128">
        <v>0</v>
      </c>
      <c r="R24" s="128">
        <v>0</v>
      </c>
      <c r="S24" s="128">
        <v>0</v>
      </c>
      <c r="T24" s="128">
        <v>0</v>
      </c>
      <c r="U24" s="128">
        <v>25000</v>
      </c>
      <c r="V24" s="577">
        <f t="shared" si="8"/>
        <v>25000</v>
      </c>
      <c r="W24" s="108">
        <f t="shared" si="4"/>
        <v>15</v>
      </c>
      <c r="AG24" s="6"/>
    </row>
    <row r="25" spans="1:33" s="2" customFormat="1" x14ac:dyDescent="0.3">
      <c r="A25" s="108">
        <f t="shared" si="5"/>
        <v>16</v>
      </c>
      <c r="B25" s="647" t="s">
        <v>1004</v>
      </c>
      <c r="C25" s="899">
        <v>456</v>
      </c>
      <c r="D25" s="649" t="s">
        <v>1005</v>
      </c>
      <c r="E25" s="128">
        <v>0</v>
      </c>
      <c r="F25" s="128">
        <v>0</v>
      </c>
      <c r="G25" s="128">
        <v>0</v>
      </c>
      <c r="H25" s="128">
        <v>0</v>
      </c>
      <c r="I25" s="128">
        <v>0</v>
      </c>
      <c r="J25" s="128">
        <v>0</v>
      </c>
      <c r="K25" s="577">
        <v>0</v>
      </c>
      <c r="L25" s="108">
        <f t="shared" si="3"/>
        <v>16</v>
      </c>
      <c r="M25" s="108">
        <f t="shared" si="2"/>
        <v>16</v>
      </c>
      <c r="N25" s="647" t="s">
        <v>1004</v>
      </c>
      <c r="O25" s="899">
        <v>456</v>
      </c>
      <c r="P25" s="649" t="s">
        <v>1005</v>
      </c>
      <c r="Q25" s="128">
        <v>0</v>
      </c>
      <c r="R25" s="128">
        <v>0</v>
      </c>
      <c r="S25" s="128">
        <v>0</v>
      </c>
      <c r="T25" s="128">
        <v>0</v>
      </c>
      <c r="U25" s="128">
        <v>0</v>
      </c>
      <c r="V25" s="577">
        <f t="shared" si="8"/>
        <v>0</v>
      </c>
      <c r="W25" s="108">
        <f t="shared" si="4"/>
        <v>16</v>
      </c>
      <c r="AG25" s="6"/>
    </row>
    <row r="26" spans="1:33" s="2" customFormat="1" x14ac:dyDescent="0.3">
      <c r="A26" s="108">
        <f t="shared" si="5"/>
        <v>17</v>
      </c>
      <c r="B26" s="647" t="s">
        <v>1006</v>
      </c>
      <c r="C26" s="899">
        <v>456</v>
      </c>
      <c r="D26" s="650" t="s">
        <v>1007</v>
      </c>
      <c r="E26" s="128">
        <v>-20244</v>
      </c>
      <c r="F26" s="128">
        <v>-20245</v>
      </c>
      <c r="G26" s="128">
        <v>-23807</v>
      </c>
      <c r="H26" s="128">
        <v>-26379</v>
      </c>
      <c r="I26" s="128">
        <v>-26380</v>
      </c>
      <c r="J26" s="128">
        <v>-26379</v>
      </c>
      <c r="K26" s="577">
        <v>-26380</v>
      </c>
      <c r="L26" s="108">
        <f t="shared" si="3"/>
        <v>17</v>
      </c>
      <c r="M26" s="108">
        <f t="shared" si="2"/>
        <v>17</v>
      </c>
      <c r="N26" s="647" t="str">
        <f t="shared" si="2"/>
        <v>4371082</v>
      </c>
      <c r="O26" s="899">
        <f t="shared" si="2"/>
        <v>456</v>
      </c>
      <c r="P26" s="650" t="str">
        <f t="shared" si="2"/>
        <v>Other Elec Rev-SDGE Gen</v>
      </c>
      <c r="Q26" s="128">
        <v>-26379</v>
      </c>
      <c r="R26" s="128">
        <v>-26379</v>
      </c>
      <c r="S26" s="128">
        <v>-26380</v>
      </c>
      <c r="T26" s="128">
        <v>-26379</v>
      </c>
      <c r="U26" s="128">
        <v>-26380</v>
      </c>
      <c r="V26" s="577">
        <f t="shared" si="8"/>
        <v>-301711</v>
      </c>
      <c r="W26" s="108">
        <f t="shared" si="4"/>
        <v>17</v>
      </c>
      <c r="AG26" s="6"/>
    </row>
    <row r="27" spans="1:33" s="2" customFormat="1" x14ac:dyDescent="0.3">
      <c r="A27" s="108">
        <f t="shared" si="5"/>
        <v>18</v>
      </c>
      <c r="B27" s="647" t="s">
        <v>1008</v>
      </c>
      <c r="C27" s="899">
        <v>456</v>
      </c>
      <c r="D27" s="879" t="s">
        <v>1009</v>
      </c>
      <c r="E27" s="904">
        <v>0</v>
      </c>
      <c r="F27" s="904">
        <v>-40000</v>
      </c>
      <c r="G27" s="904">
        <v>-22500</v>
      </c>
      <c r="H27" s="904">
        <v>0</v>
      </c>
      <c r="I27" s="904">
        <v>0</v>
      </c>
      <c r="J27" s="904">
        <v>-20000</v>
      </c>
      <c r="K27" s="124">
        <v>0</v>
      </c>
      <c r="L27" s="108">
        <f t="shared" si="3"/>
        <v>18</v>
      </c>
      <c r="M27" s="108">
        <f t="shared" si="2"/>
        <v>18</v>
      </c>
      <c r="N27" s="647" t="str">
        <f t="shared" si="2"/>
        <v>4371806</v>
      </c>
      <c r="O27" s="899">
        <f t="shared" si="2"/>
        <v>456</v>
      </c>
      <c r="P27" s="879" t="str">
        <f t="shared" si="2"/>
        <v>Elec-Trans Fees/Rev</v>
      </c>
      <c r="Q27" s="904">
        <v>0</v>
      </c>
      <c r="R27" s="904">
        <v>0</v>
      </c>
      <c r="S27" s="904">
        <v>0</v>
      </c>
      <c r="T27" s="904">
        <v>0</v>
      </c>
      <c r="U27" s="904">
        <v>-4000</v>
      </c>
      <c r="V27" s="124">
        <f t="shared" si="8"/>
        <v>-86500</v>
      </c>
      <c r="W27" s="108">
        <f t="shared" si="4"/>
        <v>18</v>
      </c>
      <c r="AG27" s="6"/>
    </row>
    <row r="28" spans="1:33" s="2" customFormat="1" x14ac:dyDescent="0.3">
      <c r="A28" s="108">
        <f t="shared" si="5"/>
        <v>19</v>
      </c>
      <c r="B28" s="647"/>
      <c r="C28" s="899"/>
      <c r="D28" s="879"/>
      <c r="E28" s="236"/>
      <c r="F28" s="6"/>
      <c r="G28" s="236"/>
      <c r="H28" s="6"/>
      <c r="I28" s="236"/>
      <c r="J28" s="6"/>
      <c r="K28" s="577"/>
      <c r="L28" s="108">
        <f t="shared" si="3"/>
        <v>19</v>
      </c>
      <c r="M28" s="108">
        <f t="shared" ref="M28:M38" si="9">A28</f>
        <v>19</v>
      </c>
      <c r="N28" s="647"/>
      <c r="O28" s="899"/>
      <c r="P28" s="879"/>
      <c r="Q28" s="6"/>
      <c r="R28" s="236"/>
      <c r="S28" s="6"/>
      <c r="T28" s="236"/>
      <c r="U28" s="6"/>
      <c r="V28" s="577"/>
      <c r="W28" s="108">
        <f t="shared" si="4"/>
        <v>19</v>
      </c>
      <c r="AG28" s="6"/>
    </row>
    <row r="29" spans="1:33" s="2" customFormat="1" ht="18" x14ac:dyDescent="0.3">
      <c r="A29" s="108">
        <f t="shared" si="5"/>
        <v>20</v>
      </c>
      <c r="B29" s="647"/>
      <c r="C29" s="899"/>
      <c r="D29" s="276" t="s">
        <v>1010</v>
      </c>
      <c r="E29" s="357">
        <f t="shared" ref="E29:K29" si="10">SUM(E17:E28)</f>
        <v>-1259167</v>
      </c>
      <c r="F29" s="597">
        <f t="shared" si="10"/>
        <v>-601435</v>
      </c>
      <c r="G29" s="597">
        <f t="shared" si="10"/>
        <v>-496619</v>
      </c>
      <c r="H29" s="597">
        <f t="shared" si="10"/>
        <v>-449693</v>
      </c>
      <c r="I29" s="597">
        <f t="shared" si="10"/>
        <v>-461412</v>
      </c>
      <c r="J29" s="597">
        <f t="shared" si="10"/>
        <v>-576138</v>
      </c>
      <c r="K29" s="651">
        <f t="shared" si="10"/>
        <v>-529984</v>
      </c>
      <c r="L29" s="108">
        <f t="shared" si="3"/>
        <v>20</v>
      </c>
      <c r="M29" s="108">
        <f t="shared" si="9"/>
        <v>20</v>
      </c>
      <c r="N29" s="647"/>
      <c r="O29" s="899"/>
      <c r="P29" s="276" t="s">
        <v>1010</v>
      </c>
      <c r="Q29" s="597">
        <f>SUM(Q17:Q28)</f>
        <v>-501607</v>
      </c>
      <c r="R29" s="597">
        <f>SUM(R17:R28)</f>
        <v>-500090</v>
      </c>
      <c r="S29" s="597">
        <f>SUM(S17:S28)</f>
        <v>-499708</v>
      </c>
      <c r="T29" s="597">
        <f>SUM(T17:T28)</f>
        <v>-484722</v>
      </c>
      <c r="U29" s="597">
        <f>SUM(U17:U28)</f>
        <v>-230177</v>
      </c>
      <c r="V29" s="651">
        <f>SUM(V17:V27)</f>
        <v>-6590752</v>
      </c>
      <c r="W29" s="108">
        <f t="shared" si="4"/>
        <v>20</v>
      </c>
      <c r="AG29" s="6"/>
    </row>
    <row r="30" spans="1:33" s="2" customFormat="1" ht="16.2" thickBot="1" x14ac:dyDescent="0.35">
      <c r="A30" s="108">
        <f t="shared" si="5"/>
        <v>21</v>
      </c>
      <c r="B30" s="652"/>
      <c r="C30" s="653"/>
      <c r="D30" s="645"/>
      <c r="E30" s="185"/>
      <c r="F30" s="898"/>
      <c r="G30" s="185"/>
      <c r="H30" s="898"/>
      <c r="I30" s="185"/>
      <c r="J30" s="898"/>
      <c r="K30" s="186"/>
      <c r="L30" s="108">
        <f t="shared" si="3"/>
        <v>21</v>
      </c>
      <c r="M30" s="108">
        <f t="shared" si="9"/>
        <v>21</v>
      </c>
      <c r="N30" s="652"/>
      <c r="O30" s="653"/>
      <c r="P30" s="645"/>
      <c r="Q30" s="898"/>
      <c r="R30" s="185"/>
      <c r="S30" s="898"/>
      <c r="T30" s="185"/>
      <c r="U30" s="898"/>
      <c r="V30" s="186"/>
      <c r="W30" s="108">
        <f t="shared" si="4"/>
        <v>21</v>
      </c>
      <c r="AG30" s="6"/>
    </row>
    <row r="31" spans="1:33" s="2" customFormat="1" ht="18" x14ac:dyDescent="0.3">
      <c r="A31" s="108">
        <f t="shared" si="5"/>
        <v>22</v>
      </c>
      <c r="B31" s="647"/>
      <c r="C31" s="899" t="s">
        <v>1011</v>
      </c>
      <c r="D31" s="598" t="s">
        <v>1012</v>
      </c>
      <c r="E31" s="126">
        <v>-50635</v>
      </c>
      <c r="F31" s="128">
        <v>-50636</v>
      </c>
      <c r="G31" s="236">
        <v>-50635</v>
      </c>
      <c r="H31" s="6">
        <v>-50636</v>
      </c>
      <c r="I31" s="236">
        <v>-50635</v>
      </c>
      <c r="J31" s="6">
        <v>-50636</v>
      </c>
      <c r="K31" s="577">
        <v>-50635</v>
      </c>
      <c r="L31" s="108">
        <f t="shared" si="3"/>
        <v>22</v>
      </c>
      <c r="M31" s="108">
        <f t="shared" si="9"/>
        <v>22</v>
      </c>
      <c r="N31" s="647"/>
      <c r="O31" s="899" t="str">
        <f>C31</f>
        <v>Various</v>
      </c>
      <c r="P31" s="598" t="s">
        <v>1012</v>
      </c>
      <c r="Q31" s="126">
        <v>-50636</v>
      </c>
      <c r="R31" s="126">
        <v>-50635</v>
      </c>
      <c r="S31" s="126">
        <v>-50636</v>
      </c>
      <c r="T31" s="126">
        <v>-50635</v>
      </c>
      <c r="U31" s="132">
        <v>-50636</v>
      </c>
      <c r="V31" s="577">
        <f>SUM(E31:K31,Q31:U31)</f>
        <v>-607626</v>
      </c>
      <c r="W31" s="108">
        <f t="shared" si="4"/>
        <v>22</v>
      </c>
      <c r="AG31" s="6"/>
    </row>
    <row r="32" spans="1:33" s="2" customFormat="1" ht="18" x14ac:dyDescent="0.3">
      <c r="A32" s="108">
        <f t="shared" si="5"/>
        <v>23</v>
      </c>
      <c r="B32" s="654"/>
      <c r="C32" s="829" t="s">
        <v>1011</v>
      </c>
      <c r="D32" s="830" t="s">
        <v>1013</v>
      </c>
      <c r="E32" s="904">
        <v>-15584</v>
      </c>
      <c r="F32" s="904">
        <v>-15584</v>
      </c>
      <c r="G32" s="904">
        <v>-15585</v>
      </c>
      <c r="H32" s="904">
        <v>-15584</v>
      </c>
      <c r="I32" s="904">
        <v>-15584</v>
      </c>
      <c r="J32" s="904">
        <v>-15584</v>
      </c>
      <c r="K32" s="124">
        <v>-15584</v>
      </c>
      <c r="L32" s="108">
        <f t="shared" si="3"/>
        <v>23</v>
      </c>
      <c r="M32" s="108">
        <f t="shared" si="9"/>
        <v>23</v>
      </c>
      <c r="N32" s="654"/>
      <c r="O32" s="829" t="s">
        <v>1011</v>
      </c>
      <c r="P32" s="830" t="s">
        <v>1013</v>
      </c>
      <c r="Q32" s="904">
        <v>-15585</v>
      </c>
      <c r="R32" s="904">
        <v>-15584</v>
      </c>
      <c r="S32" s="904">
        <v>-15584</v>
      </c>
      <c r="T32" s="904">
        <v>-15584</v>
      </c>
      <c r="U32" s="904">
        <v>-15584</v>
      </c>
      <c r="V32" s="124">
        <f>SUM(E32:K32,Q32:U32)</f>
        <v>-187010</v>
      </c>
      <c r="W32" s="108">
        <f t="shared" si="4"/>
        <v>23</v>
      </c>
      <c r="AG32" s="6"/>
    </row>
    <row r="33" spans="1:23" s="2" customFormat="1" x14ac:dyDescent="0.3">
      <c r="A33" s="108">
        <f t="shared" si="5"/>
        <v>24</v>
      </c>
      <c r="B33" s="655"/>
      <c r="C33" s="236"/>
      <c r="D33" s="649"/>
      <c r="E33" s="128"/>
      <c r="F33" s="128"/>
      <c r="G33" s="128"/>
      <c r="H33" s="128"/>
      <c r="I33" s="128"/>
      <c r="J33" s="128"/>
      <c r="K33" s="577"/>
      <c r="L33" s="108">
        <f t="shared" si="3"/>
        <v>24</v>
      </c>
      <c r="M33" s="108">
        <f t="shared" si="9"/>
        <v>24</v>
      </c>
      <c r="N33" s="655"/>
      <c r="O33" s="236"/>
      <c r="P33" s="649"/>
      <c r="Q33" s="128"/>
      <c r="R33" s="128"/>
      <c r="S33" s="128"/>
      <c r="T33" s="128"/>
      <c r="U33" s="128"/>
      <c r="V33" s="577"/>
      <c r="W33" s="108">
        <f t="shared" si="4"/>
        <v>24</v>
      </c>
    </row>
    <row r="34" spans="1:23" s="2" customFormat="1" x14ac:dyDescent="0.3">
      <c r="A34" s="108">
        <f t="shared" si="5"/>
        <v>25</v>
      </c>
      <c r="B34" s="656"/>
      <c r="C34" s="900"/>
      <c r="D34" s="343" t="s">
        <v>963</v>
      </c>
      <c r="E34" s="603">
        <f>SUM(E31:E33)</f>
        <v>-66219</v>
      </c>
      <c r="F34" s="603">
        <f t="shared" ref="F34:K34" si="11">SUM(F31:F33)</f>
        <v>-66220</v>
      </c>
      <c r="G34" s="603">
        <f t="shared" si="11"/>
        <v>-66220</v>
      </c>
      <c r="H34" s="603">
        <f t="shared" si="11"/>
        <v>-66220</v>
      </c>
      <c r="I34" s="603">
        <f t="shared" si="11"/>
        <v>-66219</v>
      </c>
      <c r="J34" s="603">
        <f t="shared" si="11"/>
        <v>-66220</v>
      </c>
      <c r="K34" s="129">
        <f t="shared" si="11"/>
        <v>-66219</v>
      </c>
      <c r="L34" s="108">
        <f t="shared" si="3"/>
        <v>25</v>
      </c>
      <c r="M34" s="108">
        <f t="shared" si="9"/>
        <v>25</v>
      </c>
      <c r="N34" s="656"/>
      <c r="O34" s="900"/>
      <c r="P34" s="657" t="str">
        <f t="shared" ref="P34" si="12">D34</f>
        <v>Electric Transmission Revenues from Citizens</v>
      </c>
      <c r="Q34" s="603">
        <f>SUM(Q31:Q33)</f>
        <v>-66221</v>
      </c>
      <c r="R34" s="603">
        <f t="shared" ref="R34:U34" si="13">SUM(R31:R33)</f>
        <v>-66219</v>
      </c>
      <c r="S34" s="603">
        <f t="shared" si="13"/>
        <v>-66220</v>
      </c>
      <c r="T34" s="603">
        <f t="shared" si="13"/>
        <v>-66219</v>
      </c>
      <c r="U34" s="603">
        <f t="shared" si="13"/>
        <v>-66220</v>
      </c>
      <c r="V34" s="129">
        <f>SUM(V31:V33)</f>
        <v>-794636</v>
      </c>
      <c r="W34" s="108">
        <f t="shared" si="4"/>
        <v>25</v>
      </c>
    </row>
    <row r="35" spans="1:23" s="2" customFormat="1" x14ac:dyDescent="0.3">
      <c r="A35" s="108">
        <f t="shared" si="5"/>
        <v>26</v>
      </c>
      <c r="B35" s="656"/>
      <c r="C35" s="900"/>
      <c r="D35" s="343"/>
      <c r="E35" s="597"/>
      <c r="F35" s="597"/>
      <c r="G35" s="597"/>
      <c r="H35" s="357"/>
      <c r="I35" s="88"/>
      <c r="J35" s="597"/>
      <c r="K35" s="651"/>
      <c r="L35" s="108">
        <f t="shared" si="3"/>
        <v>26</v>
      </c>
      <c r="M35" s="108">
        <f t="shared" si="9"/>
        <v>26</v>
      </c>
      <c r="N35" s="656"/>
      <c r="O35" s="900"/>
      <c r="P35" s="657"/>
      <c r="Q35" s="61"/>
      <c r="R35" s="88"/>
      <c r="S35" s="357"/>
      <c r="T35" s="88"/>
      <c r="U35" s="357"/>
      <c r="V35" s="661"/>
      <c r="W35" s="108">
        <f t="shared" si="4"/>
        <v>26</v>
      </c>
    </row>
    <row r="36" spans="1:23" s="2" customFormat="1" x14ac:dyDescent="0.3">
      <c r="A36" s="108">
        <f t="shared" si="5"/>
        <v>27</v>
      </c>
      <c r="B36" s="656"/>
      <c r="C36" s="900"/>
      <c r="D36" s="658"/>
      <c r="E36" s="88"/>
      <c r="F36" s="357"/>
      <c r="G36" s="88"/>
      <c r="H36" s="357"/>
      <c r="I36" s="88"/>
      <c r="J36" s="597"/>
      <c r="K36" s="651"/>
      <c r="L36" s="108">
        <f t="shared" si="3"/>
        <v>27</v>
      </c>
      <c r="M36" s="108">
        <f t="shared" si="9"/>
        <v>27</v>
      </c>
      <c r="N36" s="659"/>
      <c r="O36" s="660"/>
      <c r="P36" s="896"/>
      <c r="Q36" s="61"/>
      <c r="R36" s="88"/>
      <c r="S36" s="357"/>
      <c r="T36" s="88"/>
      <c r="U36" s="357"/>
      <c r="V36" s="661"/>
      <c r="W36" s="108">
        <f t="shared" si="4"/>
        <v>27</v>
      </c>
    </row>
    <row r="37" spans="1:23" s="3" customFormat="1" ht="16.2" thickBot="1" x14ac:dyDescent="0.35">
      <c r="A37" s="108">
        <f t="shared" si="5"/>
        <v>28</v>
      </c>
      <c r="B37" s="662" t="s">
        <v>1014</v>
      </c>
      <c r="D37" s="901"/>
      <c r="E37" s="103">
        <f t="shared" ref="E37:K37" si="14">E15+E29+E34</f>
        <v>-1383542</v>
      </c>
      <c r="F37" s="100">
        <f t="shared" si="14"/>
        <v>-742384</v>
      </c>
      <c r="G37" s="103">
        <f t="shared" si="14"/>
        <v>-632616</v>
      </c>
      <c r="H37" s="100">
        <f t="shared" si="14"/>
        <v>-595761</v>
      </c>
      <c r="I37" s="103">
        <f t="shared" si="14"/>
        <v>-598130</v>
      </c>
      <c r="J37" s="100">
        <f t="shared" si="14"/>
        <v>-724019</v>
      </c>
      <c r="K37" s="130">
        <f t="shared" si="14"/>
        <v>-670091</v>
      </c>
      <c r="L37" s="108">
        <f t="shared" si="3"/>
        <v>28</v>
      </c>
      <c r="M37" s="108">
        <f t="shared" si="9"/>
        <v>28</v>
      </c>
      <c r="N37" s="662" t="str">
        <f>B37</f>
        <v>Total Miscellaneous Revenue</v>
      </c>
      <c r="P37" s="901"/>
      <c r="Q37" s="100">
        <f t="shared" ref="Q37:V37" si="15">Q15+Q29+Q34</f>
        <v>-699325</v>
      </c>
      <c r="R37" s="103">
        <f t="shared" si="15"/>
        <v>-1245529</v>
      </c>
      <c r="S37" s="100">
        <f t="shared" si="15"/>
        <v>-666992</v>
      </c>
      <c r="T37" s="103">
        <f t="shared" si="15"/>
        <v>-625925</v>
      </c>
      <c r="U37" s="100">
        <f t="shared" si="15"/>
        <v>-916336</v>
      </c>
      <c r="V37" s="130">
        <f t="shared" si="15"/>
        <v>-9500650</v>
      </c>
      <c r="W37" s="108">
        <f t="shared" si="4"/>
        <v>28</v>
      </c>
    </row>
    <row r="38" spans="1:23" ht="16.8" thickTop="1" thickBot="1" x14ac:dyDescent="0.35">
      <c r="A38" s="108">
        <f t="shared" si="5"/>
        <v>29</v>
      </c>
      <c r="B38" s="209"/>
      <c r="C38" s="866"/>
      <c r="D38" s="210"/>
      <c r="E38" s="866"/>
      <c r="F38" s="210"/>
      <c r="G38" s="866"/>
      <c r="H38" s="210"/>
      <c r="I38" s="866"/>
      <c r="J38" s="210"/>
      <c r="K38" s="601"/>
      <c r="L38" s="108">
        <f t="shared" si="3"/>
        <v>29</v>
      </c>
      <c r="M38" s="108">
        <f t="shared" si="9"/>
        <v>29</v>
      </c>
      <c r="N38" s="209"/>
      <c r="O38" s="866"/>
      <c r="P38" s="210"/>
      <c r="Q38" s="210"/>
      <c r="R38" s="866"/>
      <c r="S38" s="210"/>
      <c r="T38" s="866"/>
      <c r="U38" s="133"/>
      <c r="V38" s="134"/>
      <c r="W38" s="108">
        <f t="shared" si="4"/>
        <v>29</v>
      </c>
    </row>
    <row r="39" spans="1:23" x14ac:dyDescent="0.3">
      <c r="A39" s="108"/>
      <c r="L39" s="108"/>
      <c r="M39" s="108"/>
      <c r="W39" s="108"/>
    </row>
    <row r="40" spans="1:23" x14ac:dyDescent="0.3">
      <c r="A40" s="221"/>
      <c r="B40" s="1"/>
    </row>
    <row r="41" spans="1:23" ht="18" x14ac:dyDescent="0.3">
      <c r="A41" s="269">
        <v>1</v>
      </c>
      <c r="B41" s="32" t="s">
        <v>1015</v>
      </c>
      <c r="M41" s="269">
        <f>A41</f>
        <v>1</v>
      </c>
      <c r="N41" s="32" t="str">
        <f>B41</f>
        <v>The total Rent from Electric Property in FERC Form 1; Page 300-301; Line 19; Col. b includes both Distribution and Transmission rents. The Total Transmission-related Rents from Electric</v>
      </c>
    </row>
    <row r="42" spans="1:23" x14ac:dyDescent="0.3">
      <c r="B42" s="32" t="s">
        <v>1537</v>
      </c>
      <c r="N42" s="32" t="str">
        <f>B42</f>
        <v xml:space="preserve">Property is reflected in Col. (m) of this schedule. </v>
      </c>
    </row>
    <row r="43" spans="1:23" ht="18" x14ac:dyDescent="0.3">
      <c r="A43" s="269">
        <v>2</v>
      </c>
      <c r="B43" s="32" t="s">
        <v>1016</v>
      </c>
      <c r="M43" s="269">
        <f>A43</f>
        <v>2</v>
      </c>
      <c r="N43" s="32" t="str">
        <f>B43</f>
        <v>The total Other Electric Revenues in FERC Form 1; Page 300-301; Line 21; Col. b includes other revenues for both Distribution and Transmission. The Total Transmission-related piece of Other</v>
      </c>
    </row>
    <row r="44" spans="1:23" x14ac:dyDescent="0.3">
      <c r="B44" s="32" t="s">
        <v>1017</v>
      </c>
      <c r="N44" s="32" t="str">
        <f>B44</f>
        <v>Revenues is reflected in Col. (m) of this schedule and ties to the footnotes on FERC Form 1; Page 300-301; Footnote Data (c).</v>
      </c>
    </row>
    <row r="45" spans="1:23" ht="18" x14ac:dyDescent="0.3">
      <c r="A45" s="269">
        <v>3</v>
      </c>
      <c r="B45" s="32" t="s">
        <v>1018</v>
      </c>
      <c r="M45" s="269">
        <f>A45</f>
        <v>3</v>
      </c>
      <c r="N45" s="32" t="str">
        <f>B45</f>
        <v>The Electric Transmission Revenue for Citizens in this statement is to provide ratepayers a credit for Citizens' share of Transmission-related Common and General Plant, Transmission-related</v>
      </c>
    </row>
    <row r="46" spans="1:23" x14ac:dyDescent="0.3">
      <c r="B46" s="32" t="s">
        <v>1019</v>
      </c>
      <c r="N46" s="32" t="str">
        <f>B46</f>
        <v>Working Capital Revenue, and Franchise Fees.</v>
      </c>
    </row>
    <row r="51" spans="2:5" x14ac:dyDescent="0.3">
      <c r="B51" s="828"/>
      <c r="E51" s="221"/>
    </row>
    <row r="52" spans="2:5" x14ac:dyDescent="0.3">
      <c r="B52" s="828"/>
      <c r="E52" s="221"/>
    </row>
    <row r="53" spans="2:5" x14ac:dyDescent="0.3">
      <c r="B53" s="828"/>
      <c r="E53" s="221"/>
    </row>
  </sheetData>
  <mergeCells count="8">
    <mergeCell ref="B2:K2"/>
    <mergeCell ref="B3:K3"/>
    <mergeCell ref="B4:K4"/>
    <mergeCell ref="B5:K5"/>
    <mergeCell ref="N2:V2"/>
    <mergeCell ref="N3:V3"/>
    <mergeCell ref="N4:V4"/>
    <mergeCell ref="N5:V5"/>
  </mergeCells>
  <phoneticPr fontId="56" type="noConversion"/>
  <printOptions horizontalCentered="1"/>
  <pageMargins left="0.25" right="0.25" top="0.5" bottom="0.5" header="0.25" footer="0.25"/>
  <pageSetup scale="69" fitToWidth="0" orientation="landscape" r:id="rId1"/>
  <headerFooter scaleWithDoc="0">
    <oddFooter>&amp;C&amp;"Times New Roman,Regular"&amp;10&amp;A
Page &amp;P of &amp;N</oddFooter>
    <evenFooter>&amp;C&amp;"Times New Roman,Regular"&amp;10&amp;A
Page 1 of 2</evenFooter>
    <firstFooter>&amp;C&amp;"Times New Roman,Regular"&amp;10&amp;A
Page 1 of 2</firstFooter>
  </headerFooter>
  <colBreaks count="1" manualBreakCount="1">
    <brk id="12" max="43" man="1"/>
  </colBreaks>
  <customProperties>
    <customPr name="_pios_id" r:id="rId2"/>
  </customProperties>
  <ignoredErrors>
    <ignoredError sqref="V10" formulaRange="1"/>
  </ignoredError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2:L292"/>
  <sheetViews>
    <sheetView tabSelected="1" topLeftCell="A180" zoomScale="80" zoomScaleNormal="80" workbookViewId="0">
      <selection activeCell="K17" sqref="K17"/>
    </sheetView>
  </sheetViews>
  <sheetFormatPr defaultColWidth="8.6640625" defaultRowHeight="15.6" x14ac:dyDescent="0.3"/>
  <cols>
    <col min="1" max="1" width="5.33203125" style="4" customWidth="1"/>
    <col min="2" max="2" width="55.44140625" style="32" customWidth="1"/>
    <col min="3" max="5" width="15.5546875" style="32" customWidth="1"/>
    <col min="6" max="6" width="1.5546875" style="32" customWidth="1"/>
    <col min="7" max="7" width="16.6640625" style="32" customWidth="1"/>
    <col min="8" max="8" width="1.5546875" style="32" customWidth="1"/>
    <col min="9" max="9" width="38.6640625" style="259" customWidth="1"/>
    <col min="10" max="10" width="5.33203125" style="32" customWidth="1"/>
    <col min="11" max="11" width="16.33203125" style="32" bestFit="1" customWidth="1"/>
    <col min="12" max="12" width="10.44140625" style="32" bestFit="1" customWidth="1"/>
    <col min="13" max="16384" width="8.6640625" style="32"/>
  </cols>
  <sheetData>
    <row r="2" spans="1:10" x14ac:dyDescent="0.3">
      <c r="B2" s="1222" t="s">
        <v>0</v>
      </c>
      <c r="C2" s="1222"/>
      <c r="D2" s="1222"/>
      <c r="E2" s="1222"/>
      <c r="F2" s="1222"/>
      <c r="G2" s="1222"/>
      <c r="H2" s="1222"/>
      <c r="I2" s="1222"/>
      <c r="J2" s="4"/>
    </row>
    <row r="3" spans="1:10" x14ac:dyDescent="0.3">
      <c r="B3" s="1222" t="s">
        <v>1020</v>
      </c>
      <c r="C3" s="1222"/>
      <c r="D3" s="1222"/>
      <c r="E3" s="1222"/>
      <c r="F3" s="1222"/>
      <c r="G3" s="1222"/>
      <c r="H3" s="1222"/>
      <c r="I3" s="1222"/>
      <c r="J3" s="4"/>
    </row>
    <row r="4" spans="1:10" x14ac:dyDescent="0.3">
      <c r="B4" s="1222" t="s">
        <v>1021</v>
      </c>
      <c r="C4" s="1222"/>
      <c r="D4" s="1222"/>
      <c r="E4" s="1222"/>
      <c r="F4" s="1222"/>
      <c r="G4" s="1222"/>
      <c r="H4" s="1222"/>
      <c r="I4" s="1222"/>
      <c r="J4" s="4"/>
    </row>
    <row r="5" spans="1:10" x14ac:dyDescent="0.3">
      <c r="B5" s="1227" t="str">
        <f>'Stmt AD'!B5</f>
        <v>Base Period &amp; True-Up Period 12 - Months Ending December 31, 2023</v>
      </c>
      <c r="C5" s="1227"/>
      <c r="D5" s="1227"/>
      <c r="E5" s="1227"/>
      <c r="F5" s="1227"/>
      <c r="G5" s="1227"/>
      <c r="H5" s="1227"/>
      <c r="I5" s="1227"/>
      <c r="J5" s="4"/>
    </row>
    <row r="6" spans="1:10" x14ac:dyDescent="0.3">
      <c r="B6" s="1226" t="s">
        <v>4</v>
      </c>
      <c r="C6" s="1223"/>
      <c r="D6" s="1223"/>
      <c r="E6" s="1223"/>
      <c r="F6" s="1223"/>
      <c r="G6" s="1223"/>
      <c r="H6" s="1223"/>
      <c r="I6" s="1223"/>
      <c r="J6" s="4"/>
    </row>
    <row r="7" spans="1:10" x14ac:dyDescent="0.3">
      <c r="B7" s="4"/>
      <c r="C7" s="4"/>
      <c r="D7" s="4"/>
      <c r="E7" s="4"/>
      <c r="F7" s="4"/>
      <c r="G7" s="4"/>
      <c r="H7" s="4"/>
      <c r="I7" s="92"/>
      <c r="J7" s="4"/>
    </row>
    <row r="8" spans="1:10" x14ac:dyDescent="0.3">
      <c r="A8" s="4" t="s">
        <v>5</v>
      </c>
      <c r="B8" s="221"/>
      <c r="C8" s="221"/>
      <c r="D8" s="221"/>
      <c r="E8" s="4" t="s">
        <v>236</v>
      </c>
      <c r="F8" s="221"/>
      <c r="G8" s="221"/>
      <c r="H8" s="221"/>
      <c r="I8" s="92"/>
      <c r="J8" s="4" t="s">
        <v>5</v>
      </c>
    </row>
    <row r="9" spans="1:10" x14ac:dyDescent="0.3">
      <c r="A9" s="4" t="s">
        <v>6</v>
      </c>
      <c r="B9" s="4"/>
      <c r="C9" s="4"/>
      <c r="D9" s="4"/>
      <c r="E9" s="852" t="s">
        <v>238</v>
      </c>
      <c r="F9" s="4"/>
      <c r="G9" s="853" t="s">
        <v>7</v>
      </c>
      <c r="H9" s="221"/>
      <c r="I9" s="854" t="s">
        <v>8</v>
      </c>
      <c r="J9" s="4" t="s">
        <v>6</v>
      </c>
    </row>
    <row r="10" spans="1:10" x14ac:dyDescent="0.3">
      <c r="B10" s="4"/>
      <c r="C10" s="4"/>
      <c r="D10" s="4"/>
      <c r="E10" s="4"/>
      <c r="F10" s="4"/>
      <c r="G10" s="4"/>
      <c r="H10" s="4"/>
      <c r="I10" s="92"/>
      <c r="J10" s="4"/>
    </row>
    <row r="11" spans="1:10" x14ac:dyDescent="0.3">
      <c r="A11" s="4">
        <v>1</v>
      </c>
      <c r="B11" s="254" t="s">
        <v>1022</v>
      </c>
      <c r="I11" s="92"/>
      <c r="J11" s="4">
        <f>A11</f>
        <v>1</v>
      </c>
    </row>
    <row r="12" spans="1:10" x14ac:dyDescent="0.3">
      <c r="A12" s="4">
        <f>A11+1</f>
        <v>2</v>
      </c>
      <c r="B12" s="32" t="s">
        <v>1023</v>
      </c>
      <c r="E12" s="4" t="s">
        <v>1024</v>
      </c>
      <c r="G12" s="41">
        <v>8350000</v>
      </c>
      <c r="H12" s="221"/>
      <c r="I12" s="466"/>
      <c r="J12" s="4">
        <f>J11+1</f>
        <v>2</v>
      </c>
    </row>
    <row r="13" spans="1:10" x14ac:dyDescent="0.3">
      <c r="A13" s="4">
        <f t="shared" ref="A13:A92" si="0">A12+1</f>
        <v>3</v>
      </c>
      <c r="B13" s="32" t="s">
        <v>1025</v>
      </c>
      <c r="E13" s="4" t="s">
        <v>1026</v>
      </c>
      <c r="G13" s="43">
        <v>0</v>
      </c>
      <c r="H13" s="221"/>
      <c r="I13" s="466"/>
      <c r="J13" s="4">
        <f t="shared" ref="J13:J92" si="1">J12+1</f>
        <v>3</v>
      </c>
    </row>
    <row r="14" spans="1:10" x14ac:dyDescent="0.3">
      <c r="A14" s="4">
        <f t="shared" si="0"/>
        <v>4</v>
      </c>
      <c r="B14" s="32" t="s">
        <v>1027</v>
      </c>
      <c r="E14" s="4" t="s">
        <v>1028</v>
      </c>
      <c r="G14" s="43">
        <v>400000</v>
      </c>
      <c r="H14" s="221"/>
      <c r="I14" s="466"/>
      <c r="J14" s="4">
        <f t="shared" si="1"/>
        <v>4</v>
      </c>
    </row>
    <row r="15" spans="1:10" x14ac:dyDescent="0.3">
      <c r="A15" s="4">
        <f t="shared" si="0"/>
        <v>5</v>
      </c>
      <c r="B15" s="32" t="s">
        <v>1029</v>
      </c>
      <c r="E15" s="4" t="s">
        <v>1030</v>
      </c>
      <c r="G15" s="43">
        <v>0</v>
      </c>
      <c r="H15" s="221"/>
      <c r="I15" s="466"/>
      <c r="J15" s="4">
        <f t="shared" si="1"/>
        <v>5</v>
      </c>
    </row>
    <row r="16" spans="1:10" x14ac:dyDescent="0.3">
      <c r="A16" s="4">
        <f t="shared" si="0"/>
        <v>6</v>
      </c>
      <c r="B16" s="32" t="s">
        <v>1031</v>
      </c>
      <c r="E16" s="4" t="s">
        <v>1032</v>
      </c>
      <c r="G16" s="912">
        <v>-29212.842000000001</v>
      </c>
      <c r="H16" s="221"/>
      <c r="I16" s="466"/>
      <c r="J16" s="4">
        <f t="shared" si="1"/>
        <v>6</v>
      </c>
    </row>
    <row r="17" spans="1:11" x14ac:dyDescent="0.3">
      <c r="A17" s="4">
        <f t="shared" si="0"/>
        <v>7</v>
      </c>
      <c r="B17" s="32" t="s">
        <v>1033</v>
      </c>
      <c r="G17" s="1130">
        <f>SUM(G12:G16)</f>
        <v>8720787.1579999998</v>
      </c>
      <c r="H17" s="36"/>
      <c r="I17" s="92" t="s">
        <v>454</v>
      </c>
      <c r="J17" s="4">
        <f t="shared" si="1"/>
        <v>7</v>
      </c>
      <c r="K17" s="36"/>
    </row>
    <row r="18" spans="1:11" x14ac:dyDescent="0.3">
      <c r="A18" s="4">
        <f t="shared" si="0"/>
        <v>8</v>
      </c>
      <c r="I18" s="92"/>
      <c r="J18" s="4">
        <f t="shared" si="1"/>
        <v>8</v>
      </c>
    </row>
    <row r="19" spans="1:11" x14ac:dyDescent="0.3">
      <c r="A19" s="4">
        <f t="shared" si="0"/>
        <v>9</v>
      </c>
      <c r="B19" s="254" t="s">
        <v>1034</v>
      </c>
      <c r="G19" s="6"/>
      <c r="H19" s="6"/>
      <c r="I19" s="92"/>
      <c r="J19" s="4">
        <f t="shared" si="1"/>
        <v>9</v>
      </c>
    </row>
    <row r="20" spans="1:11" x14ac:dyDescent="0.3">
      <c r="A20" s="4">
        <f t="shared" si="0"/>
        <v>10</v>
      </c>
      <c r="B20" s="32" t="s">
        <v>1035</v>
      </c>
      <c r="E20" s="4" t="s">
        <v>1036</v>
      </c>
      <c r="G20" s="41">
        <v>340601.527</v>
      </c>
      <c r="H20" s="221"/>
      <c r="I20" s="466"/>
      <c r="J20" s="4">
        <f t="shared" si="1"/>
        <v>10</v>
      </c>
    </row>
    <row r="21" spans="1:11" x14ac:dyDescent="0.3">
      <c r="A21" s="4">
        <f t="shared" si="0"/>
        <v>11</v>
      </c>
      <c r="B21" s="32" t="s">
        <v>1037</v>
      </c>
      <c r="E21" s="4" t="s">
        <v>1038</v>
      </c>
      <c r="G21" s="43">
        <v>6103.5349999999999</v>
      </c>
      <c r="H21" s="221"/>
      <c r="I21" s="466"/>
      <c r="J21" s="4">
        <f t="shared" si="1"/>
        <v>11</v>
      </c>
    </row>
    <row r="22" spans="1:11" x14ac:dyDescent="0.3">
      <c r="A22" s="4">
        <f t="shared" si="0"/>
        <v>12</v>
      </c>
      <c r="B22" s="32" t="s">
        <v>1039</v>
      </c>
      <c r="E22" s="4" t="s">
        <v>1040</v>
      </c>
      <c r="G22" s="43">
        <v>689.16499999999996</v>
      </c>
      <c r="H22" s="221"/>
      <c r="I22" s="466"/>
      <c r="J22" s="4">
        <f t="shared" si="1"/>
        <v>12</v>
      </c>
    </row>
    <row r="23" spans="1:11" x14ac:dyDescent="0.3">
      <c r="A23" s="4">
        <f t="shared" si="0"/>
        <v>13</v>
      </c>
      <c r="B23" s="32" t="s">
        <v>1041</v>
      </c>
      <c r="E23" s="4" t="s">
        <v>1042</v>
      </c>
      <c r="G23" s="43">
        <v>0</v>
      </c>
      <c r="H23" s="221"/>
      <c r="I23" s="466"/>
      <c r="J23" s="4">
        <f t="shared" si="1"/>
        <v>13</v>
      </c>
    </row>
    <row r="24" spans="1:11" x14ac:dyDescent="0.3">
      <c r="A24" s="4">
        <f t="shared" si="0"/>
        <v>14</v>
      </c>
      <c r="B24" s="32" t="s">
        <v>1043</v>
      </c>
      <c r="E24" s="4" t="s">
        <v>1044</v>
      </c>
      <c r="G24" s="912">
        <v>0</v>
      </c>
      <c r="H24" s="221"/>
      <c r="I24" s="466"/>
      <c r="J24" s="4">
        <f t="shared" si="1"/>
        <v>14</v>
      </c>
    </row>
    <row r="25" spans="1:11" x14ac:dyDescent="0.3">
      <c r="A25" s="4">
        <f t="shared" si="0"/>
        <v>15</v>
      </c>
      <c r="B25" s="32" t="s">
        <v>1045</v>
      </c>
      <c r="G25" s="1062">
        <f>SUM(G20:G24)</f>
        <v>347394.22699999996</v>
      </c>
      <c r="H25" s="49"/>
      <c r="I25" s="92" t="s">
        <v>1046</v>
      </c>
      <c r="J25" s="4">
        <f t="shared" si="1"/>
        <v>15</v>
      </c>
    </row>
    <row r="26" spans="1:11" x14ac:dyDescent="0.3">
      <c r="A26" s="4">
        <f t="shared" si="0"/>
        <v>16</v>
      </c>
      <c r="I26" s="92"/>
      <c r="J26" s="4">
        <f t="shared" si="1"/>
        <v>16</v>
      </c>
    </row>
    <row r="27" spans="1:11" ht="16.2" thickBot="1" x14ac:dyDescent="0.35">
      <c r="A27" s="4">
        <f t="shared" si="0"/>
        <v>17</v>
      </c>
      <c r="B27" s="254" t="s">
        <v>1047</v>
      </c>
      <c r="G27" s="52">
        <f>IFERROR(G25/G17,0)</f>
        <v>3.9835191560812083E-2</v>
      </c>
      <c r="H27" s="27"/>
      <c r="I27" s="92" t="s">
        <v>1048</v>
      </c>
      <c r="J27" s="4">
        <f t="shared" si="1"/>
        <v>17</v>
      </c>
    </row>
    <row r="28" spans="1:11" ht="16.2" thickTop="1" x14ac:dyDescent="0.3">
      <c r="A28" s="4">
        <f t="shared" si="0"/>
        <v>18</v>
      </c>
      <c r="I28" s="92"/>
      <c r="J28" s="4">
        <f t="shared" si="1"/>
        <v>18</v>
      </c>
    </row>
    <row r="29" spans="1:11" x14ac:dyDescent="0.3">
      <c r="A29" s="4">
        <f t="shared" si="0"/>
        <v>19</v>
      </c>
      <c r="B29" s="254" t="s">
        <v>1049</v>
      </c>
      <c r="I29" s="92"/>
      <c r="J29" s="4">
        <f t="shared" si="1"/>
        <v>19</v>
      </c>
    </row>
    <row r="30" spans="1:11" x14ac:dyDescent="0.3">
      <c r="A30" s="4">
        <f t="shared" si="0"/>
        <v>20</v>
      </c>
      <c r="B30" s="32" t="s">
        <v>1050</v>
      </c>
      <c r="E30" s="4" t="s">
        <v>1051</v>
      </c>
      <c r="G30" s="41">
        <v>0</v>
      </c>
      <c r="H30" s="221"/>
      <c r="I30" s="466"/>
      <c r="J30" s="4">
        <f t="shared" si="1"/>
        <v>20</v>
      </c>
    </row>
    <row r="31" spans="1:11" x14ac:dyDescent="0.3">
      <c r="A31" s="4">
        <f t="shared" si="0"/>
        <v>21</v>
      </c>
      <c r="B31" s="32" t="s">
        <v>1052</v>
      </c>
      <c r="E31" s="4" t="s">
        <v>1053</v>
      </c>
      <c r="G31" s="1124">
        <v>0</v>
      </c>
      <c r="H31" s="221"/>
      <c r="I31" s="466"/>
      <c r="J31" s="4">
        <f t="shared" si="1"/>
        <v>21</v>
      </c>
    </row>
    <row r="32" spans="1:11" ht="16.2" thickBot="1" x14ac:dyDescent="0.35">
      <c r="A32" s="4">
        <f t="shared" si="0"/>
        <v>22</v>
      </c>
      <c r="B32" s="32" t="s">
        <v>1054</v>
      </c>
      <c r="G32" s="52">
        <f>IFERROR((G31/G30),0)</f>
        <v>0</v>
      </c>
      <c r="H32" s="27"/>
      <c r="I32" s="92" t="s">
        <v>1055</v>
      </c>
      <c r="J32" s="4">
        <f t="shared" si="1"/>
        <v>22</v>
      </c>
    </row>
    <row r="33" spans="1:12" ht="16.2" thickTop="1" x14ac:dyDescent="0.3">
      <c r="A33" s="4">
        <f t="shared" si="0"/>
        <v>23</v>
      </c>
      <c r="I33" s="92"/>
      <c r="J33" s="4">
        <f t="shared" si="1"/>
        <v>23</v>
      </c>
    </row>
    <row r="34" spans="1:12" x14ac:dyDescent="0.3">
      <c r="A34" s="4">
        <f t="shared" si="0"/>
        <v>24</v>
      </c>
      <c r="B34" s="254" t="s">
        <v>1056</v>
      </c>
      <c r="I34" s="92"/>
      <c r="J34" s="4">
        <f t="shared" si="1"/>
        <v>24</v>
      </c>
    </row>
    <row r="35" spans="1:12" x14ac:dyDescent="0.3">
      <c r="A35" s="4">
        <f t="shared" si="0"/>
        <v>25</v>
      </c>
      <c r="B35" s="32" t="s">
        <v>1057</v>
      </c>
      <c r="E35" s="4" t="s">
        <v>1058</v>
      </c>
      <c r="G35" s="41">
        <v>9901206.2530000005</v>
      </c>
      <c r="H35" s="221"/>
      <c r="I35" s="466"/>
      <c r="J35" s="4">
        <f t="shared" si="1"/>
        <v>25</v>
      </c>
      <c r="K35" s="36"/>
    </row>
    <row r="36" spans="1:12" x14ac:dyDescent="0.3">
      <c r="A36" s="4">
        <f t="shared" si="0"/>
        <v>26</v>
      </c>
      <c r="B36" s="32" t="s">
        <v>1840</v>
      </c>
      <c r="E36" s="4"/>
      <c r="G36" s="1118">
        <v>325152.24</v>
      </c>
      <c r="H36" s="221"/>
      <c r="I36" s="45" t="s">
        <v>289</v>
      </c>
      <c r="J36" s="4">
        <f t="shared" si="1"/>
        <v>26</v>
      </c>
      <c r="K36" s="36"/>
    </row>
    <row r="37" spans="1:12" x14ac:dyDescent="0.3">
      <c r="A37" s="4">
        <f t="shared" si="0"/>
        <v>27</v>
      </c>
      <c r="B37" s="32" t="s">
        <v>1841</v>
      </c>
      <c r="E37" s="4"/>
      <c r="G37" s="1118">
        <f>351000*(1-0.407)</f>
        <v>208143</v>
      </c>
      <c r="H37" s="221"/>
      <c r="I37" s="45" t="s">
        <v>289</v>
      </c>
      <c r="J37" s="4">
        <f t="shared" si="1"/>
        <v>27</v>
      </c>
      <c r="K37" s="36"/>
    </row>
    <row r="38" spans="1:12" x14ac:dyDescent="0.3">
      <c r="A38" s="4">
        <f t="shared" si="0"/>
        <v>28</v>
      </c>
      <c r="B38" s="32" t="s">
        <v>1059</v>
      </c>
      <c r="E38" s="4" t="s">
        <v>1051</v>
      </c>
      <c r="G38" s="39">
        <f>-G30</f>
        <v>0</v>
      </c>
      <c r="H38" s="39"/>
      <c r="I38" s="92" t="s">
        <v>1060</v>
      </c>
      <c r="J38" s="4">
        <f t="shared" si="1"/>
        <v>28</v>
      </c>
    </row>
    <row r="39" spans="1:12" x14ac:dyDescent="0.3">
      <c r="A39" s="4">
        <f t="shared" si="0"/>
        <v>29</v>
      </c>
      <c r="B39" s="32" t="s">
        <v>1061</v>
      </c>
      <c r="E39" s="4" t="s">
        <v>1062</v>
      </c>
      <c r="G39" s="43">
        <v>0</v>
      </c>
      <c r="H39" s="221"/>
      <c r="I39" s="466"/>
      <c r="J39" s="4">
        <f t="shared" si="1"/>
        <v>29</v>
      </c>
    </row>
    <row r="40" spans="1:12" x14ac:dyDescent="0.3">
      <c r="A40" s="4">
        <f t="shared" si="0"/>
        <v>30</v>
      </c>
      <c r="B40" s="32" t="s">
        <v>1063</v>
      </c>
      <c r="E40" s="4" t="s">
        <v>1064</v>
      </c>
      <c r="G40" s="43">
        <v>8347.9140000000007</v>
      </c>
      <c r="H40" s="221"/>
      <c r="I40" s="466"/>
      <c r="J40" s="4">
        <f t="shared" si="1"/>
        <v>30</v>
      </c>
      <c r="L40" s="258"/>
    </row>
    <row r="41" spans="1:12" ht="16.2" thickBot="1" x14ac:dyDescent="0.35">
      <c r="A41" s="4">
        <f t="shared" si="0"/>
        <v>31</v>
      </c>
      <c r="B41" s="32" t="s">
        <v>1065</v>
      </c>
      <c r="G41" s="97">
        <f>SUM(G35:G40)</f>
        <v>10442849.407000002</v>
      </c>
      <c r="H41" s="36"/>
      <c r="I41" s="92" t="s">
        <v>1851</v>
      </c>
      <c r="J41" s="4">
        <f t="shared" si="1"/>
        <v>31</v>
      </c>
      <c r="K41" s="36"/>
    </row>
    <row r="42" spans="1:12" ht="16.8" thickTop="1" thickBot="1" x14ac:dyDescent="0.35">
      <c r="A42" s="865">
        <f t="shared" si="0"/>
        <v>32</v>
      </c>
      <c r="B42" s="866"/>
      <c r="C42" s="866"/>
      <c r="D42" s="866"/>
      <c r="E42" s="866"/>
      <c r="F42" s="866"/>
      <c r="G42" s="866"/>
      <c r="H42" s="866"/>
      <c r="I42" s="867"/>
      <c r="J42" s="865">
        <f t="shared" si="1"/>
        <v>32</v>
      </c>
      <c r="K42" s="36"/>
    </row>
    <row r="43" spans="1:12" x14ac:dyDescent="0.3">
      <c r="A43" s="4">
        <f>A42+1</f>
        <v>33</v>
      </c>
      <c r="I43" s="92"/>
      <c r="J43" s="4">
        <f>J42+1</f>
        <v>33</v>
      </c>
    </row>
    <row r="44" spans="1:12" ht="16.2" thickBot="1" x14ac:dyDescent="0.35">
      <c r="A44" s="4">
        <f>A43+1</f>
        <v>34</v>
      </c>
      <c r="B44" s="254" t="s">
        <v>1393</v>
      </c>
      <c r="G44" s="135">
        <v>0.11749999999999999</v>
      </c>
      <c r="H44" s="221"/>
      <c r="I44" s="361"/>
      <c r="J44" s="4">
        <f>J43+1</f>
        <v>34</v>
      </c>
    </row>
    <row r="45" spans="1:12" ht="16.2" thickTop="1" x14ac:dyDescent="0.3">
      <c r="A45" s="4">
        <f t="shared" si="0"/>
        <v>35</v>
      </c>
      <c r="C45" s="35" t="s">
        <v>210</v>
      </c>
      <c r="D45" s="35" t="s">
        <v>211</v>
      </c>
      <c r="E45" s="35" t="s">
        <v>212</v>
      </c>
      <c r="F45" s="35"/>
      <c r="G45" s="35" t="s">
        <v>1066</v>
      </c>
      <c r="H45" s="35"/>
      <c r="I45" s="92"/>
      <c r="J45" s="4">
        <f t="shared" si="1"/>
        <v>35</v>
      </c>
    </row>
    <row r="46" spans="1:12" x14ac:dyDescent="0.3">
      <c r="A46" s="4">
        <f t="shared" si="0"/>
        <v>36</v>
      </c>
      <c r="D46" s="4" t="s">
        <v>1067</v>
      </c>
      <c r="E46" s="4" t="s">
        <v>1068</v>
      </c>
      <c r="F46" s="4"/>
      <c r="G46" s="4" t="s">
        <v>1069</v>
      </c>
      <c r="H46" s="4"/>
      <c r="I46" s="92"/>
      <c r="J46" s="4">
        <f t="shared" si="1"/>
        <v>36</v>
      </c>
    </row>
    <row r="47" spans="1:12" ht="18" x14ac:dyDescent="0.3">
      <c r="A47" s="4">
        <f t="shared" si="0"/>
        <v>37</v>
      </c>
      <c r="B47" s="254" t="s">
        <v>1070</v>
      </c>
      <c r="C47" s="852" t="s">
        <v>1071</v>
      </c>
      <c r="D47" s="852" t="s">
        <v>1072</v>
      </c>
      <c r="E47" s="852" t="s">
        <v>1073</v>
      </c>
      <c r="F47" s="852"/>
      <c r="G47" s="852" t="s">
        <v>1074</v>
      </c>
      <c r="H47" s="4"/>
      <c r="I47" s="92"/>
      <c r="J47" s="4">
        <f t="shared" si="1"/>
        <v>37</v>
      </c>
    </row>
    <row r="48" spans="1:12" x14ac:dyDescent="0.3">
      <c r="A48" s="4">
        <f t="shared" si="0"/>
        <v>38</v>
      </c>
      <c r="I48" s="92"/>
      <c r="J48" s="4">
        <f t="shared" si="1"/>
        <v>38</v>
      </c>
    </row>
    <row r="49" spans="1:10" x14ac:dyDescent="0.3">
      <c r="A49" s="4">
        <f t="shared" si="0"/>
        <v>39</v>
      </c>
      <c r="B49" s="32" t="s">
        <v>1075</v>
      </c>
      <c r="C49" s="36">
        <f>G17</f>
        <v>8720787.1579999998</v>
      </c>
      <c r="D49" s="27">
        <f>IFERROR(C49/C$52,0)</f>
        <v>0.45506953382362891</v>
      </c>
      <c r="E49" s="136">
        <f>G27</f>
        <v>3.9835191560812083E-2</v>
      </c>
      <c r="G49" s="27">
        <f>D49*E49</f>
        <v>1.8127782053353712E-2</v>
      </c>
      <c r="H49" s="27"/>
      <c r="I49" s="92" t="s">
        <v>1076</v>
      </c>
      <c r="J49" s="4">
        <f t="shared" si="1"/>
        <v>39</v>
      </c>
    </row>
    <row r="50" spans="1:10" x14ac:dyDescent="0.3">
      <c r="A50" s="4">
        <f t="shared" si="0"/>
        <v>40</v>
      </c>
      <c r="B50" s="32" t="s">
        <v>1077</v>
      </c>
      <c r="C50" s="6">
        <f>G30</f>
        <v>0</v>
      </c>
      <c r="D50" s="27">
        <f>IFERROR(C50/C$52,0)</f>
        <v>0</v>
      </c>
      <c r="E50" s="136">
        <f>G32</f>
        <v>0</v>
      </c>
      <c r="G50" s="27">
        <f>D50*E50</f>
        <v>0</v>
      </c>
      <c r="H50" s="27"/>
      <c r="I50" s="92" t="s">
        <v>1078</v>
      </c>
      <c r="J50" s="4">
        <f t="shared" si="1"/>
        <v>40</v>
      </c>
    </row>
    <row r="51" spans="1:10" x14ac:dyDescent="0.3">
      <c r="A51" s="4">
        <f t="shared" si="0"/>
        <v>41</v>
      </c>
      <c r="B51" s="32" t="s">
        <v>1079</v>
      </c>
      <c r="C51" s="6">
        <f>G41</f>
        <v>10442849.407000002</v>
      </c>
      <c r="D51" s="1063">
        <f>IFERROR(C51/C$52,0)</f>
        <v>0.54493046617637109</v>
      </c>
      <c r="E51" s="1207">
        <f>G44</f>
        <v>0.11749999999999999</v>
      </c>
      <c r="G51" s="1063">
        <f>D51*E51</f>
        <v>6.4029329775723592E-2</v>
      </c>
      <c r="H51" s="27"/>
      <c r="I51" s="92" t="s">
        <v>1853</v>
      </c>
      <c r="J51" s="4">
        <f t="shared" si="1"/>
        <v>41</v>
      </c>
    </row>
    <row r="52" spans="1:10" ht="16.2" thickBot="1" x14ac:dyDescent="0.35">
      <c r="A52" s="4">
        <f t="shared" si="0"/>
        <v>42</v>
      </c>
      <c r="B52" s="32" t="s">
        <v>1081</v>
      </c>
      <c r="C52" s="97">
        <f>SUM(C49:C51)</f>
        <v>19163636.565000001</v>
      </c>
      <c r="D52" s="52">
        <f>SUM(D49:D51)</f>
        <v>1</v>
      </c>
      <c r="G52" s="52">
        <f>SUM(G49:G51)</f>
        <v>8.2157111829077312E-2</v>
      </c>
      <c r="H52" s="27"/>
      <c r="I52" s="92" t="s">
        <v>1854</v>
      </c>
      <c r="J52" s="4">
        <f t="shared" si="1"/>
        <v>42</v>
      </c>
    </row>
    <row r="53" spans="1:10" ht="16.2" thickTop="1" x14ac:dyDescent="0.3">
      <c r="A53" s="4">
        <f t="shared" si="0"/>
        <v>43</v>
      </c>
      <c r="I53" s="92"/>
      <c r="J53" s="4">
        <f t="shared" si="1"/>
        <v>43</v>
      </c>
    </row>
    <row r="54" spans="1:10" ht="16.2" thickBot="1" x14ac:dyDescent="0.35">
      <c r="A54" s="4">
        <f t="shared" si="0"/>
        <v>44</v>
      </c>
      <c r="B54" s="32" t="s">
        <v>1631</v>
      </c>
      <c r="G54" s="52">
        <f>G50+G51</f>
        <v>6.4029329775723592E-2</v>
      </c>
      <c r="H54" s="27"/>
      <c r="I54" s="92" t="s">
        <v>1852</v>
      </c>
      <c r="J54" s="4">
        <f t="shared" si="1"/>
        <v>44</v>
      </c>
    </row>
    <row r="55" spans="1:10" ht="16.8" thickTop="1" thickBot="1" x14ac:dyDescent="0.35">
      <c r="A55" s="865">
        <f t="shared" si="0"/>
        <v>45</v>
      </c>
      <c r="B55" s="866"/>
      <c r="C55" s="866"/>
      <c r="D55" s="866"/>
      <c r="E55" s="866"/>
      <c r="F55" s="866"/>
      <c r="G55" s="1133"/>
      <c r="H55" s="1133"/>
      <c r="I55" s="867"/>
      <c r="J55" s="865">
        <f t="shared" si="1"/>
        <v>45</v>
      </c>
    </row>
    <row r="56" spans="1:10" x14ac:dyDescent="0.3">
      <c r="A56" s="4">
        <f t="shared" si="0"/>
        <v>46</v>
      </c>
      <c r="I56" s="92"/>
      <c r="J56" s="4">
        <f t="shared" si="1"/>
        <v>46</v>
      </c>
    </row>
    <row r="57" spans="1:10" ht="16.2" thickBot="1" x14ac:dyDescent="0.35">
      <c r="A57" s="4">
        <f>A56+1</f>
        <v>47</v>
      </c>
      <c r="B57" s="254" t="s">
        <v>1665</v>
      </c>
      <c r="G57" s="135">
        <v>5.0000000000000001E-3</v>
      </c>
      <c r="I57" s="4"/>
      <c r="J57" s="4">
        <f>J56+1</f>
        <v>47</v>
      </c>
    </row>
    <row r="58" spans="1:10" ht="16.2" thickTop="1" x14ac:dyDescent="0.3">
      <c r="A58" s="4">
        <f t="shared" si="0"/>
        <v>48</v>
      </c>
      <c r="C58" s="35" t="s">
        <v>210</v>
      </c>
      <c r="D58" s="35" t="s">
        <v>211</v>
      </c>
      <c r="E58" s="35" t="s">
        <v>212</v>
      </c>
      <c r="F58" s="35"/>
      <c r="G58" s="35" t="s">
        <v>1066</v>
      </c>
      <c r="I58" s="92"/>
      <c r="J58" s="4">
        <f t="shared" si="1"/>
        <v>48</v>
      </c>
    </row>
    <row r="59" spans="1:10" x14ac:dyDescent="0.3">
      <c r="A59" s="4">
        <f t="shared" si="0"/>
        <v>49</v>
      </c>
      <c r="D59" s="4" t="s">
        <v>1067</v>
      </c>
      <c r="E59" s="4" t="s">
        <v>1068</v>
      </c>
      <c r="F59" s="4"/>
      <c r="G59" s="4" t="s">
        <v>1069</v>
      </c>
      <c r="I59" s="92"/>
      <c r="J59" s="4">
        <f t="shared" si="1"/>
        <v>49</v>
      </c>
    </row>
    <row r="60" spans="1:10" ht="18" x14ac:dyDescent="0.3">
      <c r="A60" s="4">
        <f t="shared" si="0"/>
        <v>50</v>
      </c>
      <c r="B60" s="254" t="s">
        <v>1070</v>
      </c>
      <c r="C60" s="852" t="s">
        <v>1071</v>
      </c>
      <c r="D60" s="852" t="s">
        <v>1072</v>
      </c>
      <c r="E60" s="852" t="s">
        <v>1073</v>
      </c>
      <c r="F60" s="852"/>
      <c r="G60" s="852" t="s">
        <v>1074</v>
      </c>
      <c r="I60" s="92"/>
      <c r="J60" s="4">
        <f t="shared" si="1"/>
        <v>50</v>
      </c>
    </row>
    <row r="61" spans="1:10" x14ac:dyDescent="0.3">
      <c r="A61" s="4">
        <f t="shared" si="0"/>
        <v>51</v>
      </c>
      <c r="I61" s="92"/>
      <c r="J61" s="4">
        <f t="shared" si="1"/>
        <v>51</v>
      </c>
    </row>
    <row r="62" spans="1:10" x14ac:dyDescent="0.3">
      <c r="A62" s="4">
        <f t="shared" si="0"/>
        <v>52</v>
      </c>
      <c r="B62" s="32" t="s">
        <v>1075</v>
      </c>
      <c r="C62" s="36">
        <f>G17</f>
        <v>8720787.1579999998</v>
      </c>
      <c r="D62" s="27">
        <f>IFERROR(C62/C$65,0)</f>
        <v>0.45506953382362891</v>
      </c>
      <c r="E62" s="1141">
        <v>0</v>
      </c>
      <c r="G62" s="27">
        <f>D62*E62</f>
        <v>0</v>
      </c>
      <c r="I62" s="92" t="s">
        <v>1653</v>
      </c>
      <c r="J62" s="4">
        <f t="shared" si="1"/>
        <v>52</v>
      </c>
    </row>
    <row r="63" spans="1:10" x14ac:dyDescent="0.3">
      <c r="A63" s="4">
        <f t="shared" si="0"/>
        <v>53</v>
      </c>
      <c r="B63" s="32" t="s">
        <v>1077</v>
      </c>
      <c r="C63" s="6">
        <f>G30</f>
        <v>0</v>
      </c>
      <c r="D63" s="27">
        <f>IFERROR(C63/C$65,0)</f>
        <v>0</v>
      </c>
      <c r="E63" s="1141">
        <v>0</v>
      </c>
      <c r="G63" s="27">
        <f>D63*E63</f>
        <v>0</v>
      </c>
      <c r="I63" s="92" t="s">
        <v>1653</v>
      </c>
      <c r="J63" s="4">
        <f t="shared" si="1"/>
        <v>53</v>
      </c>
    </row>
    <row r="64" spans="1:10" x14ac:dyDescent="0.3">
      <c r="A64" s="4">
        <f t="shared" si="0"/>
        <v>54</v>
      </c>
      <c r="B64" s="32" t="s">
        <v>1079</v>
      </c>
      <c r="C64" s="6">
        <f>G41</f>
        <v>10442849.407000002</v>
      </c>
      <c r="D64" s="1063">
        <f>IFERROR(C64/C$65,0)</f>
        <v>0.54493046617637109</v>
      </c>
      <c r="E64" s="1207">
        <f>G57</f>
        <v>5.0000000000000001E-3</v>
      </c>
      <c r="G64" s="1063">
        <f>D64*E64</f>
        <v>2.7246523308818555E-3</v>
      </c>
      <c r="I64" s="92" t="s">
        <v>1855</v>
      </c>
      <c r="J64" s="4">
        <f t="shared" si="1"/>
        <v>54</v>
      </c>
    </row>
    <row r="65" spans="1:10" ht="16.2" thickBot="1" x14ac:dyDescent="0.35">
      <c r="A65" s="4">
        <f t="shared" si="0"/>
        <v>55</v>
      </c>
      <c r="B65" s="32" t="s">
        <v>1081</v>
      </c>
      <c r="C65" s="97">
        <f>SUM(C62:C64)</f>
        <v>19163636.565000001</v>
      </c>
      <c r="D65" s="52">
        <f>SUM(D62:D64)</f>
        <v>1</v>
      </c>
      <c r="G65" s="52">
        <f>SUM(G62:G64)</f>
        <v>2.7246523308818555E-3</v>
      </c>
      <c r="I65" s="92" t="s">
        <v>1850</v>
      </c>
      <c r="J65" s="4">
        <f t="shared" si="1"/>
        <v>55</v>
      </c>
    </row>
    <row r="66" spans="1:10" ht="16.2" thickTop="1" x14ac:dyDescent="0.3">
      <c r="A66" s="4">
        <f t="shared" si="0"/>
        <v>56</v>
      </c>
      <c r="I66" s="92"/>
      <c r="J66" s="4">
        <f t="shared" si="1"/>
        <v>56</v>
      </c>
    </row>
    <row r="67" spans="1:10" ht="16.2" thickBot="1" x14ac:dyDescent="0.35">
      <c r="A67" s="4">
        <f t="shared" si="0"/>
        <v>57</v>
      </c>
      <c r="B67" s="254" t="s">
        <v>1668</v>
      </c>
      <c r="G67" s="1208">
        <f>G64</f>
        <v>2.7246523308818555E-3</v>
      </c>
      <c r="I67" s="92" t="s">
        <v>1856</v>
      </c>
      <c r="J67" s="4">
        <f t="shared" si="1"/>
        <v>57</v>
      </c>
    </row>
    <row r="68" spans="1:10" ht="16.2" thickTop="1" x14ac:dyDescent="0.3">
      <c r="B68" s="254"/>
      <c r="G68" s="27"/>
      <c r="I68" s="92"/>
      <c r="J68" s="4"/>
    </row>
    <row r="69" spans="1:10" x14ac:dyDescent="0.3">
      <c r="G69" s="27"/>
      <c r="H69" s="27"/>
      <c r="I69" s="92"/>
      <c r="J69" s="4"/>
    </row>
    <row r="70" spans="1:10" ht="18" x14ac:dyDescent="0.3">
      <c r="A70" s="269">
        <v>1</v>
      </c>
      <c r="B70" s="32" t="s">
        <v>1084</v>
      </c>
      <c r="G70" s="27"/>
      <c r="H70" s="27"/>
      <c r="I70" s="92"/>
      <c r="J70" s="4"/>
    </row>
    <row r="71" spans="1:10" x14ac:dyDescent="0.3">
      <c r="G71" s="27"/>
      <c r="H71" s="27"/>
      <c r="I71" s="92"/>
      <c r="J71" s="4"/>
    </row>
    <row r="72" spans="1:10" x14ac:dyDescent="0.3">
      <c r="G72" s="27"/>
      <c r="H72" s="27"/>
      <c r="I72" s="92"/>
      <c r="J72" s="4"/>
    </row>
    <row r="73" spans="1:10" x14ac:dyDescent="0.3">
      <c r="B73" s="1222" t="s">
        <v>0</v>
      </c>
      <c r="C73" s="1222"/>
      <c r="D73" s="1222"/>
      <c r="E73" s="1222"/>
      <c r="F73" s="1222"/>
      <c r="G73" s="1222"/>
      <c r="H73" s="1222"/>
      <c r="I73" s="1222"/>
      <c r="J73" s="4"/>
    </row>
    <row r="74" spans="1:10" x14ac:dyDescent="0.3">
      <c r="B74" s="1222" t="s">
        <v>1020</v>
      </c>
      <c r="C74" s="1222"/>
      <c r="D74" s="1222"/>
      <c r="E74" s="1222"/>
      <c r="F74" s="1222"/>
      <c r="G74" s="1222"/>
      <c r="H74" s="1222"/>
      <c r="I74" s="1222"/>
      <c r="J74" s="4"/>
    </row>
    <row r="75" spans="1:10" x14ac:dyDescent="0.3">
      <c r="B75" s="1222" t="s">
        <v>1021</v>
      </c>
      <c r="C75" s="1222"/>
      <c r="D75" s="1222"/>
      <c r="E75" s="1222"/>
      <c r="F75" s="1222"/>
      <c r="G75" s="1222"/>
      <c r="H75" s="1222"/>
      <c r="I75" s="1222"/>
      <c r="J75" s="4"/>
    </row>
    <row r="76" spans="1:10" x14ac:dyDescent="0.3">
      <c r="B76" s="1227" t="str">
        <f>B5</f>
        <v>Base Period &amp; True-Up Period 12 - Months Ending December 31, 2023</v>
      </c>
      <c r="C76" s="1227"/>
      <c r="D76" s="1227"/>
      <c r="E76" s="1227"/>
      <c r="F76" s="1227"/>
      <c r="G76" s="1227"/>
      <c r="H76" s="1227"/>
      <c r="I76" s="1227"/>
      <c r="J76" s="4"/>
    </row>
    <row r="77" spans="1:10" x14ac:dyDescent="0.3">
      <c r="B77" s="1226" t="s">
        <v>4</v>
      </c>
      <c r="C77" s="1223"/>
      <c r="D77" s="1223"/>
      <c r="E77" s="1223"/>
      <c r="F77" s="1223"/>
      <c r="G77" s="1223"/>
      <c r="H77" s="1223"/>
      <c r="I77" s="1223"/>
      <c r="J77" s="4"/>
    </row>
    <row r="78" spans="1:10" x14ac:dyDescent="0.3">
      <c r="B78" s="4"/>
      <c r="C78" s="4"/>
      <c r="D78" s="4"/>
      <c r="E78" s="4"/>
      <c r="F78" s="4"/>
      <c r="G78" s="4"/>
      <c r="H78" s="4"/>
      <c r="I78" s="92"/>
      <c r="J78" s="4"/>
    </row>
    <row r="79" spans="1:10" x14ac:dyDescent="0.3">
      <c r="A79" s="4" t="s">
        <v>5</v>
      </c>
      <c r="B79" s="221"/>
      <c r="C79" s="221"/>
      <c r="D79" s="221"/>
      <c r="E79" s="4" t="s">
        <v>236</v>
      </c>
      <c r="F79" s="221"/>
      <c r="G79" s="221"/>
      <c r="H79" s="221"/>
      <c r="I79" s="92"/>
      <c r="J79" s="4" t="s">
        <v>5</v>
      </c>
    </row>
    <row r="80" spans="1:10" x14ac:dyDescent="0.3">
      <c r="A80" s="4" t="s">
        <v>6</v>
      </c>
      <c r="B80" s="4"/>
      <c r="C80" s="4"/>
      <c r="D80" s="4"/>
      <c r="E80" s="852" t="s">
        <v>238</v>
      </c>
      <c r="F80" s="4"/>
      <c r="G80" s="853" t="s">
        <v>7</v>
      </c>
      <c r="H80" s="221"/>
      <c r="I80" s="854" t="s">
        <v>8</v>
      </c>
      <c r="J80" s="4" t="s">
        <v>6</v>
      </c>
    </row>
    <row r="81" spans="1:10" x14ac:dyDescent="0.3">
      <c r="G81" s="27"/>
      <c r="H81" s="27"/>
      <c r="I81" s="92"/>
      <c r="J81" s="4"/>
    </row>
    <row r="82" spans="1:10" ht="18.600000000000001" thickBot="1" x14ac:dyDescent="0.35">
      <c r="A82" s="4">
        <v>1</v>
      </c>
      <c r="B82" s="254" t="s">
        <v>1658</v>
      </c>
      <c r="G82" s="135">
        <v>0</v>
      </c>
      <c r="H82" s="221"/>
      <c r="I82" s="424"/>
      <c r="J82" s="4">
        <v>1</v>
      </c>
    </row>
    <row r="83" spans="1:10" ht="16.2" thickTop="1" x14ac:dyDescent="0.3">
      <c r="A83" s="4">
        <f t="shared" si="0"/>
        <v>2</v>
      </c>
      <c r="C83" s="35" t="s">
        <v>210</v>
      </c>
      <c r="D83" s="35" t="s">
        <v>211</v>
      </c>
      <c r="E83" s="35" t="s">
        <v>212</v>
      </c>
      <c r="F83" s="35"/>
      <c r="G83" s="35" t="s">
        <v>1066</v>
      </c>
      <c r="H83" s="35"/>
      <c r="I83" s="92"/>
      <c r="J83" s="4">
        <f t="shared" si="1"/>
        <v>2</v>
      </c>
    </row>
    <row r="84" spans="1:10" x14ac:dyDescent="0.3">
      <c r="A84" s="4">
        <f t="shared" si="0"/>
        <v>3</v>
      </c>
      <c r="D84" s="4" t="s">
        <v>1067</v>
      </c>
      <c r="E84" s="4" t="s">
        <v>1068</v>
      </c>
      <c r="F84" s="4"/>
      <c r="G84" s="4" t="s">
        <v>1069</v>
      </c>
      <c r="H84" s="4"/>
      <c r="I84" s="92"/>
      <c r="J84" s="4">
        <f t="shared" si="1"/>
        <v>3</v>
      </c>
    </row>
    <row r="85" spans="1:10" ht="18" x14ac:dyDescent="0.3">
      <c r="A85" s="4">
        <f t="shared" si="0"/>
        <v>4</v>
      </c>
      <c r="B85" s="254" t="s">
        <v>1085</v>
      </c>
      <c r="C85" s="852" t="s">
        <v>1659</v>
      </c>
      <c r="D85" s="852" t="s">
        <v>1072</v>
      </c>
      <c r="E85" s="852" t="s">
        <v>1073</v>
      </c>
      <c r="F85" s="852"/>
      <c r="G85" s="852" t="s">
        <v>1074</v>
      </c>
      <c r="H85" s="4"/>
      <c r="I85" s="92"/>
      <c r="J85" s="4">
        <f t="shared" si="1"/>
        <v>4</v>
      </c>
    </row>
    <row r="86" spans="1:10" x14ac:dyDescent="0.3">
      <c r="A86" s="4">
        <f t="shared" si="0"/>
        <v>5</v>
      </c>
      <c r="I86" s="92"/>
      <c r="J86" s="4">
        <f t="shared" si="1"/>
        <v>5</v>
      </c>
    </row>
    <row r="87" spans="1:10" x14ac:dyDescent="0.3">
      <c r="A87" s="4">
        <f t="shared" si="0"/>
        <v>6</v>
      </c>
      <c r="B87" s="32" t="s">
        <v>1075</v>
      </c>
      <c r="C87" s="36">
        <f>G17</f>
        <v>8720787.1579999998</v>
      </c>
      <c r="D87" s="27">
        <f>IFERROR(C87/C$90,0)</f>
        <v>0.45506953382362891</v>
      </c>
      <c r="E87" s="136">
        <f>G27</f>
        <v>3.9835191560812083E-2</v>
      </c>
      <c r="G87" s="27">
        <f>D87*E87</f>
        <v>1.8127782053353712E-2</v>
      </c>
      <c r="H87" s="27"/>
      <c r="I87" s="92" t="s">
        <v>1660</v>
      </c>
      <c r="J87" s="4">
        <f t="shared" si="1"/>
        <v>6</v>
      </c>
    </row>
    <row r="88" spans="1:10" x14ac:dyDescent="0.3">
      <c r="A88" s="4">
        <f t="shared" si="0"/>
        <v>7</v>
      </c>
      <c r="B88" s="32" t="s">
        <v>1077</v>
      </c>
      <c r="C88" s="6">
        <f>G30</f>
        <v>0</v>
      </c>
      <c r="D88" s="27">
        <f>IFERROR(C88/C$90,0)</f>
        <v>0</v>
      </c>
      <c r="E88" s="136">
        <f>G32</f>
        <v>0</v>
      </c>
      <c r="G88" s="27">
        <f>D88*E88</f>
        <v>0</v>
      </c>
      <c r="H88" s="27"/>
      <c r="I88" s="92" t="s">
        <v>1661</v>
      </c>
      <c r="J88" s="4">
        <f t="shared" si="1"/>
        <v>7</v>
      </c>
    </row>
    <row r="89" spans="1:10" x14ac:dyDescent="0.3">
      <c r="A89" s="4">
        <f t="shared" si="0"/>
        <v>8</v>
      </c>
      <c r="B89" s="32" t="s">
        <v>1079</v>
      </c>
      <c r="C89" s="6">
        <f>G41</f>
        <v>10442849.407000002</v>
      </c>
      <c r="D89" s="1063">
        <f>IFERROR(C89/C$90,0)</f>
        <v>0.54493046617637109</v>
      </c>
      <c r="E89" s="1207">
        <f>G82</f>
        <v>0</v>
      </c>
      <c r="G89" s="1063">
        <f>D89*E89</f>
        <v>0</v>
      </c>
      <c r="H89" s="27"/>
      <c r="I89" s="92" t="s">
        <v>1662</v>
      </c>
      <c r="J89" s="4">
        <f t="shared" si="1"/>
        <v>8</v>
      </c>
    </row>
    <row r="90" spans="1:10" ht="16.2" thickBot="1" x14ac:dyDescent="0.35">
      <c r="A90" s="4">
        <f t="shared" si="0"/>
        <v>9</v>
      </c>
      <c r="B90" s="32" t="s">
        <v>1081</v>
      </c>
      <c r="C90" s="97">
        <f>SUM(C87:C89)</f>
        <v>19163636.565000001</v>
      </c>
      <c r="D90" s="52">
        <f>SUM(D87:D89)</f>
        <v>1</v>
      </c>
      <c r="G90" s="52">
        <f>SUM(G87:G89)</f>
        <v>1.8127782053353712E-2</v>
      </c>
      <c r="H90" s="27"/>
      <c r="I90" s="92" t="s">
        <v>1663</v>
      </c>
      <c r="J90" s="4">
        <f t="shared" si="1"/>
        <v>9</v>
      </c>
    </row>
    <row r="91" spans="1:10" ht="16.2" thickTop="1" x14ac:dyDescent="0.3">
      <c r="A91" s="4">
        <f t="shared" si="0"/>
        <v>10</v>
      </c>
      <c r="I91" s="92"/>
      <c r="J91" s="4">
        <f t="shared" si="1"/>
        <v>10</v>
      </c>
    </row>
    <row r="92" spans="1:10" ht="16.2" thickBot="1" x14ac:dyDescent="0.35">
      <c r="A92" s="4">
        <f t="shared" si="0"/>
        <v>11</v>
      </c>
      <c r="B92" s="32" t="s">
        <v>1630</v>
      </c>
      <c r="G92" s="52">
        <f>G88+G89</f>
        <v>0</v>
      </c>
      <c r="H92" s="27"/>
      <c r="I92" s="92" t="s">
        <v>1664</v>
      </c>
      <c r="J92" s="4">
        <f t="shared" si="1"/>
        <v>11</v>
      </c>
    </row>
    <row r="93" spans="1:10" ht="16.8" thickTop="1" thickBot="1" x14ac:dyDescent="0.35">
      <c r="A93" s="865">
        <f t="shared" ref="A93:A105" si="2">A92+1</f>
        <v>12</v>
      </c>
      <c r="B93" s="1139"/>
      <c r="C93" s="866"/>
      <c r="D93" s="866"/>
      <c r="E93" s="866"/>
      <c r="F93" s="866"/>
      <c r="G93" s="1133"/>
      <c r="H93" s="1133"/>
      <c r="I93" s="867"/>
      <c r="J93" s="865">
        <f t="shared" ref="J93:J105" si="3">J92+1</f>
        <v>12</v>
      </c>
    </row>
    <row r="94" spans="1:10" x14ac:dyDescent="0.3">
      <c r="A94" s="4">
        <f t="shared" si="2"/>
        <v>13</v>
      </c>
      <c r="I94" s="92"/>
      <c r="J94" s="4">
        <f t="shared" si="3"/>
        <v>13</v>
      </c>
    </row>
    <row r="95" spans="1:10" ht="16.2" thickBot="1" x14ac:dyDescent="0.35">
      <c r="A95" s="4">
        <f t="shared" si="2"/>
        <v>14</v>
      </c>
      <c r="B95" s="254" t="s">
        <v>1665</v>
      </c>
      <c r="G95" s="135">
        <v>0</v>
      </c>
      <c r="I95" s="92"/>
      <c r="J95" s="4">
        <f t="shared" si="3"/>
        <v>14</v>
      </c>
    </row>
    <row r="96" spans="1:10" ht="16.2" thickTop="1" x14ac:dyDescent="0.3">
      <c r="A96" s="4">
        <f t="shared" si="2"/>
        <v>15</v>
      </c>
      <c r="C96" s="35" t="s">
        <v>210</v>
      </c>
      <c r="D96" s="35" t="s">
        <v>211</v>
      </c>
      <c r="E96" s="35" t="s">
        <v>212</v>
      </c>
      <c r="F96" s="35"/>
      <c r="G96" s="35" t="s">
        <v>1066</v>
      </c>
      <c r="I96" s="92"/>
      <c r="J96" s="4">
        <f t="shared" si="3"/>
        <v>15</v>
      </c>
    </row>
    <row r="97" spans="1:10" x14ac:dyDescent="0.3">
      <c r="A97" s="4">
        <f t="shared" si="2"/>
        <v>16</v>
      </c>
      <c r="D97" s="4" t="s">
        <v>1067</v>
      </c>
      <c r="E97" s="4" t="s">
        <v>1068</v>
      </c>
      <c r="F97" s="4"/>
      <c r="G97" s="4" t="s">
        <v>1069</v>
      </c>
      <c r="I97" s="92"/>
      <c r="J97" s="4">
        <f t="shared" si="3"/>
        <v>16</v>
      </c>
    </row>
    <row r="98" spans="1:10" ht="18" x14ac:dyDescent="0.3">
      <c r="A98" s="4">
        <f t="shared" si="2"/>
        <v>17</v>
      </c>
      <c r="B98" s="254" t="s">
        <v>1070</v>
      </c>
      <c r="C98" s="852" t="s">
        <v>1659</v>
      </c>
      <c r="D98" s="852" t="s">
        <v>1072</v>
      </c>
      <c r="E98" s="852" t="s">
        <v>1073</v>
      </c>
      <c r="F98" s="852"/>
      <c r="G98" s="852" t="s">
        <v>1074</v>
      </c>
      <c r="I98" s="92"/>
      <c r="J98" s="4">
        <f t="shared" si="3"/>
        <v>17</v>
      </c>
    </row>
    <row r="99" spans="1:10" x14ac:dyDescent="0.3">
      <c r="A99" s="4">
        <f t="shared" si="2"/>
        <v>18</v>
      </c>
      <c r="I99" s="92"/>
      <c r="J99" s="4">
        <f t="shared" si="3"/>
        <v>18</v>
      </c>
    </row>
    <row r="100" spans="1:10" x14ac:dyDescent="0.3">
      <c r="A100" s="4">
        <f t="shared" si="2"/>
        <v>19</v>
      </c>
      <c r="B100" s="32" t="s">
        <v>1075</v>
      </c>
      <c r="C100" s="36">
        <f>G17</f>
        <v>8720787.1579999998</v>
      </c>
      <c r="D100" s="27">
        <f>IFERROR(C100/C$103,0)</f>
        <v>0.45506953382362891</v>
      </c>
      <c r="E100" s="1141">
        <v>0</v>
      </c>
      <c r="G100" s="27">
        <f>D100*E100</f>
        <v>0</v>
      </c>
      <c r="I100" s="92" t="s">
        <v>1653</v>
      </c>
      <c r="J100" s="4">
        <f t="shared" si="3"/>
        <v>19</v>
      </c>
    </row>
    <row r="101" spans="1:10" x14ac:dyDescent="0.3">
      <c r="A101" s="4">
        <f t="shared" si="2"/>
        <v>20</v>
      </c>
      <c r="B101" s="32" t="s">
        <v>1077</v>
      </c>
      <c r="C101" s="6">
        <f>G30</f>
        <v>0</v>
      </c>
      <c r="D101" s="27">
        <f>IFERROR(C101/C$103,0)</f>
        <v>0</v>
      </c>
      <c r="E101" s="1141">
        <v>0</v>
      </c>
      <c r="G101" s="27">
        <f>D101*E101</f>
        <v>0</v>
      </c>
      <c r="I101" s="92" t="s">
        <v>1653</v>
      </c>
      <c r="J101" s="4">
        <f t="shared" si="3"/>
        <v>20</v>
      </c>
    </row>
    <row r="102" spans="1:10" x14ac:dyDescent="0.3">
      <c r="A102" s="4">
        <f t="shared" si="2"/>
        <v>21</v>
      </c>
      <c r="B102" s="32" t="s">
        <v>1079</v>
      </c>
      <c r="C102" s="6">
        <f>G41</f>
        <v>10442849.407000002</v>
      </c>
      <c r="D102" s="1063">
        <f>IFERROR(C102/C$103,0)</f>
        <v>0.54493046617637109</v>
      </c>
      <c r="E102" s="1207">
        <f>G95</f>
        <v>0</v>
      </c>
      <c r="G102" s="1063">
        <f>D102*E102</f>
        <v>0</v>
      </c>
      <c r="I102" s="92" t="s">
        <v>1667</v>
      </c>
      <c r="J102" s="4">
        <f t="shared" si="3"/>
        <v>21</v>
      </c>
    </row>
    <row r="103" spans="1:10" ht="16.2" thickBot="1" x14ac:dyDescent="0.35">
      <c r="A103" s="4">
        <f t="shared" si="2"/>
        <v>22</v>
      </c>
      <c r="B103" s="32" t="s">
        <v>1081</v>
      </c>
      <c r="C103" s="97">
        <f>SUM(C100:C102)</f>
        <v>19163636.565000001</v>
      </c>
      <c r="D103" s="52">
        <f>SUM(D100:D102)</f>
        <v>1</v>
      </c>
      <c r="G103" s="52">
        <f>SUM(G100:G102)</f>
        <v>0</v>
      </c>
      <c r="I103" s="92" t="s">
        <v>90</v>
      </c>
      <c r="J103" s="4">
        <f t="shared" si="3"/>
        <v>22</v>
      </c>
    </row>
    <row r="104" spans="1:10" ht="16.2" thickTop="1" x14ac:dyDescent="0.3">
      <c r="A104" s="4">
        <f t="shared" si="2"/>
        <v>23</v>
      </c>
      <c r="I104" s="92"/>
      <c r="J104" s="4">
        <f t="shared" si="3"/>
        <v>23</v>
      </c>
    </row>
    <row r="105" spans="1:10" ht="16.2" thickBot="1" x14ac:dyDescent="0.35">
      <c r="A105" s="4">
        <f t="shared" si="2"/>
        <v>24</v>
      </c>
      <c r="B105" s="254" t="s">
        <v>1668</v>
      </c>
      <c r="G105" s="1208">
        <f>G102</f>
        <v>0</v>
      </c>
      <c r="I105" s="92" t="s">
        <v>1669</v>
      </c>
      <c r="J105" s="4">
        <f t="shared" si="3"/>
        <v>24</v>
      </c>
    </row>
    <row r="106" spans="1:10" ht="16.2" thickTop="1" x14ac:dyDescent="0.3">
      <c r="B106" s="254"/>
      <c r="G106" s="27"/>
      <c r="I106" s="92"/>
      <c r="J106" s="4"/>
    </row>
    <row r="107" spans="1:10" x14ac:dyDescent="0.3">
      <c r="B107" s="254"/>
      <c r="G107" s="27"/>
      <c r="I107" s="92"/>
      <c r="J107" s="4"/>
    </row>
    <row r="108" spans="1:10" ht="18" x14ac:dyDescent="0.3">
      <c r="A108" s="269">
        <v>1</v>
      </c>
      <c r="B108" s="32" t="s">
        <v>1670</v>
      </c>
      <c r="G108" s="27"/>
      <c r="I108" s="92"/>
      <c r="J108" s="4"/>
    </row>
    <row r="109" spans="1:10" ht="18" x14ac:dyDescent="0.3">
      <c r="A109" s="269">
        <v>2</v>
      </c>
      <c r="B109" s="32" t="s">
        <v>1084</v>
      </c>
      <c r="G109" s="71"/>
      <c r="H109" s="71"/>
      <c r="J109" s="4" t="s">
        <v>1</v>
      </c>
    </row>
    <row r="110" spans="1:10" ht="18" x14ac:dyDescent="0.3">
      <c r="A110" s="269"/>
      <c r="G110" s="71"/>
      <c r="H110" s="71"/>
      <c r="J110" s="4"/>
    </row>
    <row r="111" spans="1:10" ht="18" x14ac:dyDescent="0.3">
      <c r="A111" s="269"/>
      <c r="G111" s="71"/>
      <c r="H111" s="71"/>
      <c r="J111" s="4"/>
    </row>
    <row r="112" spans="1:10" x14ac:dyDescent="0.3">
      <c r="B112" s="1222" t="s">
        <v>0</v>
      </c>
      <c r="C112" s="1222"/>
      <c r="D112" s="1222"/>
      <c r="E112" s="1222"/>
      <c r="F112" s="1222"/>
      <c r="G112" s="1222"/>
      <c r="H112" s="1222"/>
      <c r="I112" s="1222"/>
      <c r="J112" s="4"/>
    </row>
    <row r="113" spans="1:11" x14ac:dyDescent="0.3">
      <c r="B113" s="1222" t="s">
        <v>1020</v>
      </c>
      <c r="C113" s="1222"/>
      <c r="D113" s="1222"/>
      <c r="E113" s="1222"/>
      <c r="F113" s="1222"/>
      <c r="G113" s="1222"/>
      <c r="H113" s="1222"/>
      <c r="I113" s="1222"/>
      <c r="J113" s="4"/>
    </row>
    <row r="114" spans="1:11" x14ac:dyDescent="0.3">
      <c r="B114" s="1222" t="s">
        <v>1021</v>
      </c>
      <c r="C114" s="1222"/>
      <c r="D114" s="1222"/>
      <c r="E114" s="1222"/>
      <c r="F114" s="1222"/>
      <c r="G114" s="1222"/>
      <c r="H114" s="1222"/>
      <c r="I114" s="1222"/>
      <c r="J114" s="4"/>
    </row>
    <row r="115" spans="1:11" x14ac:dyDescent="0.3">
      <c r="B115" s="1227" t="str">
        <f>B5</f>
        <v>Base Period &amp; True-Up Period 12 - Months Ending December 31, 2023</v>
      </c>
      <c r="C115" s="1227"/>
      <c r="D115" s="1227"/>
      <c r="E115" s="1227"/>
      <c r="F115" s="1227"/>
      <c r="G115" s="1227"/>
      <c r="H115" s="1227"/>
      <c r="I115" s="1227"/>
      <c r="J115" s="4"/>
    </row>
    <row r="116" spans="1:11" x14ac:dyDescent="0.3">
      <c r="B116" s="1226" t="s">
        <v>4</v>
      </c>
      <c r="C116" s="1223"/>
      <c r="D116" s="1223"/>
      <c r="E116" s="1223"/>
      <c r="F116" s="1223"/>
      <c r="G116" s="1223"/>
      <c r="H116" s="1223"/>
      <c r="I116" s="1223"/>
      <c r="J116" s="4"/>
    </row>
    <row r="117" spans="1:11" x14ac:dyDescent="0.3">
      <c r="B117" s="4"/>
      <c r="C117" s="4"/>
      <c r="D117" s="4"/>
      <c r="E117" s="4"/>
      <c r="F117" s="4"/>
      <c r="G117" s="4"/>
      <c r="H117" s="4"/>
      <c r="I117" s="92"/>
      <c r="J117" s="4"/>
    </row>
    <row r="118" spans="1:11" x14ac:dyDescent="0.3">
      <c r="A118" s="4" t="s">
        <v>5</v>
      </c>
      <c r="B118" s="221"/>
      <c r="C118" s="221"/>
      <c r="D118" s="221"/>
      <c r="E118" s="221"/>
      <c r="F118" s="221"/>
      <c r="G118" s="221"/>
      <c r="H118" s="221"/>
      <c r="I118" s="92"/>
      <c r="J118" s="4" t="s">
        <v>5</v>
      </c>
    </row>
    <row r="119" spans="1:11" x14ac:dyDescent="0.3">
      <c r="A119" s="4" t="s">
        <v>6</v>
      </c>
      <c r="B119" s="4"/>
      <c r="C119" s="4"/>
      <c r="D119" s="4"/>
      <c r="E119" s="4"/>
      <c r="F119" s="4"/>
      <c r="G119" s="852" t="s">
        <v>7</v>
      </c>
      <c r="H119" s="221"/>
      <c r="I119" s="854" t="s">
        <v>8</v>
      </c>
      <c r="J119" s="4" t="s">
        <v>6</v>
      </c>
    </row>
    <row r="120" spans="1:11" x14ac:dyDescent="0.3">
      <c r="G120" s="4"/>
      <c r="H120" s="4"/>
      <c r="I120" s="92"/>
      <c r="J120" s="4"/>
    </row>
    <row r="121" spans="1:11" ht="18" x14ac:dyDescent="0.3">
      <c r="A121" s="4">
        <v>1</v>
      </c>
      <c r="B121" s="254" t="s">
        <v>1671</v>
      </c>
      <c r="E121" s="221"/>
      <c r="F121" s="221"/>
      <c r="G121" s="42"/>
      <c r="H121" s="42"/>
      <c r="I121" s="92"/>
      <c r="J121" s="4">
        <v>1</v>
      </c>
    </row>
    <row r="122" spans="1:11" x14ac:dyDescent="0.3">
      <c r="A122" s="4">
        <f>A121+1</f>
        <v>2</v>
      </c>
      <c r="B122" s="34"/>
      <c r="E122" s="221"/>
      <c r="F122" s="221"/>
      <c r="G122" s="42"/>
      <c r="H122" s="42"/>
      <c r="I122" s="92"/>
      <c r="J122" s="4">
        <f>J121+1</f>
        <v>2</v>
      </c>
    </row>
    <row r="123" spans="1:11" x14ac:dyDescent="0.3">
      <c r="A123" s="4">
        <f>A122+1</f>
        <v>3</v>
      </c>
      <c r="B123" s="254" t="s">
        <v>1086</v>
      </c>
      <c r="E123" s="221"/>
      <c r="F123" s="221"/>
      <c r="G123" s="42"/>
      <c r="H123" s="42"/>
      <c r="I123" s="92"/>
      <c r="J123" s="4">
        <f>J122+1</f>
        <v>3</v>
      </c>
    </row>
    <row r="124" spans="1:11" x14ac:dyDescent="0.3">
      <c r="A124" s="4">
        <f>A123+1</f>
        <v>4</v>
      </c>
      <c r="B124" s="221"/>
      <c r="C124" s="221"/>
      <c r="D124" s="221"/>
      <c r="E124" s="221"/>
      <c r="F124" s="221"/>
      <c r="G124" s="42"/>
      <c r="H124" s="42"/>
      <c r="I124" s="92"/>
      <c r="J124" s="4">
        <f>J123+1</f>
        <v>4</v>
      </c>
    </row>
    <row r="125" spans="1:11" x14ac:dyDescent="0.3">
      <c r="A125" s="4">
        <f t="shared" ref="A125:A189" si="4">A124+1</f>
        <v>5</v>
      </c>
      <c r="B125" s="33" t="s">
        <v>1087</v>
      </c>
      <c r="C125" s="221"/>
      <c r="D125" s="221"/>
      <c r="E125" s="221"/>
      <c r="F125" s="221"/>
      <c r="G125" s="42"/>
      <c r="H125" s="42"/>
      <c r="I125" s="467"/>
      <c r="J125" s="4">
        <f t="shared" ref="J125:J189" si="5">J124+1</f>
        <v>5</v>
      </c>
    </row>
    <row r="126" spans="1:11" x14ac:dyDescent="0.3">
      <c r="A126" s="4">
        <f t="shared" si="4"/>
        <v>6</v>
      </c>
      <c r="B126" s="32" t="s">
        <v>1088</v>
      </c>
      <c r="D126" s="221"/>
      <c r="E126" s="221"/>
      <c r="F126" s="221"/>
      <c r="G126" s="136">
        <f>G54</f>
        <v>6.4029329775723592E-2</v>
      </c>
      <c r="H126" s="221"/>
      <c r="I126" s="92" t="s">
        <v>1857</v>
      </c>
      <c r="J126" s="4">
        <f t="shared" si="5"/>
        <v>6</v>
      </c>
      <c r="K126" s="4"/>
    </row>
    <row r="127" spans="1:11" x14ac:dyDescent="0.3">
      <c r="A127" s="4">
        <f t="shared" si="4"/>
        <v>7</v>
      </c>
      <c r="B127" s="32" t="s">
        <v>1089</v>
      </c>
      <c r="D127" s="221"/>
      <c r="E127" s="221"/>
      <c r="F127" s="221"/>
      <c r="G127" s="22">
        <f>-'Stmt AR'!E19</f>
        <v>3917.7441587128469</v>
      </c>
      <c r="H127" s="221"/>
      <c r="I127" s="92" t="s">
        <v>1090</v>
      </c>
      <c r="J127" s="4">
        <f t="shared" si="5"/>
        <v>7</v>
      </c>
      <c r="K127" s="4"/>
    </row>
    <row r="128" spans="1:11" x14ac:dyDescent="0.3">
      <c r="A128" s="4">
        <f t="shared" si="4"/>
        <v>8</v>
      </c>
      <c r="B128" s="32" t="s">
        <v>1091</v>
      </c>
      <c r="D128" s="221"/>
      <c r="E128" s="221"/>
      <c r="F128" s="221"/>
      <c r="G128" s="111">
        <f>'AV-1A'!C29</f>
        <v>11020.262002440008</v>
      </c>
      <c r="H128" s="221"/>
      <c r="I128" s="424" t="s">
        <v>1753</v>
      </c>
      <c r="J128" s="4">
        <f t="shared" si="5"/>
        <v>8</v>
      </c>
      <c r="K128" s="221"/>
    </row>
    <row r="129" spans="1:12" x14ac:dyDescent="0.3">
      <c r="A129" s="4">
        <f t="shared" si="4"/>
        <v>9</v>
      </c>
      <c r="B129" s="32" t="s">
        <v>1092</v>
      </c>
      <c r="D129" s="221"/>
      <c r="E129" s="468"/>
      <c r="F129" s="221"/>
      <c r="G129" s="7">
        <f>'BK-1 Retail TRR'!E137</f>
        <v>5321483.1792480703</v>
      </c>
      <c r="H129" s="221"/>
      <c r="I129" s="92" t="s">
        <v>1093</v>
      </c>
      <c r="J129" s="4">
        <f t="shared" si="5"/>
        <v>9</v>
      </c>
    </row>
    <row r="130" spans="1:12" x14ac:dyDescent="0.3">
      <c r="A130" s="4">
        <f t="shared" si="4"/>
        <v>10</v>
      </c>
      <c r="B130" s="32" t="s">
        <v>1094</v>
      </c>
      <c r="D130" s="48"/>
      <c r="E130" s="221"/>
      <c r="F130" s="221"/>
      <c r="G130" s="1064" t="s">
        <v>1095</v>
      </c>
      <c r="H130" s="221"/>
      <c r="I130" s="92" t="s">
        <v>1096</v>
      </c>
      <c r="J130" s="4">
        <f t="shared" si="5"/>
        <v>10</v>
      </c>
      <c r="L130" s="257"/>
    </row>
    <row r="131" spans="1:12" x14ac:dyDescent="0.3">
      <c r="A131" s="4">
        <f t="shared" si="4"/>
        <v>11</v>
      </c>
      <c r="G131" s="4"/>
      <c r="H131" s="4"/>
      <c r="J131" s="4">
        <f t="shared" si="5"/>
        <v>11</v>
      </c>
    </row>
    <row r="132" spans="1:12" x14ac:dyDescent="0.3">
      <c r="A132" s="4">
        <f t="shared" si="4"/>
        <v>12</v>
      </c>
      <c r="B132" s="32" t="s">
        <v>1097</v>
      </c>
      <c r="D132" s="221"/>
      <c r="E132" s="221"/>
      <c r="F132" s="221"/>
      <c r="G132" s="1065">
        <f>IFERROR((((G126)+(G128/G129))*G130-(G127/G129))/(1-G130),0)</f>
        <v>1.6639032312823585E-2</v>
      </c>
      <c r="H132" s="26"/>
      <c r="I132" s="92" t="s">
        <v>1098</v>
      </c>
      <c r="J132" s="4">
        <f t="shared" si="5"/>
        <v>12</v>
      </c>
      <c r="L132" s="469"/>
    </row>
    <row r="133" spans="1:12" x14ac:dyDescent="0.3">
      <c r="A133" s="4">
        <f t="shared" si="4"/>
        <v>13</v>
      </c>
      <c r="B133" s="252" t="s">
        <v>1099</v>
      </c>
      <c r="G133" s="4"/>
      <c r="H133" s="4"/>
      <c r="J133" s="4">
        <f t="shared" si="5"/>
        <v>13</v>
      </c>
    </row>
    <row r="134" spans="1:12" x14ac:dyDescent="0.3">
      <c r="A134" s="4">
        <f t="shared" si="4"/>
        <v>14</v>
      </c>
      <c r="G134" s="439"/>
      <c r="H134" s="4"/>
      <c r="J134" s="4">
        <f t="shared" si="5"/>
        <v>14</v>
      </c>
    </row>
    <row r="135" spans="1:12" x14ac:dyDescent="0.3">
      <c r="A135" s="4">
        <f t="shared" si="4"/>
        <v>15</v>
      </c>
      <c r="B135" s="254" t="s">
        <v>1100</v>
      </c>
      <c r="C135" s="221"/>
      <c r="D135" s="221"/>
      <c r="E135" s="221"/>
      <c r="F135" s="221"/>
      <c r="G135" s="137"/>
      <c r="H135" s="137"/>
      <c r="I135" s="470"/>
      <c r="J135" s="4">
        <f t="shared" si="5"/>
        <v>15</v>
      </c>
      <c r="K135" s="471"/>
    </row>
    <row r="136" spans="1:12" x14ac:dyDescent="0.3">
      <c r="A136" s="4">
        <f t="shared" si="4"/>
        <v>16</v>
      </c>
      <c r="B136" s="343"/>
      <c r="C136" s="221"/>
      <c r="D136" s="221"/>
      <c r="E136" s="221"/>
      <c r="F136" s="221"/>
      <c r="G136" s="137"/>
      <c r="H136" s="137"/>
      <c r="I136" s="472"/>
      <c r="J136" s="4">
        <f t="shared" si="5"/>
        <v>16</v>
      </c>
      <c r="K136" s="221"/>
    </row>
    <row r="137" spans="1:12" x14ac:dyDescent="0.3">
      <c r="A137" s="4">
        <f t="shared" si="4"/>
        <v>17</v>
      </c>
      <c r="B137" s="33" t="s">
        <v>1087</v>
      </c>
      <c r="C137" s="221"/>
      <c r="D137" s="221"/>
      <c r="E137" s="221"/>
      <c r="F137" s="221"/>
      <c r="G137" s="137"/>
      <c r="H137" s="137"/>
      <c r="I137" s="472"/>
      <c r="J137" s="4">
        <f t="shared" si="5"/>
        <v>17</v>
      </c>
      <c r="K137" s="221"/>
    </row>
    <row r="138" spans="1:12" x14ac:dyDescent="0.3">
      <c r="A138" s="4">
        <f t="shared" si="4"/>
        <v>18</v>
      </c>
      <c r="B138" s="32" t="s">
        <v>1088</v>
      </c>
      <c r="D138" s="221"/>
      <c r="E138" s="221"/>
      <c r="F138" s="221"/>
      <c r="G138" s="136">
        <f>G126</f>
        <v>6.4029329775723592E-2</v>
      </c>
      <c r="H138" s="27"/>
      <c r="I138" s="92" t="s">
        <v>1101</v>
      </c>
      <c r="J138" s="4">
        <f t="shared" si="5"/>
        <v>18</v>
      </c>
      <c r="K138" s="4"/>
    </row>
    <row r="139" spans="1:12" x14ac:dyDescent="0.3">
      <c r="A139" s="4">
        <f t="shared" si="4"/>
        <v>19</v>
      </c>
      <c r="B139" s="32" t="s">
        <v>1102</v>
      </c>
      <c r="D139" s="221"/>
      <c r="E139" s="221"/>
      <c r="F139" s="221"/>
      <c r="G139" s="45">
        <f>-'Stmt AT'!E19</f>
        <v>0</v>
      </c>
      <c r="H139" s="27"/>
      <c r="I139" s="92" t="s">
        <v>1103</v>
      </c>
      <c r="J139" s="4">
        <f t="shared" si="5"/>
        <v>19</v>
      </c>
      <c r="K139" s="4"/>
    </row>
    <row r="140" spans="1:12" x14ac:dyDescent="0.3">
      <c r="A140" s="4">
        <f t="shared" si="4"/>
        <v>20</v>
      </c>
      <c r="B140" s="32" t="s">
        <v>1091</v>
      </c>
      <c r="D140" s="221"/>
      <c r="E140" s="221"/>
      <c r="F140" s="221"/>
      <c r="G140" s="22">
        <f>G128</f>
        <v>11020.262002440008</v>
      </c>
      <c r="H140" s="45"/>
      <c r="I140" s="92" t="s">
        <v>1104</v>
      </c>
      <c r="J140" s="4">
        <f t="shared" si="5"/>
        <v>20</v>
      </c>
      <c r="K140" s="4"/>
    </row>
    <row r="141" spans="1:12" x14ac:dyDescent="0.3">
      <c r="A141" s="4">
        <f t="shared" si="4"/>
        <v>21</v>
      </c>
      <c r="B141" s="32" t="s">
        <v>1092</v>
      </c>
      <c r="D141" s="221"/>
      <c r="E141" s="221"/>
      <c r="F141" s="221"/>
      <c r="G141" s="7">
        <f>G129</f>
        <v>5321483.1792480703</v>
      </c>
      <c r="H141" s="10"/>
      <c r="I141" s="92" t="s">
        <v>1105</v>
      </c>
      <c r="J141" s="4">
        <f t="shared" si="5"/>
        <v>21</v>
      </c>
      <c r="K141" s="4"/>
    </row>
    <row r="142" spans="1:12" x14ac:dyDescent="0.3">
      <c r="A142" s="4">
        <f t="shared" si="4"/>
        <v>22</v>
      </c>
      <c r="B142" s="32" t="s">
        <v>1106</v>
      </c>
      <c r="D142" s="221"/>
      <c r="E142" s="221"/>
      <c r="F142" s="221"/>
      <c r="G142" s="1161">
        <f>G132</f>
        <v>1.6639032312823585E-2</v>
      </c>
      <c r="H142" s="26"/>
      <c r="I142" s="92" t="s">
        <v>1107</v>
      </c>
      <c r="J142" s="4">
        <f t="shared" si="5"/>
        <v>22</v>
      </c>
    </row>
    <row r="143" spans="1:12" x14ac:dyDescent="0.3">
      <c r="A143" s="4">
        <f t="shared" si="4"/>
        <v>23</v>
      </c>
      <c r="B143" s="32" t="s">
        <v>1108</v>
      </c>
      <c r="D143" s="221"/>
      <c r="E143" s="221"/>
      <c r="F143" s="221"/>
      <c r="G143" s="1064" t="s">
        <v>1109</v>
      </c>
      <c r="H143" s="221"/>
      <c r="I143" s="92" t="s">
        <v>1110</v>
      </c>
      <c r="J143" s="4">
        <f t="shared" si="5"/>
        <v>23</v>
      </c>
    </row>
    <row r="144" spans="1:12" x14ac:dyDescent="0.3">
      <c r="A144" s="4">
        <f t="shared" si="4"/>
        <v>24</v>
      </c>
      <c r="B144" s="1"/>
      <c r="D144" s="221"/>
      <c r="E144" s="221"/>
      <c r="F144" s="221"/>
      <c r="G144" s="138"/>
      <c r="H144" s="138"/>
      <c r="I144" s="472"/>
      <c r="J144" s="4">
        <f t="shared" si="5"/>
        <v>24</v>
      </c>
    </row>
    <row r="145" spans="1:12" x14ac:dyDescent="0.3">
      <c r="A145" s="4">
        <f t="shared" si="4"/>
        <v>25</v>
      </c>
      <c r="B145" s="32" t="s">
        <v>1111</v>
      </c>
      <c r="C145" s="4"/>
      <c r="D145" s="4"/>
      <c r="E145" s="221"/>
      <c r="F145" s="221"/>
      <c r="G145" s="1065">
        <f>IFERROR((((G138)+(G140/G141)+G132)*G143-(G139/G141))/(1-G143),0)</f>
        <v>8.0234212482817799E-3</v>
      </c>
      <c r="H145" s="26"/>
      <c r="I145" s="92" t="s">
        <v>1112</v>
      </c>
      <c r="J145" s="4">
        <f t="shared" si="5"/>
        <v>25</v>
      </c>
    </row>
    <row r="146" spans="1:12" x14ac:dyDescent="0.3">
      <c r="A146" s="4">
        <f t="shared" si="4"/>
        <v>26</v>
      </c>
      <c r="B146" s="252" t="s">
        <v>1113</v>
      </c>
      <c r="G146" s="4"/>
      <c r="H146" s="4"/>
      <c r="I146" s="92"/>
      <c r="J146" s="4">
        <f t="shared" si="5"/>
        <v>26</v>
      </c>
      <c r="K146" s="4"/>
    </row>
    <row r="147" spans="1:12" x14ac:dyDescent="0.3">
      <c r="A147" s="4">
        <f t="shared" si="4"/>
        <v>27</v>
      </c>
      <c r="G147" s="4"/>
      <c r="H147" s="4"/>
      <c r="I147" s="92"/>
      <c r="J147" s="4">
        <f t="shared" si="5"/>
        <v>27</v>
      </c>
      <c r="K147" s="4"/>
    </row>
    <row r="148" spans="1:12" x14ac:dyDescent="0.3">
      <c r="A148" s="4">
        <f t="shared" si="4"/>
        <v>28</v>
      </c>
      <c r="B148" s="254" t="s">
        <v>1632</v>
      </c>
      <c r="G148" s="1065">
        <f>G132+G145</f>
        <v>2.4662453561105364E-2</v>
      </c>
      <c r="H148" s="26"/>
      <c r="I148" s="92" t="s">
        <v>1114</v>
      </c>
      <c r="J148" s="4">
        <f t="shared" si="5"/>
        <v>28</v>
      </c>
      <c r="K148" s="4"/>
    </row>
    <row r="149" spans="1:12" x14ac:dyDescent="0.3">
      <c r="A149" s="4">
        <f t="shared" si="4"/>
        <v>29</v>
      </c>
      <c r="G149" s="26"/>
      <c r="H149" s="26"/>
      <c r="I149" s="92"/>
      <c r="J149" s="4">
        <f t="shared" si="5"/>
        <v>29</v>
      </c>
      <c r="K149" s="4"/>
    </row>
    <row r="150" spans="1:12" x14ac:dyDescent="0.3">
      <c r="A150" s="4">
        <f t="shared" si="4"/>
        <v>30</v>
      </c>
      <c r="B150" s="32" t="s">
        <v>1639</v>
      </c>
      <c r="G150" s="10">
        <f>G129*G132</f>
        <v>88544.330571655824</v>
      </c>
      <c r="H150" s="26"/>
      <c r="I150" s="92" t="s">
        <v>1640</v>
      </c>
      <c r="J150" s="4">
        <f t="shared" si="5"/>
        <v>30</v>
      </c>
      <c r="K150" s="4"/>
    </row>
    <row r="151" spans="1:12" x14ac:dyDescent="0.3">
      <c r="A151" s="4">
        <f t="shared" si="4"/>
        <v>31</v>
      </c>
      <c r="B151" s="32" t="s">
        <v>1641</v>
      </c>
      <c r="G151" s="1134">
        <f>G129*G145</f>
        <v>42696.50121275305</v>
      </c>
      <c r="H151" s="26"/>
      <c r="I151" s="92" t="s">
        <v>1642</v>
      </c>
      <c r="J151" s="4">
        <f t="shared" si="5"/>
        <v>31</v>
      </c>
      <c r="K151" s="4"/>
    </row>
    <row r="152" spans="1:12" ht="16.2" thickBot="1" x14ac:dyDescent="0.35">
      <c r="A152" s="4">
        <f t="shared" si="4"/>
        <v>32</v>
      </c>
      <c r="B152" s="32" t="s">
        <v>1643</v>
      </c>
      <c r="G152" s="17">
        <f>G150+G151</f>
        <v>131240.83178440889</v>
      </c>
      <c r="H152" s="26"/>
      <c r="I152" s="92" t="s">
        <v>103</v>
      </c>
      <c r="J152" s="4">
        <f t="shared" si="5"/>
        <v>32</v>
      </c>
      <c r="K152" s="4"/>
    </row>
    <row r="153" spans="1:12" ht="16.2" thickTop="1" x14ac:dyDescent="0.3">
      <c r="A153" s="4">
        <f t="shared" si="4"/>
        <v>33</v>
      </c>
      <c r="G153" s="10"/>
      <c r="H153" s="26"/>
      <c r="I153" s="92"/>
      <c r="J153" s="4">
        <f t="shared" si="5"/>
        <v>33</v>
      </c>
      <c r="K153" s="4"/>
    </row>
    <row r="154" spans="1:12" x14ac:dyDescent="0.3">
      <c r="A154" s="4">
        <f t="shared" si="4"/>
        <v>34</v>
      </c>
      <c r="B154" s="254" t="s">
        <v>1633</v>
      </c>
      <c r="G154" s="871">
        <f>G52</f>
        <v>8.2157111829077312E-2</v>
      </c>
      <c r="H154" s="221"/>
      <c r="I154" s="92" t="s">
        <v>1849</v>
      </c>
      <c r="J154" s="4">
        <f t="shared" si="5"/>
        <v>34</v>
      </c>
      <c r="K154" s="4"/>
    </row>
    <row r="155" spans="1:12" x14ac:dyDescent="0.3">
      <c r="A155" s="4">
        <f t="shared" si="4"/>
        <v>35</v>
      </c>
      <c r="B155" s="254"/>
      <c r="G155" s="26"/>
      <c r="H155" s="221"/>
      <c r="I155" s="92"/>
      <c r="J155" s="4">
        <f t="shared" si="5"/>
        <v>35</v>
      </c>
      <c r="K155" s="4"/>
    </row>
    <row r="156" spans="1:12" ht="16.2" thickBot="1" x14ac:dyDescent="0.35">
      <c r="A156" s="4">
        <f t="shared" si="4"/>
        <v>36</v>
      </c>
      <c r="B156" s="32" t="s">
        <v>1650</v>
      </c>
      <c r="G156" s="1125">
        <f>G129*G154</f>
        <v>437197.6886540376</v>
      </c>
      <c r="H156" s="221"/>
      <c r="I156" s="92" t="s">
        <v>1644</v>
      </c>
      <c r="J156" s="4">
        <f t="shared" si="5"/>
        <v>36</v>
      </c>
      <c r="K156" s="4"/>
    </row>
    <row r="157" spans="1:12" ht="16.2" thickTop="1" x14ac:dyDescent="0.3">
      <c r="A157" s="4">
        <f t="shared" si="4"/>
        <v>37</v>
      </c>
      <c r="B157" s="254"/>
      <c r="G157" s="474"/>
      <c r="H157" s="474"/>
      <c r="I157" s="92"/>
      <c r="J157" s="4">
        <f t="shared" si="5"/>
        <v>37</v>
      </c>
      <c r="K157" s="473"/>
      <c r="L157" s="469"/>
    </row>
    <row r="158" spans="1:12" ht="18.600000000000001" thickBot="1" x14ac:dyDescent="0.35">
      <c r="A158" s="4">
        <f t="shared" si="4"/>
        <v>38</v>
      </c>
      <c r="B158" s="254" t="s">
        <v>1793</v>
      </c>
      <c r="G158" s="1144">
        <f>G148+G154</f>
        <v>0.10681956539018267</v>
      </c>
      <c r="H158" s="474"/>
      <c r="I158" s="92" t="s">
        <v>1745</v>
      </c>
      <c r="J158" s="4">
        <f t="shared" si="5"/>
        <v>38</v>
      </c>
      <c r="K158" s="473"/>
      <c r="L158" s="469"/>
    </row>
    <row r="159" spans="1:12" ht="16.8" thickTop="1" thickBot="1" x14ac:dyDescent="0.35">
      <c r="A159" s="865">
        <f t="shared" si="4"/>
        <v>39</v>
      </c>
      <c r="B159" s="866"/>
      <c r="C159" s="866"/>
      <c r="D159" s="866"/>
      <c r="E159" s="866"/>
      <c r="F159" s="866"/>
      <c r="G159" s="865"/>
      <c r="H159" s="865"/>
      <c r="I159" s="867"/>
      <c r="J159" s="865">
        <f t="shared" si="5"/>
        <v>39</v>
      </c>
      <c r="K159" s="473"/>
      <c r="L159" s="469"/>
    </row>
    <row r="160" spans="1:12" x14ac:dyDescent="0.3">
      <c r="A160" s="4">
        <f t="shared" si="4"/>
        <v>40</v>
      </c>
      <c r="G160" s="4"/>
      <c r="H160" s="4"/>
      <c r="I160" s="92"/>
      <c r="J160" s="4">
        <f t="shared" si="5"/>
        <v>40</v>
      </c>
      <c r="K160" s="473"/>
      <c r="L160" s="469"/>
    </row>
    <row r="161" spans="1:12" ht="18" x14ac:dyDescent="0.3">
      <c r="A161" s="4">
        <f t="shared" si="4"/>
        <v>41</v>
      </c>
      <c r="B161" s="254" t="s">
        <v>1678</v>
      </c>
      <c r="E161" s="221"/>
      <c r="F161" s="221"/>
      <c r="G161" s="42"/>
      <c r="H161" s="42"/>
      <c r="I161" s="92"/>
      <c r="J161" s="4">
        <f t="shared" si="5"/>
        <v>41</v>
      </c>
      <c r="K161" s="473"/>
      <c r="L161" s="469"/>
    </row>
    <row r="162" spans="1:12" x14ac:dyDescent="0.3">
      <c r="A162" s="4">
        <f t="shared" si="4"/>
        <v>42</v>
      </c>
      <c r="B162" s="34"/>
      <c r="E162" s="221"/>
      <c r="F162" s="221"/>
      <c r="G162" s="42"/>
      <c r="H162" s="42"/>
      <c r="I162" s="92"/>
      <c r="J162" s="4">
        <f t="shared" si="5"/>
        <v>42</v>
      </c>
      <c r="K162" s="473"/>
      <c r="L162" s="469"/>
    </row>
    <row r="163" spans="1:12" x14ac:dyDescent="0.3">
      <c r="A163" s="4">
        <f t="shared" si="4"/>
        <v>43</v>
      </c>
      <c r="B163" s="254" t="s">
        <v>1086</v>
      </c>
      <c r="E163" s="221"/>
      <c r="F163" s="221"/>
      <c r="G163" s="42"/>
      <c r="H163" s="42"/>
      <c r="I163" s="92"/>
      <c r="J163" s="4">
        <f t="shared" si="5"/>
        <v>43</v>
      </c>
      <c r="K163" s="473"/>
      <c r="L163" s="469"/>
    </row>
    <row r="164" spans="1:12" x14ac:dyDescent="0.3">
      <c r="A164" s="4">
        <f t="shared" si="4"/>
        <v>44</v>
      </c>
      <c r="B164" s="221"/>
      <c r="C164" s="221"/>
      <c r="D164" s="221"/>
      <c r="E164" s="221"/>
      <c r="F164" s="221"/>
      <c r="G164" s="42"/>
      <c r="H164" s="42"/>
      <c r="I164" s="92"/>
      <c r="J164" s="4">
        <f t="shared" si="5"/>
        <v>44</v>
      </c>
      <c r="K164" s="473"/>
      <c r="L164" s="469"/>
    </row>
    <row r="165" spans="1:12" x14ac:dyDescent="0.3">
      <c r="A165" s="4">
        <f t="shared" si="4"/>
        <v>45</v>
      </c>
      <c r="B165" s="33" t="s">
        <v>1087</v>
      </c>
      <c r="C165" s="221"/>
      <c r="D165" s="221"/>
      <c r="E165" s="221"/>
      <c r="F165" s="221"/>
      <c r="G165" s="42"/>
      <c r="H165" s="42"/>
      <c r="I165" s="467"/>
      <c r="J165" s="4">
        <f t="shared" si="5"/>
        <v>45</v>
      </c>
      <c r="K165" s="473"/>
      <c r="L165" s="469"/>
    </row>
    <row r="166" spans="1:12" x14ac:dyDescent="0.3">
      <c r="A166" s="4">
        <f t="shared" si="4"/>
        <v>46</v>
      </c>
      <c r="B166" s="32" t="s">
        <v>1679</v>
      </c>
      <c r="D166" s="221"/>
      <c r="E166" s="221"/>
      <c r="F166" s="221"/>
      <c r="G166" s="136">
        <f>G67</f>
        <v>2.7246523308818555E-3</v>
      </c>
      <c r="H166" s="221"/>
      <c r="I166" s="92" t="s">
        <v>1858</v>
      </c>
      <c r="J166" s="4">
        <f t="shared" si="5"/>
        <v>46</v>
      </c>
      <c r="K166" s="473"/>
      <c r="L166" s="469"/>
    </row>
    <row r="167" spans="1:12" x14ac:dyDescent="0.3">
      <c r="A167" s="4">
        <f t="shared" si="4"/>
        <v>47</v>
      </c>
      <c r="B167" s="32" t="s">
        <v>1089</v>
      </c>
      <c r="D167" s="221"/>
      <c r="E167" s="221"/>
      <c r="F167" s="221"/>
      <c r="G167" s="139">
        <v>0</v>
      </c>
      <c r="H167" s="221"/>
      <c r="I167" s="92" t="s">
        <v>1653</v>
      </c>
      <c r="J167" s="4">
        <f t="shared" si="5"/>
        <v>47</v>
      </c>
      <c r="K167" s="473"/>
      <c r="L167" s="469"/>
    </row>
    <row r="168" spans="1:12" x14ac:dyDescent="0.3">
      <c r="A168" s="4">
        <f t="shared" si="4"/>
        <v>48</v>
      </c>
      <c r="B168" s="32" t="s">
        <v>1091</v>
      </c>
      <c r="D168" s="221"/>
      <c r="E168" s="221"/>
      <c r="F168" s="221"/>
      <c r="G168" s="139">
        <v>0</v>
      </c>
      <c r="H168" s="221"/>
      <c r="I168" s="92" t="s">
        <v>1653</v>
      </c>
      <c r="J168" s="4">
        <f t="shared" si="5"/>
        <v>48</v>
      </c>
      <c r="K168" s="473"/>
      <c r="L168" s="469"/>
    </row>
    <row r="169" spans="1:12" x14ac:dyDescent="0.3">
      <c r="A169" s="4">
        <f t="shared" si="4"/>
        <v>49</v>
      </c>
      <c r="B169" s="32" t="s">
        <v>1092</v>
      </c>
      <c r="D169" s="221"/>
      <c r="E169" s="468"/>
      <c r="F169" s="221"/>
      <c r="G169" s="7">
        <f>'BK-1 Retail TRR'!E137</f>
        <v>5321483.1792480703</v>
      </c>
      <c r="H169" s="221"/>
      <c r="I169" s="92" t="s">
        <v>1093</v>
      </c>
      <c r="J169" s="4">
        <f t="shared" si="5"/>
        <v>49</v>
      </c>
      <c r="K169" s="473"/>
      <c r="L169" s="469"/>
    </row>
    <row r="170" spans="1:12" x14ac:dyDescent="0.3">
      <c r="A170" s="4">
        <f t="shared" si="4"/>
        <v>50</v>
      </c>
      <c r="B170" s="32" t="s">
        <v>1094</v>
      </c>
      <c r="D170" s="48"/>
      <c r="E170" s="221"/>
      <c r="F170" s="221"/>
      <c r="G170" s="1064" t="s">
        <v>1095</v>
      </c>
      <c r="H170" s="221"/>
      <c r="I170" s="92" t="s">
        <v>1096</v>
      </c>
      <c r="J170" s="4">
        <f t="shared" si="5"/>
        <v>50</v>
      </c>
      <c r="K170" s="473"/>
      <c r="L170" s="469"/>
    </row>
    <row r="171" spans="1:12" x14ac:dyDescent="0.3">
      <c r="A171" s="4">
        <f t="shared" si="4"/>
        <v>51</v>
      </c>
      <c r="G171" s="4"/>
      <c r="H171" s="4"/>
      <c r="J171" s="4">
        <f t="shared" si="5"/>
        <v>51</v>
      </c>
      <c r="K171" s="473"/>
      <c r="L171" s="469"/>
    </row>
    <row r="172" spans="1:12" x14ac:dyDescent="0.3">
      <c r="A172" s="4">
        <f t="shared" si="4"/>
        <v>52</v>
      </c>
      <c r="B172" s="32" t="s">
        <v>1097</v>
      </c>
      <c r="D172" s="221"/>
      <c r="E172" s="221"/>
      <c r="F172" s="221"/>
      <c r="G172" s="1065">
        <f>IFERROR((((G166)+(G168/G169))*G170-(G167/G169))/(1-G170),0)</f>
        <v>7.2427467023441724E-4</v>
      </c>
      <c r="H172" s="26"/>
      <c r="I172" s="92" t="s">
        <v>1098</v>
      </c>
      <c r="J172" s="4">
        <f t="shared" si="5"/>
        <v>52</v>
      </c>
      <c r="K172" s="473"/>
      <c r="L172" s="469"/>
    </row>
    <row r="173" spans="1:12" x14ac:dyDescent="0.3">
      <c r="A173" s="4">
        <f t="shared" si="4"/>
        <v>53</v>
      </c>
      <c r="B173" s="252" t="s">
        <v>1099</v>
      </c>
      <c r="G173" s="4"/>
      <c r="H173" s="4"/>
      <c r="J173" s="4">
        <f t="shared" si="5"/>
        <v>53</v>
      </c>
      <c r="K173" s="473"/>
      <c r="L173" s="469"/>
    </row>
    <row r="174" spans="1:12" x14ac:dyDescent="0.3">
      <c r="A174" s="4">
        <f t="shared" si="4"/>
        <v>54</v>
      </c>
      <c r="G174" s="4"/>
      <c r="H174" s="4"/>
      <c r="J174" s="4">
        <f t="shared" si="5"/>
        <v>54</v>
      </c>
      <c r="K174" s="473"/>
      <c r="L174" s="469"/>
    </row>
    <row r="175" spans="1:12" x14ac:dyDescent="0.3">
      <c r="A175" s="4">
        <f t="shared" si="4"/>
        <v>55</v>
      </c>
      <c r="B175" s="254" t="s">
        <v>1100</v>
      </c>
      <c r="C175" s="221"/>
      <c r="D175" s="221"/>
      <c r="E175" s="221"/>
      <c r="F175" s="221"/>
      <c r="G175" s="137"/>
      <c r="H175" s="137"/>
      <c r="I175" s="470"/>
      <c r="J175" s="4">
        <f t="shared" si="5"/>
        <v>55</v>
      </c>
      <c r="K175" s="473"/>
      <c r="L175" s="469"/>
    </row>
    <row r="176" spans="1:12" x14ac:dyDescent="0.3">
      <c r="A176" s="4">
        <f t="shared" si="4"/>
        <v>56</v>
      </c>
      <c r="B176" s="343"/>
      <c r="C176" s="221"/>
      <c r="D176" s="221"/>
      <c r="E176" s="221"/>
      <c r="F176" s="221"/>
      <c r="G176" s="137"/>
      <c r="H176" s="137"/>
      <c r="I176" s="472"/>
      <c r="J176" s="4">
        <f t="shared" si="5"/>
        <v>56</v>
      </c>
      <c r="K176" s="473"/>
      <c r="L176" s="469"/>
    </row>
    <row r="177" spans="1:12" x14ac:dyDescent="0.3">
      <c r="A177" s="4">
        <f t="shared" si="4"/>
        <v>57</v>
      </c>
      <c r="B177" s="33" t="s">
        <v>1087</v>
      </c>
      <c r="C177" s="221"/>
      <c r="D177" s="221"/>
      <c r="E177" s="221"/>
      <c r="F177" s="221"/>
      <c r="G177" s="137"/>
      <c r="H177" s="137"/>
      <c r="I177" s="472"/>
      <c r="J177" s="4">
        <f t="shared" si="5"/>
        <v>57</v>
      </c>
      <c r="K177" s="473"/>
      <c r="L177" s="469"/>
    </row>
    <row r="178" spans="1:12" x14ac:dyDescent="0.3">
      <c r="A178" s="4">
        <f t="shared" si="4"/>
        <v>58</v>
      </c>
      <c r="B178" s="32" t="s">
        <v>1679</v>
      </c>
      <c r="D178" s="221"/>
      <c r="E178" s="221"/>
      <c r="F178" s="221"/>
      <c r="G178" s="136">
        <f>G166</f>
        <v>2.7246523308818555E-3</v>
      </c>
      <c r="H178" s="27"/>
      <c r="I178" s="92" t="s">
        <v>1684</v>
      </c>
      <c r="J178" s="4">
        <f t="shared" si="5"/>
        <v>58</v>
      </c>
      <c r="K178" s="473"/>
      <c r="L178" s="469"/>
    </row>
    <row r="179" spans="1:12" x14ac:dyDescent="0.3">
      <c r="A179" s="4">
        <f t="shared" si="4"/>
        <v>59</v>
      </c>
      <c r="B179" s="32" t="s">
        <v>1102</v>
      </c>
      <c r="D179" s="221"/>
      <c r="E179" s="221"/>
      <c r="F179" s="221"/>
      <c r="G179" s="139">
        <v>0</v>
      </c>
      <c r="H179" s="27"/>
      <c r="I179" s="92" t="s">
        <v>1653</v>
      </c>
      <c r="J179" s="4">
        <f t="shared" si="5"/>
        <v>59</v>
      </c>
      <c r="K179" s="473"/>
      <c r="L179" s="469"/>
    </row>
    <row r="180" spans="1:12" x14ac:dyDescent="0.3">
      <c r="A180" s="4">
        <f t="shared" si="4"/>
        <v>60</v>
      </c>
      <c r="B180" s="32" t="s">
        <v>1091</v>
      </c>
      <c r="D180" s="221"/>
      <c r="E180" s="221"/>
      <c r="F180" s="221"/>
      <c r="G180" s="7">
        <f>G168</f>
        <v>0</v>
      </c>
      <c r="H180" s="45"/>
      <c r="I180" s="92" t="s">
        <v>1794</v>
      </c>
      <c r="J180" s="4">
        <f t="shared" si="5"/>
        <v>60</v>
      </c>
      <c r="K180" s="473"/>
      <c r="L180" s="469"/>
    </row>
    <row r="181" spans="1:12" x14ac:dyDescent="0.3">
      <c r="A181" s="4">
        <f t="shared" si="4"/>
        <v>61</v>
      </c>
      <c r="B181" s="32" t="s">
        <v>1092</v>
      </c>
      <c r="D181" s="221"/>
      <c r="E181" s="221"/>
      <c r="F181" s="221"/>
      <c r="G181" s="7">
        <f>G169</f>
        <v>5321483.1792480703</v>
      </c>
      <c r="H181" s="10"/>
      <c r="I181" s="92" t="s">
        <v>1795</v>
      </c>
      <c r="J181" s="4">
        <f t="shared" si="5"/>
        <v>61</v>
      </c>
      <c r="K181" s="473"/>
      <c r="L181" s="469"/>
    </row>
    <row r="182" spans="1:12" x14ac:dyDescent="0.3">
      <c r="A182" s="4">
        <f t="shared" si="4"/>
        <v>62</v>
      </c>
      <c r="B182" s="32" t="s">
        <v>1106</v>
      </c>
      <c r="D182" s="221"/>
      <c r="E182" s="221"/>
      <c r="F182" s="221"/>
      <c r="G182" s="1161">
        <f>G172</f>
        <v>7.2427467023441724E-4</v>
      </c>
      <c r="H182" s="26"/>
      <c r="I182" s="92" t="s">
        <v>1796</v>
      </c>
      <c r="J182" s="4">
        <f t="shared" si="5"/>
        <v>62</v>
      </c>
      <c r="K182" s="473"/>
      <c r="L182" s="469"/>
    </row>
    <row r="183" spans="1:12" x14ac:dyDescent="0.3">
      <c r="A183" s="4">
        <f t="shared" si="4"/>
        <v>63</v>
      </c>
      <c r="B183" s="32" t="s">
        <v>1108</v>
      </c>
      <c r="D183" s="221"/>
      <c r="E183" s="221"/>
      <c r="F183" s="221"/>
      <c r="G183" s="1064" t="s">
        <v>1109</v>
      </c>
      <c r="H183" s="221"/>
      <c r="I183" s="92" t="s">
        <v>1110</v>
      </c>
      <c r="J183" s="4">
        <f t="shared" si="5"/>
        <v>63</v>
      </c>
      <c r="K183" s="473"/>
      <c r="L183" s="469"/>
    </row>
    <row r="184" spans="1:12" x14ac:dyDescent="0.3">
      <c r="A184" s="4">
        <f t="shared" si="4"/>
        <v>64</v>
      </c>
      <c r="B184" s="1"/>
      <c r="D184" s="221"/>
      <c r="E184" s="221"/>
      <c r="F184" s="221"/>
      <c r="G184" s="138"/>
      <c r="H184" s="138"/>
      <c r="I184" s="472"/>
      <c r="J184" s="4">
        <f t="shared" si="5"/>
        <v>64</v>
      </c>
      <c r="K184" s="473"/>
      <c r="L184" s="469"/>
    </row>
    <row r="185" spans="1:12" x14ac:dyDescent="0.3">
      <c r="A185" s="4">
        <f t="shared" si="4"/>
        <v>65</v>
      </c>
      <c r="B185" s="32" t="s">
        <v>1111</v>
      </c>
      <c r="C185" s="4"/>
      <c r="D185" s="4"/>
      <c r="E185" s="221"/>
      <c r="F185" s="221"/>
      <c r="G185" s="1065">
        <f>IFERROR((((G178)+(G180/G181)+G172)*G183-(G179/G181))/(1-G183),0)</f>
        <v>3.3445057799328499E-4</v>
      </c>
      <c r="H185" s="26"/>
      <c r="I185" s="92" t="s">
        <v>1112</v>
      </c>
      <c r="J185" s="4">
        <f t="shared" si="5"/>
        <v>65</v>
      </c>
      <c r="K185" s="473"/>
      <c r="L185" s="469"/>
    </row>
    <row r="186" spans="1:12" x14ac:dyDescent="0.3">
      <c r="A186" s="4">
        <f t="shared" si="4"/>
        <v>66</v>
      </c>
      <c r="B186" s="252" t="s">
        <v>1113</v>
      </c>
      <c r="G186" s="4"/>
      <c r="H186" s="4"/>
      <c r="I186" s="92"/>
      <c r="J186" s="4">
        <f t="shared" si="5"/>
        <v>66</v>
      </c>
      <c r="K186" s="473"/>
      <c r="L186" s="469"/>
    </row>
    <row r="187" spans="1:12" x14ac:dyDescent="0.3">
      <c r="A187" s="4">
        <f t="shared" si="4"/>
        <v>67</v>
      </c>
      <c r="G187" s="4"/>
      <c r="H187" s="4"/>
      <c r="I187" s="92"/>
      <c r="J187" s="4">
        <f t="shared" si="5"/>
        <v>67</v>
      </c>
      <c r="K187" s="473"/>
      <c r="L187" s="469"/>
    </row>
    <row r="188" spans="1:12" x14ac:dyDescent="0.3">
      <c r="A188" s="4">
        <f t="shared" si="4"/>
        <v>68</v>
      </c>
      <c r="B188" s="254" t="s">
        <v>1673</v>
      </c>
      <c r="G188" s="1065">
        <f>G172+G185</f>
        <v>1.0587252482277022E-3</v>
      </c>
      <c r="H188" s="26"/>
      <c r="I188" s="92" t="s">
        <v>1797</v>
      </c>
      <c r="J188" s="4">
        <f t="shared" si="5"/>
        <v>68</v>
      </c>
      <c r="K188" s="473"/>
      <c r="L188" s="469"/>
    </row>
    <row r="189" spans="1:12" x14ac:dyDescent="0.3">
      <c r="A189" s="4">
        <f t="shared" si="4"/>
        <v>69</v>
      </c>
      <c r="B189" s="254"/>
      <c r="G189" s="26"/>
      <c r="H189" s="26"/>
      <c r="I189" s="92"/>
      <c r="J189" s="4">
        <f t="shared" si="5"/>
        <v>69</v>
      </c>
      <c r="K189" s="473"/>
      <c r="L189" s="469"/>
    </row>
    <row r="190" spans="1:12" x14ac:dyDescent="0.3">
      <c r="A190" s="4">
        <f t="shared" ref="A190:A198" si="6">A189+1</f>
        <v>70</v>
      </c>
      <c r="B190" s="32" t="s">
        <v>1639</v>
      </c>
      <c r="G190" s="10">
        <f>G169*G172</f>
        <v>3854.2154748078942</v>
      </c>
      <c r="H190" s="26"/>
      <c r="I190" s="92" t="s">
        <v>1798</v>
      </c>
      <c r="J190" s="4">
        <f t="shared" ref="J190:J198" si="7">J189+1</f>
        <v>70</v>
      </c>
      <c r="K190" s="473"/>
      <c r="L190" s="469"/>
    </row>
    <row r="191" spans="1:12" x14ac:dyDescent="0.3">
      <c r="A191" s="4">
        <f t="shared" si="6"/>
        <v>71</v>
      </c>
      <c r="B191" s="32" t="s">
        <v>1641</v>
      </c>
      <c r="G191" s="1134">
        <f>G169*G185</f>
        <v>1779.7731250810609</v>
      </c>
      <c r="H191" s="26"/>
      <c r="I191" s="92" t="s">
        <v>1799</v>
      </c>
      <c r="J191" s="4">
        <f t="shared" si="7"/>
        <v>71</v>
      </c>
      <c r="K191" s="473"/>
      <c r="L191" s="469"/>
    </row>
    <row r="192" spans="1:12" ht="16.2" thickBot="1" x14ac:dyDescent="0.35">
      <c r="A192" s="4">
        <f t="shared" si="6"/>
        <v>72</v>
      </c>
      <c r="B192" s="32" t="s">
        <v>1643</v>
      </c>
      <c r="G192" s="17">
        <f>G190+G191</f>
        <v>5633.9885998889549</v>
      </c>
      <c r="H192" s="26"/>
      <c r="I192" s="92" t="s">
        <v>1800</v>
      </c>
      <c r="J192" s="4">
        <f t="shared" si="7"/>
        <v>72</v>
      </c>
      <c r="K192" s="473"/>
      <c r="L192" s="469"/>
    </row>
    <row r="193" spans="1:12" ht="16.2" thickTop="1" x14ac:dyDescent="0.3">
      <c r="A193" s="4">
        <f t="shared" si="6"/>
        <v>73</v>
      </c>
      <c r="G193" s="4"/>
      <c r="H193" s="4"/>
      <c r="I193" s="92"/>
      <c r="J193" s="4">
        <f t="shared" si="7"/>
        <v>73</v>
      </c>
      <c r="K193" s="473"/>
      <c r="L193" s="469"/>
    </row>
    <row r="194" spans="1:12" x14ac:dyDescent="0.3">
      <c r="A194" s="4">
        <f t="shared" si="6"/>
        <v>74</v>
      </c>
      <c r="B194" s="254" t="s">
        <v>1827</v>
      </c>
      <c r="G194" s="871">
        <f>G65</f>
        <v>2.7246523308818555E-3</v>
      </c>
      <c r="H194" s="221"/>
      <c r="I194" s="92" t="s">
        <v>1859</v>
      </c>
      <c r="J194" s="4">
        <f t="shared" si="7"/>
        <v>74</v>
      </c>
      <c r="K194" s="473"/>
      <c r="L194" s="469"/>
    </row>
    <row r="195" spans="1:12" x14ac:dyDescent="0.3">
      <c r="A195" s="4">
        <f t="shared" si="6"/>
        <v>75</v>
      </c>
      <c r="B195" s="254"/>
      <c r="G195" s="26"/>
      <c r="H195" s="221"/>
      <c r="I195" s="92"/>
      <c r="J195" s="4">
        <f t="shared" si="7"/>
        <v>75</v>
      </c>
      <c r="K195" s="473"/>
      <c r="L195" s="469"/>
    </row>
    <row r="196" spans="1:12" ht="16.2" thickBot="1" x14ac:dyDescent="0.35">
      <c r="A196" s="4">
        <f t="shared" si="6"/>
        <v>76</v>
      </c>
      <c r="B196" s="32" t="s">
        <v>1650</v>
      </c>
      <c r="G196" s="1125">
        <f>G169*G194</f>
        <v>14499.191548086841</v>
      </c>
      <c r="H196" s="221"/>
      <c r="I196" s="92" t="s">
        <v>1805</v>
      </c>
      <c r="J196" s="4">
        <f t="shared" si="7"/>
        <v>76</v>
      </c>
      <c r="K196" s="473"/>
      <c r="L196" s="469"/>
    </row>
    <row r="197" spans="1:12" ht="16.2" thickTop="1" x14ac:dyDescent="0.3">
      <c r="A197" s="4">
        <f t="shared" si="6"/>
        <v>77</v>
      </c>
      <c r="G197" s="27"/>
      <c r="H197" s="27"/>
      <c r="I197" s="92"/>
      <c r="J197" s="4">
        <f t="shared" si="7"/>
        <v>77</v>
      </c>
      <c r="K197" s="473"/>
      <c r="L197" s="469"/>
    </row>
    <row r="198" spans="1:12" ht="18.600000000000001" thickBot="1" x14ac:dyDescent="0.35">
      <c r="A198" s="4">
        <f t="shared" si="6"/>
        <v>78</v>
      </c>
      <c r="B198" s="254" t="s">
        <v>1826</v>
      </c>
      <c r="G198" s="1144">
        <f>G188+G194</f>
        <v>3.7833775791095577E-3</v>
      </c>
      <c r="H198" s="26"/>
      <c r="I198" s="92" t="s">
        <v>1801</v>
      </c>
      <c r="J198" s="4">
        <f t="shared" si="7"/>
        <v>78</v>
      </c>
      <c r="K198" s="473"/>
      <c r="L198" s="469"/>
    </row>
    <row r="199" spans="1:12" ht="16.2" thickTop="1" x14ac:dyDescent="0.3">
      <c r="B199" s="254"/>
      <c r="G199" s="474"/>
      <c r="H199" s="474"/>
      <c r="I199" s="92"/>
      <c r="J199" s="4"/>
      <c r="K199" s="473"/>
      <c r="L199" s="469"/>
    </row>
    <row r="200" spans="1:12" x14ac:dyDescent="0.3">
      <c r="B200" s="254"/>
      <c r="G200" s="26"/>
      <c r="H200" s="474"/>
      <c r="I200" s="92"/>
      <c r="J200" s="4"/>
      <c r="K200" s="473"/>
      <c r="L200" s="469"/>
    </row>
    <row r="201" spans="1:12" x14ac:dyDescent="0.3">
      <c r="B201" s="1222" t="s">
        <v>0</v>
      </c>
      <c r="C201" s="1222"/>
      <c r="D201" s="1222"/>
      <c r="E201" s="1222"/>
      <c r="F201" s="1222"/>
      <c r="G201" s="1222"/>
      <c r="H201" s="1222"/>
      <c r="I201" s="1222"/>
      <c r="J201" s="4"/>
    </row>
    <row r="202" spans="1:12" x14ac:dyDescent="0.3">
      <c r="B202" s="1222" t="s">
        <v>1020</v>
      </c>
      <c r="C202" s="1222"/>
      <c r="D202" s="1222"/>
      <c r="E202" s="1222"/>
      <c r="F202" s="1222"/>
      <c r="G202" s="1222"/>
      <c r="H202" s="1222"/>
      <c r="I202" s="1222"/>
      <c r="J202" s="4"/>
    </row>
    <row r="203" spans="1:12" x14ac:dyDescent="0.3">
      <c r="B203" s="1222" t="s">
        <v>1021</v>
      </c>
      <c r="C203" s="1222"/>
      <c r="D203" s="1222"/>
      <c r="E203" s="1222"/>
      <c r="F203" s="1222"/>
      <c r="G203" s="1222"/>
      <c r="H203" s="1222"/>
      <c r="I203" s="1222"/>
      <c r="J203" s="4"/>
    </row>
    <row r="204" spans="1:12" x14ac:dyDescent="0.3">
      <c r="B204" s="1227" t="str">
        <f>B5</f>
        <v>Base Period &amp; True-Up Period 12 - Months Ending December 31, 2023</v>
      </c>
      <c r="C204" s="1227"/>
      <c r="D204" s="1227"/>
      <c r="E204" s="1227"/>
      <c r="F204" s="1227"/>
      <c r="G204" s="1227"/>
      <c r="H204" s="1227"/>
      <c r="I204" s="1227"/>
      <c r="J204" s="4"/>
    </row>
    <row r="205" spans="1:12" x14ac:dyDescent="0.3">
      <c r="B205" s="1226" t="s">
        <v>4</v>
      </c>
      <c r="C205" s="1226"/>
      <c r="D205" s="1226"/>
      <c r="E205" s="1226"/>
      <c r="F205" s="1226"/>
      <c r="G205" s="1226"/>
      <c r="H205" s="1226"/>
      <c r="I205" s="1226"/>
      <c r="J205" s="4"/>
    </row>
    <row r="206" spans="1:12" x14ac:dyDescent="0.3">
      <c r="B206" s="4"/>
      <c r="C206" s="4"/>
      <c r="D206" s="4"/>
      <c r="E206" s="4"/>
      <c r="F206" s="4"/>
      <c r="G206" s="221"/>
      <c r="H206" s="221"/>
      <c r="I206" s="92"/>
      <c r="J206" s="4"/>
    </row>
    <row r="207" spans="1:12" x14ac:dyDescent="0.3">
      <c r="A207" s="4" t="s">
        <v>5</v>
      </c>
      <c r="B207" s="221"/>
      <c r="C207" s="221"/>
      <c r="D207" s="221"/>
      <c r="E207" s="221"/>
      <c r="F207" s="221"/>
      <c r="G207" s="221"/>
      <c r="H207" s="221"/>
      <c r="I207" s="92"/>
      <c r="J207" s="4" t="s">
        <v>5</v>
      </c>
    </row>
    <row r="208" spans="1:12" x14ac:dyDescent="0.3">
      <c r="A208" s="4" t="s">
        <v>6</v>
      </c>
      <c r="B208" s="4"/>
      <c r="C208" s="4"/>
      <c r="D208" s="4"/>
      <c r="E208" s="4"/>
      <c r="F208" s="4"/>
      <c r="G208" s="852" t="s">
        <v>7</v>
      </c>
      <c r="H208" s="221"/>
      <c r="I208" s="854" t="s">
        <v>8</v>
      </c>
      <c r="J208" s="4" t="s">
        <v>6</v>
      </c>
    </row>
    <row r="209" spans="1:10" x14ac:dyDescent="0.3">
      <c r="G209" s="4"/>
      <c r="H209" s="4"/>
      <c r="I209" s="92"/>
      <c r="J209" s="4"/>
    </row>
    <row r="210" spans="1:10" ht="18" x14ac:dyDescent="0.3">
      <c r="A210" s="4">
        <v>1</v>
      </c>
      <c r="B210" s="254" t="s">
        <v>1802</v>
      </c>
      <c r="E210" s="221"/>
      <c r="F210" s="221"/>
      <c r="G210" s="42"/>
      <c r="H210" s="42"/>
      <c r="I210" s="92"/>
      <c r="J210" s="4">
        <v>1</v>
      </c>
    </row>
    <row r="211" spans="1:10" x14ac:dyDescent="0.3">
      <c r="A211" s="4">
        <f>A210+1</f>
        <v>2</v>
      </c>
      <c r="B211" s="34"/>
      <c r="E211" s="221"/>
      <c r="F211" s="221"/>
      <c r="G211" s="42"/>
      <c r="H211" s="42"/>
      <c r="I211" s="92"/>
      <c r="J211" s="4">
        <f>J210+1</f>
        <v>2</v>
      </c>
    </row>
    <row r="212" spans="1:10" x14ac:dyDescent="0.3">
      <c r="A212" s="4">
        <f>A211+1</f>
        <v>3</v>
      </c>
      <c r="B212" s="254" t="s">
        <v>1086</v>
      </c>
      <c r="E212" s="221"/>
      <c r="F212" s="221"/>
      <c r="G212" s="42"/>
      <c r="H212" s="42"/>
      <c r="I212" s="92"/>
      <c r="J212" s="4">
        <f>J211+1</f>
        <v>3</v>
      </c>
    </row>
    <row r="213" spans="1:10" x14ac:dyDescent="0.3">
      <c r="A213" s="4">
        <f>A212+1</f>
        <v>4</v>
      </c>
      <c r="B213" s="221"/>
      <c r="C213" s="221"/>
      <c r="D213" s="221"/>
      <c r="E213" s="221"/>
      <c r="F213" s="221"/>
      <c r="G213" s="42"/>
      <c r="H213" s="42"/>
      <c r="I213" s="92"/>
      <c r="J213" s="4">
        <f>J212+1</f>
        <v>4</v>
      </c>
    </row>
    <row r="214" spans="1:10" x14ac:dyDescent="0.3">
      <c r="A214" s="4">
        <f t="shared" ref="A214:A284" si="8">A213+1</f>
        <v>5</v>
      </c>
      <c r="B214" s="33" t="s">
        <v>1087</v>
      </c>
      <c r="C214" s="221"/>
      <c r="D214" s="221"/>
      <c r="E214" s="221"/>
      <c r="F214" s="221"/>
      <c r="G214" s="42"/>
      <c r="H214" s="42"/>
      <c r="I214" s="467"/>
      <c r="J214" s="4">
        <f t="shared" ref="J214:J284" si="9">J213+1</f>
        <v>5</v>
      </c>
    </row>
    <row r="215" spans="1:10" x14ac:dyDescent="0.3">
      <c r="A215" s="4">
        <f t="shared" si="8"/>
        <v>6</v>
      </c>
      <c r="B215" s="32" t="s">
        <v>1088</v>
      </c>
      <c r="D215" s="221"/>
      <c r="E215" s="221"/>
      <c r="F215" s="221"/>
      <c r="G215" s="136">
        <f>G92</f>
        <v>0</v>
      </c>
      <c r="H215" s="221"/>
      <c r="I215" s="92" t="s">
        <v>1691</v>
      </c>
      <c r="J215" s="4">
        <f t="shared" si="9"/>
        <v>6</v>
      </c>
    </row>
    <row r="216" spans="1:10" x14ac:dyDescent="0.3">
      <c r="A216" s="4">
        <f t="shared" si="8"/>
        <v>7</v>
      </c>
      <c r="B216" s="32" t="s">
        <v>1089</v>
      </c>
      <c r="D216" s="221"/>
      <c r="E216" s="221"/>
      <c r="F216" s="221"/>
      <c r="G216" s="139">
        <v>0</v>
      </c>
      <c r="H216" s="221"/>
      <c r="I216" s="92" t="s">
        <v>1115</v>
      </c>
      <c r="J216" s="4">
        <f t="shared" si="9"/>
        <v>7</v>
      </c>
    </row>
    <row r="217" spans="1:10" x14ac:dyDescent="0.3">
      <c r="A217" s="4">
        <f t="shared" si="8"/>
        <v>8</v>
      </c>
      <c r="B217" s="32" t="s">
        <v>1091</v>
      </c>
      <c r="D217" s="221"/>
      <c r="E217" s="221"/>
      <c r="F217" s="221"/>
      <c r="G217" s="111">
        <v>0</v>
      </c>
      <c r="H217" s="221"/>
      <c r="I217" s="424" t="s">
        <v>289</v>
      </c>
      <c r="J217" s="4">
        <f t="shared" si="9"/>
        <v>8</v>
      </c>
    </row>
    <row r="218" spans="1:10" x14ac:dyDescent="0.3">
      <c r="A218" s="4">
        <f t="shared" si="8"/>
        <v>9</v>
      </c>
      <c r="B218" s="32" t="s">
        <v>1116</v>
      </c>
      <c r="D218" s="221"/>
      <c r="E218" s="221"/>
      <c r="F218" s="221"/>
      <c r="G218" s="22">
        <f>'BK-1 Retail TRR'!E142</f>
        <v>0</v>
      </c>
      <c r="H218" s="221"/>
      <c r="I218" s="92" t="s">
        <v>1117</v>
      </c>
      <c r="J218" s="4">
        <f t="shared" si="9"/>
        <v>9</v>
      </c>
    </row>
    <row r="219" spans="1:10" x14ac:dyDescent="0.3">
      <c r="A219" s="4">
        <f t="shared" si="8"/>
        <v>10</v>
      </c>
      <c r="B219" s="32" t="s">
        <v>1094</v>
      </c>
      <c r="D219" s="221"/>
      <c r="E219" s="221"/>
      <c r="F219" s="221"/>
      <c r="G219" s="1066" t="str">
        <f>G130</f>
        <v>21%</v>
      </c>
      <c r="H219" s="221"/>
      <c r="I219" s="92" t="s">
        <v>1692</v>
      </c>
      <c r="J219" s="4">
        <f t="shared" si="9"/>
        <v>10</v>
      </c>
    </row>
    <row r="220" spans="1:10" x14ac:dyDescent="0.3">
      <c r="A220" s="4">
        <f t="shared" si="8"/>
        <v>11</v>
      </c>
      <c r="G220" s="4"/>
      <c r="H220" s="4"/>
      <c r="J220" s="4">
        <f t="shared" si="9"/>
        <v>11</v>
      </c>
    </row>
    <row r="221" spans="1:10" x14ac:dyDescent="0.3">
      <c r="A221" s="4">
        <f t="shared" si="8"/>
        <v>12</v>
      </c>
      <c r="B221" s="32" t="s">
        <v>1118</v>
      </c>
      <c r="D221" s="221"/>
      <c r="E221" s="221"/>
      <c r="F221" s="221"/>
      <c r="G221" s="1065">
        <f>IFERROR((((G215)+(G217/G218))*G219-(G216/G218))/(1-G219),0)</f>
        <v>0</v>
      </c>
      <c r="H221" s="26"/>
      <c r="I221" s="92" t="s">
        <v>1119</v>
      </c>
      <c r="J221" s="4">
        <f t="shared" si="9"/>
        <v>12</v>
      </c>
    </row>
    <row r="222" spans="1:10" x14ac:dyDescent="0.3">
      <c r="A222" s="4">
        <f t="shared" si="8"/>
        <v>13</v>
      </c>
      <c r="B222" s="252" t="s">
        <v>1099</v>
      </c>
      <c r="D222" s="252"/>
      <c r="G222" s="27"/>
      <c r="H222" s="27"/>
      <c r="J222" s="4">
        <f t="shared" si="9"/>
        <v>13</v>
      </c>
    </row>
    <row r="223" spans="1:10" x14ac:dyDescent="0.3">
      <c r="A223" s="4">
        <f t="shared" si="8"/>
        <v>14</v>
      </c>
      <c r="G223" s="4"/>
      <c r="H223" s="4"/>
      <c r="J223" s="4">
        <f t="shared" si="9"/>
        <v>14</v>
      </c>
    </row>
    <row r="224" spans="1:10" x14ac:dyDescent="0.3">
      <c r="A224" s="4">
        <f t="shared" si="8"/>
        <v>15</v>
      </c>
      <c r="B224" s="254" t="s">
        <v>1100</v>
      </c>
      <c r="C224" s="221"/>
      <c r="D224" s="221"/>
      <c r="E224" s="221"/>
      <c r="F224" s="221"/>
      <c r="G224" s="137"/>
      <c r="H224" s="137"/>
      <c r="I224" s="470"/>
      <c r="J224" s="4">
        <f t="shared" si="9"/>
        <v>15</v>
      </c>
    </row>
    <row r="225" spans="1:10" x14ac:dyDescent="0.3">
      <c r="A225" s="4">
        <f t="shared" si="8"/>
        <v>16</v>
      </c>
      <c r="B225" s="343"/>
      <c r="C225" s="221"/>
      <c r="D225" s="221"/>
      <c r="E225" s="221"/>
      <c r="F225" s="221"/>
      <c r="G225" s="137"/>
      <c r="H225" s="137"/>
      <c r="I225" s="467"/>
      <c r="J225" s="4">
        <f t="shared" si="9"/>
        <v>16</v>
      </c>
    </row>
    <row r="226" spans="1:10" x14ac:dyDescent="0.3">
      <c r="A226" s="4">
        <f t="shared" si="8"/>
        <v>17</v>
      </c>
      <c r="B226" s="33" t="s">
        <v>1087</v>
      </c>
      <c r="C226" s="221"/>
      <c r="D226" s="221"/>
      <c r="E226" s="221"/>
      <c r="F226" s="221"/>
      <c r="G226" s="137"/>
      <c r="H226" s="137"/>
      <c r="I226" s="467"/>
      <c r="J226" s="4">
        <f t="shared" si="9"/>
        <v>17</v>
      </c>
    </row>
    <row r="227" spans="1:10" x14ac:dyDescent="0.3">
      <c r="A227" s="4">
        <f t="shared" si="8"/>
        <v>18</v>
      </c>
      <c r="B227" s="32" t="s">
        <v>1088</v>
      </c>
      <c r="D227" s="221"/>
      <c r="E227" s="221"/>
      <c r="F227" s="221"/>
      <c r="G227" s="136">
        <f>G215</f>
        <v>0</v>
      </c>
      <c r="H227" s="27"/>
      <c r="I227" s="92" t="s">
        <v>1101</v>
      </c>
      <c r="J227" s="4">
        <f t="shared" si="9"/>
        <v>18</v>
      </c>
    </row>
    <row r="228" spans="1:10" x14ac:dyDescent="0.3">
      <c r="A228" s="4">
        <f t="shared" si="8"/>
        <v>19</v>
      </c>
      <c r="B228" s="32" t="s">
        <v>1102</v>
      </c>
      <c r="D228" s="221"/>
      <c r="E228" s="221"/>
      <c r="F228" s="221"/>
      <c r="G228" s="139">
        <v>0</v>
      </c>
      <c r="H228" s="27"/>
      <c r="I228" s="92" t="s">
        <v>1115</v>
      </c>
      <c r="J228" s="4">
        <f t="shared" si="9"/>
        <v>19</v>
      </c>
    </row>
    <row r="229" spans="1:10" x14ac:dyDescent="0.3">
      <c r="A229" s="4">
        <f t="shared" si="8"/>
        <v>20</v>
      </c>
      <c r="B229" s="32" t="s">
        <v>1091</v>
      </c>
      <c r="D229" s="221"/>
      <c r="E229" s="221"/>
      <c r="F229" s="221"/>
      <c r="G229" s="22">
        <f>G217</f>
        <v>0</v>
      </c>
      <c r="H229" s="45"/>
      <c r="I229" s="92" t="s">
        <v>1104</v>
      </c>
      <c r="J229" s="4">
        <f t="shared" si="9"/>
        <v>20</v>
      </c>
    </row>
    <row r="230" spans="1:10" x14ac:dyDescent="0.3">
      <c r="A230" s="4">
        <f t="shared" si="8"/>
        <v>21</v>
      </c>
      <c r="B230" s="32" t="s">
        <v>1116</v>
      </c>
      <c r="D230" s="221"/>
      <c r="E230" s="221"/>
      <c r="F230" s="221"/>
      <c r="G230" s="22">
        <f>G218</f>
        <v>0</v>
      </c>
      <c r="H230" s="45"/>
      <c r="I230" s="92" t="s">
        <v>1105</v>
      </c>
      <c r="J230" s="4">
        <f t="shared" si="9"/>
        <v>21</v>
      </c>
    </row>
    <row r="231" spans="1:10" x14ac:dyDescent="0.3">
      <c r="A231" s="4">
        <f t="shared" si="8"/>
        <v>22</v>
      </c>
      <c r="B231" s="32" t="s">
        <v>1106</v>
      </c>
      <c r="D231" s="221"/>
      <c r="E231" s="221"/>
      <c r="F231" s="221"/>
      <c r="G231" s="1161">
        <f>G221</f>
        <v>0</v>
      </c>
      <c r="H231" s="26"/>
      <c r="I231" s="92" t="s">
        <v>1107</v>
      </c>
      <c r="J231" s="4">
        <f t="shared" si="9"/>
        <v>22</v>
      </c>
    </row>
    <row r="232" spans="1:10" x14ac:dyDescent="0.3">
      <c r="A232" s="4">
        <f t="shared" si="8"/>
        <v>23</v>
      </c>
      <c r="B232" s="32" t="s">
        <v>1108</v>
      </c>
      <c r="D232" s="221"/>
      <c r="E232" s="221"/>
      <c r="F232" s="221"/>
      <c r="G232" s="931" t="str">
        <f>G143</f>
        <v>8.84%</v>
      </c>
      <c r="H232" s="221"/>
      <c r="I232" s="92" t="s">
        <v>1693</v>
      </c>
      <c r="J232" s="4">
        <f t="shared" si="9"/>
        <v>23</v>
      </c>
    </row>
    <row r="233" spans="1:10" x14ac:dyDescent="0.3">
      <c r="A233" s="4">
        <f t="shared" si="8"/>
        <v>24</v>
      </c>
      <c r="B233" s="1"/>
      <c r="D233" s="221"/>
      <c r="E233" s="221"/>
      <c r="F233" s="221"/>
      <c r="G233" s="138"/>
      <c r="H233" s="138"/>
      <c r="I233" s="472"/>
      <c r="J233" s="4">
        <f t="shared" si="9"/>
        <v>24</v>
      </c>
    </row>
    <row r="234" spans="1:10" x14ac:dyDescent="0.3">
      <c r="A234" s="4">
        <f t="shared" si="8"/>
        <v>25</v>
      </c>
      <c r="B234" s="32" t="s">
        <v>1111</v>
      </c>
      <c r="C234" s="4"/>
      <c r="D234" s="4"/>
      <c r="E234" s="221"/>
      <c r="F234" s="221"/>
      <c r="G234" s="1065">
        <f>IFERROR((((G227)+(G229/G230)+G221)*G232-(G228/G230))/(1-G232),0)</f>
        <v>0</v>
      </c>
      <c r="H234" s="26"/>
      <c r="I234" s="92" t="s">
        <v>1112</v>
      </c>
      <c r="J234" s="4">
        <f t="shared" si="9"/>
        <v>25</v>
      </c>
    </row>
    <row r="235" spans="1:10" x14ac:dyDescent="0.3">
      <c r="A235" s="4">
        <f t="shared" si="8"/>
        <v>26</v>
      </c>
      <c r="B235" s="252" t="s">
        <v>1113</v>
      </c>
      <c r="D235" s="252"/>
      <c r="G235" s="4"/>
      <c r="H235" s="4"/>
      <c r="I235" s="92"/>
      <c r="J235" s="4">
        <f t="shared" si="9"/>
        <v>26</v>
      </c>
    </row>
    <row r="236" spans="1:10" x14ac:dyDescent="0.3">
      <c r="A236" s="4">
        <f t="shared" si="8"/>
        <v>27</v>
      </c>
      <c r="G236" s="4"/>
      <c r="H236" s="4"/>
      <c r="I236" s="92"/>
      <c r="J236" s="4">
        <f t="shared" si="9"/>
        <v>27</v>
      </c>
    </row>
    <row r="237" spans="1:10" x14ac:dyDescent="0.3">
      <c r="A237" s="4">
        <f t="shared" si="8"/>
        <v>28</v>
      </c>
      <c r="B237" s="254" t="s">
        <v>1632</v>
      </c>
      <c r="G237" s="1065">
        <f>G221+G234</f>
        <v>0</v>
      </c>
      <c r="H237" s="26"/>
      <c r="I237" s="92" t="s">
        <v>1114</v>
      </c>
      <c r="J237" s="4">
        <f t="shared" si="9"/>
        <v>28</v>
      </c>
    </row>
    <row r="238" spans="1:10" x14ac:dyDescent="0.3">
      <c r="A238" s="4">
        <f t="shared" si="8"/>
        <v>29</v>
      </c>
      <c r="G238" s="26"/>
      <c r="H238" s="26"/>
      <c r="I238" s="92"/>
      <c r="J238" s="4">
        <f t="shared" si="9"/>
        <v>29</v>
      </c>
    </row>
    <row r="239" spans="1:10" x14ac:dyDescent="0.3">
      <c r="A239" s="4">
        <f t="shared" si="8"/>
        <v>30</v>
      </c>
      <c r="B239" s="32" t="s">
        <v>1639</v>
      </c>
      <c r="G239" s="1126">
        <f>G218*G221</f>
        <v>0</v>
      </c>
      <c r="H239" s="26"/>
      <c r="I239" s="92" t="s">
        <v>1640</v>
      </c>
      <c r="J239" s="4">
        <f t="shared" si="9"/>
        <v>30</v>
      </c>
    </row>
    <row r="240" spans="1:10" x14ac:dyDescent="0.3">
      <c r="A240" s="4">
        <f t="shared" si="8"/>
        <v>31</v>
      </c>
      <c r="B240" s="32" t="s">
        <v>1641</v>
      </c>
      <c r="G240" s="1135">
        <f>G218*G234</f>
        <v>0</v>
      </c>
      <c r="H240" s="26"/>
      <c r="I240" s="92" t="s">
        <v>1642</v>
      </c>
      <c r="J240" s="4">
        <f t="shared" si="9"/>
        <v>31</v>
      </c>
    </row>
    <row r="241" spans="1:10" ht="16.2" thickBot="1" x14ac:dyDescent="0.35">
      <c r="A241" s="4">
        <f t="shared" si="8"/>
        <v>32</v>
      </c>
      <c r="B241" s="32" t="s">
        <v>1643</v>
      </c>
      <c r="G241" s="1205">
        <f>G239+G240</f>
        <v>0</v>
      </c>
      <c r="H241" s="26"/>
      <c r="I241" s="92" t="s">
        <v>103</v>
      </c>
      <c r="J241" s="4">
        <f t="shared" si="9"/>
        <v>32</v>
      </c>
    </row>
    <row r="242" spans="1:10" ht="16.2" thickTop="1" x14ac:dyDescent="0.3">
      <c r="A242" s="4">
        <f t="shared" si="8"/>
        <v>33</v>
      </c>
      <c r="G242" s="1126"/>
      <c r="H242" s="26"/>
      <c r="I242" s="92"/>
      <c r="J242" s="4">
        <f t="shared" si="9"/>
        <v>33</v>
      </c>
    </row>
    <row r="243" spans="1:10" x14ac:dyDescent="0.3">
      <c r="A243" s="4">
        <f t="shared" si="8"/>
        <v>34</v>
      </c>
      <c r="B243" s="254" t="s">
        <v>1634</v>
      </c>
      <c r="G243" s="871">
        <f>G90</f>
        <v>1.8127782053353712E-2</v>
      </c>
      <c r="H243" s="221"/>
      <c r="I243" s="92" t="s">
        <v>1828</v>
      </c>
      <c r="J243" s="4">
        <f t="shared" si="9"/>
        <v>34</v>
      </c>
    </row>
    <row r="244" spans="1:10" x14ac:dyDescent="0.3">
      <c r="A244" s="4">
        <f t="shared" si="8"/>
        <v>35</v>
      </c>
      <c r="B244" s="254"/>
      <c r="G244" s="26"/>
      <c r="H244" s="221"/>
      <c r="I244" s="92"/>
      <c r="J244" s="4">
        <f t="shared" si="9"/>
        <v>35</v>
      </c>
    </row>
    <row r="245" spans="1:10" ht="16.2" thickBot="1" x14ac:dyDescent="0.35">
      <c r="A245" s="4">
        <f t="shared" si="8"/>
        <v>36</v>
      </c>
      <c r="B245" s="32" t="s">
        <v>1650</v>
      </c>
      <c r="G245" s="1206">
        <f>G218*G243</f>
        <v>0</v>
      </c>
      <c r="H245" s="221"/>
      <c r="I245" s="92" t="s">
        <v>1644</v>
      </c>
      <c r="J245" s="4">
        <f t="shared" si="9"/>
        <v>36</v>
      </c>
    </row>
    <row r="246" spans="1:10" ht="16.2" thickTop="1" x14ac:dyDescent="0.3">
      <c r="A246" s="4">
        <f t="shared" si="8"/>
        <v>37</v>
      </c>
      <c r="G246" s="26"/>
      <c r="H246" s="26"/>
      <c r="I246" s="92"/>
      <c r="J246" s="4">
        <f t="shared" si="9"/>
        <v>37</v>
      </c>
    </row>
    <row r="247" spans="1:10" ht="18.600000000000001" thickBot="1" x14ac:dyDescent="0.35">
      <c r="A247" s="4">
        <f t="shared" si="8"/>
        <v>38</v>
      </c>
      <c r="B247" s="254" t="s">
        <v>1696</v>
      </c>
      <c r="G247" s="1144">
        <f>G237+G243</f>
        <v>1.8127782053353712E-2</v>
      </c>
      <c r="H247" s="26"/>
      <c r="I247" s="92" t="s">
        <v>1745</v>
      </c>
      <c r="J247" s="4">
        <f t="shared" si="9"/>
        <v>38</v>
      </c>
    </row>
    <row r="248" spans="1:10" ht="16.8" thickTop="1" thickBot="1" x14ac:dyDescent="0.35">
      <c r="A248" s="865">
        <f t="shared" si="8"/>
        <v>39</v>
      </c>
      <c r="B248" s="1139"/>
      <c r="C248" s="866"/>
      <c r="D248" s="866"/>
      <c r="E248" s="866"/>
      <c r="F248" s="866"/>
      <c r="G248" s="1156"/>
      <c r="H248" s="1156"/>
      <c r="I248" s="867"/>
      <c r="J248" s="865">
        <f t="shared" si="9"/>
        <v>39</v>
      </c>
    </row>
    <row r="249" spans="1:10" x14ac:dyDescent="0.3">
      <c r="A249" s="4">
        <f t="shared" si="8"/>
        <v>40</v>
      </c>
      <c r="B249" s="254"/>
      <c r="G249" s="26"/>
      <c r="H249" s="26"/>
      <c r="I249" s="92"/>
      <c r="J249" s="4">
        <f t="shared" si="9"/>
        <v>40</v>
      </c>
    </row>
    <row r="250" spans="1:10" ht="18" x14ac:dyDescent="0.3">
      <c r="A250" s="4">
        <f t="shared" si="8"/>
        <v>41</v>
      </c>
      <c r="B250" s="254" t="s">
        <v>1678</v>
      </c>
      <c r="E250" s="221"/>
      <c r="F250" s="221"/>
      <c r="G250" s="42"/>
      <c r="H250" s="42"/>
      <c r="I250" s="92"/>
      <c r="J250" s="4">
        <f t="shared" si="9"/>
        <v>41</v>
      </c>
    </row>
    <row r="251" spans="1:10" x14ac:dyDescent="0.3">
      <c r="A251" s="4">
        <f t="shared" si="8"/>
        <v>42</v>
      </c>
      <c r="B251" s="34"/>
      <c r="E251" s="221"/>
      <c r="F251" s="221"/>
      <c r="G251" s="42"/>
      <c r="H251" s="42"/>
      <c r="I251" s="92"/>
      <c r="J251" s="4">
        <f t="shared" si="9"/>
        <v>42</v>
      </c>
    </row>
    <row r="252" spans="1:10" x14ac:dyDescent="0.3">
      <c r="A252" s="4">
        <f t="shared" si="8"/>
        <v>43</v>
      </c>
      <c r="B252" s="254" t="s">
        <v>1086</v>
      </c>
      <c r="E252" s="221"/>
      <c r="F252" s="221"/>
      <c r="G252" s="42"/>
      <c r="H252" s="42"/>
      <c r="I252" s="92"/>
      <c r="J252" s="4">
        <f t="shared" si="9"/>
        <v>43</v>
      </c>
    </row>
    <row r="253" spans="1:10" x14ac:dyDescent="0.3">
      <c r="A253" s="4">
        <f t="shared" si="8"/>
        <v>44</v>
      </c>
      <c r="B253" s="221"/>
      <c r="C253" s="221"/>
      <c r="D253" s="221"/>
      <c r="E253" s="221"/>
      <c r="F253" s="221"/>
      <c r="G253" s="42"/>
      <c r="H253" s="42"/>
      <c r="I253" s="92"/>
      <c r="J253" s="4">
        <f t="shared" si="9"/>
        <v>44</v>
      </c>
    </row>
    <row r="254" spans="1:10" x14ac:dyDescent="0.3">
      <c r="A254" s="4">
        <f t="shared" si="8"/>
        <v>45</v>
      </c>
      <c r="B254" s="33" t="s">
        <v>1087</v>
      </c>
      <c r="C254" s="221"/>
      <c r="D254" s="221"/>
      <c r="E254" s="221"/>
      <c r="F254" s="221"/>
      <c r="G254" s="42"/>
      <c r="H254" s="42"/>
      <c r="I254" s="467"/>
      <c r="J254" s="4">
        <f t="shared" si="9"/>
        <v>45</v>
      </c>
    </row>
    <row r="255" spans="1:10" x14ac:dyDescent="0.3">
      <c r="A255" s="4">
        <f t="shared" si="8"/>
        <v>46</v>
      </c>
      <c r="B255" s="32" t="s">
        <v>1679</v>
      </c>
      <c r="D255" s="221"/>
      <c r="E255" s="221"/>
      <c r="F255" s="221"/>
      <c r="G255" s="136">
        <f>G105</f>
        <v>0</v>
      </c>
      <c r="H255" s="221"/>
      <c r="I255" s="92" t="s">
        <v>1697</v>
      </c>
      <c r="J255" s="4">
        <f t="shared" si="9"/>
        <v>46</v>
      </c>
    </row>
    <row r="256" spans="1:10" x14ac:dyDescent="0.3">
      <c r="A256" s="4">
        <f t="shared" si="8"/>
        <v>47</v>
      </c>
      <c r="B256" s="32" t="s">
        <v>1089</v>
      </c>
      <c r="D256" s="221"/>
      <c r="E256" s="221"/>
      <c r="F256" s="221"/>
      <c r="G256" s="139">
        <v>0</v>
      </c>
      <c r="H256" s="221"/>
      <c r="I256" s="92" t="s">
        <v>1115</v>
      </c>
      <c r="J256" s="4">
        <f t="shared" si="9"/>
        <v>47</v>
      </c>
    </row>
    <row r="257" spans="1:10" x14ac:dyDescent="0.3">
      <c r="A257" s="4">
        <f t="shared" si="8"/>
        <v>48</v>
      </c>
      <c r="B257" s="32" t="s">
        <v>1091</v>
      </c>
      <c r="D257" s="221"/>
      <c r="E257" s="221"/>
      <c r="F257" s="221"/>
      <c r="G257" s="111">
        <v>0</v>
      </c>
      <c r="H257" s="221"/>
      <c r="I257" s="424" t="s">
        <v>289</v>
      </c>
      <c r="J257" s="4">
        <f t="shared" si="9"/>
        <v>48</v>
      </c>
    </row>
    <row r="258" spans="1:10" x14ac:dyDescent="0.3">
      <c r="A258" s="4">
        <f t="shared" si="8"/>
        <v>49</v>
      </c>
      <c r="B258" s="32" t="s">
        <v>1116</v>
      </c>
      <c r="D258" s="221"/>
      <c r="E258" s="221"/>
      <c r="F258" s="221"/>
      <c r="G258" s="22">
        <f>'BK-1 Retail TRR'!E142</f>
        <v>0</v>
      </c>
      <c r="H258" s="221"/>
      <c r="I258" s="92" t="s">
        <v>1117</v>
      </c>
      <c r="J258" s="4">
        <f t="shared" si="9"/>
        <v>49</v>
      </c>
    </row>
    <row r="259" spans="1:10" x14ac:dyDescent="0.3">
      <c r="A259" s="4">
        <f t="shared" si="8"/>
        <v>50</v>
      </c>
      <c r="B259" s="32" t="s">
        <v>1094</v>
      </c>
      <c r="D259" s="221"/>
      <c r="E259" s="221"/>
      <c r="F259" s="221"/>
      <c r="G259" s="1066" t="str">
        <f>G170</f>
        <v>21%</v>
      </c>
      <c r="H259" s="221"/>
      <c r="I259" s="92" t="s">
        <v>1803</v>
      </c>
      <c r="J259" s="4">
        <f t="shared" si="9"/>
        <v>50</v>
      </c>
    </row>
    <row r="260" spans="1:10" x14ac:dyDescent="0.3">
      <c r="A260" s="4">
        <f t="shared" si="8"/>
        <v>51</v>
      </c>
      <c r="G260" s="4"/>
      <c r="H260" s="4"/>
      <c r="J260" s="4">
        <f t="shared" si="9"/>
        <v>51</v>
      </c>
    </row>
    <row r="261" spans="1:10" x14ac:dyDescent="0.3">
      <c r="A261" s="4">
        <f t="shared" si="8"/>
        <v>52</v>
      </c>
      <c r="B261" s="32" t="s">
        <v>1097</v>
      </c>
      <c r="D261" s="221"/>
      <c r="E261" s="221"/>
      <c r="F261" s="221"/>
      <c r="G261" s="1065">
        <f>IFERROR((((G255)+(G257/G258))*G259-(G256/G258))/(1-G259),0)</f>
        <v>0</v>
      </c>
      <c r="H261" s="26"/>
      <c r="I261" s="92" t="s">
        <v>1119</v>
      </c>
      <c r="J261" s="4">
        <f t="shared" si="9"/>
        <v>52</v>
      </c>
    </row>
    <row r="262" spans="1:10" x14ac:dyDescent="0.3">
      <c r="A262" s="4">
        <f t="shared" si="8"/>
        <v>53</v>
      </c>
      <c r="B262" s="252" t="s">
        <v>1099</v>
      </c>
      <c r="D262" s="252"/>
      <c r="G262" s="27"/>
      <c r="H262" s="27"/>
      <c r="J262" s="4">
        <f t="shared" si="9"/>
        <v>53</v>
      </c>
    </row>
    <row r="263" spans="1:10" x14ac:dyDescent="0.3">
      <c r="A263" s="4">
        <f t="shared" si="8"/>
        <v>54</v>
      </c>
      <c r="G263" s="4"/>
      <c r="H263" s="4"/>
      <c r="J263" s="4">
        <f t="shared" si="9"/>
        <v>54</v>
      </c>
    </row>
    <row r="264" spans="1:10" x14ac:dyDescent="0.3">
      <c r="A264" s="4">
        <f t="shared" si="8"/>
        <v>55</v>
      </c>
      <c r="B264" s="254" t="s">
        <v>1100</v>
      </c>
      <c r="C264" s="221"/>
      <c r="D264" s="221"/>
      <c r="E264" s="221"/>
      <c r="F264" s="221"/>
      <c r="G264" s="137"/>
      <c r="H264" s="137"/>
      <c r="I264" s="470"/>
      <c r="J264" s="4">
        <f t="shared" si="9"/>
        <v>55</v>
      </c>
    </row>
    <row r="265" spans="1:10" x14ac:dyDescent="0.3">
      <c r="A265" s="4">
        <f t="shared" si="8"/>
        <v>56</v>
      </c>
      <c r="B265" s="343"/>
      <c r="C265" s="221"/>
      <c r="D265" s="221"/>
      <c r="E265" s="221"/>
      <c r="F265" s="221"/>
      <c r="G265" s="137"/>
      <c r="H265" s="137"/>
      <c r="I265" s="467"/>
      <c r="J265" s="4">
        <f t="shared" si="9"/>
        <v>56</v>
      </c>
    </row>
    <row r="266" spans="1:10" x14ac:dyDescent="0.3">
      <c r="A266" s="4">
        <f t="shared" si="8"/>
        <v>57</v>
      </c>
      <c r="B266" s="33" t="s">
        <v>1087</v>
      </c>
      <c r="C266" s="221"/>
      <c r="D266" s="221"/>
      <c r="E266" s="221"/>
      <c r="F266" s="221"/>
      <c r="G266" s="137"/>
      <c r="H266" s="137"/>
      <c r="I266" s="467"/>
      <c r="J266" s="4">
        <f t="shared" si="9"/>
        <v>57</v>
      </c>
    </row>
    <row r="267" spans="1:10" x14ac:dyDescent="0.3">
      <c r="A267" s="4">
        <f t="shared" si="8"/>
        <v>58</v>
      </c>
      <c r="B267" s="32" t="s">
        <v>1679</v>
      </c>
      <c r="D267" s="221"/>
      <c r="E267" s="221"/>
      <c r="F267" s="221"/>
      <c r="G267" s="136">
        <f>G255</f>
        <v>0</v>
      </c>
      <c r="H267" s="27"/>
      <c r="I267" s="92" t="s">
        <v>1684</v>
      </c>
      <c r="J267" s="4">
        <f t="shared" si="9"/>
        <v>58</v>
      </c>
    </row>
    <row r="268" spans="1:10" x14ac:dyDescent="0.3">
      <c r="A268" s="4">
        <f t="shared" si="8"/>
        <v>59</v>
      </c>
      <c r="B268" s="32" t="s">
        <v>1102</v>
      </c>
      <c r="D268" s="221"/>
      <c r="E268" s="221"/>
      <c r="F268" s="221"/>
      <c r="G268" s="139">
        <v>0</v>
      </c>
      <c r="H268" s="27"/>
      <c r="I268" s="92" t="s">
        <v>1115</v>
      </c>
      <c r="J268" s="4">
        <f t="shared" si="9"/>
        <v>59</v>
      </c>
    </row>
    <row r="269" spans="1:10" x14ac:dyDescent="0.3">
      <c r="A269" s="4">
        <f t="shared" si="8"/>
        <v>60</v>
      </c>
      <c r="B269" s="32" t="s">
        <v>1091</v>
      </c>
      <c r="D269" s="221"/>
      <c r="E269" s="221"/>
      <c r="F269" s="221"/>
      <c r="G269" s="22">
        <f>G257</f>
        <v>0</v>
      </c>
      <c r="H269" s="45"/>
      <c r="I269" s="92" t="s">
        <v>1794</v>
      </c>
      <c r="J269" s="4">
        <f t="shared" si="9"/>
        <v>60</v>
      </c>
    </row>
    <row r="270" spans="1:10" x14ac:dyDescent="0.3">
      <c r="A270" s="4">
        <f t="shared" si="8"/>
        <v>61</v>
      </c>
      <c r="B270" s="32" t="s">
        <v>1116</v>
      </c>
      <c r="D270" s="221"/>
      <c r="E270" s="221"/>
      <c r="F270" s="221"/>
      <c r="G270" s="22">
        <f>G258</f>
        <v>0</v>
      </c>
      <c r="H270" s="45"/>
      <c r="I270" s="92" t="s">
        <v>1795</v>
      </c>
      <c r="J270" s="4">
        <f t="shared" si="9"/>
        <v>61</v>
      </c>
    </row>
    <row r="271" spans="1:10" x14ac:dyDescent="0.3">
      <c r="A271" s="4">
        <f t="shared" si="8"/>
        <v>62</v>
      </c>
      <c r="B271" s="32" t="s">
        <v>1106</v>
      </c>
      <c r="D271" s="221"/>
      <c r="E271" s="221"/>
      <c r="F271" s="221"/>
      <c r="G271" s="1161">
        <f>G261</f>
        <v>0</v>
      </c>
      <c r="H271" s="26"/>
      <c r="I271" s="92" t="s">
        <v>1796</v>
      </c>
      <c r="J271" s="4">
        <f t="shared" si="9"/>
        <v>62</v>
      </c>
    </row>
    <row r="272" spans="1:10" x14ac:dyDescent="0.3">
      <c r="A272" s="4">
        <f t="shared" si="8"/>
        <v>63</v>
      </c>
      <c r="B272" s="32" t="s">
        <v>1108</v>
      </c>
      <c r="D272" s="221"/>
      <c r="E272" s="221"/>
      <c r="F272" s="221"/>
      <c r="G272" s="931" t="str">
        <f>G183</f>
        <v>8.84%</v>
      </c>
      <c r="H272" s="221"/>
      <c r="I272" s="92" t="s">
        <v>1804</v>
      </c>
      <c r="J272" s="4">
        <f t="shared" si="9"/>
        <v>63</v>
      </c>
    </row>
    <row r="273" spans="1:10" x14ac:dyDescent="0.3">
      <c r="A273" s="4">
        <f t="shared" si="8"/>
        <v>64</v>
      </c>
      <c r="B273" s="1"/>
      <c r="D273" s="221"/>
      <c r="E273" s="221"/>
      <c r="F273" s="221"/>
      <c r="G273" s="138"/>
      <c r="H273" s="138"/>
      <c r="I273" s="472"/>
      <c r="J273" s="4">
        <f t="shared" si="9"/>
        <v>64</v>
      </c>
    </row>
    <row r="274" spans="1:10" x14ac:dyDescent="0.3">
      <c r="A274" s="4">
        <f t="shared" si="8"/>
        <v>65</v>
      </c>
      <c r="B274" s="32" t="s">
        <v>1111</v>
      </c>
      <c r="C274" s="4"/>
      <c r="D274" s="4"/>
      <c r="E274" s="221"/>
      <c r="F274" s="221"/>
      <c r="G274" s="1065">
        <f>IFERROR((((G267)+(G269/G270)+G261)*G272-(G268/G270))/(1-G272),0)</f>
        <v>0</v>
      </c>
      <c r="H274" s="26"/>
      <c r="I274" s="92" t="s">
        <v>1112</v>
      </c>
      <c r="J274" s="4">
        <f t="shared" si="9"/>
        <v>65</v>
      </c>
    </row>
    <row r="275" spans="1:10" x14ac:dyDescent="0.3">
      <c r="A275" s="4">
        <f t="shared" si="8"/>
        <v>66</v>
      </c>
      <c r="B275" s="252" t="s">
        <v>1113</v>
      </c>
      <c r="D275" s="252"/>
      <c r="G275" s="4"/>
      <c r="H275" s="4"/>
      <c r="I275" s="92"/>
      <c r="J275" s="4">
        <f t="shared" si="9"/>
        <v>66</v>
      </c>
    </row>
    <row r="276" spans="1:10" x14ac:dyDescent="0.3">
      <c r="A276" s="4">
        <f t="shared" si="8"/>
        <v>67</v>
      </c>
      <c r="G276" s="4"/>
      <c r="H276" s="4"/>
      <c r="I276" s="92"/>
      <c r="J276" s="4">
        <f t="shared" si="9"/>
        <v>67</v>
      </c>
    </row>
    <row r="277" spans="1:10" x14ac:dyDescent="0.3">
      <c r="A277" s="4">
        <f t="shared" si="8"/>
        <v>68</v>
      </c>
      <c r="B277" s="254" t="s">
        <v>1673</v>
      </c>
      <c r="G277" s="1065">
        <f>G261+G274</f>
        <v>0</v>
      </c>
      <c r="H277" s="26"/>
      <c r="I277" s="92" t="s">
        <v>1807</v>
      </c>
      <c r="J277" s="4">
        <f t="shared" si="9"/>
        <v>68</v>
      </c>
    </row>
    <row r="278" spans="1:10" x14ac:dyDescent="0.3">
      <c r="A278" s="4">
        <f t="shared" si="8"/>
        <v>69</v>
      </c>
      <c r="B278" s="254"/>
      <c r="G278" s="26"/>
      <c r="H278" s="26"/>
      <c r="I278" s="92"/>
      <c r="J278" s="4">
        <f t="shared" si="9"/>
        <v>69</v>
      </c>
    </row>
    <row r="279" spans="1:10" x14ac:dyDescent="0.3">
      <c r="A279" s="4">
        <f t="shared" si="8"/>
        <v>70</v>
      </c>
      <c r="B279" s="32" t="s">
        <v>1639</v>
      </c>
      <c r="G279" s="1126">
        <f>G258*G261</f>
        <v>0</v>
      </c>
      <c r="H279" s="26"/>
      <c r="I279" s="92" t="s">
        <v>1798</v>
      </c>
      <c r="J279" s="4">
        <f t="shared" si="9"/>
        <v>70</v>
      </c>
    </row>
    <row r="280" spans="1:10" x14ac:dyDescent="0.3">
      <c r="A280" s="4">
        <f t="shared" si="8"/>
        <v>71</v>
      </c>
      <c r="B280" s="32" t="s">
        <v>1641</v>
      </c>
      <c r="G280" s="1135">
        <f>G258*G274</f>
        <v>0</v>
      </c>
      <c r="H280" s="26"/>
      <c r="I280" s="92" t="s">
        <v>1799</v>
      </c>
      <c r="J280" s="4">
        <f t="shared" si="9"/>
        <v>71</v>
      </c>
    </row>
    <row r="281" spans="1:10" ht="16.2" thickBot="1" x14ac:dyDescent="0.35">
      <c r="A281" s="4">
        <f t="shared" si="8"/>
        <v>72</v>
      </c>
      <c r="B281" s="32" t="s">
        <v>1643</v>
      </c>
      <c r="G281" s="1205">
        <f>G279+G280</f>
        <v>0</v>
      </c>
      <c r="H281" s="26"/>
      <c r="I281" s="92" t="s">
        <v>1800</v>
      </c>
      <c r="J281" s="4">
        <f t="shared" si="9"/>
        <v>72</v>
      </c>
    </row>
    <row r="282" spans="1:10" ht="16.2" thickTop="1" x14ac:dyDescent="0.3">
      <c r="A282" s="4">
        <f t="shared" si="8"/>
        <v>73</v>
      </c>
      <c r="G282" s="4"/>
      <c r="H282" s="4"/>
      <c r="I282" s="92"/>
      <c r="J282" s="4">
        <f t="shared" si="9"/>
        <v>73</v>
      </c>
    </row>
    <row r="283" spans="1:10" x14ac:dyDescent="0.3">
      <c r="A283" s="4">
        <f t="shared" si="8"/>
        <v>74</v>
      </c>
      <c r="B283" s="254" t="s">
        <v>1686</v>
      </c>
      <c r="G283" s="871">
        <f>G103</f>
        <v>0</v>
      </c>
      <c r="H283" s="221"/>
      <c r="I283" s="92" t="s">
        <v>1700</v>
      </c>
      <c r="J283" s="4">
        <f t="shared" si="9"/>
        <v>74</v>
      </c>
    </row>
    <row r="284" spans="1:10" x14ac:dyDescent="0.3">
      <c r="A284" s="4">
        <f t="shared" si="8"/>
        <v>75</v>
      </c>
      <c r="B284" s="254"/>
      <c r="G284" s="26"/>
      <c r="H284" s="221"/>
      <c r="I284" s="92"/>
      <c r="J284" s="4">
        <f t="shared" si="9"/>
        <v>75</v>
      </c>
    </row>
    <row r="285" spans="1:10" ht="16.2" thickBot="1" x14ac:dyDescent="0.35">
      <c r="A285" s="4">
        <f t="shared" ref="A285:A287" si="10">A284+1</f>
        <v>76</v>
      </c>
      <c r="B285" s="32" t="s">
        <v>1650</v>
      </c>
      <c r="G285" s="1206">
        <f>G258*G283</f>
        <v>0</v>
      </c>
      <c r="H285" s="221"/>
      <c r="I285" s="92" t="s">
        <v>1805</v>
      </c>
      <c r="J285" s="4">
        <f t="shared" ref="J285:J286" si="11">J284+1</f>
        <v>76</v>
      </c>
    </row>
    <row r="286" spans="1:10" ht="16.2" thickTop="1" x14ac:dyDescent="0.3">
      <c r="A286" s="4">
        <f t="shared" si="10"/>
        <v>77</v>
      </c>
      <c r="G286" s="4"/>
      <c r="H286" s="4"/>
      <c r="I286" s="92"/>
      <c r="J286" s="4">
        <f t="shared" si="11"/>
        <v>77</v>
      </c>
    </row>
    <row r="287" spans="1:10" ht="18.600000000000001" thickBot="1" x14ac:dyDescent="0.35">
      <c r="A287" s="4">
        <f t="shared" si="10"/>
        <v>78</v>
      </c>
      <c r="B287" s="254" t="s">
        <v>1688</v>
      </c>
      <c r="G287" s="1144">
        <f>G277+G283</f>
        <v>0</v>
      </c>
      <c r="H287" s="26"/>
      <c r="I287" s="92" t="s">
        <v>1801</v>
      </c>
      <c r="J287" s="4">
        <f t="shared" ref="J287" si="12">J286+1</f>
        <v>78</v>
      </c>
    </row>
    <row r="288" spans="1:10" ht="16.2" thickTop="1" x14ac:dyDescent="0.3">
      <c r="B288" s="254"/>
      <c r="G288" s="26"/>
      <c r="H288" s="26"/>
      <c r="I288" s="92"/>
      <c r="J288" s="4"/>
    </row>
    <row r="290" spans="1:2" ht="18" x14ac:dyDescent="0.3">
      <c r="A290" s="269">
        <v>1</v>
      </c>
      <c r="B290" s="32" t="s">
        <v>1821</v>
      </c>
    </row>
    <row r="292" spans="1:2" ht="18" x14ac:dyDescent="0.3">
      <c r="A292" s="269"/>
    </row>
  </sheetData>
  <mergeCells count="20">
    <mergeCell ref="B203:I203"/>
    <mergeCell ref="B204:I204"/>
    <mergeCell ref="B205:I205"/>
    <mergeCell ref="B113:I113"/>
    <mergeCell ref="B114:I114"/>
    <mergeCell ref="B115:I115"/>
    <mergeCell ref="B116:I116"/>
    <mergeCell ref="B201:I201"/>
    <mergeCell ref="B202:I202"/>
    <mergeCell ref="B112:I112"/>
    <mergeCell ref="B2:I2"/>
    <mergeCell ref="B3:I3"/>
    <mergeCell ref="B4:I4"/>
    <mergeCell ref="B5:I5"/>
    <mergeCell ref="B6:I6"/>
    <mergeCell ref="B73:I73"/>
    <mergeCell ref="B74:I74"/>
    <mergeCell ref="B75:I75"/>
    <mergeCell ref="B76:I76"/>
    <mergeCell ref="B77:I77"/>
  </mergeCells>
  <printOptions horizontalCentered="1"/>
  <pageMargins left="0" right="0" top="0.5" bottom="0.5" header="0.25" footer="0.25"/>
  <pageSetup scale="49" fitToHeight="0" orientation="portrait" r:id="rId1"/>
  <headerFooter scaleWithDoc="0">
    <oddFooter>&amp;C&amp;"Times New Roman,Regular"&amp;10&amp;A
Page &amp;P of &amp;N</oddFooter>
    <evenFooter>&amp;C&amp;"Times New Roman,Regular"&amp;10AV3</evenFooter>
    <firstFooter>&amp;C&amp;"Times New Roman,Regular"&amp;10AV&amp;P</firstFooter>
  </headerFooter>
  <rowBreaks count="3" manualBreakCount="3">
    <brk id="71" max="16383" man="1"/>
    <brk id="110" max="9" man="1"/>
    <brk id="199" max="16383" man="1"/>
  </rowBreaks>
  <customProperties>
    <customPr name="_pios_id" r:id="rId2"/>
  </customProperties>
  <drawing r:id="rId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08971-C1F9-4C17-ADC7-573B8FBF6EA7}">
  <sheetPr>
    <pageSetUpPr fitToPage="1"/>
  </sheetPr>
  <dimension ref="A2:G35"/>
  <sheetViews>
    <sheetView zoomScale="80" zoomScaleNormal="80" workbookViewId="0"/>
  </sheetViews>
  <sheetFormatPr defaultColWidth="8.6640625" defaultRowHeight="15.6" x14ac:dyDescent="0.3"/>
  <cols>
    <col min="1" max="1" width="5.33203125" style="344" customWidth="1"/>
    <col min="2" max="2" width="42.5546875" style="5" customWidth="1"/>
    <col min="3" max="3" width="35.6640625" style="5" customWidth="1"/>
    <col min="4" max="4" width="5.33203125" style="344" customWidth="1"/>
    <col min="5" max="16384" width="8.6640625" style="5"/>
  </cols>
  <sheetData>
    <row r="2" spans="1:7" ht="15.75" customHeight="1" x14ac:dyDescent="0.3">
      <c r="B2" s="1222" t="s">
        <v>1120</v>
      </c>
      <c r="C2" s="1222"/>
    </row>
    <row r="3" spans="1:7" ht="15.75" customHeight="1" x14ac:dyDescent="0.3">
      <c r="B3" s="1222" t="s">
        <v>1121</v>
      </c>
      <c r="C3" s="1222"/>
    </row>
    <row r="4" spans="1:7" ht="15.75" customHeight="1" x14ac:dyDescent="0.3">
      <c r="B4" s="1225" t="s">
        <v>1530</v>
      </c>
      <c r="C4" s="1225"/>
    </row>
    <row r="5" spans="1:7" x14ac:dyDescent="0.3">
      <c r="B5" s="1225" t="s">
        <v>1624</v>
      </c>
      <c r="C5" s="1225"/>
    </row>
    <row r="6" spans="1:7" ht="15.75" customHeight="1" x14ac:dyDescent="0.3">
      <c r="B6" s="1225" t="s">
        <v>1600</v>
      </c>
      <c r="C6" s="1225"/>
    </row>
    <row r="7" spans="1:7" ht="17.7" customHeight="1" x14ac:dyDescent="0.3">
      <c r="B7" s="1251">
        <v>-1000</v>
      </c>
      <c r="C7" s="1251"/>
      <c r="D7" s="47"/>
    </row>
    <row r="8" spans="1:7" ht="17.7" customHeight="1" thickBot="1" x14ac:dyDescent="0.35">
      <c r="B8" s="420"/>
      <c r="C8" s="420"/>
      <c r="D8" s="47"/>
    </row>
    <row r="9" spans="1:7" ht="17.7" customHeight="1" x14ac:dyDescent="0.3">
      <c r="B9" s="589"/>
      <c r="C9" s="591" t="s">
        <v>1122</v>
      </c>
      <c r="D9" s="47"/>
    </row>
    <row r="10" spans="1:7" ht="17.7" customHeight="1" x14ac:dyDescent="0.3">
      <c r="A10" s="47" t="s">
        <v>5</v>
      </c>
      <c r="B10" s="590"/>
      <c r="C10" s="592" t="s">
        <v>1123</v>
      </c>
      <c r="D10" s="47" t="s">
        <v>5</v>
      </c>
    </row>
    <row r="11" spans="1:7" ht="18.600000000000001" thickBot="1" x14ac:dyDescent="0.35">
      <c r="A11" s="477" t="s">
        <v>6</v>
      </c>
      <c r="B11" s="587" t="s">
        <v>1124</v>
      </c>
      <c r="C11" s="588" t="s">
        <v>1125</v>
      </c>
      <c r="D11" s="477" t="s">
        <v>6</v>
      </c>
    </row>
    <row r="12" spans="1:7" x14ac:dyDescent="0.3">
      <c r="A12" s="477"/>
      <c r="B12" s="478"/>
      <c r="C12" s="479"/>
      <c r="D12" s="477"/>
    </row>
    <row r="13" spans="1:7" x14ac:dyDescent="0.3">
      <c r="A13" s="344">
        <v>1</v>
      </c>
      <c r="B13" s="480" t="s">
        <v>1751</v>
      </c>
      <c r="C13" s="596">
        <v>1270.0222200000001</v>
      </c>
      <c r="D13" s="344">
        <f>A13</f>
        <v>1</v>
      </c>
      <c r="G13" s="145"/>
    </row>
    <row r="14" spans="1:7" x14ac:dyDescent="0.3">
      <c r="A14" s="344">
        <f>A13+1</f>
        <v>2</v>
      </c>
      <c r="B14" s="480"/>
      <c r="C14" s="576"/>
      <c r="D14" s="344">
        <f>D13+1</f>
        <v>2</v>
      </c>
    </row>
    <row r="15" spans="1:7" x14ac:dyDescent="0.3">
      <c r="A15" s="344">
        <f t="shared" ref="A15:A17" si="0">A14+1</f>
        <v>3</v>
      </c>
      <c r="B15" s="480" t="s">
        <v>1752</v>
      </c>
      <c r="C15" s="577">
        <v>7521.0249300000069</v>
      </c>
      <c r="D15" s="344">
        <f t="shared" ref="D15:D17" si="1">D14+1</f>
        <v>3</v>
      </c>
      <c r="G15" s="119"/>
    </row>
    <row r="16" spans="1:7" x14ac:dyDescent="0.3">
      <c r="A16" s="344">
        <f t="shared" si="0"/>
        <v>4</v>
      </c>
      <c r="B16" s="480"/>
      <c r="C16" s="577"/>
      <c r="D16" s="344">
        <f t="shared" si="1"/>
        <v>4</v>
      </c>
    </row>
    <row r="17" spans="1:4" ht="16.2" thickBot="1" x14ac:dyDescent="0.35">
      <c r="A17" s="344">
        <f t="shared" si="0"/>
        <v>5</v>
      </c>
      <c r="B17" s="663">
        <v>2021</v>
      </c>
      <c r="C17" s="186">
        <v>1065.3933300000001</v>
      </c>
      <c r="D17" s="344">
        <f t="shared" si="1"/>
        <v>5</v>
      </c>
    </row>
    <row r="18" spans="1:4" x14ac:dyDescent="0.3">
      <c r="A18" s="344">
        <f t="shared" ref="A18:A30" si="2">A17+1</f>
        <v>6</v>
      </c>
      <c r="B18" s="480"/>
      <c r="C18" s="577"/>
      <c r="D18" s="344">
        <f t="shared" ref="D18:D30" si="3">D17+1</f>
        <v>6</v>
      </c>
    </row>
    <row r="19" spans="1:4" x14ac:dyDescent="0.3">
      <c r="A19" s="344">
        <f t="shared" si="2"/>
        <v>7</v>
      </c>
      <c r="B19" s="480">
        <v>2022</v>
      </c>
      <c r="C19" s="577">
        <v>1025.5009799999993</v>
      </c>
      <c r="D19" s="344">
        <f t="shared" si="3"/>
        <v>7</v>
      </c>
    </row>
    <row r="20" spans="1:4" x14ac:dyDescent="0.3">
      <c r="A20" s="344">
        <f t="shared" si="2"/>
        <v>8</v>
      </c>
      <c r="B20" s="480"/>
      <c r="C20" s="577"/>
      <c r="D20" s="344">
        <f t="shared" si="3"/>
        <v>8</v>
      </c>
    </row>
    <row r="21" spans="1:4" x14ac:dyDescent="0.3">
      <c r="A21" s="344">
        <f t="shared" si="2"/>
        <v>9</v>
      </c>
      <c r="B21" s="480">
        <v>2023</v>
      </c>
      <c r="C21" s="577">
        <v>391.6803699999997</v>
      </c>
      <c r="D21" s="344">
        <f t="shared" si="3"/>
        <v>9</v>
      </c>
    </row>
    <row r="22" spans="1:4" x14ac:dyDescent="0.3">
      <c r="A22" s="344">
        <f t="shared" si="2"/>
        <v>10</v>
      </c>
      <c r="B22" s="480"/>
      <c r="C22" s="240"/>
      <c r="D22" s="344">
        <f t="shared" si="3"/>
        <v>10</v>
      </c>
    </row>
    <row r="23" spans="1:4" x14ac:dyDescent="0.3">
      <c r="A23" s="344">
        <f t="shared" si="2"/>
        <v>11</v>
      </c>
      <c r="B23" s="480"/>
      <c r="C23" s="241"/>
      <c r="D23" s="344">
        <f t="shared" si="3"/>
        <v>11</v>
      </c>
    </row>
    <row r="24" spans="1:4" x14ac:dyDescent="0.3">
      <c r="A24" s="344">
        <f t="shared" si="2"/>
        <v>12</v>
      </c>
      <c r="B24" s="480" t="s">
        <v>200</v>
      </c>
      <c r="C24" s="242">
        <f>SUM(C13:C23)</f>
        <v>11273.621830000007</v>
      </c>
      <c r="D24" s="344">
        <f t="shared" si="3"/>
        <v>12</v>
      </c>
    </row>
    <row r="25" spans="1:4" x14ac:dyDescent="0.3">
      <c r="A25" s="344">
        <f t="shared" si="2"/>
        <v>13</v>
      </c>
      <c r="B25" s="480"/>
      <c r="C25" s="242"/>
      <c r="D25" s="344">
        <f t="shared" si="3"/>
        <v>13</v>
      </c>
    </row>
    <row r="26" spans="1:4" x14ac:dyDescent="0.3">
      <c r="A26" s="344">
        <f t="shared" si="2"/>
        <v>14</v>
      </c>
      <c r="B26" s="831" t="s">
        <v>1126</v>
      </c>
      <c r="C26" s="832">
        <f>-'AV-1B'!C19</f>
        <v>-197.33238</v>
      </c>
      <c r="D26" s="344">
        <f t="shared" si="3"/>
        <v>14</v>
      </c>
    </row>
    <row r="27" spans="1:4" x14ac:dyDescent="0.3">
      <c r="A27" s="344">
        <f t="shared" si="2"/>
        <v>15</v>
      </c>
      <c r="B27" s="480" t="s">
        <v>1127</v>
      </c>
      <c r="C27" s="240">
        <f>-'AV-1B'!C33</f>
        <v>-56.027447560000006</v>
      </c>
      <c r="D27" s="344">
        <f t="shared" si="3"/>
        <v>15</v>
      </c>
    </row>
    <row r="28" spans="1:4" x14ac:dyDescent="0.3">
      <c r="A28" s="344">
        <f t="shared" si="2"/>
        <v>16</v>
      </c>
      <c r="B28" s="480"/>
      <c r="C28" s="242"/>
      <c r="D28" s="344">
        <f t="shared" si="3"/>
        <v>16</v>
      </c>
    </row>
    <row r="29" spans="1:4" ht="47.4" thickBot="1" x14ac:dyDescent="0.35">
      <c r="A29" s="344">
        <f t="shared" si="2"/>
        <v>17</v>
      </c>
      <c r="B29" s="481" t="s">
        <v>1128</v>
      </c>
      <c r="C29" s="140">
        <f>SUM(C24:C27)</f>
        <v>11020.262002440008</v>
      </c>
      <c r="D29" s="344">
        <f t="shared" si="3"/>
        <v>17</v>
      </c>
    </row>
    <row r="30" spans="1:4" ht="16.8" thickTop="1" thickBot="1" x14ac:dyDescent="0.35">
      <c r="A30" s="344">
        <f t="shared" si="2"/>
        <v>18</v>
      </c>
      <c r="B30" s="664"/>
      <c r="C30" s="243"/>
      <c r="D30" s="344">
        <f t="shared" si="3"/>
        <v>18</v>
      </c>
    </row>
    <row r="33" spans="1:2" ht="18" x14ac:dyDescent="0.3">
      <c r="A33" s="256">
        <v>1</v>
      </c>
      <c r="B33" s="5" t="s">
        <v>1129</v>
      </c>
    </row>
    <row r="34" spans="1:2" x14ac:dyDescent="0.3">
      <c r="B34" s="5" t="s">
        <v>1130</v>
      </c>
    </row>
    <row r="35" spans="1:2" x14ac:dyDescent="0.3">
      <c r="B35" s="5" t="s">
        <v>1131</v>
      </c>
    </row>
  </sheetData>
  <mergeCells count="6">
    <mergeCell ref="B7:C7"/>
    <mergeCell ref="B2:C2"/>
    <mergeCell ref="B3:C3"/>
    <mergeCell ref="B4:C4"/>
    <mergeCell ref="B5:C5"/>
    <mergeCell ref="B6:C6"/>
  </mergeCells>
  <printOptions horizontalCentered="1"/>
  <pageMargins left="0.25" right="0.25" top="0.5" bottom="0.5" header="0.25" footer="0.25"/>
  <pageSetup orientation="portrait" r:id="rId1"/>
  <headerFooter scaleWithDoc="0" alignWithMargins="0">
    <oddFooter>&amp;C&amp;A</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pageSetUpPr fitToPage="1"/>
  </sheetPr>
  <dimension ref="A1:E34"/>
  <sheetViews>
    <sheetView zoomScale="80" zoomScaleNormal="80" workbookViewId="0"/>
  </sheetViews>
  <sheetFormatPr defaultColWidth="8.6640625" defaultRowHeight="15.6" x14ac:dyDescent="0.3"/>
  <cols>
    <col min="1" max="1" width="5.33203125" style="5" bestFit="1" customWidth="1"/>
    <col min="2" max="2" width="62.44140625" style="5" customWidth="1"/>
    <col min="3" max="3" width="18.5546875" style="5" customWidth="1"/>
    <col min="4" max="4" width="34.5546875" style="5" customWidth="1"/>
    <col min="5" max="5" width="5.33203125" style="344" bestFit="1" customWidth="1"/>
    <col min="6" max="16384" width="8.6640625" style="5"/>
  </cols>
  <sheetData>
    <row r="1" spans="1:5" x14ac:dyDescent="0.3">
      <c r="A1" s="344"/>
    </row>
    <row r="2" spans="1:5" x14ac:dyDescent="0.3">
      <c r="B2" s="1244" t="s">
        <v>1120</v>
      </c>
      <c r="C2" s="1244"/>
      <c r="D2" s="1244"/>
      <c r="E2" s="486"/>
    </row>
    <row r="3" spans="1:5" x14ac:dyDescent="0.3">
      <c r="B3" s="1249" t="s">
        <v>1625</v>
      </c>
      <c r="C3" s="1249"/>
      <c r="D3" s="1249"/>
      <c r="E3" s="486"/>
    </row>
    <row r="4" spans="1:5" x14ac:dyDescent="0.3">
      <c r="B4" s="1244" t="s">
        <v>1132</v>
      </c>
      <c r="C4" s="1244"/>
      <c r="D4" s="1244"/>
      <c r="E4" s="486"/>
    </row>
    <row r="5" spans="1:5" ht="15.75" customHeight="1" x14ac:dyDescent="0.3">
      <c r="B5" s="1225" t="s">
        <v>1600</v>
      </c>
      <c r="C5" s="1225"/>
      <c r="D5" s="1225"/>
    </row>
    <row r="6" spans="1:5" x14ac:dyDescent="0.3">
      <c r="B6" s="1251">
        <v>-1000</v>
      </c>
      <c r="C6" s="1251"/>
      <c r="D6" s="1251"/>
      <c r="E6" s="47"/>
    </row>
    <row r="7" spans="1:5" ht="16.2" thickBot="1" x14ac:dyDescent="0.35">
      <c r="A7" s="344"/>
      <c r="C7" s="344"/>
    </row>
    <row r="8" spans="1:5" x14ac:dyDescent="0.3">
      <c r="A8" s="344" t="s">
        <v>5</v>
      </c>
      <c r="B8" s="483"/>
      <c r="C8" s="484"/>
      <c r="D8" s="485"/>
      <c r="E8" s="344" t="s">
        <v>5</v>
      </c>
    </row>
    <row r="9" spans="1:5" ht="16.2" thickBot="1" x14ac:dyDescent="0.35">
      <c r="A9" s="344" t="s">
        <v>6</v>
      </c>
      <c r="B9" s="665" t="s">
        <v>337</v>
      </c>
      <c r="C9" s="666" t="s">
        <v>7</v>
      </c>
      <c r="D9" s="667" t="s">
        <v>8</v>
      </c>
      <c r="E9" s="344" t="s">
        <v>6</v>
      </c>
    </row>
    <row r="10" spans="1:5" x14ac:dyDescent="0.3">
      <c r="A10" s="486"/>
      <c r="B10" s="487"/>
      <c r="C10" s="833"/>
      <c r="D10" s="668"/>
      <c r="E10" s="486"/>
    </row>
    <row r="11" spans="1:5" x14ac:dyDescent="0.3">
      <c r="A11" s="344">
        <v>1</v>
      </c>
      <c r="B11" s="488" t="s">
        <v>1133</v>
      </c>
      <c r="C11" s="235">
        <v>8358</v>
      </c>
      <c r="D11" s="489"/>
      <c r="E11" s="344">
        <f>A11</f>
        <v>1</v>
      </c>
    </row>
    <row r="12" spans="1:5" x14ac:dyDescent="0.3">
      <c r="A12" s="344">
        <f>A11+1</f>
        <v>2</v>
      </c>
      <c r="B12" s="488"/>
      <c r="C12" s="235"/>
      <c r="D12" s="489"/>
      <c r="E12" s="344">
        <f>E11+1</f>
        <v>2</v>
      </c>
    </row>
    <row r="13" spans="1:5" x14ac:dyDescent="0.3">
      <c r="A13" s="344">
        <f t="shared" ref="A13:A23" si="0">A12+1</f>
        <v>3</v>
      </c>
      <c r="B13" s="488" t="s">
        <v>1134</v>
      </c>
      <c r="C13" s="575">
        <v>0.70830000000000004</v>
      </c>
      <c r="D13" s="489"/>
      <c r="E13" s="344">
        <f t="shared" ref="E13:E24" si="1">E12+1</f>
        <v>3</v>
      </c>
    </row>
    <row r="14" spans="1:5" x14ac:dyDescent="0.3">
      <c r="A14" s="344">
        <f t="shared" si="0"/>
        <v>4</v>
      </c>
      <c r="B14" s="488"/>
      <c r="C14" s="835"/>
      <c r="D14" s="489"/>
      <c r="E14" s="344">
        <f t="shared" si="1"/>
        <v>4</v>
      </c>
    </row>
    <row r="15" spans="1:5" x14ac:dyDescent="0.3">
      <c r="A15" s="344">
        <f t="shared" si="0"/>
        <v>5</v>
      </c>
      <c r="B15" s="488" t="s">
        <v>1135</v>
      </c>
      <c r="C15" s="961">
        <f>C11*C13</f>
        <v>5919.9714000000004</v>
      </c>
      <c r="D15" s="490" t="s">
        <v>867</v>
      </c>
      <c r="E15" s="344">
        <f t="shared" si="1"/>
        <v>5</v>
      </c>
    </row>
    <row r="16" spans="1:5" x14ac:dyDescent="0.3">
      <c r="A16" s="344">
        <f t="shared" si="0"/>
        <v>6</v>
      </c>
      <c r="B16" s="488"/>
      <c r="C16" s="837"/>
      <c r="D16" s="490"/>
      <c r="E16" s="344">
        <f t="shared" si="1"/>
        <v>6</v>
      </c>
    </row>
    <row r="17" spans="1:5" x14ac:dyDescent="0.3">
      <c r="A17" s="344">
        <f t="shared" si="0"/>
        <v>7</v>
      </c>
      <c r="B17" s="488" t="s">
        <v>1136</v>
      </c>
      <c r="C17" s="141">
        <f>1/30</f>
        <v>3.3333333333333333E-2</v>
      </c>
      <c r="D17" s="490" t="s">
        <v>1137</v>
      </c>
      <c r="E17" s="344">
        <f t="shared" si="1"/>
        <v>7</v>
      </c>
    </row>
    <row r="18" spans="1:5" x14ac:dyDescent="0.3">
      <c r="A18" s="344">
        <f t="shared" si="0"/>
        <v>8</v>
      </c>
      <c r="B18" s="488"/>
      <c r="C18" s="835"/>
      <c r="D18" s="490"/>
      <c r="E18" s="344">
        <f t="shared" si="1"/>
        <v>8</v>
      </c>
    </row>
    <row r="19" spans="1:5" ht="16.2" thickBot="1" x14ac:dyDescent="0.35">
      <c r="A19" s="344">
        <f t="shared" si="0"/>
        <v>9</v>
      </c>
      <c r="B19" s="488" t="s">
        <v>1138</v>
      </c>
      <c r="C19" s="142">
        <f>C15*C17</f>
        <v>197.33238</v>
      </c>
      <c r="D19" s="490" t="s">
        <v>1139</v>
      </c>
      <c r="E19" s="344">
        <f t="shared" si="1"/>
        <v>9</v>
      </c>
    </row>
    <row r="20" spans="1:5" ht="16.8" thickTop="1" thickBot="1" x14ac:dyDescent="0.35">
      <c r="A20" s="344">
        <f t="shared" si="0"/>
        <v>10</v>
      </c>
      <c r="B20" s="664"/>
      <c r="C20" s="669"/>
      <c r="D20" s="670"/>
      <c r="E20" s="344">
        <f t="shared" si="1"/>
        <v>10</v>
      </c>
    </row>
    <row r="21" spans="1:5" ht="16.2" thickBot="1" x14ac:dyDescent="0.35">
      <c r="A21" s="344">
        <f t="shared" si="0"/>
        <v>11</v>
      </c>
      <c r="E21" s="344">
        <f t="shared" si="1"/>
        <v>11</v>
      </c>
    </row>
    <row r="22" spans="1:5" x14ac:dyDescent="0.3">
      <c r="A22" s="344">
        <f t="shared" si="0"/>
        <v>12</v>
      </c>
      <c r="B22" s="483"/>
      <c r="C22" s="484"/>
      <c r="D22" s="485"/>
      <c r="E22" s="344">
        <f t="shared" si="1"/>
        <v>12</v>
      </c>
    </row>
    <row r="23" spans="1:5" ht="16.2" thickBot="1" x14ac:dyDescent="0.35">
      <c r="A23" s="344">
        <f t="shared" si="0"/>
        <v>13</v>
      </c>
      <c r="B23" s="665" t="s">
        <v>337</v>
      </c>
      <c r="C23" s="666" t="s">
        <v>7</v>
      </c>
      <c r="D23" s="667" t="s">
        <v>8</v>
      </c>
      <c r="E23" s="344">
        <f t="shared" si="1"/>
        <v>13</v>
      </c>
    </row>
    <row r="24" spans="1:5" x14ac:dyDescent="0.3">
      <c r="A24" s="344">
        <f t="shared" ref="A24:A34" si="2">A23+1</f>
        <v>14</v>
      </c>
      <c r="B24" s="487"/>
      <c r="C24" s="833"/>
      <c r="D24" s="668"/>
      <c r="E24" s="344">
        <f t="shared" si="1"/>
        <v>14</v>
      </c>
    </row>
    <row r="25" spans="1:5" x14ac:dyDescent="0.3">
      <c r="A25" s="344">
        <f t="shared" si="2"/>
        <v>15</v>
      </c>
      <c r="B25" s="488" t="s">
        <v>1140</v>
      </c>
      <c r="C25" s="834">
        <v>2282.4870000000001</v>
      </c>
      <c r="D25" s="489"/>
      <c r="E25" s="344">
        <f t="shared" ref="E25:E34" si="3">E24+1</f>
        <v>15</v>
      </c>
    </row>
    <row r="26" spans="1:5" x14ac:dyDescent="0.3">
      <c r="A26" s="344">
        <f t="shared" si="2"/>
        <v>16</v>
      </c>
      <c r="B26" s="519"/>
      <c r="C26" s="834"/>
      <c r="D26" s="489"/>
      <c r="E26" s="344">
        <f t="shared" si="3"/>
        <v>16</v>
      </c>
    </row>
    <row r="27" spans="1:5" x14ac:dyDescent="0.3">
      <c r="A27" s="344">
        <f t="shared" si="2"/>
        <v>17</v>
      </c>
      <c r="B27" s="519" t="s">
        <v>1141</v>
      </c>
      <c r="C27" s="575">
        <v>0.73640000000000005</v>
      </c>
      <c r="D27" s="489"/>
      <c r="E27" s="344">
        <f t="shared" si="3"/>
        <v>17</v>
      </c>
    </row>
    <row r="28" spans="1:5" x14ac:dyDescent="0.3">
      <c r="A28" s="344">
        <f t="shared" si="2"/>
        <v>18</v>
      </c>
      <c r="B28" s="488"/>
      <c r="C28" s="835"/>
      <c r="D28" s="489"/>
      <c r="E28" s="344">
        <f t="shared" si="3"/>
        <v>18</v>
      </c>
    </row>
    <row r="29" spans="1:5" x14ac:dyDescent="0.3">
      <c r="A29" s="344">
        <f t="shared" si="2"/>
        <v>19</v>
      </c>
      <c r="B29" s="488" t="s">
        <v>1142</v>
      </c>
      <c r="C29" s="836">
        <f>C25*C27</f>
        <v>1680.8234268000001</v>
      </c>
      <c r="D29" s="490" t="s">
        <v>882</v>
      </c>
      <c r="E29" s="344">
        <f t="shared" si="3"/>
        <v>19</v>
      </c>
    </row>
    <row r="30" spans="1:5" x14ac:dyDescent="0.3">
      <c r="A30" s="344">
        <f t="shared" si="2"/>
        <v>20</v>
      </c>
      <c r="B30" s="488"/>
      <c r="C30" s="837"/>
      <c r="D30" s="490"/>
      <c r="E30" s="344">
        <f t="shared" si="3"/>
        <v>20</v>
      </c>
    </row>
    <row r="31" spans="1:5" x14ac:dyDescent="0.3">
      <c r="A31" s="344">
        <f t="shared" si="2"/>
        <v>21</v>
      </c>
      <c r="B31" s="488" t="s">
        <v>1136</v>
      </c>
      <c r="C31" s="838">
        <f>1/30</f>
        <v>3.3333333333333333E-2</v>
      </c>
      <c r="D31" s="490" t="s">
        <v>1137</v>
      </c>
      <c r="E31" s="344">
        <f t="shared" si="3"/>
        <v>21</v>
      </c>
    </row>
    <row r="32" spans="1:5" x14ac:dyDescent="0.3">
      <c r="A32" s="344">
        <f t="shared" si="2"/>
        <v>22</v>
      </c>
      <c r="B32" s="488"/>
      <c r="C32" s="839"/>
      <c r="D32" s="490"/>
      <c r="E32" s="344">
        <f t="shared" si="3"/>
        <v>22</v>
      </c>
    </row>
    <row r="33" spans="1:5" ht="16.2" thickBot="1" x14ac:dyDescent="0.35">
      <c r="A33" s="344">
        <f t="shared" si="2"/>
        <v>23</v>
      </c>
      <c r="B33" s="488" t="s">
        <v>1138</v>
      </c>
      <c r="C33" s="840">
        <f>C29*C31</f>
        <v>56.027447560000006</v>
      </c>
      <c r="D33" s="490" t="s">
        <v>1143</v>
      </c>
      <c r="E33" s="344">
        <f t="shared" si="3"/>
        <v>23</v>
      </c>
    </row>
    <row r="34" spans="1:5" ht="16.8" thickTop="1" thickBot="1" x14ac:dyDescent="0.35">
      <c r="A34" s="344">
        <f t="shared" si="2"/>
        <v>24</v>
      </c>
      <c r="B34" s="664"/>
      <c r="C34" s="669"/>
      <c r="D34" s="670"/>
      <c r="E34" s="344">
        <f t="shared" si="3"/>
        <v>24</v>
      </c>
    </row>
  </sheetData>
  <mergeCells count="5">
    <mergeCell ref="B2:D2"/>
    <mergeCell ref="B3:D3"/>
    <mergeCell ref="B4:D4"/>
    <mergeCell ref="B5:D5"/>
    <mergeCell ref="B6:D6"/>
  </mergeCells>
  <printOptions horizontalCentered="1"/>
  <pageMargins left="0.5" right="0.5" top="0.5" bottom="0.5" header="0.25" footer="0.25"/>
  <pageSetup orientation="landscape" r:id="rId1"/>
  <headerFooter scaleWithDoc="0">
    <oddFooter>&amp;C&amp;"Times New Roman,Regular"&amp;10&amp;A</oddFooter>
  </headerFooter>
  <customProperties>
    <customPr name="_pios_id" r:id="rId2"/>
  </customPropertie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pageSetUpPr fitToPage="1"/>
  </sheetPr>
  <dimension ref="A1:H22"/>
  <sheetViews>
    <sheetView zoomScale="80" zoomScaleNormal="80" workbookViewId="0"/>
  </sheetViews>
  <sheetFormatPr defaultColWidth="8.6640625" defaultRowHeight="15.6" x14ac:dyDescent="0.3"/>
  <cols>
    <col min="1" max="1" width="5.33203125" style="4" customWidth="1"/>
    <col min="2" max="2" width="50.6640625" style="32" customWidth="1"/>
    <col min="3" max="3" width="21.33203125" style="32" customWidth="1"/>
    <col min="4" max="4" width="1.5546875" style="32" customWidth="1"/>
    <col min="5" max="5" width="16.6640625" style="32" customWidth="1"/>
    <col min="6" max="6" width="1.5546875" style="32" customWidth="1"/>
    <col min="7" max="7" width="34.5546875" style="32" customWidth="1"/>
    <col min="8" max="8" width="5.33203125" style="32" customWidth="1"/>
    <col min="9" max="9" width="8.6640625" style="32"/>
    <col min="10" max="10" width="20.44140625" style="32" bestFit="1" customWidth="1"/>
    <col min="11" max="16384" width="8.6640625" style="32"/>
  </cols>
  <sheetData>
    <row r="1" spans="1:8" x14ac:dyDescent="0.3">
      <c r="E1" s="71"/>
      <c r="F1" s="71"/>
      <c r="G1" s="4"/>
      <c r="H1" s="4"/>
    </row>
    <row r="2" spans="1:8" x14ac:dyDescent="0.3">
      <c r="B2" s="1222" t="s">
        <v>0</v>
      </c>
      <c r="C2" s="1222"/>
      <c r="D2" s="1222"/>
      <c r="E2" s="1222"/>
      <c r="F2" s="1222"/>
      <c r="G2" s="1222"/>
      <c r="H2" s="4"/>
    </row>
    <row r="3" spans="1:8" x14ac:dyDescent="0.3">
      <c r="B3" s="1222" t="s">
        <v>1144</v>
      </c>
      <c r="C3" s="1222"/>
      <c r="D3" s="1222"/>
      <c r="E3" s="1224"/>
      <c r="F3" s="1224"/>
      <c r="G3" s="1224"/>
      <c r="H3" s="4"/>
    </row>
    <row r="4" spans="1:8" x14ac:dyDescent="0.3">
      <c r="B4" s="1227" t="str">
        <f>'Stmt AD'!B5</f>
        <v>Base Period &amp; True-Up Period 12 - Months Ending December 31, 2023</v>
      </c>
      <c r="C4" s="1227"/>
      <c r="D4" s="1227"/>
      <c r="E4" s="1227"/>
      <c r="F4" s="1227"/>
      <c r="G4" s="1227"/>
      <c r="H4" s="4"/>
    </row>
    <row r="5" spans="1:8" x14ac:dyDescent="0.3">
      <c r="B5" s="1226" t="s">
        <v>4</v>
      </c>
      <c r="C5" s="1223"/>
      <c r="D5" s="1223"/>
      <c r="E5" s="1223"/>
      <c r="F5" s="1223"/>
      <c r="G5" s="1223"/>
      <c r="H5" s="4"/>
    </row>
    <row r="6" spans="1:8" x14ac:dyDescent="0.3">
      <c r="B6" s="4"/>
      <c r="C6" s="4"/>
      <c r="D6" s="4"/>
      <c r="E6" s="4"/>
      <c r="F6" s="4"/>
      <c r="G6" s="4"/>
      <c r="H6" s="4"/>
    </row>
    <row r="7" spans="1:8" x14ac:dyDescent="0.3">
      <c r="A7" s="4" t="s">
        <v>5</v>
      </c>
      <c r="B7" s="340"/>
      <c r="C7" s="4" t="s">
        <v>236</v>
      </c>
      <c r="D7" s="221"/>
      <c r="E7" s="221"/>
      <c r="F7" s="221"/>
      <c r="G7" s="4"/>
      <c r="H7" s="4" t="s">
        <v>5</v>
      </c>
    </row>
    <row r="8" spans="1:8" x14ac:dyDescent="0.3">
      <c r="A8" s="4" t="s">
        <v>6</v>
      </c>
      <c r="B8" s="4"/>
      <c r="C8" s="852" t="s">
        <v>238</v>
      </c>
      <c r="D8" s="221"/>
      <c r="E8" s="852" t="s">
        <v>7</v>
      </c>
      <c r="F8" s="221"/>
      <c r="G8" s="852" t="s">
        <v>8</v>
      </c>
      <c r="H8" s="4" t="s">
        <v>6</v>
      </c>
    </row>
    <row r="9" spans="1:8" x14ac:dyDescent="0.3">
      <c r="C9" s="4"/>
      <c r="D9" s="4"/>
      <c r="F9" s="221"/>
      <c r="H9" s="4"/>
    </row>
    <row r="10" spans="1:8" ht="18.600000000000001" thickBot="1" x14ac:dyDescent="0.35">
      <c r="A10" s="4">
        <v>1</v>
      </c>
      <c r="B10" s="33" t="s">
        <v>1145</v>
      </c>
      <c r="E10" s="93">
        <v>0</v>
      </c>
      <c r="F10" s="221"/>
      <c r="G10" s="4"/>
      <c r="H10" s="4">
        <f>A10</f>
        <v>1</v>
      </c>
    </row>
    <row r="11" spans="1:8" ht="16.2" thickTop="1" x14ac:dyDescent="0.3">
      <c r="A11" s="4">
        <f>A10+1</f>
        <v>2</v>
      </c>
      <c r="F11" s="221"/>
      <c r="H11" s="4">
        <f>+H10+1</f>
        <v>2</v>
      </c>
    </row>
    <row r="12" spans="1:8" ht="18.600000000000001" thickBot="1" x14ac:dyDescent="0.35">
      <c r="A12" s="4">
        <f t="shared" ref="A12:A18" si="0">A11+1</f>
        <v>3</v>
      </c>
      <c r="B12" s="33" t="s">
        <v>1146</v>
      </c>
      <c r="E12" s="93">
        <v>0</v>
      </c>
      <c r="F12" s="221"/>
      <c r="G12" s="4"/>
      <c r="H12" s="4">
        <f t="shared" ref="H12:H18" si="1">+H11+1</f>
        <v>3</v>
      </c>
    </row>
    <row r="13" spans="1:8" ht="16.2" thickTop="1" x14ac:dyDescent="0.3">
      <c r="A13" s="4">
        <f t="shared" si="0"/>
        <v>4</v>
      </c>
      <c r="F13" s="221"/>
      <c r="H13" s="4">
        <f t="shared" si="1"/>
        <v>4</v>
      </c>
    </row>
    <row r="14" spans="1:8" ht="18.600000000000001" thickBot="1" x14ac:dyDescent="0.35">
      <c r="A14" s="4">
        <f t="shared" si="0"/>
        <v>5</v>
      </c>
      <c r="B14" s="33" t="s">
        <v>1147</v>
      </c>
      <c r="E14" s="93">
        <v>0</v>
      </c>
      <c r="F14" s="221"/>
      <c r="G14" s="4"/>
      <c r="H14" s="4">
        <f t="shared" si="1"/>
        <v>5</v>
      </c>
    </row>
    <row r="15" spans="1:8" ht="16.2" thickTop="1" x14ac:dyDescent="0.3">
      <c r="A15" s="4">
        <f t="shared" si="0"/>
        <v>6</v>
      </c>
      <c r="B15" s="33"/>
      <c r="E15" s="36"/>
      <c r="F15" s="221"/>
      <c r="G15" s="4"/>
      <c r="H15" s="4">
        <f t="shared" si="1"/>
        <v>6</v>
      </c>
    </row>
    <row r="16" spans="1:8" ht="16.2" thickBot="1" x14ac:dyDescent="0.35">
      <c r="A16" s="4">
        <f t="shared" si="0"/>
        <v>7</v>
      </c>
      <c r="B16" s="33" t="s">
        <v>93</v>
      </c>
      <c r="E16" s="93">
        <f>'Misc.-1'!G21</f>
        <v>-10662.770719500901</v>
      </c>
      <c r="F16" s="221"/>
      <c r="G16" s="4" t="s">
        <v>1949</v>
      </c>
      <c r="H16" s="4">
        <f t="shared" si="1"/>
        <v>7</v>
      </c>
    </row>
    <row r="17" spans="1:8" ht="16.2" thickTop="1" x14ac:dyDescent="0.3">
      <c r="A17" s="4">
        <f t="shared" si="0"/>
        <v>8</v>
      </c>
      <c r="F17" s="221"/>
      <c r="H17" s="4">
        <f t="shared" si="1"/>
        <v>8</v>
      </c>
    </row>
    <row r="18" spans="1:8" ht="18.600000000000001" thickBot="1" x14ac:dyDescent="0.35">
      <c r="A18" s="4">
        <f t="shared" si="0"/>
        <v>9</v>
      </c>
      <c r="B18" s="33" t="s">
        <v>1148</v>
      </c>
      <c r="E18" s="93">
        <v>0</v>
      </c>
      <c r="F18" s="221"/>
      <c r="G18" s="4"/>
      <c r="H18" s="4">
        <f t="shared" si="1"/>
        <v>9</v>
      </c>
    </row>
    <row r="19" spans="1:8" ht="16.2" thickTop="1" x14ac:dyDescent="0.3">
      <c r="H19" s="4"/>
    </row>
    <row r="20" spans="1:8" x14ac:dyDescent="0.3">
      <c r="H20" s="4"/>
    </row>
    <row r="21" spans="1:8" ht="18" x14ac:dyDescent="0.3">
      <c r="A21" s="269">
        <v>1</v>
      </c>
      <c r="B21" s="32" t="s">
        <v>1629</v>
      </c>
      <c r="H21" s="4"/>
    </row>
    <row r="22" spans="1:8" x14ac:dyDescent="0.3">
      <c r="B22" s="32" t="s">
        <v>1149</v>
      </c>
    </row>
  </sheetData>
  <mergeCells count="4">
    <mergeCell ref="B2:G2"/>
    <mergeCell ref="B3:G3"/>
    <mergeCell ref="B4:G4"/>
    <mergeCell ref="B5:G5"/>
  </mergeCells>
  <printOptions horizontalCentered="1"/>
  <pageMargins left="0.5" right="0.5" top="0.5" bottom="0.5" header="0.25" footer="0.25"/>
  <pageSetup scale="69" orientation="portrait" r:id="rId1"/>
  <headerFooter scaleWithDoc="0">
    <oddFooter>&amp;C&amp;"Times New Roman,Regular"&amp;10&amp;A</oddFooter>
  </headerFooter>
  <customProperties>
    <customPr name="_pios_id" r:id="rId2"/>
  </customPropertie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26F9B-C7D7-4D25-AC7B-64A33DBCED39}">
  <sheetPr>
    <pageSetUpPr fitToPage="1"/>
  </sheetPr>
  <dimension ref="A2:I34"/>
  <sheetViews>
    <sheetView zoomScale="80" zoomScaleNormal="80" workbookViewId="0"/>
  </sheetViews>
  <sheetFormatPr defaultColWidth="8.6640625" defaultRowHeight="15.6" x14ac:dyDescent="0.3"/>
  <cols>
    <col min="1" max="1" width="5.33203125" style="4" customWidth="1"/>
    <col min="2" max="2" width="56.33203125" style="32" customWidth="1"/>
    <col min="3" max="3" width="16.6640625" style="32" customWidth="1"/>
    <col min="4" max="4" width="2.6640625" style="32" bestFit="1" customWidth="1"/>
    <col min="5" max="5" width="16.6640625" style="32" customWidth="1"/>
    <col min="6" max="6" width="1.5546875" style="32" customWidth="1"/>
    <col min="7" max="7" width="18.44140625" style="32" customWidth="1"/>
    <col min="8" max="8" width="50.6640625" style="32" customWidth="1"/>
    <col min="9" max="9" width="5.33203125" style="4" customWidth="1"/>
    <col min="10" max="16384" width="8.6640625" style="32"/>
  </cols>
  <sheetData>
    <row r="2" spans="1:9" x14ac:dyDescent="0.3">
      <c r="B2" s="1222" t="s">
        <v>0</v>
      </c>
      <c r="C2" s="1222"/>
      <c r="D2" s="1222"/>
      <c r="E2" s="1222"/>
      <c r="F2" s="1222"/>
      <c r="G2" s="1222"/>
      <c r="H2" s="1222"/>
    </row>
    <row r="3" spans="1:9" x14ac:dyDescent="0.3">
      <c r="B3" s="1222" t="s">
        <v>1150</v>
      </c>
      <c r="C3" s="1222"/>
      <c r="D3" s="1222"/>
      <c r="E3" s="1222"/>
      <c r="F3" s="1222"/>
      <c r="G3" s="1222"/>
      <c r="H3" s="1222"/>
    </row>
    <row r="4" spans="1:9" x14ac:dyDescent="0.3">
      <c r="B4" s="1222" t="s">
        <v>1151</v>
      </c>
      <c r="C4" s="1222"/>
      <c r="D4" s="1222"/>
      <c r="E4" s="1222"/>
      <c r="F4" s="1222"/>
      <c r="G4" s="1222"/>
      <c r="H4" s="1222"/>
    </row>
    <row r="5" spans="1:9" x14ac:dyDescent="0.3">
      <c r="B5" s="1222" t="str">
        <f>'AR-1'!B5</f>
        <v>BASE PERIOD 12 MONTHS ENDING DECEMBER 31, 2023</v>
      </c>
      <c r="C5" s="1222"/>
      <c r="D5" s="1222"/>
      <c r="E5" s="1222"/>
      <c r="F5" s="1222"/>
      <c r="G5" s="1222"/>
      <c r="H5" s="1222"/>
    </row>
    <row r="6" spans="1:9" ht="15.75" customHeight="1" x14ac:dyDescent="0.3">
      <c r="B6" s="1226" t="s">
        <v>4</v>
      </c>
      <c r="C6" s="1226"/>
      <c r="D6" s="1226"/>
      <c r="E6" s="1226"/>
      <c r="F6" s="1226"/>
      <c r="G6" s="1226"/>
      <c r="H6" s="1226"/>
    </row>
    <row r="8" spans="1:9" x14ac:dyDescent="0.3">
      <c r="A8" s="4" t="s">
        <v>5</v>
      </c>
      <c r="C8" s="265" t="s">
        <v>210</v>
      </c>
      <c r="D8" s="265"/>
      <c r="E8" s="265" t="s">
        <v>211</v>
      </c>
      <c r="G8" s="265" t="s">
        <v>237</v>
      </c>
      <c r="H8" s="265"/>
      <c r="I8" s="4" t="s">
        <v>5</v>
      </c>
    </row>
    <row r="9" spans="1:9" x14ac:dyDescent="0.3">
      <c r="A9" s="4" t="s">
        <v>6</v>
      </c>
      <c r="B9" s="935" t="s">
        <v>337</v>
      </c>
      <c r="C9" s="731">
        <f>'Stmt AD'!E9</f>
        <v>44926</v>
      </c>
      <c r="D9" s="982"/>
      <c r="E9" s="731">
        <f>'Stmt AD'!G9</f>
        <v>45291</v>
      </c>
      <c r="F9" s="983"/>
      <c r="G9" s="935" t="s">
        <v>239</v>
      </c>
      <c r="H9" s="935" t="s">
        <v>8</v>
      </c>
      <c r="I9" s="4" t="s">
        <v>6</v>
      </c>
    </row>
    <row r="11" spans="1:9" x14ac:dyDescent="0.3">
      <c r="A11" s="4">
        <v>1</v>
      </c>
      <c r="B11" s="33" t="s">
        <v>1934</v>
      </c>
      <c r="C11" s="36">
        <f>'Misc.-1.1'!C14</f>
        <v>-83.353321319683971</v>
      </c>
      <c r="D11" s="6"/>
      <c r="E11" s="36">
        <f>'Misc.-1.1'!E14</f>
        <v>-66.519971230792194</v>
      </c>
      <c r="F11" s="36"/>
      <c r="G11" s="36">
        <f>'Misc.-1.1'!G14</f>
        <v>-75.026016910968494</v>
      </c>
      <c r="H11" s="45" t="s">
        <v>1152</v>
      </c>
      <c r="I11" s="4">
        <f t="shared" ref="I11" si="0">A11</f>
        <v>1</v>
      </c>
    </row>
    <row r="12" spans="1:9" x14ac:dyDescent="0.3">
      <c r="A12" s="4">
        <f>A11+1</f>
        <v>2</v>
      </c>
      <c r="C12" s="36"/>
      <c r="D12" s="6"/>
      <c r="E12" s="36"/>
      <c r="F12" s="36"/>
      <c r="G12" s="36"/>
      <c r="H12" s="45"/>
      <c r="I12" s="4">
        <f>I11+1</f>
        <v>2</v>
      </c>
    </row>
    <row r="13" spans="1:9" x14ac:dyDescent="0.3">
      <c r="A13" s="4">
        <f t="shared" ref="A13:A21" si="1">A12+1</f>
        <v>3</v>
      </c>
      <c r="B13" s="33" t="s">
        <v>1153</v>
      </c>
      <c r="C13" s="36">
        <f>'Misc.-1.1'!C19</f>
        <v>-2548.7271225090149</v>
      </c>
      <c r="D13" s="6"/>
      <c r="E13" s="36">
        <f>'Misc.-1.1'!E19</f>
        <v>-2121.6914379456898</v>
      </c>
      <c r="F13" s="36"/>
      <c r="G13" s="36">
        <f>'Misc.-1.1'!G19</f>
        <v>-2337.5179024895401</v>
      </c>
      <c r="H13" s="45" t="s">
        <v>1154</v>
      </c>
      <c r="I13" s="4">
        <f t="shared" ref="I13:I21" si="2">I12+1</f>
        <v>3</v>
      </c>
    </row>
    <row r="14" spans="1:9" x14ac:dyDescent="0.3">
      <c r="A14" s="4">
        <f t="shared" si="1"/>
        <v>4</v>
      </c>
      <c r="C14" s="36"/>
      <c r="D14" s="6"/>
      <c r="E14" s="36"/>
      <c r="F14" s="36"/>
      <c r="G14" s="36"/>
      <c r="H14" s="45"/>
      <c r="I14" s="4">
        <f t="shared" si="2"/>
        <v>4</v>
      </c>
    </row>
    <row r="15" spans="1:9" ht="18" x14ac:dyDescent="0.3">
      <c r="A15" s="4">
        <f t="shared" si="1"/>
        <v>5</v>
      </c>
      <c r="B15" s="32" t="s">
        <v>1155</v>
      </c>
      <c r="C15" s="36">
        <f>'Misc.-1.1'!C24</f>
        <v>-3389.5084506032185</v>
      </c>
      <c r="D15" s="888"/>
      <c r="E15" s="36">
        <f>'Misc.-1.1'!E24</f>
        <v>-3818.098526489181</v>
      </c>
      <c r="F15" s="36"/>
      <c r="G15" s="36">
        <f>'Misc.-1.1'!G24</f>
        <v>-3602.0539689811417</v>
      </c>
      <c r="H15" s="45" t="s">
        <v>1156</v>
      </c>
      <c r="I15" s="4">
        <f t="shared" si="2"/>
        <v>5</v>
      </c>
    </row>
    <row r="16" spans="1:9" x14ac:dyDescent="0.3">
      <c r="A16" s="4">
        <f t="shared" si="1"/>
        <v>6</v>
      </c>
      <c r="C16" s="36"/>
      <c r="D16" s="6"/>
      <c r="E16" s="36"/>
      <c r="F16" s="36"/>
      <c r="G16" s="36"/>
      <c r="H16" s="45"/>
      <c r="I16" s="4">
        <f t="shared" si="2"/>
        <v>6</v>
      </c>
    </row>
    <row r="17" spans="1:9" x14ac:dyDescent="0.3">
      <c r="A17" s="4">
        <f t="shared" si="1"/>
        <v>7</v>
      </c>
      <c r="B17" s="32" t="s">
        <v>1157</v>
      </c>
      <c r="C17" s="36">
        <f>'Misc.-1.1'!C29</f>
        <v>-4438.0207516558694</v>
      </c>
      <c r="D17" s="6"/>
      <c r="E17" s="36">
        <f>'Misc.-1.1'!E29</f>
        <v>-4861.5751418628752</v>
      </c>
      <c r="F17" s="36"/>
      <c r="G17" s="36">
        <f>'Misc.-1.1'!G29</f>
        <v>-4648.172831119251</v>
      </c>
      <c r="H17" s="45" t="s">
        <v>1158</v>
      </c>
      <c r="I17" s="4">
        <f t="shared" si="2"/>
        <v>7</v>
      </c>
    </row>
    <row r="18" spans="1:9" x14ac:dyDescent="0.3">
      <c r="A18" s="4">
        <f t="shared" si="1"/>
        <v>8</v>
      </c>
      <c r="C18" s="36"/>
      <c r="D18" s="6"/>
      <c r="E18" s="36"/>
      <c r="F18" s="36"/>
      <c r="G18" s="36"/>
      <c r="H18" s="45"/>
      <c r="I18" s="4">
        <f t="shared" si="2"/>
        <v>8</v>
      </c>
    </row>
    <row r="19" spans="1:9" x14ac:dyDescent="0.3">
      <c r="A19" s="4">
        <f t="shared" si="1"/>
        <v>9</v>
      </c>
      <c r="B19" s="32" t="s">
        <v>1626</v>
      </c>
      <c r="C19" s="921">
        <f>'Misc.-1.1'!C34</f>
        <v>0</v>
      </c>
      <c r="D19" s="6"/>
      <c r="E19" s="921">
        <f>'Misc.-1.1'!E34</f>
        <v>0</v>
      </c>
      <c r="F19" s="36"/>
      <c r="G19" s="921">
        <f>'Misc.-1.1'!G34</f>
        <v>0</v>
      </c>
      <c r="H19" s="45" t="s">
        <v>1951</v>
      </c>
      <c r="I19" s="4">
        <f t="shared" si="2"/>
        <v>9</v>
      </c>
    </row>
    <row r="20" spans="1:9" x14ac:dyDescent="0.3">
      <c r="A20" s="4">
        <f t="shared" si="1"/>
        <v>10</v>
      </c>
      <c r="C20" s="36"/>
      <c r="D20" s="6"/>
      <c r="E20" s="36"/>
      <c r="F20" s="36"/>
      <c r="G20" s="36"/>
      <c r="H20" s="45"/>
      <c r="I20" s="4">
        <f t="shared" si="2"/>
        <v>10</v>
      </c>
    </row>
    <row r="21" spans="1:9" ht="18.600000000000001" thickBot="1" x14ac:dyDescent="0.35">
      <c r="A21" s="4">
        <f t="shared" si="1"/>
        <v>11</v>
      </c>
      <c r="B21" s="32" t="s">
        <v>1159</v>
      </c>
      <c r="C21" s="38">
        <f>SUM(C11:C19)</f>
        <v>-10459.609646087787</v>
      </c>
      <c r="D21" s="888"/>
      <c r="E21" s="38">
        <f>SUM(E11:E19)</f>
        <v>-10867.885077528539</v>
      </c>
      <c r="F21" s="36"/>
      <c r="G21" s="38">
        <f>SUM(G11:G19)</f>
        <v>-10662.770719500901</v>
      </c>
      <c r="H21" s="4" t="s">
        <v>1952</v>
      </c>
      <c r="I21" s="4">
        <f t="shared" si="2"/>
        <v>11</v>
      </c>
    </row>
    <row r="22" spans="1:9" ht="16.2" thickTop="1" x14ac:dyDescent="0.3">
      <c r="C22" s="11"/>
      <c r="D22" s="11"/>
      <c r="E22" s="11"/>
      <c r="F22" s="11"/>
      <c r="G22" s="11"/>
      <c r="H22" s="11"/>
    </row>
    <row r="23" spans="1:9" x14ac:dyDescent="0.3">
      <c r="C23" s="6"/>
      <c r="D23" s="6"/>
      <c r="E23" s="6"/>
      <c r="F23" s="6"/>
      <c r="G23" s="6"/>
      <c r="H23" s="6"/>
    </row>
    <row r="24" spans="1:9" x14ac:dyDescent="0.3">
      <c r="A24"/>
      <c r="B24"/>
      <c r="C24"/>
      <c r="D24"/>
      <c r="E24"/>
      <c r="F24" s="6"/>
      <c r="G24" s="6"/>
      <c r="H24" s="6"/>
    </row>
    <row r="34" spans="2:2" x14ac:dyDescent="0.3">
      <c r="B34" s="627"/>
    </row>
  </sheetData>
  <mergeCells count="5">
    <mergeCell ref="B2:H2"/>
    <mergeCell ref="B3:H3"/>
    <mergeCell ref="B5:H5"/>
    <mergeCell ref="B6:H6"/>
    <mergeCell ref="B4:H4"/>
  </mergeCells>
  <printOptions horizontalCentered="1"/>
  <pageMargins left="0.5" right="0.5" top="0.5" bottom="0.5" header="0.25" footer="0.25"/>
  <pageSetup scale="73" orientation="landscape" r:id="rId1"/>
  <headerFooter scaleWithDoc="0">
    <oddFooter>&amp;C&amp;"Times New Roman,Regular"&amp;10&amp;A</oddFooter>
  </headerFooter>
  <customProperties>
    <customPr name="_pios_id" r:id="rId2"/>
  </customPropertie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3B4FB-3E7F-4C13-824D-FFF7F2BF23D9}">
  <sheetPr>
    <pageSetUpPr fitToPage="1"/>
  </sheetPr>
  <dimension ref="A2:K43"/>
  <sheetViews>
    <sheetView zoomScale="80" zoomScaleNormal="80" workbookViewId="0"/>
  </sheetViews>
  <sheetFormatPr defaultColWidth="8.5546875" defaultRowHeight="15.6" x14ac:dyDescent="0.3"/>
  <cols>
    <col min="1" max="1" width="5.5546875" style="4" customWidth="1"/>
    <col min="2" max="2" width="50.6640625" style="32" customWidth="1"/>
    <col min="3" max="3" width="16.6640625" style="32" customWidth="1"/>
    <col min="4" max="4" width="2.6640625" style="32" bestFit="1" customWidth="1"/>
    <col min="5" max="5" width="16.6640625" style="32" customWidth="1"/>
    <col min="6" max="6" width="1.5546875" style="32" customWidth="1"/>
    <col min="7" max="7" width="23.44140625" style="32" bestFit="1" customWidth="1"/>
    <col min="8" max="8" width="62.5546875" style="32" customWidth="1"/>
    <col min="9" max="9" width="5.44140625" style="4" customWidth="1"/>
    <col min="10" max="10" width="8.5546875" style="32"/>
    <col min="11" max="11" width="22" style="32" bestFit="1" customWidth="1"/>
    <col min="12" max="16384" width="8.5546875" style="32"/>
  </cols>
  <sheetData>
    <row r="2" spans="1:11" x14ac:dyDescent="0.3">
      <c r="B2" s="1222" t="s">
        <v>0</v>
      </c>
      <c r="C2" s="1222"/>
      <c r="D2" s="1222"/>
      <c r="E2" s="1222"/>
      <c r="F2" s="1222"/>
      <c r="G2" s="1222"/>
      <c r="H2" s="1222"/>
    </row>
    <row r="3" spans="1:11" x14ac:dyDescent="0.3">
      <c r="B3" s="1222" t="s">
        <v>1150</v>
      </c>
      <c r="C3" s="1222"/>
      <c r="D3" s="1222"/>
      <c r="E3" s="1222"/>
      <c r="F3" s="1222"/>
      <c r="G3" s="1222"/>
      <c r="H3" s="1222"/>
    </row>
    <row r="4" spans="1:11" x14ac:dyDescent="0.3">
      <c r="B4" s="1222" t="s">
        <v>1151</v>
      </c>
      <c r="C4" s="1222"/>
      <c r="D4" s="1222"/>
      <c r="E4" s="1222"/>
      <c r="F4" s="1222"/>
      <c r="G4" s="1222"/>
      <c r="H4" s="1222"/>
    </row>
    <row r="5" spans="1:11" x14ac:dyDescent="0.3">
      <c r="B5" s="1222" t="str">
        <f>'Misc.-1'!B5</f>
        <v>BASE PERIOD 12 MONTHS ENDING DECEMBER 31, 2023</v>
      </c>
      <c r="C5" s="1222"/>
      <c r="D5" s="1222"/>
      <c r="E5" s="1222"/>
      <c r="F5" s="1222"/>
      <c r="G5" s="1222"/>
      <c r="H5" s="1222"/>
    </row>
    <row r="6" spans="1:11" ht="15.75" customHeight="1" x14ac:dyDescent="0.3">
      <c r="B6" s="1226" t="s">
        <v>4</v>
      </c>
      <c r="C6" s="1226"/>
      <c r="D6" s="1226"/>
      <c r="E6" s="1226"/>
      <c r="F6" s="1226"/>
      <c r="G6" s="1226"/>
      <c r="H6" s="1226"/>
    </row>
    <row r="7" spans="1:11" x14ac:dyDescent="0.3">
      <c r="K7" s="48"/>
    </row>
    <row r="8" spans="1:11" ht="18" x14ac:dyDescent="0.3">
      <c r="A8" s="4" t="s">
        <v>5</v>
      </c>
      <c r="B8" s="1"/>
      <c r="C8" s="265" t="s">
        <v>1161</v>
      </c>
      <c r="D8" s="265"/>
      <c r="E8" s="265" t="s">
        <v>211</v>
      </c>
      <c r="G8" s="265" t="s">
        <v>237</v>
      </c>
      <c r="H8" s="265"/>
      <c r="I8" s="4" t="s">
        <v>5</v>
      </c>
      <c r="K8" s="48"/>
    </row>
    <row r="9" spans="1:11" x14ac:dyDescent="0.3">
      <c r="A9" s="4" t="s">
        <v>6</v>
      </c>
      <c r="B9" s="935" t="s">
        <v>337</v>
      </c>
      <c r="C9" s="731">
        <f>'Stmt AD'!E9</f>
        <v>44926</v>
      </c>
      <c r="D9" s="731"/>
      <c r="E9" s="731">
        <f>'Stmt AD'!G9</f>
        <v>45291</v>
      </c>
      <c r="F9" s="731"/>
      <c r="G9" s="935" t="s">
        <v>239</v>
      </c>
      <c r="H9" s="935" t="s">
        <v>8</v>
      </c>
      <c r="I9" s="4" t="s">
        <v>6</v>
      </c>
      <c r="K9" s="891"/>
    </row>
    <row r="10" spans="1:11" x14ac:dyDescent="0.3">
      <c r="B10" s="1"/>
      <c r="C10" s="342"/>
      <c r="D10" s="342"/>
      <c r="E10" s="342"/>
      <c r="F10" s="342"/>
      <c r="G10" s="92"/>
      <c r="H10" s="92"/>
    </row>
    <row r="11" spans="1:11" x14ac:dyDescent="0.3">
      <c r="A11" s="4">
        <v>1</v>
      </c>
      <c r="B11" s="32" t="s">
        <v>1934</v>
      </c>
      <c r="C11" s="91"/>
      <c r="D11" s="91"/>
      <c r="E11" s="91"/>
      <c r="F11" s="91"/>
      <c r="G11" s="92"/>
      <c r="H11" s="92"/>
      <c r="I11" s="4">
        <f>A11</f>
        <v>1</v>
      </c>
    </row>
    <row r="12" spans="1:11" x14ac:dyDescent="0.3">
      <c r="A12" s="4">
        <f>A11+1</f>
        <v>2</v>
      </c>
      <c r="B12" s="33" t="s">
        <v>1935</v>
      </c>
      <c r="C12" s="36">
        <v>-575</v>
      </c>
      <c r="D12" s="36"/>
      <c r="E12" s="36">
        <v>-450</v>
      </c>
      <c r="F12" s="36"/>
      <c r="G12" s="36">
        <f>(C12+E12)/2</f>
        <v>-512.5</v>
      </c>
      <c r="H12" s="45" t="s">
        <v>289</v>
      </c>
      <c r="I12" s="4">
        <f>I11+1</f>
        <v>2</v>
      </c>
    </row>
    <row r="13" spans="1:11" x14ac:dyDescent="0.3">
      <c r="A13" s="4">
        <f t="shared" ref="A13:A18" si="0">A12+1</f>
        <v>3</v>
      </c>
      <c r="B13" s="33" t="s">
        <v>1162</v>
      </c>
      <c r="C13" s="48">
        <v>0.14496229794727647</v>
      </c>
      <c r="D13" s="6"/>
      <c r="E13" s="48">
        <f>'AD-10'!$D$18*'Stmt AI'!$E$25</f>
        <v>0.14782215829064932</v>
      </c>
      <c r="F13" s="6"/>
      <c r="G13" s="48">
        <f>(C13+E13)/2</f>
        <v>0.14639222811896291</v>
      </c>
      <c r="H13" s="45" t="s">
        <v>1163</v>
      </c>
      <c r="I13" s="4">
        <f t="shared" ref="I13:I20" si="1">I12+1</f>
        <v>3</v>
      </c>
    </row>
    <row r="14" spans="1:11" ht="16.2" thickBot="1" x14ac:dyDescent="0.35">
      <c r="A14" s="4">
        <f t="shared" si="0"/>
        <v>4</v>
      </c>
      <c r="B14" s="343" t="s">
        <v>1936</v>
      </c>
      <c r="C14" s="90">
        <f>C12*C13</f>
        <v>-83.353321319683971</v>
      </c>
      <c r="D14" s="6"/>
      <c r="E14" s="90">
        <f>E12*E13</f>
        <v>-66.519971230792194</v>
      </c>
      <c r="F14" s="44"/>
      <c r="G14" s="90">
        <f>G12*G13</f>
        <v>-75.026016910968494</v>
      </c>
      <c r="H14" s="628" t="s">
        <v>1164</v>
      </c>
      <c r="I14" s="4">
        <f t="shared" si="1"/>
        <v>4</v>
      </c>
    </row>
    <row r="15" spans="1:11" ht="16.2" thickTop="1" x14ac:dyDescent="0.3">
      <c r="A15" s="4">
        <f t="shared" si="0"/>
        <v>5</v>
      </c>
      <c r="C15" s="86"/>
      <c r="D15" s="86"/>
      <c r="E15" s="86"/>
      <c r="F15" s="86"/>
      <c r="G15" s="86"/>
      <c r="H15" s="86"/>
      <c r="I15" s="4">
        <f t="shared" si="1"/>
        <v>5</v>
      </c>
    </row>
    <row r="16" spans="1:11" x14ac:dyDescent="0.3">
      <c r="A16" s="4">
        <f t="shared" si="0"/>
        <v>6</v>
      </c>
      <c r="B16" s="33" t="s">
        <v>1153</v>
      </c>
      <c r="C16" s="91"/>
      <c r="D16" s="91"/>
      <c r="E16" s="91"/>
      <c r="F16" s="91"/>
      <c r="G16" s="92"/>
      <c r="H16" s="92"/>
      <c r="I16" s="4">
        <f t="shared" si="1"/>
        <v>6</v>
      </c>
    </row>
    <row r="17" spans="1:11" x14ac:dyDescent="0.3">
      <c r="A17" s="4">
        <f t="shared" si="0"/>
        <v>7</v>
      </c>
      <c r="B17" s="33" t="s">
        <v>1165</v>
      </c>
      <c r="C17" s="36">
        <v>-17582</v>
      </c>
      <c r="D17" s="36"/>
      <c r="E17" s="36">
        <v>-14353</v>
      </c>
      <c r="F17" s="36"/>
      <c r="G17" s="36">
        <f>(C17+E17)/2</f>
        <v>-15967.5</v>
      </c>
      <c r="H17" s="45" t="s">
        <v>289</v>
      </c>
      <c r="I17" s="4">
        <f t="shared" si="1"/>
        <v>7</v>
      </c>
    </row>
    <row r="18" spans="1:11" x14ac:dyDescent="0.3">
      <c r="A18" s="4">
        <f t="shared" si="0"/>
        <v>8</v>
      </c>
      <c r="B18" s="33" t="s">
        <v>1162</v>
      </c>
      <c r="C18" s="48">
        <f>C13</f>
        <v>0.14496229794727647</v>
      </c>
      <c r="D18" s="6"/>
      <c r="E18" s="48">
        <f>'AD-10'!$D$18*'Stmt AI'!$E$25</f>
        <v>0.14782215829064932</v>
      </c>
      <c r="F18" s="6"/>
      <c r="G18" s="48">
        <f>(C18+E18)/2</f>
        <v>0.14639222811896291</v>
      </c>
      <c r="H18" s="45" t="s">
        <v>1163</v>
      </c>
      <c r="I18" s="4">
        <f t="shared" si="1"/>
        <v>8</v>
      </c>
    </row>
    <row r="19" spans="1:11" ht="16.2" thickBot="1" x14ac:dyDescent="0.35">
      <c r="A19" s="4">
        <f t="shared" ref="A19:A34" si="2">A18+1</f>
        <v>9</v>
      </c>
      <c r="B19" s="343" t="s">
        <v>1166</v>
      </c>
      <c r="C19" s="90">
        <f>C17*C18</f>
        <v>-2548.7271225090149</v>
      </c>
      <c r="D19" s="6"/>
      <c r="E19" s="90">
        <f>E17*E18</f>
        <v>-2121.6914379456898</v>
      </c>
      <c r="F19" s="44"/>
      <c r="G19" s="90">
        <f>G17*G18</f>
        <v>-2337.5179024895401</v>
      </c>
      <c r="H19" s="628" t="s">
        <v>39</v>
      </c>
      <c r="I19" s="4">
        <f t="shared" si="1"/>
        <v>9</v>
      </c>
    </row>
    <row r="20" spans="1:11" ht="16.2" thickTop="1" x14ac:dyDescent="0.3">
      <c r="A20" s="4">
        <f t="shared" si="2"/>
        <v>10</v>
      </c>
      <c r="I20" s="4">
        <f t="shared" si="1"/>
        <v>10</v>
      </c>
    </row>
    <row r="21" spans="1:11" x14ac:dyDescent="0.3">
      <c r="A21" s="4">
        <f t="shared" si="2"/>
        <v>11</v>
      </c>
      <c r="B21" s="32" t="s">
        <v>1155</v>
      </c>
      <c r="C21" s="91"/>
      <c r="D21" s="91"/>
      <c r="E21" s="91"/>
      <c r="F21" s="91"/>
      <c r="G21" s="92"/>
      <c r="H21" s="4"/>
      <c r="I21" s="4">
        <f t="shared" ref="I21:I34" si="3">I20+1</f>
        <v>11</v>
      </c>
    </row>
    <row r="22" spans="1:11" ht="18" x14ac:dyDescent="0.3">
      <c r="A22" s="4">
        <f t="shared" si="2"/>
        <v>12</v>
      </c>
      <c r="B22" s="33" t="s">
        <v>1167</v>
      </c>
      <c r="C22" s="36">
        <v>-23382</v>
      </c>
      <c r="D22" s="888"/>
      <c r="E22" s="36">
        <v>-25829</v>
      </c>
      <c r="F22" s="36"/>
      <c r="G22" s="36">
        <f>(C22+E22)/2</f>
        <v>-24605.5</v>
      </c>
      <c r="H22" s="45" t="s">
        <v>289</v>
      </c>
      <c r="I22" s="4">
        <f t="shared" si="3"/>
        <v>12</v>
      </c>
    </row>
    <row r="23" spans="1:11" x14ac:dyDescent="0.3">
      <c r="A23" s="4">
        <f t="shared" si="2"/>
        <v>13</v>
      </c>
      <c r="B23" s="33" t="s">
        <v>1162</v>
      </c>
      <c r="C23" s="48">
        <f>C18</f>
        <v>0.14496229794727647</v>
      </c>
      <c r="D23" s="6"/>
      <c r="E23" s="48">
        <f>'AD-10'!$D$18*'Stmt AI'!$E$25</f>
        <v>0.14782215829064932</v>
      </c>
      <c r="F23" s="6"/>
      <c r="G23" s="48">
        <f>(C23+E23)/2</f>
        <v>0.14639222811896291</v>
      </c>
      <c r="H23" s="45" t="s">
        <v>1163</v>
      </c>
      <c r="I23" s="4">
        <f t="shared" si="3"/>
        <v>13</v>
      </c>
    </row>
    <row r="24" spans="1:11" ht="18.600000000000001" thickBot="1" x14ac:dyDescent="0.35">
      <c r="A24" s="4">
        <f t="shared" si="2"/>
        <v>14</v>
      </c>
      <c r="B24" s="343" t="s">
        <v>1168</v>
      </c>
      <c r="C24" s="90">
        <f>C22*C23</f>
        <v>-3389.5084506032185</v>
      </c>
      <c r="D24" s="888"/>
      <c r="E24" s="90">
        <f>E22*E23</f>
        <v>-3818.098526489181</v>
      </c>
      <c r="F24" s="44"/>
      <c r="G24" s="90">
        <f>G22*G23</f>
        <v>-3602.0539689811417</v>
      </c>
      <c r="H24" s="628" t="s">
        <v>1169</v>
      </c>
      <c r="I24" s="4">
        <f t="shared" si="3"/>
        <v>14</v>
      </c>
    </row>
    <row r="25" spans="1:11" ht="16.2" thickTop="1" x14ac:dyDescent="0.3">
      <c r="A25" s="4">
        <f t="shared" si="2"/>
        <v>15</v>
      </c>
      <c r="I25" s="4">
        <f t="shared" si="3"/>
        <v>15</v>
      </c>
    </row>
    <row r="26" spans="1:11" x14ac:dyDescent="0.3">
      <c r="A26" s="4">
        <f t="shared" si="2"/>
        <v>16</v>
      </c>
      <c r="B26" s="32" t="s">
        <v>1157</v>
      </c>
      <c r="C26" s="91"/>
      <c r="D26" s="91"/>
      <c r="E26" s="91"/>
      <c r="F26" s="91"/>
      <c r="G26" s="92"/>
      <c r="H26" s="4"/>
      <c r="I26" s="4">
        <f t="shared" si="3"/>
        <v>16</v>
      </c>
    </row>
    <row r="27" spans="1:11" x14ac:dyDescent="0.3">
      <c r="A27" s="4">
        <f t="shared" si="2"/>
        <v>17</v>
      </c>
      <c r="B27" s="33" t="s">
        <v>1170</v>
      </c>
      <c r="C27" s="36">
        <v>-30615</v>
      </c>
      <c r="D27" s="36"/>
      <c r="E27" s="36">
        <v>-32888</v>
      </c>
      <c r="F27" s="36"/>
      <c r="G27" s="36">
        <f>(C27+E27)/2</f>
        <v>-31751.5</v>
      </c>
      <c r="H27" s="45" t="s">
        <v>289</v>
      </c>
      <c r="I27" s="4">
        <f t="shared" si="3"/>
        <v>17</v>
      </c>
    </row>
    <row r="28" spans="1:11" x14ac:dyDescent="0.3">
      <c r="A28" s="4">
        <f t="shared" si="2"/>
        <v>18</v>
      </c>
      <c r="B28" s="33" t="s">
        <v>1162</v>
      </c>
      <c r="C28" s="48">
        <f>C18</f>
        <v>0.14496229794727647</v>
      </c>
      <c r="D28" s="6"/>
      <c r="E28" s="48">
        <f>'AD-10'!$D$18*'Stmt AI'!$E$25</f>
        <v>0.14782215829064932</v>
      </c>
      <c r="F28" s="6"/>
      <c r="G28" s="48">
        <f>(C28+E28)/2</f>
        <v>0.14639222811896291</v>
      </c>
      <c r="H28" s="45" t="s">
        <v>1163</v>
      </c>
      <c r="I28" s="4">
        <f t="shared" si="3"/>
        <v>18</v>
      </c>
    </row>
    <row r="29" spans="1:11" ht="16.2" thickBot="1" x14ac:dyDescent="0.35">
      <c r="A29" s="4">
        <f t="shared" si="2"/>
        <v>19</v>
      </c>
      <c r="B29" s="343" t="s">
        <v>1171</v>
      </c>
      <c r="C29" s="90">
        <f>C27*C28</f>
        <v>-4438.0207516558694</v>
      </c>
      <c r="D29" s="6"/>
      <c r="E29" s="90">
        <f>E27*E28</f>
        <v>-4861.5751418628752</v>
      </c>
      <c r="F29" s="44"/>
      <c r="G29" s="90">
        <f>G27*G28</f>
        <v>-4648.172831119251</v>
      </c>
      <c r="H29" s="628" t="s">
        <v>25</v>
      </c>
      <c r="I29" s="4">
        <f t="shared" si="3"/>
        <v>19</v>
      </c>
    </row>
    <row r="30" spans="1:11" ht="16.2" thickTop="1" x14ac:dyDescent="0.3">
      <c r="A30" s="4">
        <f t="shared" si="2"/>
        <v>20</v>
      </c>
      <c r="B30" s="343"/>
      <c r="C30" s="44"/>
      <c r="D30" s="6"/>
      <c r="E30" s="44"/>
      <c r="F30" s="44"/>
      <c r="G30" s="44"/>
      <c r="H30" s="628"/>
      <c r="I30" s="4">
        <f t="shared" si="3"/>
        <v>20</v>
      </c>
    </row>
    <row r="31" spans="1:11" s="258" customFormat="1" x14ac:dyDescent="0.3">
      <c r="A31" s="4">
        <f t="shared" si="2"/>
        <v>21</v>
      </c>
      <c r="B31" s="32" t="s">
        <v>1768</v>
      </c>
      <c r="C31" s="353"/>
      <c r="D31" s="1115"/>
      <c r="E31" s="353"/>
      <c r="F31" s="353"/>
      <c r="G31" s="353"/>
      <c r="H31" s="1116"/>
      <c r="I31" s="4">
        <f t="shared" si="3"/>
        <v>21</v>
      </c>
      <c r="K31" s="109"/>
    </row>
    <row r="32" spans="1:11" x14ac:dyDescent="0.3">
      <c r="A32" s="4">
        <f t="shared" si="2"/>
        <v>22</v>
      </c>
      <c r="B32" s="33" t="s">
        <v>1628</v>
      </c>
      <c r="C32" s="36">
        <v>0</v>
      </c>
      <c r="D32" s="6"/>
      <c r="E32" s="36">
        <v>0</v>
      </c>
      <c r="F32" s="44"/>
      <c r="G32" s="36">
        <f>(C32+E32)/2</f>
        <v>0</v>
      </c>
      <c r="H32" s="45" t="s">
        <v>289</v>
      </c>
      <c r="I32" s="4">
        <f t="shared" si="3"/>
        <v>22</v>
      </c>
    </row>
    <row r="33" spans="1:9" x14ac:dyDescent="0.3">
      <c r="A33" s="4">
        <f t="shared" si="2"/>
        <v>23</v>
      </c>
      <c r="B33" s="33" t="s">
        <v>1162</v>
      </c>
      <c r="C33" s="869">
        <f>C18</f>
        <v>0.14496229794727647</v>
      </c>
      <c r="D33" s="6"/>
      <c r="E33" s="869">
        <f>E18</f>
        <v>0.14782215829064932</v>
      </c>
      <c r="F33" s="44"/>
      <c r="G33" s="48">
        <f>(C33+E33)/2</f>
        <v>0.14639222811896291</v>
      </c>
      <c r="H33" s="45" t="s">
        <v>1163</v>
      </c>
      <c r="I33" s="4">
        <f t="shared" si="3"/>
        <v>23</v>
      </c>
    </row>
    <row r="34" spans="1:9" ht="16.2" thickBot="1" x14ac:dyDescent="0.35">
      <c r="A34" s="4">
        <f t="shared" si="2"/>
        <v>24</v>
      </c>
      <c r="B34" s="343" t="s">
        <v>1627</v>
      </c>
      <c r="C34" s="90">
        <f>C32*C33</f>
        <v>0</v>
      </c>
      <c r="D34" s="6"/>
      <c r="E34" s="90">
        <f>E32*E33</f>
        <v>0</v>
      </c>
      <c r="F34" s="44"/>
      <c r="G34" s="90">
        <f>G32*G33</f>
        <v>0</v>
      </c>
      <c r="H34" s="628" t="s">
        <v>1950</v>
      </c>
      <c r="I34" s="4">
        <f t="shared" si="3"/>
        <v>24</v>
      </c>
    </row>
    <row r="35" spans="1:9" ht="16.2" thickTop="1" x14ac:dyDescent="0.3">
      <c r="B35" s="343"/>
      <c r="C35" s="44"/>
      <c r="D35" s="6"/>
      <c r="E35" s="44"/>
      <c r="F35" s="44"/>
      <c r="G35" s="44"/>
      <c r="H35" s="628"/>
    </row>
    <row r="37" spans="1:9" ht="18" x14ac:dyDescent="0.3">
      <c r="A37" s="265" t="s">
        <v>1172</v>
      </c>
      <c r="B37" s="32" t="s">
        <v>1173</v>
      </c>
    </row>
    <row r="38" spans="1:9" x14ac:dyDescent="0.3">
      <c r="A38" s="4" t="s">
        <v>1174</v>
      </c>
      <c r="B38" s="32" t="s">
        <v>1175</v>
      </c>
      <c r="C38" s="48">
        <v>0.73170000000000002</v>
      </c>
      <c r="E38" s="36"/>
      <c r="H38" s="629" t="s">
        <v>1555</v>
      </c>
      <c r="I38" s="4" t="s">
        <v>1174</v>
      </c>
    </row>
    <row r="39" spans="1:9" x14ac:dyDescent="0.3">
      <c r="A39" s="4" t="s">
        <v>1176</v>
      </c>
      <c r="B39" s="32" t="s">
        <v>264</v>
      </c>
      <c r="C39" s="48">
        <v>0.19811712169916151</v>
      </c>
      <c r="H39" s="4" t="s">
        <v>1556</v>
      </c>
      <c r="I39" s="4" t="s">
        <v>1176</v>
      </c>
    </row>
    <row r="40" spans="1:9" ht="16.2" thickBot="1" x14ac:dyDescent="0.35">
      <c r="A40" s="4" t="s">
        <v>1177</v>
      </c>
      <c r="B40" s="32" t="s">
        <v>1162</v>
      </c>
      <c r="C40" s="630">
        <f>C38*C39</f>
        <v>0.14496229794727647</v>
      </c>
      <c r="H40" s="4" t="s">
        <v>1178</v>
      </c>
      <c r="I40" s="4" t="s">
        <v>1177</v>
      </c>
    </row>
    <row r="41" spans="1:9" ht="16.2" thickTop="1" x14ac:dyDescent="0.3"/>
    <row r="42" spans="1:9" x14ac:dyDescent="0.3">
      <c r="A42"/>
      <c r="B42"/>
      <c r="C42"/>
    </row>
    <row r="43" spans="1:9" x14ac:dyDescent="0.3">
      <c r="H43" s="4"/>
      <c r="I43" s="32"/>
    </row>
  </sheetData>
  <mergeCells count="5">
    <mergeCell ref="B2:H2"/>
    <mergeCell ref="B3:H3"/>
    <mergeCell ref="B4:H4"/>
    <mergeCell ref="B5:H5"/>
    <mergeCell ref="B6:H6"/>
  </mergeCells>
  <printOptions horizontalCentered="1"/>
  <pageMargins left="0.5" right="0.5" top="0.5" bottom="0.5" header="0.25" footer="0.25"/>
  <pageSetup scale="68" orientation="landscape" r:id="rId1"/>
  <headerFooter scaleWithDoc="0">
    <oddFooter>&amp;C&amp;"Times New Roman,Regular"&amp;10&amp;A</oddFooter>
  </headerFooter>
  <customProperties>
    <customPr name="_pios_id" r:id="rId2"/>
  </customPropertie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D425D-269D-4608-9419-BA504594D7D0}">
  <sheetPr>
    <pageSetUpPr fitToPage="1"/>
  </sheetPr>
  <dimension ref="A1:Q68"/>
  <sheetViews>
    <sheetView zoomScale="80" zoomScaleNormal="80" workbookViewId="0"/>
  </sheetViews>
  <sheetFormatPr defaultColWidth="14.5546875" defaultRowHeight="14.4" x14ac:dyDescent="0.3"/>
  <cols>
    <col min="1" max="1" width="5.6640625" style="753" customWidth="1"/>
    <col min="2" max="2" width="48.44140625" style="753" customWidth="1"/>
    <col min="3" max="3" width="8.6640625" style="753" customWidth="1"/>
    <col min="4" max="11" width="15.6640625" style="753" customWidth="1"/>
    <col min="12" max="12" width="18.6640625" style="753" bestFit="1" customWidth="1"/>
    <col min="13" max="14" width="15.6640625" style="753" customWidth="1"/>
    <col min="15" max="15" width="30.5546875" style="753" customWidth="1"/>
    <col min="16" max="16" width="5.6640625" style="753" customWidth="1"/>
    <col min="17" max="16384" width="14.5546875" style="753"/>
  </cols>
  <sheetData>
    <row r="1" spans="1:17" ht="15.6" x14ac:dyDescent="0.3">
      <c r="A1" s="756"/>
      <c r="B1" s="757" t="s">
        <v>0</v>
      </c>
      <c r="C1" s="758"/>
      <c r="D1" s="758"/>
      <c r="E1" s="758"/>
      <c r="F1" s="758"/>
      <c r="G1" s="758"/>
      <c r="H1" s="758"/>
      <c r="I1" s="758"/>
      <c r="J1" s="758"/>
      <c r="K1" s="758"/>
      <c r="L1" s="758"/>
      <c r="M1" s="758"/>
      <c r="N1" s="758"/>
      <c r="O1" s="758"/>
    </row>
    <row r="2" spans="1:17" x14ac:dyDescent="0.3">
      <c r="A2" s="759"/>
      <c r="B2" s="757" t="s">
        <v>1179</v>
      </c>
      <c r="C2" s="758"/>
      <c r="D2" s="758"/>
      <c r="E2" s="758"/>
      <c r="F2" s="758"/>
      <c r="G2" s="758"/>
      <c r="H2" s="758"/>
      <c r="I2" s="758"/>
      <c r="J2" s="758"/>
      <c r="K2" s="758"/>
      <c r="L2" s="758"/>
      <c r="M2" s="758"/>
      <c r="N2" s="758"/>
      <c r="O2" s="758"/>
    </row>
    <row r="3" spans="1:17" x14ac:dyDescent="0.3">
      <c r="A3" s="759"/>
      <c r="B3" s="728" t="s">
        <v>1180</v>
      </c>
      <c r="C3" s="758"/>
      <c r="D3" s="758"/>
      <c r="E3" s="758"/>
      <c r="F3" s="758"/>
      <c r="G3" s="758"/>
      <c r="H3" s="758"/>
      <c r="I3" s="758"/>
      <c r="J3" s="758"/>
      <c r="K3" s="758"/>
      <c r="L3" s="758"/>
      <c r="M3" s="758"/>
      <c r="N3" s="758"/>
      <c r="O3" s="758"/>
    </row>
    <row r="4" spans="1:17" x14ac:dyDescent="0.3">
      <c r="A4" s="760"/>
      <c r="B4" s="761" t="s">
        <v>1290</v>
      </c>
      <c r="C4" s="762"/>
      <c r="D4" s="762"/>
      <c r="E4" s="762"/>
      <c r="F4" s="762"/>
      <c r="G4" s="762"/>
      <c r="H4" s="762"/>
      <c r="I4" s="762"/>
      <c r="J4" s="762"/>
      <c r="K4" s="762"/>
      <c r="L4" s="762"/>
      <c r="M4" s="762"/>
      <c r="N4" s="762"/>
      <c r="O4" s="763"/>
      <c r="P4" s="764"/>
      <c r="Q4" s="764"/>
    </row>
    <row r="5" spans="1:17" x14ac:dyDescent="0.3">
      <c r="A5" s="760"/>
      <c r="B5" s="1252" t="s">
        <v>4</v>
      </c>
      <c r="C5" s="1252"/>
      <c r="D5" s="1252"/>
      <c r="E5" s="1252"/>
      <c r="F5" s="1252"/>
      <c r="G5" s="1252"/>
      <c r="H5" s="1252"/>
      <c r="I5" s="1252"/>
      <c r="J5" s="1252"/>
      <c r="K5" s="1252"/>
      <c r="L5" s="1252"/>
      <c r="M5" s="1252"/>
      <c r="N5" s="1252"/>
      <c r="O5" s="1252"/>
      <c r="P5" s="764"/>
      <c r="Q5" s="764"/>
    </row>
    <row r="6" spans="1:17" x14ac:dyDescent="0.3">
      <c r="A6" s="760"/>
      <c r="B6" s="726"/>
      <c r="C6" s="726"/>
      <c r="D6" s="726"/>
      <c r="E6" s="726"/>
      <c r="F6" s="726"/>
      <c r="G6" s="726"/>
      <c r="H6" s="726"/>
      <c r="I6" s="726"/>
      <c r="J6" s="726"/>
      <c r="K6" s="726"/>
      <c r="L6" s="726"/>
      <c r="M6" s="726"/>
      <c r="N6" s="726"/>
      <c r="O6" s="726"/>
      <c r="P6" s="764"/>
      <c r="Q6" s="764"/>
    </row>
    <row r="7" spans="1:17" x14ac:dyDescent="0.3">
      <c r="A7" s="717"/>
      <c r="B7" s="760"/>
      <c r="C7" s="760"/>
      <c r="D7" s="765"/>
      <c r="E7" s="765"/>
      <c r="F7" s="765"/>
      <c r="G7" s="765"/>
      <c r="H7" s="765"/>
      <c r="I7" s="765"/>
      <c r="J7" s="765"/>
      <c r="K7" s="765"/>
      <c r="L7" s="766"/>
      <c r="M7" s="755" t="s">
        <v>1181</v>
      </c>
      <c r="N7" s="767">
        <v>2022</v>
      </c>
      <c r="O7" s="768"/>
      <c r="P7" s="752"/>
      <c r="Q7" s="752"/>
    </row>
    <row r="8" spans="1:17" x14ac:dyDescent="0.3">
      <c r="A8" s="717"/>
      <c r="B8" s="765"/>
      <c r="C8" s="765"/>
      <c r="D8" s="765"/>
      <c r="E8" s="765"/>
      <c r="F8" s="765"/>
      <c r="G8" s="765"/>
      <c r="H8" s="765"/>
      <c r="I8" s="765"/>
      <c r="J8" s="765"/>
      <c r="K8" s="765"/>
      <c r="L8" s="765"/>
      <c r="M8" s="765"/>
      <c r="N8" s="765"/>
      <c r="O8" s="768"/>
      <c r="P8" s="752"/>
      <c r="Q8" s="752"/>
    </row>
    <row r="9" spans="1:17" x14ac:dyDescent="0.3">
      <c r="A9" s="733"/>
      <c r="B9" s="769" t="s">
        <v>1182</v>
      </c>
      <c r="C9" s="769" t="s">
        <v>1183</v>
      </c>
      <c r="D9" s="769" t="s">
        <v>1184</v>
      </c>
      <c r="E9" s="769" t="s">
        <v>1185</v>
      </c>
      <c r="F9" s="769" t="s">
        <v>1186</v>
      </c>
      <c r="G9" s="769" t="s">
        <v>1187</v>
      </c>
      <c r="H9" s="769" t="s">
        <v>1188</v>
      </c>
      <c r="I9" s="769" t="s">
        <v>1189</v>
      </c>
      <c r="J9" s="769" t="s">
        <v>1190</v>
      </c>
      <c r="K9" s="769" t="s">
        <v>1191</v>
      </c>
      <c r="L9" s="769" t="s">
        <v>1192</v>
      </c>
      <c r="M9" s="769" t="s">
        <v>1193</v>
      </c>
      <c r="N9" s="769" t="s">
        <v>1194</v>
      </c>
      <c r="O9" s="770"/>
      <c r="P9" s="771"/>
      <c r="Q9" s="771"/>
    </row>
    <row r="10" spans="1:17" ht="15" thickBot="1" x14ac:dyDescent="0.35">
      <c r="A10" s="717"/>
      <c r="B10" s="733"/>
      <c r="C10" s="733"/>
      <c r="D10" s="733"/>
      <c r="E10" s="733"/>
      <c r="F10" s="733"/>
      <c r="G10" s="733"/>
      <c r="H10" s="733"/>
      <c r="I10" s="733"/>
      <c r="J10" s="733"/>
      <c r="K10" s="733"/>
      <c r="L10" s="733"/>
      <c r="M10" s="733"/>
      <c r="N10" s="733"/>
      <c r="O10" s="770"/>
      <c r="P10" s="770"/>
      <c r="Q10" s="770"/>
    </row>
    <row r="11" spans="1:17" ht="15" thickBot="1" x14ac:dyDescent="0.35">
      <c r="A11" s="717"/>
      <c r="B11" s="733"/>
      <c r="C11" s="733"/>
      <c r="D11" s="772"/>
      <c r="E11" s="772"/>
      <c r="F11" s="772"/>
      <c r="G11" s="772"/>
      <c r="H11" s="772"/>
      <c r="I11" s="772"/>
      <c r="J11" s="773" t="s">
        <v>289</v>
      </c>
      <c r="K11" s="799" t="s">
        <v>1195</v>
      </c>
      <c r="L11" s="773" t="s">
        <v>1196</v>
      </c>
      <c r="M11" s="773" t="s">
        <v>1197</v>
      </c>
      <c r="N11" s="773" t="s">
        <v>1197</v>
      </c>
      <c r="O11" s="770"/>
      <c r="P11" s="770"/>
      <c r="Q11" s="770"/>
    </row>
    <row r="12" spans="1:17" ht="71.25" customHeight="1" thickBot="1" x14ac:dyDescent="0.35">
      <c r="A12" s="774" t="s">
        <v>1198</v>
      </c>
      <c r="B12" s="800" t="s">
        <v>1199</v>
      </c>
      <c r="C12" s="775" t="s">
        <v>1200</v>
      </c>
      <c r="D12" s="776" t="s">
        <v>1201</v>
      </c>
      <c r="E12" s="776" t="s">
        <v>1202</v>
      </c>
      <c r="F12" s="776" t="s">
        <v>1203</v>
      </c>
      <c r="G12" s="776" t="s">
        <v>1204</v>
      </c>
      <c r="H12" s="777" t="s">
        <v>1205</v>
      </c>
      <c r="I12" s="776" t="s">
        <v>1206</v>
      </c>
      <c r="J12" s="776" t="s">
        <v>1207</v>
      </c>
      <c r="K12" s="776" t="s">
        <v>1208</v>
      </c>
      <c r="L12" s="777" t="s">
        <v>1209</v>
      </c>
      <c r="M12" s="776" t="s">
        <v>1210</v>
      </c>
      <c r="N12" s="776" t="s">
        <v>1211</v>
      </c>
      <c r="O12" s="800" t="s">
        <v>8</v>
      </c>
      <c r="P12" s="774" t="s">
        <v>1198</v>
      </c>
      <c r="Q12" s="778"/>
    </row>
    <row r="13" spans="1:17" x14ac:dyDescent="0.3">
      <c r="A13" s="732">
        <v>1</v>
      </c>
      <c r="B13" s="717" t="s">
        <v>1212</v>
      </c>
      <c r="C13" s="739"/>
      <c r="D13" s="717"/>
      <c r="E13" s="717"/>
      <c r="F13" s="717"/>
      <c r="G13" s="717"/>
      <c r="H13" s="717"/>
      <c r="I13" s="717"/>
      <c r="J13" s="717"/>
      <c r="K13" s="717"/>
      <c r="L13" s="717"/>
      <c r="M13" s="717"/>
      <c r="N13" s="717"/>
      <c r="O13" s="744"/>
      <c r="P13" s="732">
        <v>1</v>
      </c>
      <c r="Q13" s="752"/>
    </row>
    <row r="14" spans="1:17" x14ac:dyDescent="0.3">
      <c r="A14" s="732">
        <f t="shared" ref="A14:A44" si="0">+A13+1</f>
        <v>2</v>
      </c>
      <c r="B14" s="717" t="s">
        <v>1213</v>
      </c>
      <c r="C14" s="700"/>
      <c r="D14" s="717"/>
      <c r="E14" s="717"/>
      <c r="F14" s="717"/>
      <c r="G14" s="717"/>
      <c r="H14" s="717"/>
      <c r="I14" s="717"/>
      <c r="J14" s="717"/>
      <c r="K14" s="717"/>
      <c r="L14" s="717"/>
      <c r="M14" s="717"/>
      <c r="N14" s="717"/>
      <c r="O14" s="733"/>
      <c r="P14" s="732">
        <f t="shared" ref="P14:P44" si="1">+P13+1</f>
        <v>2</v>
      </c>
      <c r="Q14" s="752"/>
    </row>
    <row r="15" spans="1:17" x14ac:dyDescent="0.3">
      <c r="A15" s="732">
        <f t="shared" si="0"/>
        <v>3</v>
      </c>
      <c r="B15" s="717" t="s">
        <v>1214</v>
      </c>
      <c r="C15" s="700">
        <v>190</v>
      </c>
      <c r="D15" s="722">
        <v>0</v>
      </c>
      <c r="E15" s="722">
        <v>0</v>
      </c>
      <c r="F15" s="722"/>
      <c r="G15" s="722"/>
      <c r="H15" s="722"/>
      <c r="I15" s="722"/>
      <c r="J15" s="722">
        <v>-121.75572065244999</v>
      </c>
      <c r="K15" s="717">
        <f t="shared" ref="K15:K17" si="2">SUM(D15:I15)</f>
        <v>0</v>
      </c>
      <c r="L15" s="717">
        <f>+'Order 864-2'!I18</f>
        <v>0</v>
      </c>
      <c r="M15" s="717">
        <f>IF(SUM($K$15:$L$17)&lt;0,0,SUM($K15:$L15))</f>
        <v>0</v>
      </c>
      <c r="N15" s="717">
        <f>IF(SUM($K$15:$L$17)&lt;0,SUM($K15:$L15),0)</f>
        <v>0</v>
      </c>
      <c r="O15" s="733" t="s">
        <v>289</v>
      </c>
      <c r="P15" s="732">
        <f t="shared" si="1"/>
        <v>3</v>
      </c>
      <c r="Q15" s="752"/>
    </row>
    <row r="16" spans="1:17" x14ac:dyDescent="0.3">
      <c r="A16" s="732">
        <f t="shared" si="0"/>
        <v>4</v>
      </c>
      <c r="B16" s="717" t="s">
        <v>1215</v>
      </c>
      <c r="C16" s="700">
        <v>190</v>
      </c>
      <c r="D16" s="722">
        <v>0</v>
      </c>
      <c r="E16" s="722">
        <v>0</v>
      </c>
      <c r="F16" s="722"/>
      <c r="G16" s="722"/>
      <c r="H16" s="722"/>
      <c r="I16" s="722"/>
      <c r="J16" s="722">
        <v>-67.238548636628707</v>
      </c>
      <c r="K16" s="717">
        <f t="shared" si="2"/>
        <v>0</v>
      </c>
      <c r="L16" s="717">
        <f>+'Order 864-2'!I19</f>
        <v>0</v>
      </c>
      <c r="M16" s="717">
        <f>IF(SUM($K$15:$L$17)&lt;0,0,SUM($K16:$L16))</f>
        <v>0</v>
      </c>
      <c r="N16" s="717">
        <f>IF(SUM($K$15:$L$17)&lt;0,SUM($K16:$L16),0)</f>
        <v>0</v>
      </c>
      <c r="O16" s="733" t="s">
        <v>289</v>
      </c>
      <c r="P16" s="732">
        <f t="shared" si="1"/>
        <v>4</v>
      </c>
      <c r="Q16" s="752"/>
    </row>
    <row r="17" spans="1:17" x14ac:dyDescent="0.3">
      <c r="A17" s="732">
        <f t="shared" si="0"/>
        <v>5</v>
      </c>
      <c r="B17" s="717" t="s">
        <v>1216</v>
      </c>
      <c r="C17" s="700">
        <v>190</v>
      </c>
      <c r="D17" s="722">
        <v>8.5177682674583366E-2</v>
      </c>
      <c r="E17" s="722">
        <v>0</v>
      </c>
      <c r="F17" s="722">
        <v>-8.5177682674583366E-2</v>
      </c>
      <c r="G17" s="722"/>
      <c r="H17" s="722"/>
      <c r="I17" s="722"/>
      <c r="J17" s="722">
        <v>-214.4</v>
      </c>
      <c r="K17" s="717">
        <f t="shared" si="2"/>
        <v>0</v>
      </c>
      <c r="L17" s="717">
        <f>+'Order 864-2'!I20</f>
        <v>0</v>
      </c>
      <c r="M17" s="717">
        <f>IF(SUM($K$15:$L$17)&lt;0,0,SUM($K17:$L17))</f>
        <v>0</v>
      </c>
      <c r="N17" s="717">
        <f>IF(SUM($K$15:$L$17)&lt;0,SUM($K17:$L17),0)</f>
        <v>0</v>
      </c>
      <c r="O17" s="733" t="s">
        <v>289</v>
      </c>
      <c r="P17" s="732">
        <f t="shared" si="1"/>
        <v>5</v>
      </c>
      <c r="Q17" s="752"/>
    </row>
    <row r="18" spans="1:17" x14ac:dyDescent="0.3">
      <c r="A18" s="732">
        <f t="shared" si="0"/>
        <v>6</v>
      </c>
      <c r="B18" s="717" t="s">
        <v>1217</v>
      </c>
      <c r="C18" s="700"/>
      <c r="D18" s="722"/>
      <c r="E18" s="722"/>
      <c r="F18" s="722"/>
      <c r="G18" s="722"/>
      <c r="H18" s="722"/>
      <c r="I18" s="722"/>
      <c r="J18" s="722">
        <v>0</v>
      </c>
      <c r="K18" s="717"/>
      <c r="L18" s="717"/>
      <c r="M18" s="717"/>
      <c r="N18" s="717"/>
      <c r="O18" s="733"/>
      <c r="P18" s="732">
        <f t="shared" si="1"/>
        <v>6</v>
      </c>
      <c r="Q18" s="752"/>
    </row>
    <row r="19" spans="1:17" x14ac:dyDescent="0.3">
      <c r="A19" s="732">
        <f t="shared" si="0"/>
        <v>7</v>
      </c>
      <c r="B19" s="717" t="s">
        <v>1218</v>
      </c>
      <c r="C19" s="700">
        <v>190</v>
      </c>
      <c r="D19" s="722">
        <v>0.15525620575846233</v>
      </c>
      <c r="E19" s="722">
        <v>0</v>
      </c>
      <c r="F19" s="722">
        <v>-0.15525620575846233</v>
      </c>
      <c r="G19" s="722"/>
      <c r="H19" s="722"/>
      <c r="I19" s="722"/>
      <c r="J19" s="722">
        <v>-555.29460583790205</v>
      </c>
      <c r="K19" s="717">
        <f t="shared" ref="K19" si="3">SUM(D19:I19)</f>
        <v>0</v>
      </c>
      <c r="L19" s="717">
        <f>+'Order 864-2'!I22</f>
        <v>0</v>
      </c>
      <c r="M19" s="717">
        <f>IF(SUM($K$19:$L$19)&lt;0,0,SUM($K19:$L19))</f>
        <v>0</v>
      </c>
      <c r="N19" s="717">
        <f>IF(SUM($K$19:$L$19)&lt;0,SUM($K19:$L19),0)</f>
        <v>0</v>
      </c>
      <c r="O19" s="733" t="s">
        <v>289</v>
      </c>
      <c r="P19" s="732">
        <f t="shared" si="1"/>
        <v>7</v>
      </c>
      <c r="Q19" s="752"/>
    </row>
    <row r="20" spans="1:17" x14ac:dyDescent="0.3">
      <c r="A20" s="732">
        <f t="shared" si="0"/>
        <v>8</v>
      </c>
      <c r="B20" s="717" t="s">
        <v>1219</v>
      </c>
      <c r="C20" s="700"/>
      <c r="D20" s="722"/>
      <c r="E20" s="722"/>
      <c r="F20" s="722"/>
      <c r="G20" s="722"/>
      <c r="H20" s="722"/>
      <c r="I20" s="722"/>
      <c r="J20" s="722">
        <v>0</v>
      </c>
      <c r="K20" s="717"/>
      <c r="L20" s="717"/>
      <c r="M20" s="717"/>
      <c r="N20" s="717"/>
      <c r="O20" s="733"/>
      <c r="P20" s="732">
        <f t="shared" si="1"/>
        <v>8</v>
      </c>
      <c r="Q20" s="752"/>
    </row>
    <row r="21" spans="1:17" x14ac:dyDescent="0.3">
      <c r="A21" s="732">
        <f t="shared" si="0"/>
        <v>9</v>
      </c>
      <c r="B21" s="717" t="s">
        <v>1220</v>
      </c>
      <c r="C21" s="700">
        <v>283</v>
      </c>
      <c r="D21" s="722">
        <v>0</v>
      </c>
      <c r="E21" s="722">
        <v>0</v>
      </c>
      <c r="F21" s="722"/>
      <c r="G21" s="722"/>
      <c r="H21" s="722"/>
      <c r="I21" s="722"/>
      <c r="J21" s="722">
        <v>-21828.386489952001</v>
      </c>
      <c r="K21" s="717">
        <f t="shared" ref="K21:K22" si="4">SUM(D21:I21)</f>
        <v>0</v>
      </c>
      <c r="L21" s="717">
        <f>+'Order 864-2'!I24</f>
        <v>0</v>
      </c>
      <c r="M21" s="717">
        <f>IF(SUM($K$21:$L$22)&lt;0,0,SUM($K21:$L21))</f>
        <v>0</v>
      </c>
      <c r="N21" s="717">
        <f>IF(SUM($K$21:$L$22)&lt;0,SUM($K21:$L21),0)</f>
        <v>0</v>
      </c>
      <c r="O21" s="733" t="s">
        <v>289</v>
      </c>
      <c r="P21" s="732">
        <f t="shared" si="1"/>
        <v>9</v>
      </c>
      <c r="Q21" s="752"/>
    </row>
    <row r="22" spans="1:17" x14ac:dyDescent="0.3">
      <c r="A22" s="732">
        <f t="shared" si="0"/>
        <v>10</v>
      </c>
      <c r="B22" s="717" t="s">
        <v>1221</v>
      </c>
      <c r="C22" s="700">
        <v>283</v>
      </c>
      <c r="D22" s="722">
        <v>0</v>
      </c>
      <c r="E22" s="722">
        <v>0</v>
      </c>
      <c r="F22" s="722"/>
      <c r="G22" s="722"/>
      <c r="H22" s="722"/>
      <c r="I22" s="722"/>
      <c r="J22" s="722">
        <v>24387.763684080001</v>
      </c>
      <c r="K22" s="717">
        <f t="shared" si="4"/>
        <v>0</v>
      </c>
      <c r="L22" s="717">
        <f>+'Order 864-2'!I25</f>
        <v>0</v>
      </c>
      <c r="M22" s="717">
        <f>IF(SUM($K$21:$L$22)&lt;0,0,SUM($K22:$L22))</f>
        <v>0</v>
      </c>
      <c r="N22" s="717">
        <f>IF(SUM($K$21:$L$22)&lt;0,SUM($K22:$L22),0)</f>
        <v>0</v>
      </c>
      <c r="O22" s="733" t="s">
        <v>289</v>
      </c>
      <c r="P22" s="732">
        <f t="shared" si="1"/>
        <v>10</v>
      </c>
      <c r="Q22" s="752"/>
    </row>
    <row r="23" spans="1:17" x14ac:dyDescent="0.3">
      <c r="A23" s="732">
        <f>+A22+1</f>
        <v>11</v>
      </c>
      <c r="B23" s="733"/>
      <c r="C23" s="734"/>
      <c r="D23" s="735"/>
      <c r="E23" s="735"/>
      <c r="F23" s="735"/>
      <c r="G23" s="735"/>
      <c r="H23" s="735"/>
      <c r="I23" s="735"/>
      <c r="J23" s="784"/>
      <c r="K23" s="735"/>
      <c r="L23" s="735"/>
      <c r="M23" s="735"/>
      <c r="N23" s="735"/>
      <c r="O23" s="717"/>
      <c r="P23" s="732">
        <f>+P22+1</f>
        <v>11</v>
      </c>
      <c r="Q23" s="752"/>
    </row>
    <row r="24" spans="1:17" ht="15" thickBot="1" x14ac:dyDescent="0.35">
      <c r="A24" s="732">
        <f t="shared" si="0"/>
        <v>12</v>
      </c>
      <c r="B24" s="733" t="s">
        <v>1222</v>
      </c>
      <c r="C24" s="717"/>
      <c r="D24" s="715">
        <f t="shared" ref="D24:N24" si="5">SUM(D14:D22)</f>
        <v>0.24043388843304569</v>
      </c>
      <c r="E24" s="736">
        <f t="shared" si="5"/>
        <v>0</v>
      </c>
      <c r="F24" s="715">
        <f>SUM(F14:F22)</f>
        <v>-0.24043388843304569</v>
      </c>
      <c r="G24" s="736">
        <f t="shared" si="5"/>
        <v>0</v>
      </c>
      <c r="H24" s="715">
        <f t="shared" si="5"/>
        <v>0</v>
      </c>
      <c r="I24" s="736">
        <f t="shared" si="5"/>
        <v>0</v>
      </c>
      <c r="J24" s="715">
        <f t="shared" si="5"/>
        <v>1600.6883190010194</v>
      </c>
      <c r="K24" s="715">
        <f t="shared" si="5"/>
        <v>0</v>
      </c>
      <c r="L24" s="715">
        <f t="shared" si="5"/>
        <v>0</v>
      </c>
      <c r="M24" s="715">
        <f t="shared" si="5"/>
        <v>0</v>
      </c>
      <c r="N24" s="715">
        <f t="shared" si="5"/>
        <v>0</v>
      </c>
      <c r="O24" s="733" t="s">
        <v>1223</v>
      </c>
      <c r="P24" s="732">
        <f t="shared" si="1"/>
        <v>12</v>
      </c>
      <c r="Q24" s="752"/>
    </row>
    <row r="25" spans="1:17" ht="15" thickTop="1" x14ac:dyDescent="0.3">
      <c r="A25" s="732">
        <f t="shared" si="0"/>
        <v>13</v>
      </c>
      <c r="B25" s="717"/>
      <c r="C25" s="717"/>
      <c r="D25" s="737"/>
      <c r="E25" s="737"/>
      <c r="F25" s="737"/>
      <c r="G25" s="737"/>
      <c r="H25" s="737"/>
      <c r="I25" s="737"/>
      <c r="J25" s="737"/>
      <c r="K25" s="737"/>
      <c r="L25" s="737"/>
      <c r="M25" s="737"/>
      <c r="N25" s="737"/>
      <c r="O25" s="717"/>
      <c r="P25" s="732">
        <f t="shared" si="1"/>
        <v>13</v>
      </c>
      <c r="Q25" s="752"/>
    </row>
    <row r="26" spans="1:17" x14ac:dyDescent="0.3">
      <c r="A26" s="732">
        <f t="shared" si="0"/>
        <v>14</v>
      </c>
      <c r="B26" s="717" t="s">
        <v>1224</v>
      </c>
      <c r="C26" s="738"/>
      <c r="D26" s="737"/>
      <c r="E26" s="737"/>
      <c r="F26" s="737"/>
      <c r="G26" s="737"/>
      <c r="H26" s="737"/>
      <c r="I26" s="737"/>
      <c r="J26" s="737"/>
      <c r="K26" s="737"/>
      <c r="L26" s="737"/>
      <c r="M26" s="737"/>
      <c r="N26" s="737"/>
      <c r="O26" s="717"/>
      <c r="P26" s="732">
        <f t="shared" si="1"/>
        <v>14</v>
      </c>
      <c r="Q26" s="752"/>
    </row>
    <row r="27" spans="1:17" x14ac:dyDescent="0.3">
      <c r="A27" s="732">
        <f t="shared" si="0"/>
        <v>15</v>
      </c>
      <c r="B27" s="717" t="s">
        <v>1225</v>
      </c>
      <c r="C27" s="732">
        <v>190</v>
      </c>
      <c r="D27" s="722">
        <v>105336.37279363305</v>
      </c>
      <c r="E27" s="722">
        <v>0</v>
      </c>
      <c r="F27" s="722">
        <v>17.729633871337942</v>
      </c>
      <c r="G27" s="722"/>
      <c r="H27" s="722">
        <v>-1458.5555226342103</v>
      </c>
      <c r="I27" s="722"/>
      <c r="J27" s="722">
        <v>-6563.5620408660225</v>
      </c>
      <c r="K27" s="717">
        <f>SUM(D27:I27)</f>
        <v>103895.54690487018</v>
      </c>
      <c r="L27" s="717">
        <f>+'Order 864-2'!I30</f>
        <v>0</v>
      </c>
      <c r="M27" s="717">
        <f>IF(SUM($K$27:$L$27)&lt;0,0,SUM($K27:$L27))</f>
        <v>103895.54690487018</v>
      </c>
      <c r="N27" s="717">
        <f>IF(SUM($K$27:$L$27)&lt;0,SUM($K27:$L27),0)</f>
        <v>0</v>
      </c>
      <c r="O27" s="733" t="s">
        <v>289</v>
      </c>
      <c r="P27" s="732">
        <f t="shared" si="1"/>
        <v>15</v>
      </c>
      <c r="Q27" s="752"/>
    </row>
    <row r="28" spans="1:17" x14ac:dyDescent="0.3">
      <c r="A28" s="732">
        <f t="shared" si="0"/>
        <v>16</v>
      </c>
      <c r="B28" s="717" t="s">
        <v>1226</v>
      </c>
      <c r="C28" s="732"/>
      <c r="D28" s="722"/>
      <c r="E28" s="722"/>
      <c r="F28" s="722"/>
      <c r="G28" s="722"/>
      <c r="H28" s="722"/>
      <c r="I28" s="722"/>
      <c r="J28" s="722">
        <v>0</v>
      </c>
      <c r="K28" s="717"/>
      <c r="L28" s="717"/>
      <c r="M28" s="717"/>
      <c r="N28" s="717"/>
      <c r="O28" s="733"/>
      <c r="P28" s="732">
        <f t="shared" si="1"/>
        <v>16</v>
      </c>
      <c r="Q28" s="752"/>
    </row>
    <row r="29" spans="1:17" x14ac:dyDescent="0.3">
      <c r="A29" s="732">
        <f t="shared" si="0"/>
        <v>17</v>
      </c>
      <c r="B29" s="717" t="s">
        <v>1227</v>
      </c>
      <c r="C29" s="732">
        <v>282</v>
      </c>
      <c r="D29" s="722">
        <v>0</v>
      </c>
      <c r="E29" s="722">
        <v>-377718.41804081638</v>
      </c>
      <c r="F29" s="722"/>
      <c r="G29" s="722">
        <v>-51.312346938798839</v>
      </c>
      <c r="H29" s="722"/>
      <c r="I29" s="722">
        <v>5077.6216530611991</v>
      </c>
      <c r="J29" s="722">
        <v>23028.177430426698</v>
      </c>
      <c r="K29" s="717">
        <f t="shared" ref="K29:K30" si="6">SUM(D29:I29)</f>
        <v>-372692.10873469402</v>
      </c>
      <c r="L29" s="717">
        <f>+'Order 864-2'!I32</f>
        <v>0</v>
      </c>
      <c r="M29" s="717">
        <f>IF(SUM($K$29:$L$30)&lt;0,0,SUM($K29:$L29))</f>
        <v>0</v>
      </c>
      <c r="N29" s="717">
        <f>IF(SUM($K$29:$L$30)&lt;0,SUM($K29:$L29),0)</f>
        <v>-372692.10873469402</v>
      </c>
      <c r="O29" s="733" t="s">
        <v>289</v>
      </c>
      <c r="P29" s="732">
        <f t="shared" si="1"/>
        <v>17</v>
      </c>
      <c r="Q29" s="752"/>
    </row>
    <row r="30" spans="1:17" x14ac:dyDescent="0.3">
      <c r="A30" s="732">
        <f t="shared" si="0"/>
        <v>18</v>
      </c>
      <c r="B30" s="717" t="s">
        <v>1228</v>
      </c>
      <c r="C30" s="732">
        <v>282</v>
      </c>
      <c r="D30" s="722">
        <v>0</v>
      </c>
      <c r="E30" s="722">
        <v>7661.1910000000034</v>
      </c>
      <c r="F30" s="722"/>
      <c r="G30" s="722">
        <v>-0.70600000000372531</v>
      </c>
      <c r="H30" s="722"/>
      <c r="I30" s="722">
        <v>-923.30299999999988</v>
      </c>
      <c r="J30" s="722">
        <v>-5278.4610000000002</v>
      </c>
      <c r="K30" s="717">
        <f t="shared" si="6"/>
        <v>6737.1819999999998</v>
      </c>
      <c r="L30" s="717">
        <f>+'Order 864-2'!I33</f>
        <v>0</v>
      </c>
      <c r="M30" s="717">
        <f>IF(SUM($K$29:$L$30)&lt;0,0,SUM($K30:$L30))</f>
        <v>0</v>
      </c>
      <c r="N30" s="717">
        <f>IF(SUM($K$29:$L$30)&lt;0,SUM($K30:$L30),0)</f>
        <v>6737.1819999999998</v>
      </c>
      <c r="O30" s="733" t="s">
        <v>289</v>
      </c>
      <c r="P30" s="732">
        <f t="shared" si="1"/>
        <v>18</v>
      </c>
      <c r="Q30" s="752"/>
    </row>
    <row r="31" spans="1:17" x14ac:dyDescent="0.3">
      <c r="A31" s="732">
        <f t="shared" si="0"/>
        <v>19</v>
      </c>
      <c r="B31" s="733" t="s">
        <v>1229</v>
      </c>
      <c r="C31" s="734"/>
      <c r="D31" s="725">
        <f t="shared" ref="D31:N31" si="7">SUM(D27:D30)</f>
        <v>105336.37279363305</v>
      </c>
      <c r="E31" s="725">
        <f t="shared" si="7"/>
        <v>-370057.22704081639</v>
      </c>
      <c r="F31" s="725">
        <f t="shared" si="7"/>
        <v>17.729633871337942</v>
      </c>
      <c r="G31" s="725">
        <f t="shared" si="7"/>
        <v>-52.018346938802566</v>
      </c>
      <c r="H31" s="725">
        <f t="shared" si="7"/>
        <v>-1458.5555226342103</v>
      </c>
      <c r="I31" s="725">
        <f t="shared" si="7"/>
        <v>4154.3186530611993</v>
      </c>
      <c r="J31" s="725">
        <f t="shared" si="7"/>
        <v>11186.154389560677</v>
      </c>
      <c r="K31" s="725">
        <f t="shared" si="7"/>
        <v>-262059.37982982383</v>
      </c>
      <c r="L31" s="725">
        <f t="shared" si="7"/>
        <v>0</v>
      </c>
      <c r="M31" s="725">
        <f t="shared" si="7"/>
        <v>103895.54690487018</v>
      </c>
      <c r="N31" s="725">
        <f t="shared" si="7"/>
        <v>-365954.92673469405</v>
      </c>
      <c r="O31" s="733" t="s">
        <v>1230</v>
      </c>
      <c r="P31" s="732">
        <f t="shared" si="1"/>
        <v>19</v>
      </c>
      <c r="Q31" s="752"/>
    </row>
    <row r="32" spans="1:17" x14ac:dyDescent="0.3">
      <c r="A32" s="732">
        <f t="shared" si="0"/>
        <v>20</v>
      </c>
      <c r="B32" s="717"/>
      <c r="C32" s="734"/>
      <c r="D32" s="737"/>
      <c r="E32" s="737"/>
      <c r="F32" s="737"/>
      <c r="G32" s="737"/>
      <c r="H32" s="737"/>
      <c r="I32" s="737"/>
      <c r="J32" s="717"/>
      <c r="K32" s="737"/>
      <c r="L32" s="737"/>
      <c r="M32" s="737"/>
      <c r="N32" s="737"/>
      <c r="O32" s="717"/>
      <c r="P32" s="732">
        <f t="shared" si="1"/>
        <v>20</v>
      </c>
      <c r="Q32" s="752"/>
    </row>
    <row r="33" spans="1:17" x14ac:dyDescent="0.3">
      <c r="A33" s="732">
        <f t="shared" si="0"/>
        <v>21</v>
      </c>
      <c r="B33" s="717" t="s">
        <v>1231</v>
      </c>
      <c r="C33" s="739"/>
      <c r="D33" s="737"/>
      <c r="E33" s="737"/>
      <c r="F33" s="737"/>
      <c r="G33" s="737"/>
      <c r="H33" s="737"/>
      <c r="I33" s="737"/>
      <c r="J33" s="717"/>
      <c r="K33" s="737"/>
      <c r="L33" s="737"/>
      <c r="M33" s="737"/>
      <c r="N33" s="737"/>
      <c r="O33" s="717"/>
      <c r="P33" s="732">
        <f t="shared" si="1"/>
        <v>21</v>
      </c>
      <c r="Q33" s="752"/>
    </row>
    <row r="34" spans="1:17" x14ac:dyDescent="0.3">
      <c r="A34" s="732">
        <f t="shared" si="0"/>
        <v>22</v>
      </c>
      <c r="B34" s="717" t="s">
        <v>1232</v>
      </c>
      <c r="C34" s="732">
        <v>282</v>
      </c>
      <c r="D34" s="722">
        <v>0</v>
      </c>
      <c r="E34" s="722">
        <v>-12146.053</v>
      </c>
      <c r="F34" s="722"/>
      <c r="G34" s="722">
        <v>-6.7529999999996653</v>
      </c>
      <c r="H34" s="722"/>
      <c r="I34" s="722">
        <v>266.32500000000073</v>
      </c>
      <c r="J34" s="722">
        <v>1319.1743636363608</v>
      </c>
      <c r="K34" s="717">
        <f>SUM(D34:I34)</f>
        <v>-11886.480999999998</v>
      </c>
      <c r="L34" s="717">
        <f>+'Order 864-2'!I37</f>
        <v>0</v>
      </c>
      <c r="M34" s="717">
        <f>IF(SUM($K$34:$L$34)&lt;0,0,SUM($K34:$L34))</f>
        <v>0</v>
      </c>
      <c r="N34" s="717">
        <f>IF(SUM($K$34:$L$34)&lt;0,SUM($K34:$L34),0)</f>
        <v>-11886.480999999998</v>
      </c>
      <c r="O34" s="733" t="s">
        <v>289</v>
      </c>
      <c r="P34" s="732">
        <f t="shared" si="1"/>
        <v>22</v>
      </c>
      <c r="Q34" s="752"/>
    </row>
    <row r="35" spans="1:17" x14ac:dyDescent="0.3">
      <c r="A35" s="732">
        <f t="shared" si="0"/>
        <v>23</v>
      </c>
      <c r="B35" s="717" t="s">
        <v>1233</v>
      </c>
      <c r="C35" s="732">
        <v>282</v>
      </c>
      <c r="D35" s="722">
        <v>0</v>
      </c>
      <c r="E35" s="722">
        <v>-32367.185999999998</v>
      </c>
      <c r="F35" s="722"/>
      <c r="G35" s="722">
        <v>-17.226999999999389</v>
      </c>
      <c r="H35" s="722"/>
      <c r="I35" s="722">
        <v>1199.9959999999992</v>
      </c>
      <c r="J35" s="722">
        <v>7477.9992727272693</v>
      </c>
      <c r="K35" s="717">
        <f t="shared" ref="K35:K36" si="8">SUM(D35:I35)</f>
        <v>-31184.416999999998</v>
      </c>
      <c r="L35" s="717">
        <f>+'Order 864-2'!I38</f>
        <v>0</v>
      </c>
      <c r="M35" s="717">
        <f>IF(SUM($K$35:$L$35)&lt;0,0,SUM($K35:$L35))</f>
        <v>0</v>
      </c>
      <c r="N35" s="717">
        <f>IF(SUM($K$35:$L$35)&lt;0,SUM($K35:$L35),0)</f>
        <v>-31184.416999999998</v>
      </c>
      <c r="O35" s="733" t="s">
        <v>289</v>
      </c>
      <c r="P35" s="732">
        <f t="shared" si="1"/>
        <v>23</v>
      </c>
      <c r="Q35" s="752"/>
    </row>
    <row r="36" spans="1:17" x14ac:dyDescent="0.3">
      <c r="A36" s="732">
        <f t="shared" si="0"/>
        <v>24</v>
      </c>
      <c r="B36" s="717" t="s">
        <v>1234</v>
      </c>
      <c r="C36" s="740">
        <v>282</v>
      </c>
      <c r="D36" s="722">
        <v>13395.735902179029</v>
      </c>
      <c r="E36" s="722">
        <v>0</v>
      </c>
      <c r="F36" s="722">
        <v>5.1880000000001019</v>
      </c>
      <c r="G36" s="722"/>
      <c r="H36" s="722">
        <v>-87.047999646206662</v>
      </c>
      <c r="I36" s="722"/>
      <c r="J36" s="722">
        <v>446.43972762652129</v>
      </c>
      <c r="K36" s="717">
        <f t="shared" si="8"/>
        <v>13313.875902532822</v>
      </c>
      <c r="L36" s="717">
        <f>+'Order 864-2'!I39</f>
        <v>0</v>
      </c>
      <c r="M36" s="717">
        <f>IF(SUM($K$36:$L$36)&lt;0,0,SUM($K36:$L36))</f>
        <v>13313.875902532822</v>
      </c>
      <c r="N36" s="717">
        <f>IF(SUM($K$36:$L$36)&lt;0,SUM($K36:$L36),0)</f>
        <v>0</v>
      </c>
      <c r="O36" s="733" t="s">
        <v>289</v>
      </c>
      <c r="P36" s="732">
        <f t="shared" si="1"/>
        <v>24</v>
      </c>
      <c r="Q36" s="752"/>
    </row>
    <row r="37" spans="1:17" x14ac:dyDescent="0.3">
      <c r="A37" s="732">
        <f t="shared" si="0"/>
        <v>25</v>
      </c>
      <c r="B37" s="733" t="s">
        <v>1229</v>
      </c>
      <c r="C37" s="734"/>
      <c r="D37" s="725">
        <f t="shared" ref="D37:L37" si="9">SUM(D34:D36)</f>
        <v>13395.735902179029</v>
      </c>
      <c r="E37" s="725">
        <f t="shared" si="9"/>
        <v>-44513.239000000001</v>
      </c>
      <c r="F37" s="725">
        <f t="shared" si="9"/>
        <v>5.1880000000001019</v>
      </c>
      <c r="G37" s="725">
        <f t="shared" si="9"/>
        <v>-23.979999999999055</v>
      </c>
      <c r="H37" s="725">
        <f t="shared" si="9"/>
        <v>-87.047999646206662</v>
      </c>
      <c r="I37" s="725">
        <f t="shared" si="9"/>
        <v>1466.3209999999999</v>
      </c>
      <c r="J37" s="725">
        <f t="shared" ref="J37" si="10">SUM(J34:J36)</f>
        <v>9243.6133639901509</v>
      </c>
      <c r="K37" s="725">
        <f t="shared" si="9"/>
        <v>-29757.022097467172</v>
      </c>
      <c r="L37" s="725">
        <f t="shared" si="9"/>
        <v>0</v>
      </c>
      <c r="M37" s="725">
        <f>SUM(M34:M36)</f>
        <v>13313.875902532822</v>
      </c>
      <c r="N37" s="725">
        <f>SUM(N34:N36)</f>
        <v>-43070.897999999994</v>
      </c>
      <c r="O37" s="733" t="s">
        <v>1235</v>
      </c>
      <c r="P37" s="732">
        <f t="shared" si="1"/>
        <v>25</v>
      </c>
      <c r="Q37" s="752"/>
    </row>
    <row r="38" spans="1:17" x14ac:dyDescent="0.3">
      <c r="A38" s="732">
        <f t="shared" si="0"/>
        <v>26</v>
      </c>
      <c r="B38" s="717"/>
      <c r="C38" s="734"/>
      <c r="D38" s="735"/>
      <c r="E38" s="735"/>
      <c r="F38" s="735"/>
      <c r="G38" s="735"/>
      <c r="H38" s="735"/>
      <c r="I38" s="735"/>
      <c r="J38" s="735"/>
      <c r="K38" s="735"/>
      <c r="L38" s="735"/>
      <c r="M38" s="735"/>
      <c r="N38" s="735"/>
      <c r="O38" s="717"/>
      <c r="P38" s="732">
        <f t="shared" si="1"/>
        <v>26</v>
      </c>
      <c r="Q38" s="752"/>
    </row>
    <row r="39" spans="1:17" x14ac:dyDescent="0.3">
      <c r="A39" s="732">
        <f t="shared" si="0"/>
        <v>27</v>
      </c>
      <c r="B39" s="717" t="s">
        <v>1231</v>
      </c>
      <c r="C39" s="739"/>
      <c r="D39" s="737"/>
      <c r="E39" s="737"/>
      <c r="F39" s="737"/>
      <c r="G39" s="737"/>
      <c r="H39" s="737"/>
      <c r="I39" s="737"/>
      <c r="J39" s="737"/>
      <c r="K39" s="737"/>
      <c r="L39" s="737"/>
      <c r="M39" s="737"/>
      <c r="N39" s="737"/>
      <c r="O39" s="717"/>
      <c r="P39" s="732">
        <f t="shared" si="1"/>
        <v>27</v>
      </c>
      <c r="Q39" s="752"/>
    </row>
    <row r="40" spans="1:17" x14ac:dyDescent="0.3">
      <c r="A40" s="732">
        <f t="shared" si="0"/>
        <v>28</v>
      </c>
      <c r="B40" s="717" t="s">
        <v>1236</v>
      </c>
      <c r="C40" s="740">
        <v>282</v>
      </c>
      <c r="D40" s="750">
        <v>38580.010458927754</v>
      </c>
      <c r="E40" s="796">
        <v>0</v>
      </c>
      <c r="F40" s="785">
        <v>6.4935504905921562</v>
      </c>
      <c r="G40" s="785"/>
      <c r="H40" s="785">
        <v>-534.20189036551778</v>
      </c>
      <c r="I40" s="785"/>
      <c r="J40" s="722">
        <v>-2382.1737293347278</v>
      </c>
      <c r="K40" s="751">
        <f>SUM(D40:I40)</f>
        <v>38052.302119052831</v>
      </c>
      <c r="L40" s="751">
        <f>+'Order 864-2'!I43</f>
        <v>0</v>
      </c>
      <c r="M40" s="717">
        <f>IF(SUM($K$40:$L$40)&lt;0,0,SUM($K40:$L40))</f>
        <v>38052.302119052831</v>
      </c>
      <c r="N40" s="717">
        <f>IF(SUM($K$40:$L$40)&lt;0,SUM($K40:$L40),0)</f>
        <v>0</v>
      </c>
      <c r="O40" s="733" t="s">
        <v>289</v>
      </c>
      <c r="P40" s="732">
        <f t="shared" si="1"/>
        <v>28</v>
      </c>
      <c r="Q40" s="752"/>
    </row>
    <row r="41" spans="1:17" x14ac:dyDescent="0.3">
      <c r="A41" s="732">
        <f t="shared" si="0"/>
        <v>29</v>
      </c>
      <c r="B41" s="717"/>
      <c r="C41" s="734"/>
      <c r="D41" s="741"/>
      <c r="E41" s="741"/>
      <c r="F41" s="741"/>
      <c r="G41" s="741"/>
      <c r="H41" s="741"/>
      <c r="I41" s="741"/>
      <c r="J41" s="741"/>
      <c r="K41" s="741"/>
      <c r="L41" s="741"/>
      <c r="M41" s="741"/>
      <c r="N41" s="741"/>
      <c r="O41" s="717"/>
      <c r="P41" s="732">
        <f t="shared" si="1"/>
        <v>29</v>
      </c>
      <c r="Q41" s="752"/>
    </row>
    <row r="42" spans="1:17" ht="15" thickBot="1" x14ac:dyDescent="0.35">
      <c r="A42" s="732">
        <f t="shared" si="0"/>
        <v>30</v>
      </c>
      <c r="B42" s="733" t="s">
        <v>1237</v>
      </c>
      <c r="C42" s="734"/>
      <c r="D42" s="715">
        <f t="shared" ref="D42:N42" si="11">+D40+D37+D31</f>
        <v>157312.11915473983</v>
      </c>
      <c r="E42" s="715">
        <f t="shared" si="11"/>
        <v>-414570.46604081639</v>
      </c>
      <c r="F42" s="715">
        <f t="shared" si="11"/>
        <v>29.4111843619302</v>
      </c>
      <c r="G42" s="715">
        <f t="shared" si="11"/>
        <v>-75.998346938801618</v>
      </c>
      <c r="H42" s="715">
        <f t="shared" si="11"/>
        <v>-2079.8054126459347</v>
      </c>
      <c r="I42" s="715">
        <f t="shared" si="11"/>
        <v>5620.6396530611992</v>
      </c>
      <c r="J42" s="715">
        <f t="shared" ref="J42" si="12">J31+J37+J40</f>
        <v>18047.594024216098</v>
      </c>
      <c r="K42" s="715">
        <f t="shared" si="11"/>
        <v>-253764.09980823816</v>
      </c>
      <c r="L42" s="715">
        <f t="shared" si="11"/>
        <v>0</v>
      </c>
      <c r="M42" s="715">
        <f t="shared" si="11"/>
        <v>155261.72492645582</v>
      </c>
      <c r="N42" s="715">
        <f t="shared" si="11"/>
        <v>-409025.82473469403</v>
      </c>
      <c r="O42" s="801" t="s">
        <v>1238</v>
      </c>
      <c r="P42" s="732">
        <f t="shared" si="1"/>
        <v>30</v>
      </c>
      <c r="Q42" s="752"/>
    </row>
    <row r="43" spans="1:17" ht="15" thickTop="1" x14ac:dyDescent="0.3">
      <c r="A43" s="732">
        <f t="shared" si="0"/>
        <v>31</v>
      </c>
      <c r="B43" s="717"/>
      <c r="C43" s="717"/>
      <c r="D43" s="742"/>
      <c r="E43" s="742"/>
      <c r="F43" s="742"/>
      <c r="G43" s="742"/>
      <c r="H43" s="742"/>
      <c r="I43" s="742"/>
      <c r="J43" s="742"/>
      <c r="K43" s="742"/>
      <c r="L43" s="742"/>
      <c r="M43" s="742"/>
      <c r="N43" s="742"/>
      <c r="O43" s="717"/>
      <c r="P43" s="732">
        <f t="shared" si="1"/>
        <v>31</v>
      </c>
      <c r="Q43" s="752"/>
    </row>
    <row r="44" spans="1:17" ht="15" thickBot="1" x14ac:dyDescent="0.35">
      <c r="A44" s="732">
        <f t="shared" si="0"/>
        <v>32</v>
      </c>
      <c r="B44" s="733" t="s">
        <v>1239</v>
      </c>
      <c r="C44" s="717"/>
      <c r="D44" s="715">
        <f t="shared" ref="D44:N44" si="13">D24+D42</f>
        <v>157312.35958862826</v>
      </c>
      <c r="E44" s="715">
        <f t="shared" si="13"/>
        <v>-414570.46604081639</v>
      </c>
      <c r="F44" s="715">
        <f t="shared" si="13"/>
        <v>29.170750473497154</v>
      </c>
      <c r="G44" s="715">
        <f t="shared" si="13"/>
        <v>-75.998346938801618</v>
      </c>
      <c r="H44" s="715">
        <f t="shared" si="13"/>
        <v>-2079.8054126459347</v>
      </c>
      <c r="I44" s="715">
        <f t="shared" si="13"/>
        <v>5620.6396530611992</v>
      </c>
      <c r="J44" s="715">
        <f t="shared" si="13"/>
        <v>19648.282343217117</v>
      </c>
      <c r="K44" s="715">
        <f t="shared" si="13"/>
        <v>-253764.09980823816</v>
      </c>
      <c r="L44" s="715">
        <f t="shared" si="13"/>
        <v>0</v>
      </c>
      <c r="M44" s="715">
        <f t="shared" si="13"/>
        <v>155261.72492645582</v>
      </c>
      <c r="N44" s="715">
        <f t="shared" si="13"/>
        <v>-409025.82473469403</v>
      </c>
      <c r="O44" s="733" t="s">
        <v>1240</v>
      </c>
      <c r="P44" s="732">
        <f t="shared" si="1"/>
        <v>32</v>
      </c>
      <c r="Q44" s="752"/>
    </row>
    <row r="45" spans="1:17" ht="15" thickTop="1" x14ac:dyDescent="0.3">
      <c r="A45" s="732"/>
      <c r="B45" s="717"/>
      <c r="C45" s="717"/>
      <c r="D45" s="717"/>
      <c r="E45" s="717"/>
      <c r="F45" s="717"/>
      <c r="G45" s="717"/>
      <c r="H45" s="717"/>
      <c r="I45" s="717"/>
      <c r="J45" s="717"/>
      <c r="K45" s="717"/>
      <c r="L45" s="717"/>
      <c r="M45" s="717">
        <f>'AF-1'!E35-M44</f>
        <v>0</v>
      </c>
      <c r="N45" s="717">
        <f>N44-'AF-1'!G35</f>
        <v>0</v>
      </c>
      <c r="O45" s="752"/>
      <c r="P45" s="752"/>
      <c r="Q45" s="752"/>
    </row>
    <row r="46" spans="1:17" x14ac:dyDescent="0.3">
      <c r="A46" s="779"/>
      <c r="B46" s="704" t="s">
        <v>1241</v>
      </c>
      <c r="C46" s="743"/>
      <c r="D46" s="886"/>
      <c r="E46" s="886"/>
      <c r="F46" s="886"/>
      <c r="G46" s="886"/>
      <c r="H46" s="886"/>
      <c r="I46" s="886"/>
      <c r="J46" s="886"/>
      <c r="K46" s="886"/>
      <c r="L46" s="886"/>
      <c r="M46" s="886"/>
      <c r="N46" s="886"/>
      <c r="O46" s="752"/>
      <c r="P46" s="752"/>
      <c r="Q46" s="752"/>
    </row>
    <row r="47" spans="1:17" x14ac:dyDescent="0.3">
      <c r="A47" s="779"/>
      <c r="B47" s="815" t="s">
        <v>1242</v>
      </c>
      <c r="C47" s="743"/>
      <c r="D47" s="717"/>
      <c r="E47" s="717"/>
      <c r="F47" s="717"/>
      <c r="G47" s="717"/>
      <c r="H47" s="717"/>
      <c r="I47" s="717"/>
      <c r="J47" s="717"/>
      <c r="K47" s="717"/>
      <c r="L47" s="717"/>
      <c r="M47" s="717"/>
      <c r="N47" s="717"/>
      <c r="O47" s="752"/>
      <c r="P47" s="752"/>
      <c r="Q47" s="752"/>
    </row>
    <row r="48" spans="1:17" x14ac:dyDescent="0.3">
      <c r="A48" s="779"/>
      <c r="B48" s="815" t="s">
        <v>1566</v>
      </c>
      <c r="C48" s="744"/>
      <c r="D48" s="744"/>
      <c r="E48" s="744"/>
      <c r="F48" s="717"/>
      <c r="G48" s="717"/>
      <c r="H48" s="717"/>
      <c r="I48" s="717"/>
      <c r="J48" s="717"/>
      <c r="K48" s="717"/>
      <c r="L48" s="717"/>
      <c r="M48" s="717"/>
      <c r="N48" s="717"/>
      <c r="O48" s="802"/>
      <c r="P48" s="752"/>
      <c r="Q48" s="752"/>
    </row>
    <row r="49" spans="1:17" x14ac:dyDescent="0.3">
      <c r="A49" s="779"/>
      <c r="B49" s="815" t="s">
        <v>1243</v>
      </c>
      <c r="C49" s="744"/>
      <c r="D49" s="744"/>
      <c r="E49" s="744"/>
      <c r="F49" s="717"/>
      <c r="G49" s="717"/>
      <c r="H49" s="717"/>
      <c r="I49" s="717"/>
      <c r="J49" s="717"/>
      <c r="K49" s="717"/>
      <c r="L49" s="717"/>
      <c r="M49" s="717"/>
      <c r="N49" s="717"/>
      <c r="O49" s="802"/>
      <c r="P49" s="752"/>
      <c r="Q49" s="752"/>
    </row>
    <row r="50" spans="1:17" x14ac:dyDescent="0.3">
      <c r="A50" s="779"/>
      <c r="B50" s="815" t="s">
        <v>1244</v>
      </c>
      <c r="C50" s="744"/>
      <c r="D50" s="744"/>
      <c r="E50" s="744"/>
      <c r="F50" s="717"/>
      <c r="G50" s="717"/>
      <c r="H50" s="717"/>
      <c r="I50" s="717"/>
      <c r="J50" s="717"/>
      <c r="K50" s="717"/>
      <c r="L50" s="717"/>
      <c r="M50" s="717"/>
      <c r="N50" s="717"/>
      <c r="O50" s="802"/>
      <c r="P50" s="752"/>
      <c r="Q50" s="752"/>
    </row>
    <row r="51" spans="1:17" x14ac:dyDescent="0.3">
      <c r="A51" s="744"/>
      <c r="B51" s="815" t="s">
        <v>1245</v>
      </c>
      <c r="C51" s="744"/>
      <c r="D51" s="744"/>
      <c r="E51" s="744"/>
      <c r="F51" s="744"/>
      <c r="G51" s="744"/>
      <c r="H51" s="744"/>
      <c r="I51" s="744"/>
      <c r="J51" s="744"/>
      <c r="K51" s="744"/>
      <c r="L51" s="744"/>
      <c r="M51" s="744"/>
      <c r="N51" s="744"/>
      <c r="O51" s="752"/>
      <c r="P51" s="752"/>
      <c r="Q51" s="752"/>
    </row>
    <row r="52" spans="1:17" x14ac:dyDescent="0.3">
      <c r="A52" s="744"/>
      <c r="B52" s="815" t="s">
        <v>1246</v>
      </c>
      <c r="C52" s="744"/>
      <c r="D52" s="744"/>
      <c r="E52" s="744"/>
      <c r="F52" s="744"/>
      <c r="G52" s="744"/>
      <c r="H52" s="744"/>
      <c r="I52" s="744"/>
      <c r="J52" s="744"/>
      <c r="K52" s="744"/>
      <c r="L52" s="744"/>
      <c r="M52" s="744"/>
      <c r="N52" s="744"/>
      <c r="O52" s="803"/>
      <c r="P52" s="752"/>
      <c r="Q52" s="752"/>
    </row>
    <row r="53" spans="1:17" x14ac:dyDescent="0.3">
      <c r="A53" s="744"/>
      <c r="B53" s="815" t="s">
        <v>1247</v>
      </c>
      <c r="C53" s="744"/>
      <c r="D53" s="744"/>
      <c r="E53" s="744"/>
      <c r="F53" s="744"/>
      <c r="G53" s="744"/>
      <c r="H53" s="744"/>
      <c r="I53" s="744"/>
      <c r="J53" s="744"/>
      <c r="K53" s="744"/>
      <c r="L53" s="744"/>
      <c r="M53" s="744"/>
      <c r="N53" s="744"/>
      <c r="O53" s="802"/>
      <c r="P53" s="752"/>
      <c r="Q53" s="752"/>
    </row>
    <row r="54" spans="1:17" x14ac:dyDescent="0.3">
      <c r="A54" s="746"/>
      <c r="B54" s="815" t="s">
        <v>1248</v>
      </c>
      <c r="C54" s="746"/>
      <c r="D54" s="746"/>
      <c r="E54" s="746"/>
      <c r="F54" s="746"/>
      <c r="G54" s="746"/>
      <c r="H54" s="746"/>
      <c r="I54" s="746"/>
      <c r="J54" s="746"/>
      <c r="K54" s="746"/>
      <c r="L54" s="746"/>
      <c r="M54" s="746"/>
      <c r="N54" s="746"/>
    </row>
    <row r="55" spans="1:17" x14ac:dyDescent="0.3">
      <c r="A55" s="746"/>
      <c r="B55" s="815" t="s">
        <v>1249</v>
      </c>
      <c r="C55" s="746"/>
      <c r="D55" s="746"/>
      <c r="E55" s="746"/>
      <c r="F55" s="746"/>
      <c r="G55" s="746"/>
      <c r="H55" s="746"/>
      <c r="I55" s="746"/>
      <c r="J55" s="746"/>
      <c r="K55" s="746"/>
      <c r="L55" s="746"/>
      <c r="M55" s="746"/>
      <c r="N55" s="746"/>
    </row>
    <row r="56" spans="1:17" x14ac:dyDescent="0.3">
      <c r="A56" s="746"/>
      <c r="B56" s="815" t="s">
        <v>1250</v>
      </c>
      <c r="C56" s="746"/>
      <c r="D56" s="746"/>
      <c r="E56" s="746"/>
      <c r="F56" s="746"/>
      <c r="G56" s="746"/>
      <c r="H56" s="746"/>
      <c r="I56" s="746"/>
      <c r="J56" s="746"/>
      <c r="K56" s="746"/>
      <c r="L56" s="746"/>
      <c r="M56" s="746"/>
      <c r="N56" s="746"/>
    </row>
    <row r="57" spans="1:17" x14ac:dyDescent="0.3">
      <c r="A57" s="746"/>
      <c r="B57" s="815"/>
      <c r="C57" s="746"/>
      <c r="D57" s="746"/>
      <c r="E57" s="746"/>
      <c r="F57" s="746"/>
      <c r="G57" s="746"/>
      <c r="H57" s="746"/>
      <c r="I57" s="746"/>
      <c r="J57" s="746"/>
      <c r="K57" s="746"/>
      <c r="L57" s="746"/>
      <c r="M57" s="746"/>
      <c r="N57" s="746"/>
    </row>
    <row r="58" spans="1:17" x14ac:dyDescent="0.3">
      <c r="A58" s="746"/>
      <c r="B58" s="745"/>
      <c r="C58" s="717"/>
      <c r="D58" s="717"/>
      <c r="E58" s="717"/>
      <c r="F58" s="734"/>
      <c r="G58" s="734"/>
      <c r="H58" s="779" t="s">
        <v>1251</v>
      </c>
      <c r="I58" s="779" t="s">
        <v>1252</v>
      </c>
      <c r="J58" s="779" t="s">
        <v>1253</v>
      </c>
      <c r="K58" s="779" t="s">
        <v>1254</v>
      </c>
      <c r="L58" s="779" t="s">
        <v>1255</v>
      </c>
      <c r="M58" s="746"/>
      <c r="N58" s="746"/>
    </row>
    <row r="59" spans="1:17" x14ac:dyDescent="0.3">
      <c r="A59" s="746"/>
      <c r="B59" s="745"/>
      <c r="C59" s="717"/>
      <c r="D59" s="717"/>
      <c r="E59" s="717"/>
      <c r="F59" s="734"/>
      <c r="G59" s="734"/>
      <c r="H59" s="769" t="s">
        <v>1193</v>
      </c>
      <c r="I59" s="769" t="s">
        <v>1194</v>
      </c>
      <c r="J59" s="734"/>
      <c r="M59" s="746"/>
      <c r="N59" s="746"/>
    </row>
    <row r="60" spans="1:17" ht="53.4" x14ac:dyDescent="0.3">
      <c r="A60" s="746"/>
      <c r="B60" s="816" t="s">
        <v>1256</v>
      </c>
      <c r="C60" s="717"/>
      <c r="D60" s="817" t="s">
        <v>1257</v>
      </c>
      <c r="E60" s="732"/>
      <c r="F60" s="734"/>
      <c r="G60" s="734"/>
      <c r="H60" s="818" t="s">
        <v>1210</v>
      </c>
      <c r="I60" s="818" t="s">
        <v>1211</v>
      </c>
      <c r="J60" s="818" t="s">
        <v>1258</v>
      </c>
      <c r="K60" s="818" t="s">
        <v>1259</v>
      </c>
      <c r="L60" s="818" t="s">
        <v>1260</v>
      </c>
      <c r="M60" s="746"/>
      <c r="N60" s="746"/>
    </row>
    <row r="61" spans="1:17" x14ac:dyDescent="0.3">
      <c r="A61" s="746"/>
      <c r="B61" s="754" t="s">
        <v>1261</v>
      </c>
      <c r="C61" s="819" t="s">
        <v>1174</v>
      </c>
      <c r="D61" s="820">
        <v>0.21</v>
      </c>
      <c r="E61" s="821"/>
      <c r="F61" s="734"/>
      <c r="G61" s="754" t="s">
        <v>1262</v>
      </c>
      <c r="H61" s="717">
        <f>M24</f>
        <v>0</v>
      </c>
      <c r="I61" s="717">
        <f>N24</f>
        <v>0</v>
      </c>
      <c r="J61" s="822">
        <f>D66-1</f>
        <v>0.38857260290711548</v>
      </c>
      <c r="K61" s="717">
        <f>H61*J61</f>
        <v>0</v>
      </c>
      <c r="L61" s="717">
        <f>I61*J61</f>
        <v>0</v>
      </c>
      <c r="M61" s="746"/>
      <c r="N61" s="746"/>
    </row>
    <row r="62" spans="1:17" x14ac:dyDescent="0.3">
      <c r="A62" s="746"/>
      <c r="B62" s="754" t="s">
        <v>1263</v>
      </c>
      <c r="C62" s="819" t="s">
        <v>1176</v>
      </c>
      <c r="D62" s="820">
        <v>8.8400000000000006E-2</v>
      </c>
      <c r="E62" s="821"/>
      <c r="F62" s="734"/>
      <c r="G62" s="754" t="s">
        <v>1264</v>
      </c>
      <c r="H62" s="717">
        <f>M42</f>
        <v>155261.72492645582</v>
      </c>
      <c r="I62" s="717">
        <f>N42</f>
        <v>-409025.82473469403</v>
      </c>
      <c r="J62" s="822">
        <f>D66-1</f>
        <v>0.38857260290711548</v>
      </c>
      <c r="K62" s="717">
        <f>H62*J62</f>
        <v>60330.452586521511</v>
      </c>
      <c r="L62" s="717">
        <f>I62*J62</f>
        <v>-158936.22937338968</v>
      </c>
      <c r="M62" s="746"/>
      <c r="N62" s="746"/>
    </row>
    <row r="63" spans="1:17" x14ac:dyDescent="0.3">
      <c r="A63" s="746"/>
      <c r="B63" s="754" t="s">
        <v>1265</v>
      </c>
      <c r="C63" s="819" t="s">
        <v>1266</v>
      </c>
      <c r="D63" s="824">
        <f>-D62*D61</f>
        <v>-1.8564000000000001E-2</v>
      </c>
      <c r="E63" s="821"/>
      <c r="F63" s="821"/>
      <c r="G63" s="746"/>
      <c r="H63" s="746"/>
      <c r="I63" s="746"/>
      <c r="J63" s="746"/>
      <c r="K63" s="746"/>
      <c r="L63" s="746"/>
      <c r="M63" s="746"/>
      <c r="N63" s="746"/>
    </row>
    <row r="64" spans="1:17" x14ac:dyDescent="0.3">
      <c r="B64" s="754" t="s">
        <v>1267</v>
      </c>
      <c r="C64" s="819" t="s">
        <v>1268</v>
      </c>
      <c r="D64" s="825">
        <f>SUM(D61:D63)</f>
        <v>0.27983599999999997</v>
      </c>
      <c r="E64" s="823"/>
      <c r="F64" s="821"/>
    </row>
    <row r="65" spans="2:6" x14ac:dyDescent="0.3">
      <c r="B65" s="754" t="s">
        <v>1269</v>
      </c>
      <c r="C65" s="819" t="s">
        <v>1270</v>
      </c>
      <c r="D65" s="825">
        <f>1-D64</f>
        <v>0.72016400000000003</v>
      </c>
      <c r="E65" s="823"/>
      <c r="F65" s="821"/>
    </row>
    <row r="66" spans="2:6" x14ac:dyDescent="0.3">
      <c r="B66" s="754" t="s">
        <v>1258</v>
      </c>
      <c r="C66" s="819" t="s">
        <v>1271</v>
      </c>
      <c r="D66" s="826">
        <f>1/D65</f>
        <v>1.3885726029071155</v>
      </c>
      <c r="E66" s="822"/>
      <c r="F66" s="822"/>
    </row>
    <row r="67" spans="2:6" x14ac:dyDescent="0.3">
      <c r="B67" s="744"/>
      <c r="C67" s="754"/>
      <c r="D67" s="780"/>
      <c r="E67" s="780"/>
    </row>
    <row r="68" spans="2:6" x14ac:dyDescent="0.3">
      <c r="B68" s="745"/>
      <c r="C68" s="744"/>
      <c r="D68" s="744"/>
      <c r="E68" s="744"/>
    </row>
  </sheetData>
  <mergeCells count="1">
    <mergeCell ref="B5:O5"/>
  </mergeCells>
  <printOptions horizontalCentered="1"/>
  <pageMargins left="0.25" right="0.25" top="0.5" bottom="0.5" header="0.25" footer="0.25"/>
  <pageSetup scale="48" orientation="landscape" r:id="rId1"/>
  <headerFooter scaleWithDoc="0">
    <oddFooter>&amp;C&amp;"Times New Roman,Regular"&amp;10&amp;A</oddFooter>
  </headerFooter>
  <customProperties>
    <customPr name="_pios_id" r:id="rId2"/>
  </customPropertie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BA1CE-4888-42B0-BAE8-3C4FF479897B}">
  <sheetPr>
    <pageSetUpPr fitToPage="1"/>
  </sheetPr>
  <dimension ref="A1:N97"/>
  <sheetViews>
    <sheetView zoomScale="80" zoomScaleNormal="80" workbookViewId="0"/>
  </sheetViews>
  <sheetFormatPr defaultColWidth="14.5546875" defaultRowHeight="14.4" x14ac:dyDescent="0.3"/>
  <cols>
    <col min="1" max="1" width="5.6640625" customWidth="1"/>
    <col min="2" max="2" width="48.5546875" customWidth="1"/>
    <col min="3" max="3" width="8.6640625" customWidth="1"/>
    <col min="4" max="9" width="16.5546875" customWidth="1"/>
    <col min="10" max="10" width="45.6640625" customWidth="1"/>
    <col min="11" max="11" width="5.6640625" customWidth="1"/>
    <col min="12" max="12" width="18.6640625" customWidth="1"/>
  </cols>
  <sheetData>
    <row r="1" spans="1:14" ht="15.6" x14ac:dyDescent="0.3">
      <c r="A1" s="688"/>
      <c r="B1" s="689" t="s">
        <v>0</v>
      </c>
      <c r="C1" s="690"/>
      <c r="D1" s="690"/>
      <c r="E1" s="690"/>
      <c r="F1" s="690"/>
      <c r="G1" s="690"/>
      <c r="H1" s="690"/>
      <c r="I1" s="690"/>
      <c r="J1" s="690"/>
      <c r="K1" s="691"/>
    </row>
    <row r="2" spans="1:14" x14ac:dyDescent="0.3">
      <c r="A2" s="691"/>
      <c r="B2" s="689" t="s">
        <v>1272</v>
      </c>
      <c r="C2" s="690"/>
      <c r="D2" s="690"/>
      <c r="E2" s="690"/>
      <c r="F2" s="690"/>
      <c r="G2" s="690"/>
      <c r="H2" s="690"/>
      <c r="I2" s="690"/>
      <c r="J2" s="690"/>
      <c r="K2" s="691"/>
    </row>
    <row r="3" spans="1:14" x14ac:dyDescent="0.3">
      <c r="A3" s="691"/>
      <c r="B3" s="728" t="s">
        <v>1180</v>
      </c>
      <c r="C3" s="690"/>
      <c r="D3" s="690"/>
      <c r="E3" s="690"/>
      <c r="F3" s="690"/>
      <c r="G3" s="690"/>
      <c r="H3" s="690"/>
      <c r="I3" s="690"/>
      <c r="J3" s="690"/>
      <c r="K3" s="691"/>
    </row>
    <row r="4" spans="1:14" x14ac:dyDescent="0.3">
      <c r="A4" s="691"/>
      <c r="B4" s="723" t="s">
        <v>1290</v>
      </c>
      <c r="C4" s="724"/>
      <c r="D4" s="724"/>
      <c r="E4" s="724"/>
      <c r="F4" s="724"/>
      <c r="G4" s="724"/>
      <c r="H4" s="724"/>
      <c r="I4" s="724"/>
      <c r="J4" s="724"/>
      <c r="K4" s="691"/>
    </row>
    <row r="5" spans="1:14" x14ac:dyDescent="0.3">
      <c r="A5" s="691"/>
      <c r="B5" s="1252" t="s">
        <v>4</v>
      </c>
      <c r="C5" s="1252"/>
      <c r="D5" s="1252"/>
      <c r="E5" s="1252"/>
      <c r="F5" s="1252"/>
      <c r="G5" s="1252"/>
      <c r="H5" s="1252"/>
      <c r="I5" s="1252"/>
      <c r="J5" s="1252"/>
      <c r="K5" s="708"/>
      <c r="L5" s="708"/>
      <c r="M5" s="708"/>
      <c r="N5" s="708"/>
    </row>
    <row r="6" spans="1:14" x14ac:dyDescent="0.3">
      <c r="A6" s="691"/>
      <c r="B6" s="689"/>
      <c r="C6" s="690"/>
      <c r="D6" s="690"/>
      <c r="E6" s="690"/>
      <c r="F6" s="690"/>
      <c r="G6" s="690"/>
      <c r="H6" s="690"/>
      <c r="I6" s="690"/>
      <c r="J6" s="690"/>
      <c r="K6" s="691"/>
    </row>
    <row r="7" spans="1:14" x14ac:dyDescent="0.3">
      <c r="A7" s="692"/>
      <c r="B7" s="709"/>
      <c r="C7" s="710"/>
      <c r="D7" s="710"/>
      <c r="E7" s="710"/>
      <c r="F7" s="710"/>
      <c r="G7" s="710"/>
      <c r="H7" s="694" t="s">
        <v>1181</v>
      </c>
      <c r="I7" s="719">
        <v>2022</v>
      </c>
      <c r="J7" s="692"/>
      <c r="K7" s="692"/>
      <c r="L7" s="692"/>
    </row>
    <row r="8" spans="1:14" x14ac:dyDescent="0.3">
      <c r="A8" s="692"/>
      <c r="B8" s="709"/>
      <c r="C8" s="710"/>
      <c r="D8" s="710"/>
      <c r="E8" s="710"/>
      <c r="F8" s="710"/>
      <c r="G8" s="710"/>
      <c r="H8" s="694" t="s">
        <v>1273</v>
      </c>
      <c r="I8" s="720" t="s">
        <v>983</v>
      </c>
      <c r="J8" s="692"/>
      <c r="K8" s="692"/>
      <c r="L8" s="692"/>
    </row>
    <row r="9" spans="1:14" x14ac:dyDescent="0.3">
      <c r="A9" s="692"/>
      <c r="B9" s="693"/>
      <c r="C9" s="693"/>
      <c r="D9" s="693"/>
      <c r="E9" s="693"/>
      <c r="F9" s="693"/>
      <c r="G9" s="693"/>
      <c r="H9" s="706" t="s">
        <v>1274</v>
      </c>
      <c r="I9" s="721"/>
      <c r="J9" s="692"/>
      <c r="K9" s="692"/>
      <c r="L9" s="692"/>
    </row>
    <row r="10" spans="1:14" x14ac:dyDescent="0.3">
      <c r="A10" s="692"/>
      <c r="B10" s="693"/>
      <c r="C10" s="693"/>
      <c r="D10" s="693"/>
      <c r="E10" s="693"/>
      <c r="F10" s="693"/>
      <c r="G10" s="693"/>
      <c r="H10" s="711"/>
      <c r="I10" s="711"/>
      <c r="J10" s="692"/>
      <c r="K10" s="692"/>
      <c r="L10" s="692"/>
    </row>
    <row r="11" spans="1:14" x14ac:dyDescent="0.3">
      <c r="A11" s="695"/>
      <c r="B11" s="696" t="s">
        <v>1182</v>
      </c>
      <c r="C11" s="696" t="s">
        <v>1183</v>
      </c>
      <c r="D11" s="696" t="s">
        <v>1184</v>
      </c>
      <c r="E11" s="696" t="s">
        <v>1185</v>
      </c>
      <c r="F11" s="696" t="s">
        <v>1186</v>
      </c>
      <c r="G11" s="696" t="s">
        <v>1187</v>
      </c>
      <c r="H11" s="696" t="s">
        <v>1188</v>
      </c>
      <c r="I11" s="696" t="s">
        <v>1189</v>
      </c>
      <c r="J11" s="692"/>
      <c r="K11" s="692"/>
      <c r="L11" s="692"/>
    </row>
    <row r="12" spans="1:14" ht="15" thickBot="1" x14ac:dyDescent="0.35">
      <c r="A12" s="692"/>
      <c r="B12" s="695"/>
      <c r="C12" s="695"/>
      <c r="D12" s="692"/>
      <c r="E12" s="692"/>
      <c r="F12" s="692"/>
      <c r="G12" s="692"/>
      <c r="H12" s="692"/>
      <c r="I12" s="692"/>
      <c r="J12" s="692"/>
      <c r="K12" s="692"/>
      <c r="L12" s="692"/>
    </row>
    <row r="13" spans="1:14" ht="15" thickBot="1" x14ac:dyDescent="0.35">
      <c r="A13" s="692"/>
      <c r="B13" s="695"/>
      <c r="C13" s="695"/>
      <c r="D13" s="1253" t="s">
        <v>1275</v>
      </c>
      <c r="E13" s="1254"/>
      <c r="F13" s="1254"/>
      <c r="G13" s="1254"/>
      <c r="H13" s="1254"/>
      <c r="I13" s="1255"/>
      <c r="J13" s="692"/>
      <c r="K13" s="692"/>
      <c r="L13" s="692"/>
    </row>
    <row r="14" spans="1:14" ht="15" thickBot="1" x14ac:dyDescent="0.35">
      <c r="A14" s="692"/>
      <c r="B14" s="695"/>
      <c r="C14" s="695"/>
      <c r="D14" s="804"/>
      <c r="E14" s="804"/>
      <c r="F14" s="805" t="s">
        <v>1276</v>
      </c>
      <c r="G14" s="806" t="s">
        <v>1277</v>
      </c>
      <c r="H14" s="805" t="s">
        <v>1278</v>
      </c>
      <c r="I14" s="805" t="s">
        <v>1279</v>
      </c>
      <c r="J14" s="692"/>
      <c r="K14" s="692"/>
      <c r="L14" s="692"/>
    </row>
    <row r="15" spans="1:14" ht="40.200000000000003" thickBot="1" x14ac:dyDescent="0.35">
      <c r="A15" s="697" t="s">
        <v>1198</v>
      </c>
      <c r="B15" s="800" t="s">
        <v>1199</v>
      </c>
      <c r="C15" s="699" t="s">
        <v>1200</v>
      </c>
      <c r="D15" s="807" t="s">
        <v>1280</v>
      </c>
      <c r="E15" s="807" t="s">
        <v>1281</v>
      </c>
      <c r="F15" s="807" t="s">
        <v>1282</v>
      </c>
      <c r="G15" s="807" t="s">
        <v>1283</v>
      </c>
      <c r="H15" s="807" t="s">
        <v>1284</v>
      </c>
      <c r="I15" s="807" t="s">
        <v>1285</v>
      </c>
      <c r="J15" s="698" t="s">
        <v>8</v>
      </c>
      <c r="K15" s="697" t="s">
        <v>1198</v>
      </c>
      <c r="L15" s="712"/>
    </row>
    <row r="16" spans="1:14" x14ac:dyDescent="0.3">
      <c r="A16" s="700">
        <v>1</v>
      </c>
      <c r="B16" s="717" t="s">
        <v>1212</v>
      </c>
      <c r="C16" s="701"/>
      <c r="D16" s="703"/>
      <c r="E16" s="692"/>
      <c r="F16" s="692"/>
      <c r="G16" s="692"/>
      <c r="H16" s="692"/>
      <c r="I16" s="692"/>
      <c r="J16" s="692"/>
      <c r="K16" s="700">
        <v>1</v>
      </c>
      <c r="L16" s="712"/>
    </row>
    <row r="17" spans="1:12" x14ac:dyDescent="0.3">
      <c r="A17" s="700">
        <f t="shared" ref="A17:A47" si="0">+A16+1</f>
        <v>2</v>
      </c>
      <c r="B17" s="717" t="s">
        <v>1213</v>
      </c>
      <c r="C17" s="700"/>
      <c r="D17" s="692"/>
      <c r="E17" s="692"/>
      <c r="F17" s="692"/>
      <c r="G17" s="692"/>
      <c r="H17" s="692"/>
      <c r="I17" s="692"/>
      <c r="J17" s="695"/>
      <c r="K17" s="700">
        <f t="shared" ref="K17:K47" si="1">+K16+1</f>
        <v>2</v>
      </c>
      <c r="L17" s="712"/>
    </row>
    <row r="18" spans="1:12" x14ac:dyDescent="0.3">
      <c r="A18" s="700">
        <f t="shared" si="0"/>
        <v>3</v>
      </c>
      <c r="B18" s="717" t="s">
        <v>1214</v>
      </c>
      <c r="C18" s="700">
        <v>190</v>
      </c>
      <c r="D18" s="718"/>
      <c r="E18" s="718"/>
      <c r="F18" s="692">
        <f>+D18*$I$9</f>
        <v>0</v>
      </c>
      <c r="G18" s="692">
        <f>+E18-F18</f>
        <v>0</v>
      </c>
      <c r="H18" s="692">
        <f>IF(+$I$8="No",0,'Order 864-1'!K15)</f>
        <v>0</v>
      </c>
      <c r="I18" s="692">
        <f t="shared" ref="I18:I20" si="2">+G18-H18</f>
        <v>0</v>
      </c>
      <c r="J18" s="695" t="s">
        <v>289</v>
      </c>
      <c r="K18" s="700">
        <f t="shared" si="1"/>
        <v>3</v>
      </c>
      <c r="L18" s="712"/>
    </row>
    <row r="19" spans="1:12" x14ac:dyDescent="0.3">
      <c r="A19" s="700">
        <f t="shared" si="0"/>
        <v>4</v>
      </c>
      <c r="B19" s="717" t="s">
        <v>1215</v>
      </c>
      <c r="C19" s="700">
        <v>190</v>
      </c>
      <c r="D19" s="718"/>
      <c r="E19" s="718"/>
      <c r="F19" s="692">
        <f>+D19*$I$9</f>
        <v>0</v>
      </c>
      <c r="G19" s="692">
        <f>+E19-F19</f>
        <v>0</v>
      </c>
      <c r="H19" s="692">
        <f>IF(+$I$8="No",0,'Order 864-1'!K16)</f>
        <v>0</v>
      </c>
      <c r="I19" s="692">
        <f t="shared" si="2"/>
        <v>0</v>
      </c>
      <c r="J19" s="695" t="s">
        <v>289</v>
      </c>
      <c r="K19" s="700">
        <f t="shared" si="1"/>
        <v>4</v>
      </c>
      <c r="L19" s="712"/>
    </row>
    <row r="20" spans="1:12" x14ac:dyDescent="0.3">
      <c r="A20" s="700">
        <f t="shared" si="0"/>
        <v>5</v>
      </c>
      <c r="B20" s="717" t="s">
        <v>1216</v>
      </c>
      <c r="C20" s="700">
        <v>190</v>
      </c>
      <c r="D20" s="718"/>
      <c r="E20" s="718"/>
      <c r="F20" s="692">
        <f>+D20*$I$9</f>
        <v>0</v>
      </c>
      <c r="G20" s="692">
        <f>+E20-F20</f>
        <v>0</v>
      </c>
      <c r="H20" s="692">
        <f>IF(+$I$8="No",0,'Order 864-1'!K17)</f>
        <v>0</v>
      </c>
      <c r="I20" s="692">
        <f t="shared" si="2"/>
        <v>0</v>
      </c>
      <c r="J20" s="695" t="s">
        <v>289</v>
      </c>
      <c r="K20" s="700">
        <f t="shared" si="1"/>
        <v>5</v>
      </c>
      <c r="L20" s="712"/>
    </row>
    <row r="21" spans="1:12" x14ac:dyDescent="0.3">
      <c r="A21" s="700">
        <f t="shared" si="0"/>
        <v>6</v>
      </c>
      <c r="B21" s="717" t="s">
        <v>1217</v>
      </c>
      <c r="C21" s="700"/>
      <c r="D21" s="718"/>
      <c r="E21" s="718"/>
      <c r="F21" s="692"/>
      <c r="G21" s="692"/>
      <c r="H21" s="692"/>
      <c r="I21" s="692"/>
      <c r="J21" s="695"/>
      <c r="K21" s="700">
        <f t="shared" si="1"/>
        <v>6</v>
      </c>
      <c r="L21" s="712"/>
    </row>
    <row r="22" spans="1:12" x14ac:dyDescent="0.3">
      <c r="A22" s="700">
        <f t="shared" si="0"/>
        <v>7</v>
      </c>
      <c r="B22" s="717" t="s">
        <v>1218</v>
      </c>
      <c r="C22" s="700">
        <v>190</v>
      </c>
      <c r="D22" s="718"/>
      <c r="E22" s="718"/>
      <c r="F22" s="692">
        <f>+D22*$I$9</f>
        <v>0</v>
      </c>
      <c r="G22" s="692">
        <f>+E22-F22</f>
        <v>0</v>
      </c>
      <c r="H22" s="692">
        <f>IF(+$I$8="No",0,'Order 864-1'!K19)</f>
        <v>0</v>
      </c>
      <c r="I22" s="692">
        <f t="shared" ref="I22" si="3">+G22-H22</f>
        <v>0</v>
      </c>
      <c r="J22" s="695" t="s">
        <v>289</v>
      </c>
      <c r="K22" s="700">
        <f t="shared" si="1"/>
        <v>7</v>
      </c>
      <c r="L22" s="712"/>
    </row>
    <row r="23" spans="1:12" x14ac:dyDescent="0.3">
      <c r="A23" s="700">
        <f t="shared" si="0"/>
        <v>8</v>
      </c>
      <c r="B23" s="717" t="s">
        <v>1219</v>
      </c>
      <c r="C23" s="700"/>
      <c r="D23" s="722"/>
      <c r="E23" s="722"/>
      <c r="F23" s="692"/>
      <c r="G23" s="692"/>
      <c r="H23" s="692"/>
      <c r="I23" s="692"/>
      <c r="J23" s="695"/>
      <c r="K23" s="700">
        <f t="shared" si="1"/>
        <v>8</v>
      </c>
      <c r="L23" s="712"/>
    </row>
    <row r="24" spans="1:12" x14ac:dyDescent="0.3">
      <c r="A24" s="700">
        <f t="shared" si="0"/>
        <v>9</v>
      </c>
      <c r="B24" s="717" t="s">
        <v>1220</v>
      </c>
      <c r="C24" s="700">
        <v>283</v>
      </c>
      <c r="D24" s="722"/>
      <c r="E24" s="722"/>
      <c r="F24" s="692">
        <f>+D24*$I$9</f>
        <v>0</v>
      </c>
      <c r="G24" s="692">
        <f>+E24-F24</f>
        <v>0</v>
      </c>
      <c r="H24" s="692">
        <f>IF(+$I$8="No",0,'Order 864-1'!K21)</f>
        <v>0</v>
      </c>
      <c r="I24" s="692">
        <f t="shared" ref="I24:I25" si="4">+G24-H24</f>
        <v>0</v>
      </c>
      <c r="J24" s="695" t="s">
        <v>289</v>
      </c>
      <c r="K24" s="700">
        <f t="shared" si="1"/>
        <v>9</v>
      </c>
      <c r="L24" s="712"/>
    </row>
    <row r="25" spans="1:12" x14ac:dyDescent="0.3">
      <c r="A25" s="700">
        <f t="shared" si="0"/>
        <v>10</v>
      </c>
      <c r="B25" s="717" t="s">
        <v>1221</v>
      </c>
      <c r="C25" s="700">
        <v>283</v>
      </c>
      <c r="D25" s="722"/>
      <c r="E25" s="722"/>
      <c r="F25" s="692">
        <f>+D25*$I$9</f>
        <v>0</v>
      </c>
      <c r="G25" s="692">
        <f>+E25-F25</f>
        <v>0</v>
      </c>
      <c r="H25" s="692">
        <f>IF(+$I$8="No",0,'Order 864-1'!K22)</f>
        <v>0</v>
      </c>
      <c r="I25" s="692">
        <f t="shared" si="4"/>
        <v>0</v>
      </c>
      <c r="J25" s="695" t="s">
        <v>289</v>
      </c>
      <c r="K25" s="700">
        <f t="shared" si="1"/>
        <v>10</v>
      </c>
      <c r="L25" s="712"/>
    </row>
    <row r="26" spans="1:12" x14ac:dyDescent="0.3">
      <c r="A26" s="700">
        <f t="shared" si="0"/>
        <v>11</v>
      </c>
      <c r="B26" s="733"/>
      <c r="C26" s="747"/>
      <c r="D26" s="714"/>
      <c r="E26" s="714"/>
      <c r="F26" s="714"/>
      <c r="G26" s="714"/>
      <c r="H26" s="714"/>
      <c r="I26" s="714"/>
      <c r="J26" s="717"/>
      <c r="K26" s="700">
        <f t="shared" si="1"/>
        <v>11</v>
      </c>
      <c r="L26" s="747"/>
    </row>
    <row r="27" spans="1:12" ht="15" thickBot="1" x14ac:dyDescent="0.35">
      <c r="A27" s="700">
        <f t="shared" si="0"/>
        <v>12</v>
      </c>
      <c r="B27" s="733" t="s">
        <v>1222</v>
      </c>
      <c r="C27" s="717"/>
      <c r="D27" s="715">
        <f>SUM(D17:D25)</f>
        <v>0</v>
      </c>
      <c r="E27" s="715">
        <f t="shared" ref="E27:I27" si="5">SUM(E17:E25)</f>
        <v>0</v>
      </c>
      <c r="F27" s="715">
        <f t="shared" si="5"/>
        <v>0</v>
      </c>
      <c r="G27" s="715">
        <f t="shared" si="5"/>
        <v>0</v>
      </c>
      <c r="H27" s="715">
        <f t="shared" si="5"/>
        <v>0</v>
      </c>
      <c r="I27" s="715">
        <f t="shared" si="5"/>
        <v>0</v>
      </c>
      <c r="J27" s="733" t="s">
        <v>1223</v>
      </c>
      <c r="K27" s="700">
        <f t="shared" si="1"/>
        <v>12</v>
      </c>
      <c r="L27" s="747"/>
    </row>
    <row r="28" spans="1:12" ht="15" thickTop="1" x14ac:dyDescent="0.3">
      <c r="A28" s="700">
        <f t="shared" si="0"/>
        <v>13</v>
      </c>
      <c r="B28" s="748"/>
      <c r="C28" s="749"/>
      <c r="D28" s="716"/>
      <c r="E28" s="716"/>
      <c r="F28" s="716"/>
      <c r="G28" s="716"/>
      <c r="H28" s="716"/>
      <c r="I28" s="716"/>
      <c r="J28" s="717"/>
      <c r="K28" s="700">
        <f t="shared" si="1"/>
        <v>13</v>
      </c>
      <c r="L28" s="747"/>
    </row>
    <row r="29" spans="1:12" x14ac:dyDescent="0.3">
      <c r="A29" s="700">
        <f t="shared" si="0"/>
        <v>14</v>
      </c>
      <c r="B29" s="717" t="s">
        <v>1224</v>
      </c>
      <c r="C29" s="738"/>
      <c r="D29" s="717"/>
      <c r="E29" s="717"/>
      <c r="F29" s="717"/>
      <c r="G29" s="717"/>
      <c r="H29" s="717"/>
      <c r="I29" s="717"/>
      <c r="J29" s="717"/>
      <c r="K29" s="700">
        <f t="shared" si="1"/>
        <v>14</v>
      </c>
      <c r="L29" s="732"/>
    </row>
    <row r="30" spans="1:12" x14ac:dyDescent="0.3">
      <c r="A30" s="700">
        <f t="shared" si="0"/>
        <v>15</v>
      </c>
      <c r="B30" s="717" t="s">
        <v>1225</v>
      </c>
      <c r="C30" s="732">
        <v>190</v>
      </c>
      <c r="D30" s="722"/>
      <c r="E30" s="722"/>
      <c r="F30" s="717">
        <f>+D30*$I$9</f>
        <v>0</v>
      </c>
      <c r="G30" s="717">
        <f>+E30-F30</f>
        <v>0</v>
      </c>
      <c r="H30" s="717">
        <f>IF(+$I$8="No",0,'Order 864-1'!K27)</f>
        <v>0</v>
      </c>
      <c r="I30" s="717">
        <f>+G30-H30</f>
        <v>0</v>
      </c>
      <c r="J30" s="733" t="s">
        <v>289</v>
      </c>
      <c r="K30" s="700">
        <f t="shared" si="1"/>
        <v>15</v>
      </c>
      <c r="L30" s="732"/>
    </row>
    <row r="31" spans="1:12" x14ac:dyDescent="0.3">
      <c r="A31" s="700">
        <f t="shared" si="0"/>
        <v>16</v>
      </c>
      <c r="B31" s="717" t="s">
        <v>1226</v>
      </c>
      <c r="C31" s="732"/>
      <c r="D31" s="722"/>
      <c r="E31" s="722"/>
      <c r="F31" s="717"/>
      <c r="G31" s="717"/>
      <c r="H31" s="717"/>
      <c r="I31" s="717"/>
      <c r="J31" s="733"/>
      <c r="K31" s="700">
        <f t="shared" si="1"/>
        <v>16</v>
      </c>
      <c r="L31" s="732"/>
    </row>
    <row r="32" spans="1:12" x14ac:dyDescent="0.3">
      <c r="A32" s="700">
        <f t="shared" si="0"/>
        <v>17</v>
      </c>
      <c r="B32" s="717" t="s">
        <v>1227</v>
      </c>
      <c r="C32" s="732">
        <v>282</v>
      </c>
      <c r="D32" s="722"/>
      <c r="E32" s="722"/>
      <c r="F32" s="717">
        <f t="shared" ref="F32:F33" si="6">+D32*$I$9</f>
        <v>0</v>
      </c>
      <c r="G32" s="717">
        <f t="shared" ref="G32:G33" si="7">+E32-F32</f>
        <v>0</v>
      </c>
      <c r="H32" s="717">
        <f>IF(+$I$8="No",0,'Order 864-1'!K29)</f>
        <v>0</v>
      </c>
      <c r="I32" s="717">
        <f t="shared" ref="I32:I33" si="8">+G32-H32</f>
        <v>0</v>
      </c>
      <c r="J32" s="733" t="s">
        <v>289</v>
      </c>
      <c r="K32" s="700">
        <f t="shared" si="1"/>
        <v>17</v>
      </c>
      <c r="L32" s="732"/>
    </row>
    <row r="33" spans="1:12" x14ac:dyDescent="0.3">
      <c r="A33" s="700">
        <f t="shared" si="0"/>
        <v>18</v>
      </c>
      <c r="B33" s="717" t="s">
        <v>1228</v>
      </c>
      <c r="C33" s="732">
        <v>282</v>
      </c>
      <c r="D33" s="722"/>
      <c r="E33" s="722"/>
      <c r="F33" s="717">
        <f t="shared" si="6"/>
        <v>0</v>
      </c>
      <c r="G33" s="717">
        <f t="shared" si="7"/>
        <v>0</v>
      </c>
      <c r="H33" s="717">
        <f>IF(+$I$8="No",0,'Order 864-1'!K30)</f>
        <v>0</v>
      </c>
      <c r="I33" s="717">
        <f t="shared" si="8"/>
        <v>0</v>
      </c>
      <c r="J33" s="733" t="s">
        <v>289</v>
      </c>
      <c r="K33" s="700">
        <f t="shared" si="1"/>
        <v>18</v>
      </c>
      <c r="L33" s="732"/>
    </row>
    <row r="34" spans="1:12" x14ac:dyDescent="0.3">
      <c r="A34" s="700">
        <f t="shared" si="0"/>
        <v>19</v>
      </c>
      <c r="B34" s="733" t="s">
        <v>1229</v>
      </c>
      <c r="C34" s="734"/>
      <c r="D34" s="725">
        <f t="shared" ref="D34:I34" si="9">SUM(D30:D33)</f>
        <v>0</v>
      </c>
      <c r="E34" s="725">
        <f t="shared" si="9"/>
        <v>0</v>
      </c>
      <c r="F34" s="725">
        <f t="shared" si="9"/>
        <v>0</v>
      </c>
      <c r="G34" s="725">
        <f t="shared" si="9"/>
        <v>0</v>
      </c>
      <c r="H34" s="725">
        <f t="shared" si="9"/>
        <v>0</v>
      </c>
      <c r="I34" s="725">
        <f t="shared" si="9"/>
        <v>0</v>
      </c>
      <c r="J34" s="733" t="s">
        <v>1230</v>
      </c>
      <c r="K34" s="700">
        <f t="shared" si="1"/>
        <v>19</v>
      </c>
      <c r="L34" s="732"/>
    </row>
    <row r="35" spans="1:12" x14ac:dyDescent="0.3">
      <c r="A35" s="700">
        <f t="shared" si="0"/>
        <v>20</v>
      </c>
      <c r="B35" s="717"/>
      <c r="C35" s="734"/>
      <c r="D35" s="717"/>
      <c r="E35" s="717"/>
      <c r="F35" s="717"/>
      <c r="G35" s="717"/>
      <c r="H35" s="717"/>
      <c r="I35" s="717"/>
      <c r="J35" s="717"/>
      <c r="K35" s="700">
        <f t="shared" si="1"/>
        <v>20</v>
      </c>
      <c r="L35" s="732"/>
    </row>
    <row r="36" spans="1:12" x14ac:dyDescent="0.3">
      <c r="A36" s="700">
        <f t="shared" si="0"/>
        <v>21</v>
      </c>
      <c r="B36" s="717" t="s">
        <v>1231</v>
      </c>
      <c r="C36" s="739"/>
      <c r="D36" s="717"/>
      <c r="E36" s="717"/>
      <c r="F36" s="717"/>
      <c r="G36" s="717"/>
      <c r="H36" s="717"/>
      <c r="I36" s="717"/>
      <c r="J36" s="717"/>
      <c r="K36" s="700">
        <f t="shared" si="1"/>
        <v>21</v>
      </c>
      <c r="L36" s="732"/>
    </row>
    <row r="37" spans="1:12" x14ac:dyDescent="0.3">
      <c r="A37" s="700">
        <f t="shared" si="0"/>
        <v>22</v>
      </c>
      <c r="B37" s="717" t="s">
        <v>1232</v>
      </c>
      <c r="C37" s="732">
        <v>282</v>
      </c>
      <c r="D37" s="722"/>
      <c r="E37" s="722"/>
      <c r="F37" s="717">
        <f t="shared" ref="F37:F39" si="10">+D37*$I$9</f>
        <v>0</v>
      </c>
      <c r="G37" s="717">
        <f t="shared" ref="G37:G39" si="11">+E37-F37</f>
        <v>0</v>
      </c>
      <c r="H37" s="717">
        <f>IF(+$I$8="No",0,'Order 864-1'!K34)</f>
        <v>0</v>
      </c>
      <c r="I37" s="717">
        <f t="shared" ref="I37:I39" si="12">+G37-H37</f>
        <v>0</v>
      </c>
      <c r="J37" s="733" t="s">
        <v>289</v>
      </c>
      <c r="K37" s="700">
        <f t="shared" si="1"/>
        <v>22</v>
      </c>
      <c r="L37" s="732"/>
    </row>
    <row r="38" spans="1:12" x14ac:dyDescent="0.3">
      <c r="A38" s="700">
        <f t="shared" si="0"/>
        <v>23</v>
      </c>
      <c r="B38" s="717" t="s">
        <v>1233</v>
      </c>
      <c r="C38" s="732">
        <v>282</v>
      </c>
      <c r="D38" s="722"/>
      <c r="E38" s="722"/>
      <c r="F38" s="717">
        <f t="shared" si="10"/>
        <v>0</v>
      </c>
      <c r="G38" s="717">
        <f t="shared" si="11"/>
        <v>0</v>
      </c>
      <c r="H38" s="717">
        <f>IF(+$I$8="No",0,'Order 864-1'!K35)</f>
        <v>0</v>
      </c>
      <c r="I38" s="717">
        <f t="shared" si="12"/>
        <v>0</v>
      </c>
      <c r="J38" s="733" t="s">
        <v>289</v>
      </c>
      <c r="K38" s="700">
        <f t="shared" si="1"/>
        <v>23</v>
      </c>
      <c r="L38" s="732"/>
    </row>
    <row r="39" spans="1:12" x14ac:dyDescent="0.3">
      <c r="A39" s="700">
        <f t="shared" si="0"/>
        <v>24</v>
      </c>
      <c r="B39" s="717" t="s">
        <v>1234</v>
      </c>
      <c r="C39" s="740">
        <v>282</v>
      </c>
      <c r="D39" s="722"/>
      <c r="E39" s="722"/>
      <c r="F39" s="717">
        <f t="shared" si="10"/>
        <v>0</v>
      </c>
      <c r="G39" s="717">
        <f t="shared" si="11"/>
        <v>0</v>
      </c>
      <c r="H39" s="717">
        <f>IF(+$I$8="No",0,'Order 864-1'!K36)</f>
        <v>0</v>
      </c>
      <c r="I39" s="717">
        <f t="shared" si="12"/>
        <v>0</v>
      </c>
      <c r="J39" s="733" t="s">
        <v>289</v>
      </c>
      <c r="K39" s="700">
        <f t="shared" si="1"/>
        <v>24</v>
      </c>
      <c r="L39" s="732"/>
    </row>
    <row r="40" spans="1:12" x14ac:dyDescent="0.3">
      <c r="A40" s="700">
        <f t="shared" si="0"/>
        <v>25</v>
      </c>
      <c r="B40" s="733" t="s">
        <v>1229</v>
      </c>
      <c r="C40" s="734"/>
      <c r="D40" s="725">
        <f t="shared" ref="D40:I40" si="13">SUM(D37:D39)</f>
        <v>0</v>
      </c>
      <c r="E40" s="725">
        <f t="shared" si="13"/>
        <v>0</v>
      </c>
      <c r="F40" s="725">
        <f t="shared" si="13"/>
        <v>0</v>
      </c>
      <c r="G40" s="725">
        <f t="shared" si="13"/>
        <v>0</v>
      </c>
      <c r="H40" s="725">
        <f t="shared" si="13"/>
        <v>0</v>
      </c>
      <c r="I40" s="725">
        <f t="shared" si="13"/>
        <v>0</v>
      </c>
      <c r="J40" s="733" t="s">
        <v>1235</v>
      </c>
      <c r="K40" s="700">
        <f t="shared" si="1"/>
        <v>25</v>
      </c>
      <c r="L40" s="732"/>
    </row>
    <row r="41" spans="1:12" x14ac:dyDescent="0.3">
      <c r="A41" s="700">
        <f t="shared" si="0"/>
        <v>26</v>
      </c>
      <c r="B41" s="717"/>
      <c r="C41" s="734"/>
      <c r="D41" s="741"/>
      <c r="E41" s="735"/>
      <c r="F41" s="741"/>
      <c r="G41" s="741"/>
      <c r="H41" s="741"/>
      <c r="I41" s="741"/>
      <c r="J41" s="717"/>
      <c r="K41" s="700">
        <f t="shared" si="1"/>
        <v>26</v>
      </c>
      <c r="L41" s="732"/>
    </row>
    <row r="42" spans="1:12" x14ac:dyDescent="0.3">
      <c r="A42" s="700">
        <f t="shared" si="0"/>
        <v>27</v>
      </c>
      <c r="B42" s="717" t="s">
        <v>1231</v>
      </c>
      <c r="C42" s="734"/>
      <c r="D42" s="734"/>
      <c r="E42" s="737"/>
      <c r="F42" s="734"/>
      <c r="G42" s="734"/>
      <c r="H42" s="734"/>
      <c r="I42" s="734"/>
      <c r="J42" s="717"/>
      <c r="K42" s="700">
        <f t="shared" si="1"/>
        <v>27</v>
      </c>
      <c r="L42" s="732"/>
    </row>
    <row r="43" spans="1:12" x14ac:dyDescent="0.3">
      <c r="A43" s="700">
        <f t="shared" si="0"/>
        <v>28</v>
      </c>
      <c r="B43" s="717" t="s">
        <v>1236</v>
      </c>
      <c r="C43" s="740">
        <v>282</v>
      </c>
      <c r="D43" s="750"/>
      <c r="E43" s="750"/>
      <c r="F43" s="751">
        <f>+D43*$I$9</f>
        <v>0</v>
      </c>
      <c r="G43" s="751">
        <f>+E43-F43</f>
        <v>0</v>
      </c>
      <c r="H43" s="751">
        <f>IF(+$I$8="No",0,'Order 864-1'!K40)</f>
        <v>0</v>
      </c>
      <c r="I43" s="751">
        <f>+G43-H43</f>
        <v>0</v>
      </c>
      <c r="J43" s="733" t="s">
        <v>289</v>
      </c>
      <c r="K43" s="700">
        <f t="shared" si="1"/>
        <v>28</v>
      </c>
      <c r="L43" s="732"/>
    </row>
    <row r="44" spans="1:12" x14ac:dyDescent="0.3">
      <c r="A44" s="700">
        <f t="shared" si="0"/>
        <v>29</v>
      </c>
      <c r="B44" s="717"/>
      <c r="C44" s="734"/>
      <c r="D44" s="741"/>
      <c r="E44" s="741"/>
      <c r="F44" s="741"/>
      <c r="G44" s="741"/>
      <c r="H44" s="741"/>
      <c r="I44" s="741"/>
      <c r="J44" s="717"/>
      <c r="K44" s="700">
        <f t="shared" si="1"/>
        <v>29</v>
      </c>
      <c r="L44" s="732"/>
    </row>
    <row r="45" spans="1:12" ht="15" thickBot="1" x14ac:dyDescent="0.35">
      <c r="A45" s="700">
        <f t="shared" si="0"/>
        <v>30</v>
      </c>
      <c r="B45" s="733" t="s">
        <v>1237</v>
      </c>
      <c r="C45" s="734"/>
      <c r="D45" s="715">
        <f t="shared" ref="D45:I45" si="14">+D43+D40+D34</f>
        <v>0</v>
      </c>
      <c r="E45" s="715">
        <f t="shared" si="14"/>
        <v>0</v>
      </c>
      <c r="F45" s="715">
        <f t="shared" si="14"/>
        <v>0</v>
      </c>
      <c r="G45" s="715">
        <f t="shared" si="14"/>
        <v>0</v>
      </c>
      <c r="H45" s="715">
        <f t="shared" si="14"/>
        <v>0</v>
      </c>
      <c r="I45" s="715">
        <f t="shared" si="14"/>
        <v>0</v>
      </c>
      <c r="J45" s="801" t="s">
        <v>1238</v>
      </c>
      <c r="K45" s="700">
        <f t="shared" si="1"/>
        <v>30</v>
      </c>
      <c r="L45" s="732"/>
    </row>
    <row r="46" spans="1:12" ht="15" thickTop="1" x14ac:dyDescent="0.3">
      <c r="A46" s="700">
        <f t="shared" si="0"/>
        <v>31</v>
      </c>
      <c r="B46" s="717"/>
      <c r="C46" s="734"/>
      <c r="D46" s="742"/>
      <c r="E46" s="742"/>
      <c r="F46" s="742"/>
      <c r="G46" s="742"/>
      <c r="H46" s="742"/>
      <c r="I46" s="742"/>
      <c r="J46" s="717"/>
      <c r="K46" s="700">
        <f t="shared" si="1"/>
        <v>31</v>
      </c>
      <c r="L46" s="732"/>
    </row>
    <row r="47" spans="1:12" ht="15" thickBot="1" x14ac:dyDescent="0.35">
      <c r="A47" s="700">
        <f t="shared" si="0"/>
        <v>32</v>
      </c>
      <c r="B47" s="733" t="s">
        <v>1239</v>
      </c>
      <c r="C47" s="717"/>
      <c r="D47" s="715">
        <f t="shared" ref="D47:I47" si="15">D45+D27</f>
        <v>0</v>
      </c>
      <c r="E47" s="715">
        <f t="shared" si="15"/>
        <v>0</v>
      </c>
      <c r="F47" s="715">
        <f t="shared" si="15"/>
        <v>0</v>
      </c>
      <c r="G47" s="715">
        <f t="shared" si="15"/>
        <v>0</v>
      </c>
      <c r="H47" s="715">
        <f t="shared" si="15"/>
        <v>0</v>
      </c>
      <c r="I47" s="715">
        <f t="shared" si="15"/>
        <v>0</v>
      </c>
      <c r="J47" s="733" t="s">
        <v>1240</v>
      </c>
      <c r="K47" s="700">
        <f t="shared" si="1"/>
        <v>32</v>
      </c>
      <c r="L47" s="732"/>
    </row>
    <row r="48" spans="1:12" ht="15" thickTop="1" x14ac:dyDescent="0.3">
      <c r="A48" s="732"/>
      <c r="B48" s="717"/>
      <c r="C48" s="717"/>
      <c r="D48" s="717"/>
      <c r="E48" s="717"/>
      <c r="F48" s="717"/>
      <c r="G48" s="717"/>
      <c r="H48" s="717"/>
      <c r="I48" s="717"/>
      <c r="J48" s="717"/>
      <c r="K48" s="717"/>
      <c r="L48" s="717"/>
    </row>
    <row r="49" spans="1:12" x14ac:dyDescent="0.3">
      <c r="A49" s="732"/>
      <c r="B49" s="704" t="s">
        <v>1286</v>
      </c>
      <c r="C49" s="717"/>
      <c r="D49" s="717"/>
      <c r="E49" s="717"/>
      <c r="F49" s="717"/>
      <c r="G49" s="717"/>
      <c r="H49" s="717"/>
      <c r="I49" s="717"/>
      <c r="J49" s="717"/>
      <c r="K49" s="717"/>
      <c r="L49" s="717"/>
    </row>
    <row r="50" spans="1:12" ht="15.6" x14ac:dyDescent="0.4">
      <c r="A50" s="732"/>
      <c r="B50" s="745" t="s">
        <v>1287</v>
      </c>
      <c r="C50" s="717"/>
      <c r="D50" s="717"/>
      <c r="E50" s="717"/>
      <c r="F50" s="717"/>
      <c r="G50" s="717"/>
      <c r="H50" s="717"/>
      <c r="I50" s="717"/>
      <c r="J50" s="717"/>
      <c r="K50" s="717"/>
      <c r="L50" s="717"/>
    </row>
    <row r="51" spans="1:12" x14ac:dyDescent="0.3">
      <c r="A51" s="732"/>
      <c r="B51" s="745" t="s">
        <v>1288</v>
      </c>
      <c r="C51" s="717"/>
      <c r="D51" s="717"/>
      <c r="E51" s="717"/>
      <c r="F51" s="717"/>
      <c r="G51" s="717"/>
      <c r="H51" s="717"/>
      <c r="I51" s="717"/>
      <c r="J51" s="717"/>
      <c r="K51" s="717"/>
      <c r="L51" s="717"/>
    </row>
    <row r="52" spans="1:12" x14ac:dyDescent="0.3">
      <c r="A52" s="732"/>
      <c r="B52" s="704" t="s">
        <v>1241</v>
      </c>
      <c r="C52" s="743"/>
      <c r="D52" s="717"/>
      <c r="E52" s="717"/>
      <c r="F52" s="717"/>
      <c r="G52" s="717"/>
      <c r="H52" s="717"/>
      <c r="I52" s="717"/>
      <c r="J52" s="717"/>
      <c r="K52" s="717"/>
      <c r="L52" s="717"/>
    </row>
    <row r="53" spans="1:12" x14ac:dyDescent="0.3">
      <c r="A53" s="732"/>
      <c r="B53" s="815" t="s">
        <v>1242</v>
      </c>
      <c r="C53" s="744"/>
      <c r="D53" s="744"/>
      <c r="E53" s="744"/>
      <c r="F53" s="717"/>
      <c r="G53" s="717"/>
      <c r="H53" s="717"/>
      <c r="I53" s="717"/>
      <c r="J53" s="717"/>
      <c r="K53" s="717"/>
      <c r="L53" s="717"/>
    </row>
    <row r="54" spans="1:12" x14ac:dyDescent="0.3">
      <c r="A54" s="744"/>
      <c r="B54" s="815" t="s">
        <v>1566</v>
      </c>
      <c r="C54" s="744"/>
      <c r="D54" s="744"/>
      <c r="E54" s="744"/>
      <c r="F54" s="744"/>
      <c r="G54" s="744"/>
      <c r="H54" s="744"/>
      <c r="I54" s="744"/>
      <c r="J54" s="717"/>
      <c r="K54" s="717"/>
      <c r="L54" s="717"/>
    </row>
    <row r="55" spans="1:12" x14ac:dyDescent="0.3">
      <c r="A55" s="744"/>
      <c r="B55" s="815" t="s">
        <v>1243</v>
      </c>
      <c r="C55" s="744"/>
      <c r="D55" s="744"/>
      <c r="E55" s="744"/>
      <c r="F55" s="744"/>
      <c r="G55" s="744"/>
      <c r="H55" s="744"/>
      <c r="I55" s="744"/>
      <c r="J55" s="717"/>
      <c r="K55" s="717"/>
      <c r="L55" s="717"/>
    </row>
    <row r="56" spans="1:12" x14ac:dyDescent="0.3">
      <c r="A56" s="744"/>
      <c r="B56" s="815" t="s">
        <v>1244</v>
      </c>
      <c r="C56" s="744"/>
      <c r="D56" s="744"/>
      <c r="E56" s="744"/>
      <c r="F56" s="744"/>
      <c r="G56" s="744"/>
      <c r="H56" s="744"/>
      <c r="I56" s="744"/>
      <c r="J56" s="717"/>
      <c r="K56" s="717"/>
      <c r="L56" s="717"/>
    </row>
    <row r="57" spans="1:12" x14ac:dyDescent="0.3">
      <c r="A57" s="744"/>
      <c r="B57" s="815" t="s">
        <v>1245</v>
      </c>
      <c r="C57" s="744"/>
      <c r="D57" s="744"/>
      <c r="E57" s="744"/>
      <c r="F57" s="744"/>
      <c r="G57" s="744"/>
      <c r="H57" s="744"/>
      <c r="I57" s="744"/>
      <c r="J57" s="717"/>
      <c r="K57" s="717"/>
      <c r="L57" s="717"/>
    </row>
    <row r="58" spans="1:12" x14ac:dyDescent="0.3">
      <c r="A58" s="752"/>
      <c r="B58" s="815" t="s">
        <v>1246</v>
      </c>
      <c r="C58" s="752"/>
      <c r="D58" s="752"/>
      <c r="E58" s="752"/>
      <c r="F58" s="752"/>
      <c r="G58" s="752"/>
      <c r="H58" s="752"/>
      <c r="I58" s="752"/>
      <c r="J58" s="717"/>
      <c r="K58" s="717"/>
      <c r="L58" s="717"/>
    </row>
    <row r="59" spans="1:12" x14ac:dyDescent="0.3">
      <c r="A59" s="732"/>
      <c r="B59" s="815" t="s">
        <v>1247</v>
      </c>
      <c r="C59" s="717"/>
      <c r="D59" s="717"/>
      <c r="E59" s="717"/>
      <c r="F59" s="717"/>
      <c r="G59" s="753"/>
      <c r="H59" s="753"/>
      <c r="I59" s="753"/>
      <c r="J59" s="734"/>
      <c r="K59" s="734"/>
      <c r="L59" s="734"/>
    </row>
    <row r="60" spans="1:12" x14ac:dyDescent="0.3">
      <c r="A60" s="732"/>
      <c r="B60" s="815" t="s">
        <v>1248</v>
      </c>
      <c r="C60" s="717"/>
      <c r="D60" s="717"/>
      <c r="E60" s="717"/>
      <c r="F60" s="717"/>
      <c r="G60" s="753"/>
      <c r="H60" s="753"/>
      <c r="I60" s="753"/>
      <c r="J60" s="734"/>
      <c r="K60" s="734"/>
      <c r="L60" s="734"/>
    </row>
    <row r="61" spans="1:12" x14ac:dyDescent="0.3">
      <c r="A61" s="732"/>
      <c r="B61" s="815" t="s">
        <v>1249</v>
      </c>
      <c r="C61" s="754"/>
      <c r="D61" s="755"/>
      <c r="E61" s="717"/>
      <c r="F61" s="717"/>
      <c r="G61" s="753"/>
      <c r="H61" s="753"/>
      <c r="I61" s="753"/>
      <c r="J61" s="734"/>
      <c r="K61" s="734"/>
      <c r="L61" s="734"/>
    </row>
    <row r="62" spans="1:12" x14ac:dyDescent="0.3">
      <c r="A62" s="700"/>
      <c r="B62" s="745"/>
      <c r="C62" s="717"/>
      <c r="D62" s="717"/>
      <c r="E62" s="717"/>
      <c r="F62" s="717"/>
      <c r="G62" s="753"/>
      <c r="H62" s="753"/>
      <c r="I62" s="753"/>
      <c r="J62" s="734"/>
      <c r="K62" s="734"/>
      <c r="L62" s="734"/>
    </row>
    <row r="63" spans="1:12" x14ac:dyDescent="0.3">
      <c r="A63" s="700"/>
      <c r="B63" s="702"/>
      <c r="C63" s="706"/>
      <c r="D63" s="694"/>
      <c r="E63" s="692"/>
      <c r="F63" s="692"/>
      <c r="J63" s="713"/>
      <c r="K63" s="713"/>
      <c r="L63" s="713"/>
    </row>
    <row r="64" spans="1:12" x14ac:dyDescent="0.3">
      <c r="A64" s="700"/>
      <c r="B64" s="702"/>
      <c r="C64" s="706"/>
      <c r="D64" s="707"/>
      <c r="E64" s="692"/>
      <c r="F64" s="692"/>
      <c r="J64" s="713"/>
      <c r="K64" s="713"/>
      <c r="L64" s="713"/>
    </row>
    <row r="65" spans="1:12" x14ac:dyDescent="0.3">
      <c r="A65" s="700"/>
      <c r="B65" s="705"/>
      <c r="C65" s="702"/>
      <c r="D65" s="702"/>
      <c r="E65" s="702"/>
      <c r="F65" s="702"/>
      <c r="J65" s="713"/>
      <c r="K65" s="713"/>
      <c r="L65" s="713"/>
    </row>
    <row r="66" spans="1:12" x14ac:dyDescent="0.3">
      <c r="A66" s="702"/>
      <c r="B66" s="702"/>
      <c r="C66" s="706"/>
      <c r="D66" s="694"/>
      <c r="E66" s="702"/>
      <c r="F66" s="702"/>
      <c r="J66" s="713"/>
      <c r="K66" s="713"/>
      <c r="L66" s="713"/>
    </row>
    <row r="67" spans="1:12" x14ac:dyDescent="0.3">
      <c r="A67" s="702"/>
      <c r="B67" s="702"/>
      <c r="C67" s="706"/>
      <c r="D67" s="707"/>
      <c r="E67" s="702"/>
      <c r="F67" s="702"/>
      <c r="J67" s="713"/>
      <c r="K67" s="713"/>
      <c r="L67" s="713"/>
    </row>
    <row r="68" spans="1:12" x14ac:dyDescent="0.3">
      <c r="A68" s="702"/>
      <c r="B68" s="705"/>
      <c r="C68" s="702"/>
      <c r="D68" s="702"/>
      <c r="E68" s="702"/>
      <c r="F68" s="702"/>
      <c r="J68" s="713"/>
      <c r="K68" s="713"/>
      <c r="L68" s="713"/>
    </row>
    <row r="69" spans="1:12" x14ac:dyDescent="0.3">
      <c r="J69" s="713"/>
      <c r="K69" s="713"/>
      <c r="L69" s="713"/>
    </row>
    <row r="70" spans="1:12" x14ac:dyDescent="0.3">
      <c r="J70" s="713"/>
      <c r="K70" s="713"/>
      <c r="L70" s="713"/>
    </row>
    <row r="71" spans="1:12" x14ac:dyDescent="0.3">
      <c r="J71" s="713"/>
      <c r="K71" s="713"/>
      <c r="L71" s="713"/>
    </row>
    <row r="72" spans="1:12" x14ac:dyDescent="0.3">
      <c r="J72" s="713"/>
      <c r="K72" s="713"/>
      <c r="L72" s="713"/>
    </row>
    <row r="73" spans="1:12" x14ac:dyDescent="0.3">
      <c r="J73" s="713"/>
      <c r="K73" s="713"/>
      <c r="L73" s="713"/>
    </row>
    <row r="74" spans="1:12" x14ac:dyDescent="0.3">
      <c r="J74" s="713"/>
      <c r="K74" s="713"/>
      <c r="L74" s="713"/>
    </row>
    <row r="75" spans="1:12" x14ac:dyDescent="0.3">
      <c r="J75" s="713"/>
      <c r="K75" s="713"/>
      <c r="L75" s="713"/>
    </row>
    <row r="76" spans="1:12" x14ac:dyDescent="0.3">
      <c r="J76" s="713"/>
      <c r="K76" s="713"/>
      <c r="L76" s="713"/>
    </row>
    <row r="77" spans="1:12" x14ac:dyDescent="0.3">
      <c r="J77" s="713"/>
      <c r="K77" s="713"/>
      <c r="L77" s="713"/>
    </row>
    <row r="78" spans="1:12" x14ac:dyDescent="0.3">
      <c r="J78" s="713"/>
      <c r="K78" s="713"/>
      <c r="L78" s="713"/>
    </row>
    <row r="79" spans="1:12" x14ac:dyDescent="0.3">
      <c r="J79" s="713"/>
      <c r="K79" s="713"/>
      <c r="L79" s="713"/>
    </row>
    <row r="80" spans="1:12" x14ac:dyDescent="0.3">
      <c r="J80" s="713"/>
      <c r="K80" s="713"/>
      <c r="L80" s="713"/>
    </row>
    <row r="81" spans="10:12" x14ac:dyDescent="0.3">
      <c r="J81" s="713"/>
      <c r="K81" s="713"/>
      <c r="L81" s="713"/>
    </row>
    <row r="82" spans="10:12" x14ac:dyDescent="0.3">
      <c r="J82" s="713"/>
      <c r="K82" s="713"/>
      <c r="L82" s="713"/>
    </row>
    <row r="83" spans="10:12" x14ac:dyDescent="0.3">
      <c r="J83" s="713"/>
      <c r="K83" s="713"/>
      <c r="L83" s="713"/>
    </row>
    <row r="84" spans="10:12" x14ac:dyDescent="0.3">
      <c r="J84" s="713"/>
      <c r="K84" s="713"/>
      <c r="L84" s="713"/>
    </row>
    <row r="85" spans="10:12" x14ac:dyDescent="0.3">
      <c r="J85" s="713"/>
      <c r="K85" s="713"/>
      <c r="L85" s="713"/>
    </row>
    <row r="86" spans="10:12" x14ac:dyDescent="0.3">
      <c r="J86" s="713"/>
      <c r="K86" s="713"/>
      <c r="L86" s="713"/>
    </row>
    <row r="87" spans="10:12" x14ac:dyDescent="0.3">
      <c r="J87" s="713"/>
      <c r="K87" s="713"/>
      <c r="L87" s="713"/>
    </row>
    <row r="88" spans="10:12" x14ac:dyDescent="0.3">
      <c r="J88" s="713"/>
      <c r="K88" s="713"/>
      <c r="L88" s="713"/>
    </row>
    <row r="89" spans="10:12" x14ac:dyDescent="0.3">
      <c r="J89" s="713"/>
      <c r="K89" s="713"/>
      <c r="L89" s="713"/>
    </row>
    <row r="90" spans="10:12" x14ac:dyDescent="0.3">
      <c r="J90" s="713"/>
      <c r="K90" s="713"/>
      <c r="L90" s="713"/>
    </row>
    <row r="91" spans="10:12" x14ac:dyDescent="0.3">
      <c r="J91" s="713"/>
      <c r="K91" s="713"/>
      <c r="L91" s="713"/>
    </row>
    <row r="92" spans="10:12" x14ac:dyDescent="0.3">
      <c r="J92" s="713"/>
      <c r="K92" s="713"/>
      <c r="L92" s="713"/>
    </row>
    <row r="93" spans="10:12" x14ac:dyDescent="0.3">
      <c r="J93" s="713"/>
      <c r="K93" s="713"/>
      <c r="L93" s="713"/>
    </row>
    <row r="94" spans="10:12" x14ac:dyDescent="0.3">
      <c r="J94" s="713"/>
      <c r="K94" s="713"/>
      <c r="L94" s="713"/>
    </row>
    <row r="95" spans="10:12" x14ac:dyDescent="0.3">
      <c r="J95" s="713"/>
      <c r="K95" s="713"/>
      <c r="L95" s="713"/>
    </row>
    <row r="96" spans="10:12" x14ac:dyDescent="0.3">
      <c r="J96" s="713"/>
      <c r="K96" s="713"/>
      <c r="L96" s="713"/>
    </row>
    <row r="97" spans="10:12" x14ac:dyDescent="0.3">
      <c r="J97" s="713"/>
      <c r="K97" s="713"/>
      <c r="L97" s="713"/>
    </row>
  </sheetData>
  <mergeCells count="2">
    <mergeCell ref="B5:J5"/>
    <mergeCell ref="D13:I13"/>
  </mergeCells>
  <printOptions horizontalCentered="1"/>
  <pageMargins left="0.25" right="0.25" top="0.5" bottom="0.5" header="0.25" footer="0.25"/>
  <pageSetup scale="59" orientation="landscape" r:id="rId1"/>
  <headerFooter scaleWithDoc="0">
    <oddFooter>&amp;C&amp;"Times New Roman,Regular"&amp;10&amp;A</oddFooter>
  </headerFooter>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H44"/>
  <sheetViews>
    <sheetView zoomScale="80" zoomScaleNormal="80" workbookViewId="0"/>
  </sheetViews>
  <sheetFormatPr defaultColWidth="9.33203125" defaultRowHeight="15.6" x14ac:dyDescent="0.3"/>
  <cols>
    <col min="1" max="1" width="5.33203125" style="221" customWidth="1"/>
    <col min="2" max="2" width="35.33203125" style="1" customWidth="1"/>
    <col min="3" max="3" width="18.5546875" style="88" customWidth="1"/>
    <col min="4" max="4" width="25.33203125" style="1" customWidth="1"/>
    <col min="5" max="5" width="18.5546875" style="1" customWidth="1"/>
    <col min="6" max="6" width="62.5546875" style="1" customWidth="1"/>
    <col min="7" max="7" width="5.33203125" style="221" customWidth="1"/>
    <col min="8" max="8" width="24" style="1" customWidth="1"/>
    <col min="9" max="9" width="11" style="1" customWidth="1"/>
    <col min="10" max="10" width="7.33203125" style="1" customWidth="1"/>
    <col min="11" max="11" width="9.33203125" style="1" customWidth="1"/>
    <col min="12" max="12" width="14" style="1" customWidth="1"/>
    <col min="13" max="13" width="13.44140625" style="1" customWidth="1"/>
    <col min="14" max="16384" width="9.33203125" style="1"/>
  </cols>
  <sheetData>
    <row r="2" spans="1:8" x14ac:dyDescent="0.3">
      <c r="B2" s="1222" t="s">
        <v>0</v>
      </c>
      <c r="C2" s="1222"/>
      <c r="D2" s="1222"/>
      <c r="E2" s="1222"/>
      <c r="F2" s="1222"/>
    </row>
    <row r="3" spans="1:8" x14ac:dyDescent="0.3">
      <c r="B3" s="1222" t="s">
        <v>281</v>
      </c>
      <c r="C3" s="1222"/>
      <c r="D3" s="1222"/>
      <c r="E3" s="1222"/>
      <c r="F3" s="1222"/>
    </row>
    <row r="4" spans="1:8" x14ac:dyDescent="0.3">
      <c r="B4" s="1222" t="s">
        <v>282</v>
      </c>
      <c r="C4" s="1222"/>
      <c r="D4" s="1222"/>
      <c r="E4" s="1222"/>
      <c r="F4" s="1222"/>
    </row>
    <row r="5" spans="1:8" x14ac:dyDescent="0.3">
      <c r="B5" s="1222" t="str">
        <f>'AD-1'!B5</f>
        <v>BASE PERIOD / TRUE UP PERIOD - 12/31/2023 PER BOOK</v>
      </c>
      <c r="C5" s="1222"/>
      <c r="D5" s="1222"/>
      <c r="E5" s="1222"/>
      <c r="F5" s="1222"/>
    </row>
    <row r="6" spans="1:8" x14ac:dyDescent="0.3">
      <c r="B6" s="1226" t="s">
        <v>4</v>
      </c>
      <c r="C6" s="1226"/>
      <c r="D6" s="1226"/>
      <c r="E6" s="1226"/>
      <c r="F6" s="1226"/>
    </row>
    <row r="7" spans="1:8" x14ac:dyDescent="0.3">
      <c r="B7" s="270"/>
      <c r="C7" s="271"/>
      <c r="D7" s="270"/>
      <c r="E7" s="270"/>
      <c r="F7" s="270"/>
    </row>
    <row r="8" spans="1:8" x14ac:dyDescent="0.3">
      <c r="B8" s="1222" t="s">
        <v>313</v>
      </c>
      <c r="C8" s="1222"/>
      <c r="D8" s="1222"/>
      <c r="E8" s="1222"/>
      <c r="F8" s="1222"/>
    </row>
    <row r="10" spans="1:8" x14ac:dyDescent="0.3">
      <c r="B10" s="932"/>
      <c r="C10" s="272" t="s">
        <v>200</v>
      </c>
      <c r="D10" s="933"/>
      <c r="E10" s="272"/>
      <c r="F10" s="933"/>
    </row>
    <row r="11" spans="1:8" x14ac:dyDescent="0.3">
      <c r="A11" s="4"/>
      <c r="B11" s="273"/>
      <c r="C11" s="221" t="s">
        <v>314</v>
      </c>
      <c r="D11" s="273"/>
      <c r="E11" s="277" t="s">
        <v>314</v>
      </c>
      <c r="F11" s="273"/>
    </row>
    <row r="12" spans="1:8" x14ac:dyDescent="0.3">
      <c r="A12" s="4" t="s">
        <v>5</v>
      </c>
      <c r="B12" s="276"/>
      <c r="C12" s="221" t="s">
        <v>285</v>
      </c>
      <c r="D12" s="273"/>
      <c r="E12" s="277" t="s">
        <v>285</v>
      </c>
      <c r="F12" s="273"/>
      <c r="G12" s="4" t="s">
        <v>5</v>
      </c>
    </row>
    <row r="13" spans="1:8" ht="18" x14ac:dyDescent="0.3">
      <c r="A13" s="4" t="s">
        <v>6</v>
      </c>
      <c r="B13" s="278" t="s">
        <v>286</v>
      </c>
      <c r="C13" s="935" t="s">
        <v>287</v>
      </c>
      <c r="D13" s="278" t="s">
        <v>8</v>
      </c>
      <c r="E13" s="279" t="s">
        <v>288</v>
      </c>
      <c r="F13" s="278" t="s">
        <v>8</v>
      </c>
      <c r="G13" s="4" t="s">
        <v>6</v>
      </c>
    </row>
    <row r="14" spans="1:8" x14ac:dyDescent="0.3">
      <c r="A14" s="4">
        <v>1</v>
      </c>
      <c r="B14" s="936" t="str">
        <f>'AD-1'!B14</f>
        <v>Dec-22</v>
      </c>
      <c r="C14" s="59">
        <v>587096.16952999996</v>
      </c>
      <c r="D14" s="937" t="s">
        <v>289</v>
      </c>
      <c r="E14" s="59">
        <v>545098.80998000002</v>
      </c>
      <c r="F14" s="937" t="s">
        <v>290</v>
      </c>
      <c r="G14" s="4">
        <f>A14</f>
        <v>1</v>
      </c>
      <c r="H14" s="280"/>
    </row>
    <row r="15" spans="1:8" x14ac:dyDescent="0.3">
      <c r="A15" s="4">
        <f>A14+1</f>
        <v>2</v>
      </c>
      <c r="B15" s="936" t="str">
        <f>'AD-1'!B15</f>
        <v>Jan-23</v>
      </c>
      <c r="C15" s="53">
        <v>587054.83519999997</v>
      </c>
      <c r="D15" s="938"/>
      <c r="E15" s="53">
        <v>545057.47565000004</v>
      </c>
      <c r="F15" s="938"/>
      <c r="G15" s="4">
        <f>G14+1</f>
        <v>2</v>
      </c>
    </row>
    <row r="16" spans="1:8" x14ac:dyDescent="0.3">
      <c r="A16" s="4">
        <f t="shared" ref="A16:A32" si="0">A15+1</f>
        <v>3</v>
      </c>
      <c r="B16" s="939" t="s">
        <v>291</v>
      </c>
      <c r="C16" s="53">
        <v>589101.92278000002</v>
      </c>
      <c r="D16" s="938"/>
      <c r="E16" s="53">
        <v>547104.56323000009</v>
      </c>
      <c r="F16" s="938"/>
      <c r="G16" s="4">
        <f t="shared" ref="G16:G26" si="1">G15+1</f>
        <v>3</v>
      </c>
    </row>
    <row r="17" spans="1:8" x14ac:dyDescent="0.3">
      <c r="A17" s="4">
        <f t="shared" si="0"/>
        <v>4</v>
      </c>
      <c r="B17" s="939" t="s">
        <v>292</v>
      </c>
      <c r="C17" s="53">
        <v>589136.52129999979</v>
      </c>
      <c r="D17" s="938"/>
      <c r="E17" s="53">
        <v>547139.16174999985</v>
      </c>
      <c r="F17" s="938"/>
      <c r="G17" s="4">
        <f t="shared" si="1"/>
        <v>4</v>
      </c>
    </row>
    <row r="18" spans="1:8" x14ac:dyDescent="0.3">
      <c r="A18" s="4">
        <f t="shared" si="0"/>
        <v>5</v>
      </c>
      <c r="B18" s="939" t="s">
        <v>293</v>
      </c>
      <c r="C18" s="53">
        <v>589140.32504999975</v>
      </c>
      <c r="D18" s="938"/>
      <c r="E18" s="53">
        <v>547142.96549999982</v>
      </c>
      <c r="F18" s="938"/>
      <c r="G18" s="4">
        <f t="shared" si="1"/>
        <v>5</v>
      </c>
    </row>
    <row r="19" spans="1:8" x14ac:dyDescent="0.3">
      <c r="A19" s="4">
        <f t="shared" si="0"/>
        <v>6</v>
      </c>
      <c r="B19" s="939" t="s">
        <v>294</v>
      </c>
      <c r="C19" s="53">
        <v>593021.19967</v>
      </c>
      <c r="D19" s="938"/>
      <c r="E19" s="53">
        <v>550828.10889000003</v>
      </c>
      <c r="F19" s="938"/>
      <c r="G19" s="4">
        <f t="shared" si="1"/>
        <v>6</v>
      </c>
    </row>
    <row r="20" spans="1:8" x14ac:dyDescent="0.3">
      <c r="A20" s="4">
        <f>A19+1</f>
        <v>7</v>
      </c>
      <c r="B20" s="939" t="s">
        <v>295</v>
      </c>
      <c r="C20" s="53">
        <v>593062.3841899999</v>
      </c>
      <c r="D20" s="938"/>
      <c r="E20" s="53">
        <v>550869.29340999993</v>
      </c>
      <c r="F20" s="938"/>
      <c r="G20" s="4">
        <f>G19+1</f>
        <v>7</v>
      </c>
    </row>
    <row r="21" spans="1:8" x14ac:dyDescent="0.3">
      <c r="A21" s="4">
        <f t="shared" si="0"/>
        <v>8</v>
      </c>
      <c r="B21" s="939" t="s">
        <v>296</v>
      </c>
      <c r="C21" s="53">
        <v>593484.06429000024</v>
      </c>
      <c r="D21" s="938"/>
      <c r="E21" s="53">
        <v>551290.97351000027</v>
      </c>
      <c r="F21" s="938"/>
      <c r="G21" s="4">
        <f t="shared" si="1"/>
        <v>8</v>
      </c>
    </row>
    <row r="22" spans="1:8" x14ac:dyDescent="0.3">
      <c r="A22" s="4">
        <f t="shared" si="0"/>
        <v>9</v>
      </c>
      <c r="B22" s="939" t="s">
        <v>297</v>
      </c>
      <c r="C22" s="53">
        <v>593955.88179999986</v>
      </c>
      <c r="D22" s="938"/>
      <c r="E22" s="53">
        <v>551762.79101999989</v>
      </c>
      <c r="F22" s="938"/>
      <c r="G22" s="4">
        <f t="shared" si="1"/>
        <v>9</v>
      </c>
    </row>
    <row r="23" spans="1:8" x14ac:dyDescent="0.3">
      <c r="A23" s="4">
        <f t="shared" si="0"/>
        <v>10</v>
      </c>
      <c r="B23" s="939" t="s">
        <v>298</v>
      </c>
      <c r="C23" s="53">
        <v>593881.12346999999</v>
      </c>
      <c r="D23" s="938"/>
      <c r="E23" s="53">
        <v>551688.03269000002</v>
      </c>
      <c r="F23" s="938"/>
      <c r="G23" s="4">
        <f t="shared" si="1"/>
        <v>10</v>
      </c>
    </row>
    <row r="24" spans="1:8" x14ac:dyDescent="0.3">
      <c r="A24" s="4">
        <f t="shared" si="0"/>
        <v>11</v>
      </c>
      <c r="B24" s="939" t="s">
        <v>299</v>
      </c>
      <c r="C24" s="53">
        <v>604404.37380000018</v>
      </c>
      <c r="D24" s="938"/>
      <c r="E24" s="53">
        <v>562211.28302000021</v>
      </c>
      <c r="F24" s="938"/>
      <c r="G24" s="4">
        <f t="shared" si="1"/>
        <v>11</v>
      </c>
    </row>
    <row r="25" spans="1:8" x14ac:dyDescent="0.3">
      <c r="A25" s="4">
        <f t="shared" si="0"/>
        <v>12</v>
      </c>
      <c r="B25" s="939" t="s">
        <v>300</v>
      </c>
      <c r="C25" s="53">
        <v>620741.82563000009</v>
      </c>
      <c r="D25" s="938"/>
      <c r="E25" s="53">
        <v>578548.73485000012</v>
      </c>
      <c r="F25" s="938"/>
      <c r="G25" s="4">
        <f t="shared" si="1"/>
        <v>12</v>
      </c>
    </row>
    <row r="26" spans="1:8" x14ac:dyDescent="0.3">
      <c r="A26" s="4">
        <f t="shared" si="0"/>
        <v>13</v>
      </c>
      <c r="B26" s="633" t="str">
        <f>'AD-1'!B26</f>
        <v>Dec-23</v>
      </c>
      <c r="C26" s="54">
        <v>624502.05602999998</v>
      </c>
      <c r="D26" s="287" t="s">
        <v>289</v>
      </c>
      <c r="E26" s="54">
        <v>582308.96525000012</v>
      </c>
      <c r="F26" s="937" t="s">
        <v>301</v>
      </c>
      <c r="G26" s="4">
        <f t="shared" si="1"/>
        <v>13</v>
      </c>
      <c r="H26" s="280"/>
    </row>
    <row r="27" spans="1:8" x14ac:dyDescent="0.3">
      <c r="A27" s="4">
        <f>A26+1</f>
        <v>14</v>
      </c>
      <c r="B27" s="281"/>
      <c r="C27" s="60"/>
      <c r="D27" s="281"/>
      <c r="E27" s="61"/>
      <c r="F27" s="932"/>
      <c r="G27" s="4">
        <f>G26+1</f>
        <v>14</v>
      </c>
    </row>
    <row r="28" spans="1:8" x14ac:dyDescent="0.3">
      <c r="A28" s="4">
        <f t="shared" si="0"/>
        <v>15</v>
      </c>
      <c r="B28" s="281" t="s">
        <v>302</v>
      </c>
      <c r="C28" s="56">
        <f>SUM(C14:C26)</f>
        <v>7758582.6827399982</v>
      </c>
      <c r="D28" s="940" t="s">
        <v>303</v>
      </c>
      <c r="E28" s="56">
        <f>SUM(E14:E26)</f>
        <v>7211051.1587499995</v>
      </c>
      <c r="F28" s="940" t="s">
        <v>303</v>
      </c>
      <c r="G28" s="4">
        <f t="shared" ref="G28:G32" si="2">G27+1</f>
        <v>15</v>
      </c>
    </row>
    <row r="29" spans="1:8" x14ac:dyDescent="0.3">
      <c r="A29" s="4">
        <f t="shared" si="0"/>
        <v>16</v>
      </c>
      <c r="B29" s="120"/>
      <c r="C29" s="57"/>
      <c r="D29" s="288"/>
      <c r="E29" s="57"/>
      <c r="F29" s="288"/>
      <c r="G29" s="4">
        <f t="shared" si="2"/>
        <v>16</v>
      </c>
    </row>
    <row r="30" spans="1:8" x14ac:dyDescent="0.3">
      <c r="A30" s="4">
        <f t="shared" si="0"/>
        <v>17</v>
      </c>
      <c r="B30" s="281"/>
      <c r="C30" s="56"/>
      <c r="D30" s="237"/>
      <c r="E30" s="56"/>
      <c r="F30" s="237"/>
      <c r="G30" s="4">
        <f t="shared" si="2"/>
        <v>17</v>
      </c>
    </row>
    <row r="31" spans="1:8" x14ac:dyDescent="0.3">
      <c r="A31" s="4">
        <f t="shared" si="0"/>
        <v>18</v>
      </c>
      <c r="B31" s="281" t="s">
        <v>304</v>
      </c>
      <c r="C31" s="56">
        <f>C28/13</f>
        <v>596814.05251846137</v>
      </c>
      <c r="D31" s="940" t="s">
        <v>305</v>
      </c>
      <c r="E31" s="56">
        <f>E28/13</f>
        <v>554696.24298076914</v>
      </c>
      <c r="F31" s="937" t="s">
        <v>306</v>
      </c>
      <c r="G31" s="4">
        <f t="shared" si="2"/>
        <v>18</v>
      </c>
      <c r="H31" s="280"/>
    </row>
    <row r="32" spans="1:8" x14ac:dyDescent="0.3">
      <c r="A32" s="4">
        <f t="shared" si="0"/>
        <v>19</v>
      </c>
      <c r="B32" s="120"/>
      <c r="C32" s="62"/>
      <c r="D32" s="120"/>
      <c r="E32" s="62"/>
      <c r="F32" s="120"/>
      <c r="G32" s="4">
        <f t="shared" si="2"/>
        <v>19</v>
      </c>
    </row>
    <row r="33" spans="1:7" x14ac:dyDescent="0.3">
      <c r="B33" s="32"/>
      <c r="C33" s="6"/>
      <c r="D33" s="32"/>
      <c r="E33" s="6"/>
      <c r="F33" s="32"/>
    </row>
    <row r="34" spans="1:7" x14ac:dyDescent="0.3">
      <c r="C34" s="6"/>
      <c r="D34" s="32"/>
      <c r="E34" s="6"/>
      <c r="F34" s="32"/>
    </row>
    <row r="35" spans="1:7" ht="18" x14ac:dyDescent="0.3">
      <c r="A35" s="269">
        <v>1</v>
      </c>
      <c r="B35" s="32" t="s">
        <v>307</v>
      </c>
      <c r="C35" s="6"/>
      <c r="D35" s="32"/>
      <c r="E35" s="6"/>
      <c r="F35" s="32"/>
    </row>
    <row r="36" spans="1:7" x14ac:dyDescent="0.3">
      <c r="B36" s="32" t="s">
        <v>308</v>
      </c>
      <c r="C36" s="6"/>
      <c r="D36" s="32"/>
      <c r="E36" s="6"/>
      <c r="F36" s="32"/>
    </row>
    <row r="37" spans="1:7" x14ac:dyDescent="0.3">
      <c r="C37" s="6"/>
      <c r="D37" s="32"/>
      <c r="E37" s="6"/>
      <c r="F37" s="32"/>
    </row>
    <row r="38" spans="1:7" x14ac:dyDescent="0.3">
      <c r="C38" s="6"/>
      <c r="D38" s="32"/>
      <c r="E38" s="6"/>
      <c r="F38" s="32"/>
    </row>
    <row r="39" spans="1:7" x14ac:dyDescent="0.3">
      <c r="C39" s="289"/>
      <c r="D39" s="289"/>
      <c r="E39" s="289"/>
      <c r="F39" s="289"/>
      <c r="G39" s="584"/>
    </row>
    <row r="40" spans="1:7" x14ac:dyDescent="0.3">
      <c r="E40" s="88"/>
    </row>
    <row r="41" spans="1:7" x14ac:dyDescent="0.3">
      <c r="E41" s="88"/>
    </row>
    <row r="42" spans="1:7" x14ac:dyDescent="0.3">
      <c r="E42" s="88"/>
    </row>
    <row r="43" spans="1:7" x14ac:dyDescent="0.3">
      <c r="E43" s="88"/>
    </row>
    <row r="44" spans="1:7" x14ac:dyDescent="0.3">
      <c r="E44" s="88"/>
    </row>
  </sheetData>
  <mergeCells count="6">
    <mergeCell ref="B8:F8"/>
    <mergeCell ref="B2:F2"/>
    <mergeCell ref="B3:F3"/>
    <mergeCell ref="B4:F4"/>
    <mergeCell ref="B5:F5"/>
    <mergeCell ref="B6:F6"/>
  </mergeCells>
  <printOptions horizontalCentered="1"/>
  <pageMargins left="0.5" right="0.5" top="0.5" bottom="0.5" header="0.25" footer="0.25"/>
  <pageSetup scale="74" orientation="landscape" r:id="rId1"/>
  <headerFooter scaleWithDoc="0">
    <oddFooter>&amp;C&amp;"Times New Roman,Regular"&amp;10&amp;A</oddFooter>
  </headerFooter>
  <customProperties>
    <customPr name="_pios_id" r:id="rId2"/>
  </customPropertie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F1F98-47F8-40A1-8D13-1DCCAD33821A}">
  <sheetPr>
    <pageSetUpPr fitToPage="1"/>
  </sheetPr>
  <dimension ref="A1:Q66"/>
  <sheetViews>
    <sheetView zoomScale="80" zoomScaleNormal="80" workbookViewId="0"/>
  </sheetViews>
  <sheetFormatPr defaultColWidth="14.5546875" defaultRowHeight="14.4" x14ac:dyDescent="0.3"/>
  <cols>
    <col min="1" max="1" width="5.6640625" style="753" customWidth="1"/>
    <col min="2" max="2" width="49" style="753" customWidth="1"/>
    <col min="3" max="3" width="8.6640625" style="753" customWidth="1"/>
    <col min="4" max="9" width="15.6640625" style="753" customWidth="1"/>
    <col min="10" max="10" width="16.44140625" style="753" customWidth="1"/>
    <col min="11" max="11" width="17.33203125" style="753" customWidth="1"/>
    <col min="12" max="12" width="18.6640625" style="753" customWidth="1"/>
    <col min="13" max="13" width="15.6640625" style="753" customWidth="1"/>
    <col min="14" max="14" width="17.33203125" style="753" customWidth="1"/>
    <col min="15" max="15" width="30.5546875" style="753" customWidth="1"/>
    <col min="16" max="16" width="5.6640625" style="753" customWidth="1"/>
    <col min="17" max="16384" width="14.5546875" style="753"/>
  </cols>
  <sheetData>
    <row r="1" spans="1:17" ht="15.6" x14ac:dyDescent="0.3">
      <c r="A1" s="756"/>
      <c r="B1" s="757" t="s">
        <v>0</v>
      </c>
      <c r="C1" s="758"/>
      <c r="D1" s="758"/>
      <c r="E1" s="758"/>
      <c r="F1" s="758"/>
      <c r="G1" s="758"/>
      <c r="H1" s="758"/>
      <c r="I1" s="758"/>
      <c r="J1" s="758"/>
      <c r="K1" s="758"/>
      <c r="L1" s="758"/>
      <c r="M1" s="758"/>
      <c r="N1" s="758"/>
      <c r="O1" s="758"/>
    </row>
    <row r="2" spans="1:17" x14ac:dyDescent="0.3">
      <c r="A2" s="759"/>
      <c r="B2" s="757" t="s">
        <v>1289</v>
      </c>
      <c r="C2" s="758"/>
      <c r="D2" s="758"/>
      <c r="E2" s="758"/>
      <c r="F2" s="758"/>
      <c r="G2" s="758"/>
      <c r="H2" s="758"/>
      <c r="I2" s="758"/>
      <c r="J2" s="758"/>
      <c r="K2" s="758"/>
      <c r="L2" s="758"/>
      <c r="M2" s="758"/>
      <c r="N2" s="758"/>
      <c r="O2" s="758"/>
    </row>
    <row r="3" spans="1:17" x14ac:dyDescent="0.3">
      <c r="A3" s="759"/>
      <c r="B3" s="728" t="s">
        <v>1180</v>
      </c>
      <c r="C3" s="758"/>
      <c r="D3" s="758"/>
      <c r="E3" s="758"/>
      <c r="F3" s="758"/>
      <c r="G3" s="758"/>
      <c r="H3" s="758"/>
      <c r="I3" s="758"/>
      <c r="J3" s="758"/>
      <c r="K3" s="758"/>
      <c r="L3" s="758"/>
      <c r="M3" s="758"/>
      <c r="N3" s="758"/>
      <c r="O3" s="758"/>
    </row>
    <row r="4" spans="1:17" x14ac:dyDescent="0.3">
      <c r="A4" s="760"/>
      <c r="B4" s="761" t="s">
        <v>1531</v>
      </c>
      <c r="C4" s="762"/>
      <c r="D4" s="762"/>
      <c r="E4" s="762"/>
      <c r="F4" s="762"/>
      <c r="G4" s="762"/>
      <c r="H4" s="762"/>
      <c r="I4" s="762"/>
      <c r="J4" s="762"/>
      <c r="K4" s="762"/>
      <c r="L4" s="762"/>
      <c r="M4" s="762"/>
      <c r="N4" s="762"/>
      <c r="O4" s="763"/>
      <c r="P4" s="764"/>
      <c r="Q4" s="764"/>
    </row>
    <row r="5" spans="1:17" x14ac:dyDescent="0.3">
      <c r="A5" s="760"/>
      <c r="B5" s="1252" t="s">
        <v>4</v>
      </c>
      <c r="C5" s="1252"/>
      <c r="D5" s="1252"/>
      <c r="E5" s="1252"/>
      <c r="F5" s="1252"/>
      <c r="G5" s="1252"/>
      <c r="H5" s="1252"/>
      <c r="I5" s="1252"/>
      <c r="J5" s="1252"/>
      <c r="K5" s="1252"/>
      <c r="L5" s="1252"/>
      <c r="M5" s="1252"/>
      <c r="N5" s="1252"/>
      <c r="O5" s="1252"/>
      <c r="P5" s="764"/>
      <c r="Q5" s="764"/>
    </row>
    <row r="6" spans="1:17" x14ac:dyDescent="0.3">
      <c r="A6" s="760"/>
      <c r="B6" s="728"/>
      <c r="C6" s="781"/>
      <c r="D6" s="781"/>
      <c r="E6" s="781"/>
      <c r="F6" s="781"/>
      <c r="G6" s="781"/>
      <c r="H6" s="781"/>
      <c r="I6" s="781"/>
      <c r="J6" s="781"/>
      <c r="K6" s="781"/>
      <c r="L6" s="781"/>
      <c r="M6" s="781"/>
      <c r="N6" s="781"/>
      <c r="O6" s="782"/>
      <c r="P6" s="764"/>
      <c r="Q6" s="764"/>
    </row>
    <row r="7" spans="1:17" x14ac:dyDescent="0.3">
      <c r="A7" s="717"/>
      <c r="B7" s="783"/>
      <c r="C7" s="783"/>
      <c r="D7" s="717"/>
      <c r="E7" s="717"/>
      <c r="F7" s="717"/>
      <c r="G7" s="717"/>
      <c r="H7" s="717"/>
      <c r="I7" s="717"/>
      <c r="J7" s="717"/>
      <c r="K7" s="717"/>
      <c r="L7" s="734"/>
      <c r="M7" s="755" t="s">
        <v>1181</v>
      </c>
      <c r="N7" s="767">
        <v>2023</v>
      </c>
      <c r="O7" s="768"/>
      <c r="P7" s="752"/>
      <c r="Q7" s="752"/>
    </row>
    <row r="8" spans="1:17" x14ac:dyDescent="0.3">
      <c r="A8" s="717"/>
      <c r="B8" s="717"/>
      <c r="C8" s="717"/>
      <c r="D8" s="717"/>
      <c r="E8" s="717"/>
      <c r="F8" s="717"/>
      <c r="G8" s="717"/>
      <c r="H8" s="717"/>
      <c r="I8" s="717"/>
      <c r="J8" s="717"/>
      <c r="K8" s="717"/>
      <c r="L8" s="717"/>
      <c r="M8" s="717"/>
      <c r="N8" s="717"/>
      <c r="O8" s="768"/>
      <c r="P8" s="752"/>
      <c r="Q8" s="752"/>
    </row>
    <row r="9" spans="1:17" x14ac:dyDescent="0.3">
      <c r="A9" s="733"/>
      <c r="B9" s="769" t="s">
        <v>1182</v>
      </c>
      <c r="C9" s="769" t="s">
        <v>1183</v>
      </c>
      <c r="D9" s="769" t="s">
        <v>1184</v>
      </c>
      <c r="E9" s="769" t="s">
        <v>1185</v>
      </c>
      <c r="F9" s="769" t="s">
        <v>1186</v>
      </c>
      <c r="G9" s="769" t="s">
        <v>1187</v>
      </c>
      <c r="H9" s="769" t="s">
        <v>1188</v>
      </c>
      <c r="I9" s="769" t="s">
        <v>1189</v>
      </c>
      <c r="J9" s="769" t="s">
        <v>1190</v>
      </c>
      <c r="K9" s="769" t="s">
        <v>1191</v>
      </c>
      <c r="L9" s="769" t="s">
        <v>1192</v>
      </c>
      <c r="M9" s="769" t="s">
        <v>1193</v>
      </c>
      <c r="N9" s="769" t="s">
        <v>1194</v>
      </c>
      <c r="O9" s="770"/>
      <c r="P9" s="771"/>
      <c r="Q9" s="771"/>
    </row>
    <row r="10" spans="1:17" ht="15" thickBot="1" x14ac:dyDescent="0.35">
      <c r="A10" s="717"/>
      <c r="B10" s="733"/>
      <c r="C10" s="733"/>
      <c r="D10" s="733"/>
      <c r="E10" s="733"/>
      <c r="F10" s="733"/>
      <c r="G10" s="733"/>
      <c r="H10" s="733"/>
      <c r="I10" s="733"/>
      <c r="J10" s="733"/>
      <c r="K10" s="733"/>
      <c r="L10" s="733"/>
      <c r="M10" s="733"/>
      <c r="N10" s="733"/>
      <c r="O10" s="770"/>
      <c r="P10" s="770"/>
      <c r="Q10" s="770"/>
    </row>
    <row r="11" spans="1:17" ht="15" thickBot="1" x14ac:dyDescent="0.35">
      <c r="A11" s="717"/>
      <c r="B11" s="733"/>
      <c r="C11" s="733"/>
      <c r="D11" s="772"/>
      <c r="E11" s="772"/>
      <c r="F11" s="772"/>
      <c r="G11" s="772"/>
      <c r="H11" s="772"/>
      <c r="I11" s="772"/>
      <c r="J11" s="808" t="s">
        <v>289</v>
      </c>
      <c r="K11" s="798" t="s">
        <v>1195</v>
      </c>
      <c r="L11" s="773" t="s">
        <v>1291</v>
      </c>
      <c r="M11" s="773" t="s">
        <v>1197</v>
      </c>
      <c r="N11" s="773" t="s">
        <v>1197</v>
      </c>
      <c r="O11" s="770"/>
      <c r="P11" s="770"/>
      <c r="Q11" s="770"/>
    </row>
    <row r="12" spans="1:17" ht="72.75" customHeight="1" thickBot="1" x14ac:dyDescent="0.35">
      <c r="A12" s="774" t="s">
        <v>1198</v>
      </c>
      <c r="B12" s="800" t="s">
        <v>1199</v>
      </c>
      <c r="C12" s="775" t="s">
        <v>1200</v>
      </c>
      <c r="D12" s="776" t="s">
        <v>1201</v>
      </c>
      <c r="E12" s="776" t="s">
        <v>1202</v>
      </c>
      <c r="F12" s="776" t="s">
        <v>1203</v>
      </c>
      <c r="G12" s="776" t="s">
        <v>1204</v>
      </c>
      <c r="H12" s="777" t="s">
        <v>1205</v>
      </c>
      <c r="I12" s="776" t="s">
        <v>1206</v>
      </c>
      <c r="J12" s="776" t="s">
        <v>1207</v>
      </c>
      <c r="K12" s="776" t="s">
        <v>1208</v>
      </c>
      <c r="L12" s="777" t="s">
        <v>1209</v>
      </c>
      <c r="M12" s="776" t="s">
        <v>1210</v>
      </c>
      <c r="N12" s="776" t="s">
        <v>1211</v>
      </c>
      <c r="O12" s="800" t="s">
        <v>8</v>
      </c>
      <c r="P12" s="774" t="s">
        <v>1198</v>
      </c>
      <c r="Q12" s="778"/>
    </row>
    <row r="13" spans="1:17" x14ac:dyDescent="0.3">
      <c r="A13" s="732">
        <v>1</v>
      </c>
      <c r="B13" s="717" t="s">
        <v>1212</v>
      </c>
      <c r="C13" s="739"/>
      <c r="D13" s="717"/>
      <c r="E13" s="717"/>
      <c r="F13" s="717"/>
      <c r="G13" s="717"/>
      <c r="H13" s="717"/>
      <c r="I13" s="717"/>
      <c r="J13" s="717"/>
      <c r="K13" s="717"/>
      <c r="L13" s="717"/>
      <c r="M13" s="717"/>
      <c r="N13" s="717"/>
      <c r="O13" s="744"/>
      <c r="P13" s="732">
        <v>1</v>
      </c>
      <c r="Q13" s="752"/>
    </row>
    <row r="14" spans="1:17" x14ac:dyDescent="0.3">
      <c r="A14" s="732">
        <f t="shared" ref="A14:A44" si="0">+A13+1</f>
        <v>2</v>
      </c>
      <c r="B14" s="717" t="s">
        <v>1213</v>
      </c>
      <c r="C14" s="732"/>
      <c r="D14" s="717"/>
      <c r="E14" s="717"/>
      <c r="F14" s="722"/>
      <c r="G14" s="722"/>
      <c r="H14" s="722"/>
      <c r="I14" s="722"/>
      <c r="J14" s="717"/>
      <c r="K14" s="717"/>
      <c r="L14" s="717"/>
      <c r="M14" s="717"/>
      <c r="N14" s="717"/>
      <c r="O14" s="733"/>
      <c r="P14" s="732">
        <f t="shared" ref="P14:P44" si="1">+P13+1</f>
        <v>2</v>
      </c>
      <c r="Q14" s="752"/>
    </row>
    <row r="15" spans="1:17" x14ac:dyDescent="0.3">
      <c r="A15" s="732">
        <f t="shared" si="0"/>
        <v>3</v>
      </c>
      <c r="B15" s="717" t="s">
        <v>1214</v>
      </c>
      <c r="C15" s="732">
        <v>190</v>
      </c>
      <c r="D15" s="717">
        <f>'Order 864-1'!M15</f>
        <v>0</v>
      </c>
      <c r="E15" s="717">
        <f>'Order 864-1'!N15</f>
        <v>0</v>
      </c>
      <c r="F15" s="722"/>
      <c r="G15" s="722"/>
      <c r="H15" s="722"/>
      <c r="I15" s="722"/>
      <c r="J15" s="717">
        <f>'Order 864-1'!J15+H15+I15</f>
        <v>-121.75572065244999</v>
      </c>
      <c r="K15" s="717">
        <f t="shared" ref="K15:K17" si="2">SUM(D15:I15)</f>
        <v>0</v>
      </c>
      <c r="L15" s="717">
        <f>'Order 864-4'!I21</f>
        <v>0</v>
      </c>
      <c r="M15" s="717">
        <f>IF(SUM($K$15:$L$17)&lt;0,0,SUM($K15:$L15))</f>
        <v>0</v>
      </c>
      <c r="N15" s="717">
        <f>IF(SUM($K$15:$L$17)&lt;0,SUM($K15:$L15),0)</f>
        <v>0</v>
      </c>
      <c r="O15" s="733" t="s">
        <v>289</v>
      </c>
      <c r="P15" s="732">
        <f t="shared" si="1"/>
        <v>3</v>
      </c>
      <c r="Q15" s="752"/>
    </row>
    <row r="16" spans="1:17" x14ac:dyDescent="0.3">
      <c r="A16" s="732">
        <f t="shared" si="0"/>
        <v>4</v>
      </c>
      <c r="B16" s="717" t="s">
        <v>1215</v>
      </c>
      <c r="C16" s="732">
        <v>190</v>
      </c>
      <c r="D16" s="717">
        <f>'Order 864-1'!M16</f>
        <v>0</v>
      </c>
      <c r="E16" s="717">
        <f>'Order 864-1'!N16</f>
        <v>0</v>
      </c>
      <c r="F16" s="722"/>
      <c r="G16" s="722"/>
      <c r="H16" s="722"/>
      <c r="I16" s="722"/>
      <c r="J16" s="717">
        <f>'Order 864-1'!J16+H16+I16</f>
        <v>-67.238548636628707</v>
      </c>
      <c r="K16" s="717">
        <f t="shared" si="2"/>
        <v>0</v>
      </c>
      <c r="L16" s="717">
        <f>'Order 864-4'!I23</f>
        <v>0</v>
      </c>
      <c r="M16" s="717">
        <f>IF(SUM($K$15:$L$17)&lt;0,0,SUM($K16:$L16))</f>
        <v>0</v>
      </c>
      <c r="N16" s="717">
        <f>IF(SUM($K$15:$L$17)&lt;0,SUM($K16:$L16),0)</f>
        <v>0</v>
      </c>
      <c r="O16" s="733" t="s">
        <v>289</v>
      </c>
      <c r="P16" s="732">
        <f t="shared" si="1"/>
        <v>4</v>
      </c>
      <c r="Q16" s="752"/>
    </row>
    <row r="17" spans="1:17" x14ac:dyDescent="0.3">
      <c r="A17" s="732">
        <f t="shared" si="0"/>
        <v>5</v>
      </c>
      <c r="B17" s="717" t="s">
        <v>1216</v>
      </c>
      <c r="C17" s="732">
        <v>190</v>
      </c>
      <c r="D17" s="717">
        <f>'Order 864-1'!M17</f>
        <v>0</v>
      </c>
      <c r="E17" s="717">
        <f>'Order 864-1'!N17</f>
        <v>0</v>
      </c>
      <c r="F17" s="722"/>
      <c r="G17" s="722"/>
      <c r="H17" s="722"/>
      <c r="I17" s="722"/>
      <c r="J17" s="717">
        <f>'Order 864-1'!J17+H17+I17</f>
        <v>-214.4</v>
      </c>
      <c r="K17" s="717">
        <f t="shared" si="2"/>
        <v>0</v>
      </c>
      <c r="L17" s="717">
        <f>'Order 864-4'!I26</f>
        <v>0</v>
      </c>
      <c r="M17" s="717">
        <f>IF(SUM($K$15:$L$17)&lt;0,0,SUM($K17:$L17))</f>
        <v>0</v>
      </c>
      <c r="N17" s="717">
        <f>IF(SUM($K$15:$L$17)&lt;0,SUM($K17:$L17),0)</f>
        <v>0</v>
      </c>
      <c r="O17" s="733" t="s">
        <v>289</v>
      </c>
      <c r="P17" s="732">
        <f t="shared" si="1"/>
        <v>5</v>
      </c>
      <c r="Q17" s="752"/>
    </row>
    <row r="18" spans="1:17" x14ac:dyDescent="0.3">
      <c r="A18" s="732">
        <f t="shared" si="0"/>
        <v>6</v>
      </c>
      <c r="B18" s="717" t="s">
        <v>1217</v>
      </c>
      <c r="C18" s="732"/>
      <c r="D18" s="717"/>
      <c r="E18" s="717"/>
      <c r="F18" s="722"/>
      <c r="G18" s="722"/>
      <c r="H18" s="722"/>
      <c r="I18" s="722"/>
      <c r="J18" s="717">
        <f>'Order 864-1'!J18+H18+I18</f>
        <v>0</v>
      </c>
      <c r="K18" s="717"/>
      <c r="L18" s="717"/>
      <c r="M18" s="717"/>
      <c r="N18" s="717"/>
      <c r="O18" s="733"/>
      <c r="P18" s="732">
        <f t="shared" si="1"/>
        <v>6</v>
      </c>
      <c r="Q18" s="752"/>
    </row>
    <row r="19" spans="1:17" x14ac:dyDescent="0.3">
      <c r="A19" s="732">
        <f t="shared" si="0"/>
        <v>7</v>
      </c>
      <c r="B19" s="717" t="s">
        <v>1218</v>
      </c>
      <c r="C19" s="732">
        <v>190</v>
      </c>
      <c r="D19" s="717">
        <f>'Order 864-1'!M19</f>
        <v>0</v>
      </c>
      <c r="E19" s="717">
        <f>'Order 864-1'!N19</f>
        <v>0</v>
      </c>
      <c r="F19" s="722"/>
      <c r="G19" s="722"/>
      <c r="H19" s="722"/>
      <c r="I19" s="722"/>
      <c r="J19" s="717">
        <f>'Order 864-1'!J19+H19+I19</f>
        <v>-555.29460583790205</v>
      </c>
      <c r="K19" s="717">
        <f t="shared" ref="K19" si="3">SUM(D19:I19)</f>
        <v>0</v>
      </c>
      <c r="L19" s="717">
        <f>'Order 864-4'!I23</f>
        <v>0</v>
      </c>
      <c r="M19" s="717">
        <f>IF(SUM($K$19:$L$19)&lt;0,0,SUM($K19:$L19))</f>
        <v>0</v>
      </c>
      <c r="N19" s="717">
        <f>IF(SUM($K$19:$L$19)&lt;0,SUM($K19:$L19),0)</f>
        <v>0</v>
      </c>
      <c r="O19" s="733" t="s">
        <v>289</v>
      </c>
      <c r="P19" s="732">
        <f t="shared" si="1"/>
        <v>7</v>
      </c>
      <c r="Q19" s="752"/>
    </row>
    <row r="20" spans="1:17" x14ac:dyDescent="0.3">
      <c r="A20" s="732">
        <f t="shared" si="0"/>
        <v>8</v>
      </c>
      <c r="B20" s="717" t="s">
        <v>1219</v>
      </c>
      <c r="C20" s="732"/>
      <c r="D20" s="717"/>
      <c r="E20" s="717"/>
      <c r="F20" s="722"/>
      <c r="G20" s="722"/>
      <c r="H20" s="722"/>
      <c r="I20" s="722"/>
      <c r="J20" s="717">
        <f>'Order 864-1'!J20+H20+I20</f>
        <v>0</v>
      </c>
      <c r="K20" s="717"/>
      <c r="L20" s="717"/>
      <c r="M20" s="717"/>
      <c r="N20" s="717"/>
      <c r="O20" s="733"/>
      <c r="P20" s="732">
        <f t="shared" si="1"/>
        <v>8</v>
      </c>
      <c r="Q20" s="752"/>
    </row>
    <row r="21" spans="1:17" x14ac:dyDescent="0.3">
      <c r="A21" s="732">
        <f t="shared" si="0"/>
        <v>9</v>
      </c>
      <c r="B21" s="717" t="s">
        <v>1220</v>
      </c>
      <c r="C21" s="732">
        <v>283</v>
      </c>
      <c r="D21" s="717">
        <f>'Order 864-1'!M21</f>
        <v>0</v>
      </c>
      <c r="E21" s="717">
        <f>'Order 864-1'!N21</f>
        <v>0</v>
      </c>
      <c r="F21" s="722"/>
      <c r="G21" s="722"/>
      <c r="H21" s="722"/>
      <c r="I21" s="722"/>
      <c r="J21" s="717">
        <f>'Order 864-1'!J21+H21+I21</f>
        <v>-21828.386489952001</v>
      </c>
      <c r="K21" s="717">
        <f t="shared" ref="K21:K22" si="4">SUM(D21:I21)</f>
        <v>0</v>
      </c>
      <c r="L21" s="717">
        <f>'Order 864-4'!I26</f>
        <v>0</v>
      </c>
      <c r="M21" s="717">
        <f>IF(SUM($K$21:$L$22)&lt;0,0,SUM($K21:$L21))</f>
        <v>0</v>
      </c>
      <c r="N21" s="717">
        <f>IF(SUM($K$21:$L$22)&lt;0,SUM($K21:$L21),0)</f>
        <v>0</v>
      </c>
      <c r="O21" s="733" t="s">
        <v>289</v>
      </c>
      <c r="P21" s="732">
        <f t="shared" si="1"/>
        <v>9</v>
      </c>
      <c r="Q21" s="752"/>
    </row>
    <row r="22" spans="1:17" x14ac:dyDescent="0.3">
      <c r="A22" s="732">
        <f t="shared" si="0"/>
        <v>10</v>
      </c>
      <c r="B22" s="717" t="s">
        <v>1221</v>
      </c>
      <c r="C22" s="732">
        <v>283</v>
      </c>
      <c r="D22" s="717">
        <f>'Order 864-1'!M22</f>
        <v>0</v>
      </c>
      <c r="E22" s="717">
        <f>'Order 864-1'!N22</f>
        <v>0</v>
      </c>
      <c r="F22" s="722"/>
      <c r="G22" s="722"/>
      <c r="H22" s="722"/>
      <c r="I22" s="722"/>
      <c r="J22" s="717">
        <f>'Order 864-1'!J22+H22+I22</f>
        <v>24387.763684080001</v>
      </c>
      <c r="K22" s="717">
        <f t="shared" si="4"/>
        <v>0</v>
      </c>
      <c r="L22" s="717">
        <f>'Order 864-4'!I27</f>
        <v>0</v>
      </c>
      <c r="M22" s="717">
        <f>IF(SUM($K$21:$L$22)&lt;0,0,SUM($K22:$L22))</f>
        <v>0</v>
      </c>
      <c r="N22" s="717">
        <f>IF(SUM($K$21:$L$22)&lt;0,SUM($K22:$L22),0)</f>
        <v>0</v>
      </c>
      <c r="O22" s="733" t="s">
        <v>289</v>
      </c>
      <c r="P22" s="732">
        <f t="shared" si="1"/>
        <v>10</v>
      </c>
      <c r="Q22" s="752"/>
    </row>
    <row r="23" spans="1:17" x14ac:dyDescent="0.3">
      <c r="A23" s="732">
        <f t="shared" si="0"/>
        <v>11</v>
      </c>
      <c r="B23" s="733"/>
      <c r="C23" s="734"/>
      <c r="D23" s="784"/>
      <c r="E23" s="784"/>
      <c r="F23" s="784"/>
      <c r="G23" s="784"/>
      <c r="H23" s="784"/>
      <c r="I23" s="784"/>
      <c r="J23" s="784"/>
      <c r="K23" s="784"/>
      <c r="L23" s="784"/>
      <c r="M23" s="784"/>
      <c r="N23" s="784"/>
      <c r="O23" s="717"/>
      <c r="P23" s="732">
        <f t="shared" si="1"/>
        <v>11</v>
      </c>
      <c r="Q23" s="752"/>
    </row>
    <row r="24" spans="1:17" ht="15" thickBot="1" x14ac:dyDescent="0.35">
      <c r="A24" s="732">
        <f t="shared" si="0"/>
        <v>12</v>
      </c>
      <c r="B24" s="733" t="s">
        <v>1222</v>
      </c>
      <c r="C24" s="765"/>
      <c r="D24" s="715">
        <f>SUM(D14:D22)</f>
        <v>0</v>
      </c>
      <c r="E24" s="715">
        <f t="shared" ref="E24:L24" si="5">SUM(E14:E22)</f>
        <v>0</v>
      </c>
      <c r="F24" s="715">
        <f t="shared" si="5"/>
        <v>0</v>
      </c>
      <c r="G24" s="715">
        <f t="shared" si="5"/>
        <v>0</v>
      </c>
      <c r="H24" s="715">
        <f t="shared" si="5"/>
        <v>0</v>
      </c>
      <c r="I24" s="715">
        <f t="shared" si="5"/>
        <v>0</v>
      </c>
      <c r="J24" s="715">
        <f t="shared" ref="J24" si="6">SUM(J14:J22)</f>
        <v>1600.6883190010194</v>
      </c>
      <c r="K24" s="715">
        <f t="shared" si="5"/>
        <v>0</v>
      </c>
      <c r="L24" s="715">
        <f t="shared" si="5"/>
        <v>0</v>
      </c>
      <c r="M24" s="715">
        <f t="shared" ref="M24:N24" si="7">SUM(M14:M22)</f>
        <v>0</v>
      </c>
      <c r="N24" s="715">
        <f t="shared" si="7"/>
        <v>0</v>
      </c>
      <c r="O24" s="733" t="s">
        <v>1223</v>
      </c>
      <c r="P24" s="732">
        <f t="shared" si="1"/>
        <v>12</v>
      </c>
      <c r="Q24" s="752"/>
    </row>
    <row r="25" spans="1:17" ht="15" thickTop="1" x14ac:dyDescent="0.3">
      <c r="A25" s="732">
        <f t="shared" si="0"/>
        <v>13</v>
      </c>
      <c r="B25" s="717"/>
      <c r="C25" s="717"/>
      <c r="D25" s="737"/>
      <c r="E25" s="737"/>
      <c r="F25" s="737"/>
      <c r="G25" s="737"/>
      <c r="H25" s="737"/>
      <c r="I25" s="737"/>
      <c r="J25" s="737"/>
      <c r="K25" s="737"/>
      <c r="L25" s="737"/>
      <c r="M25" s="737"/>
      <c r="N25" s="737"/>
      <c r="O25" s="717"/>
      <c r="P25" s="732">
        <f t="shared" si="1"/>
        <v>13</v>
      </c>
      <c r="Q25" s="752"/>
    </row>
    <row r="26" spans="1:17" x14ac:dyDescent="0.3">
      <c r="A26" s="732">
        <f t="shared" si="0"/>
        <v>14</v>
      </c>
      <c r="B26" s="717" t="s">
        <v>1224</v>
      </c>
      <c r="C26" s="738"/>
      <c r="D26" s="737"/>
      <c r="E26" s="737"/>
      <c r="F26" s="737"/>
      <c r="G26" s="737"/>
      <c r="H26" s="737"/>
      <c r="I26" s="737"/>
      <c r="J26" s="737"/>
      <c r="K26" s="737"/>
      <c r="L26" s="737"/>
      <c r="M26" s="737"/>
      <c r="N26" s="737"/>
      <c r="O26" s="717"/>
      <c r="P26" s="732">
        <f t="shared" si="1"/>
        <v>14</v>
      </c>
      <c r="Q26" s="752"/>
    </row>
    <row r="27" spans="1:17" x14ac:dyDescent="0.3">
      <c r="A27" s="732">
        <f t="shared" si="0"/>
        <v>15</v>
      </c>
      <c r="B27" s="717" t="s">
        <v>1225</v>
      </c>
      <c r="C27" s="732">
        <v>190</v>
      </c>
      <c r="D27" s="717">
        <f>'Order 864-1'!M27</f>
        <v>103895.54690487018</v>
      </c>
      <c r="E27" s="717">
        <f>'Order 864-1'!N27</f>
        <v>0</v>
      </c>
      <c r="F27" s="722">
        <v>0.90138205020686579</v>
      </c>
      <c r="G27" s="722"/>
      <c r="H27" s="722">
        <v>-1514.1074670462056</v>
      </c>
      <c r="I27" s="722"/>
      <c r="J27" s="717">
        <f>'Order 864-1'!J27+F27+H27+I27</f>
        <v>-8076.7681258620214</v>
      </c>
      <c r="K27" s="717">
        <f>SUM(D27:I27)</f>
        <v>102382.34081987417</v>
      </c>
      <c r="L27" s="717">
        <f>'Order 864-4'!I30</f>
        <v>0</v>
      </c>
      <c r="M27" s="717">
        <f>IF(SUM($K$27:$L$27)&lt;0,0,SUM($K27:$L27))</f>
        <v>102382.34081987417</v>
      </c>
      <c r="N27" s="717">
        <f>IF(SUM($K$27:$L$27)&lt;0,SUM($K27:$L27),0)</f>
        <v>0</v>
      </c>
      <c r="O27" s="733" t="s">
        <v>289</v>
      </c>
      <c r="P27" s="732">
        <f t="shared" si="1"/>
        <v>15</v>
      </c>
      <c r="Q27" s="752"/>
    </row>
    <row r="28" spans="1:17" x14ac:dyDescent="0.3">
      <c r="A28" s="732">
        <f t="shared" si="0"/>
        <v>16</v>
      </c>
      <c r="B28" s="717" t="s">
        <v>1226</v>
      </c>
      <c r="C28" s="732"/>
      <c r="D28" s="717"/>
      <c r="E28" s="717"/>
      <c r="F28" s="722"/>
      <c r="G28" s="722"/>
      <c r="H28" s="722"/>
      <c r="I28" s="722"/>
      <c r="J28" s="717">
        <f>'Order 864-1'!J28+H28+I28</f>
        <v>0</v>
      </c>
      <c r="K28" s="717"/>
      <c r="L28" s="717"/>
      <c r="M28" s="717"/>
      <c r="N28" s="717"/>
      <c r="O28" s="733"/>
      <c r="P28" s="732">
        <f t="shared" si="1"/>
        <v>16</v>
      </c>
      <c r="Q28" s="752"/>
    </row>
    <row r="29" spans="1:17" x14ac:dyDescent="0.3">
      <c r="A29" s="732">
        <f t="shared" si="0"/>
        <v>17</v>
      </c>
      <c r="B29" s="717" t="s">
        <v>1227</v>
      </c>
      <c r="C29" s="732">
        <v>282</v>
      </c>
      <c r="D29" s="717">
        <f>'Order 864-1'!M29</f>
        <v>0</v>
      </c>
      <c r="E29" s="717">
        <f>'Order 864-1'!N29</f>
        <v>-372692.10873469402</v>
      </c>
      <c r="F29" s="722"/>
      <c r="G29" s="722">
        <v>-2.2720399999339134</v>
      </c>
      <c r="H29" s="722"/>
      <c r="I29" s="722">
        <v>5608.7849830611513</v>
      </c>
      <c r="J29" s="717">
        <f>'Order 864-1'!J29+H29+I29</f>
        <v>28636.96241348785</v>
      </c>
      <c r="K29" s="717">
        <f t="shared" ref="K29" si="8">SUM(D29:I29)</f>
        <v>-367085.59579163283</v>
      </c>
      <c r="L29" s="717">
        <f>'Order 864-4'!I34</f>
        <v>0</v>
      </c>
      <c r="M29" s="717">
        <f>IF(SUM($K$29:$L$30)&lt;0,0,SUM($K29:$L29))</f>
        <v>0</v>
      </c>
      <c r="N29" s="717">
        <f>IF(SUM($K$29:$L$30)&lt;0,SUM($K29:$L29),0)</f>
        <v>-367085.59579163283</v>
      </c>
      <c r="O29" s="733" t="s">
        <v>289</v>
      </c>
      <c r="P29" s="732">
        <f t="shared" si="1"/>
        <v>17</v>
      </c>
      <c r="Q29" s="752"/>
    </row>
    <row r="30" spans="1:17" x14ac:dyDescent="0.3">
      <c r="A30" s="732">
        <f t="shared" si="0"/>
        <v>18</v>
      </c>
      <c r="B30" s="717" t="s">
        <v>1228</v>
      </c>
      <c r="C30" s="732">
        <v>282</v>
      </c>
      <c r="D30" s="717">
        <f>'Order 864-1'!M30</f>
        <v>0</v>
      </c>
      <c r="E30" s="717">
        <f>'Order 864-1'!N30</f>
        <v>6737.1819999999998</v>
      </c>
      <c r="F30" s="722"/>
      <c r="G30" s="722">
        <v>-1.2999999944440788E-4</v>
      </c>
      <c r="H30" s="722"/>
      <c r="I30" s="722">
        <v>-878.60697000000073</v>
      </c>
      <c r="J30" s="717">
        <f>'Order 864-1'!J30+H30+I30</f>
        <v>-6157.067970000001</v>
      </c>
      <c r="K30" s="717">
        <f>SUM(D30:I30)</f>
        <v>5858.5748999999996</v>
      </c>
      <c r="L30" s="717">
        <f>'Order 864-4'!I36</f>
        <v>0</v>
      </c>
      <c r="M30" s="717">
        <f>IF(SUM($K$29:$L$30)&lt;0,0,SUM($K30:$L30))</f>
        <v>0</v>
      </c>
      <c r="N30" s="717">
        <f>IF(SUM($K$29:$L$30)&lt;0,SUM($K30:$L30),0)</f>
        <v>5858.5748999999996</v>
      </c>
      <c r="O30" s="733" t="s">
        <v>289</v>
      </c>
      <c r="P30" s="732">
        <f t="shared" si="1"/>
        <v>18</v>
      </c>
      <c r="Q30" s="752"/>
    </row>
    <row r="31" spans="1:17" x14ac:dyDescent="0.3">
      <c r="A31" s="732">
        <f t="shared" si="0"/>
        <v>19</v>
      </c>
      <c r="B31" s="733" t="s">
        <v>1229</v>
      </c>
      <c r="C31" s="766"/>
      <c r="D31" s="725">
        <f t="shared" ref="D31:N31" si="9">SUM(D27:D30)</f>
        <v>103895.54690487018</v>
      </c>
      <c r="E31" s="725">
        <f t="shared" si="9"/>
        <v>-365954.92673469405</v>
      </c>
      <c r="F31" s="725">
        <f t="shared" si="9"/>
        <v>0.90138205020686579</v>
      </c>
      <c r="G31" s="725">
        <f t="shared" si="9"/>
        <v>-2.2721699999333578</v>
      </c>
      <c r="H31" s="725">
        <f t="shared" si="9"/>
        <v>-1514.1074670462056</v>
      </c>
      <c r="I31" s="725">
        <f t="shared" si="9"/>
        <v>4730.1780130611505</v>
      </c>
      <c r="J31" s="725">
        <f t="shared" si="9"/>
        <v>14403.126317625829</v>
      </c>
      <c r="K31" s="725">
        <f t="shared" si="9"/>
        <v>-258844.68007175869</v>
      </c>
      <c r="L31" s="725">
        <f t="shared" si="9"/>
        <v>0</v>
      </c>
      <c r="M31" s="725">
        <f t="shared" si="9"/>
        <v>102382.34081987417</v>
      </c>
      <c r="N31" s="725">
        <f t="shared" si="9"/>
        <v>-361227.02089163283</v>
      </c>
      <c r="O31" s="733" t="s">
        <v>1230</v>
      </c>
      <c r="P31" s="732">
        <f t="shared" si="1"/>
        <v>19</v>
      </c>
      <c r="Q31" s="752"/>
    </row>
    <row r="32" spans="1:17" x14ac:dyDescent="0.3">
      <c r="A32" s="732">
        <f t="shared" si="0"/>
        <v>20</v>
      </c>
      <c r="B32" s="717"/>
      <c r="C32" s="734"/>
      <c r="D32" s="717"/>
      <c r="E32" s="717"/>
      <c r="F32" s="717"/>
      <c r="G32" s="717"/>
      <c r="H32" s="717"/>
      <c r="I32" s="717"/>
      <c r="J32" s="717"/>
      <c r="K32" s="717"/>
      <c r="L32" s="717"/>
      <c r="M32" s="717"/>
      <c r="N32" s="717"/>
      <c r="O32" s="717"/>
      <c r="P32" s="732">
        <f t="shared" si="1"/>
        <v>20</v>
      </c>
      <c r="Q32" s="752"/>
    </row>
    <row r="33" spans="1:17" x14ac:dyDescent="0.3">
      <c r="A33" s="732">
        <f t="shared" si="0"/>
        <v>21</v>
      </c>
      <c r="B33" s="717" t="s">
        <v>1231</v>
      </c>
      <c r="C33" s="739"/>
      <c r="D33" s="717"/>
      <c r="E33" s="717"/>
      <c r="F33" s="717"/>
      <c r="G33" s="717"/>
      <c r="H33" s="717"/>
      <c r="I33" s="717"/>
      <c r="J33" s="717"/>
      <c r="K33" s="717"/>
      <c r="L33" s="717"/>
      <c r="M33" s="717"/>
      <c r="N33" s="717"/>
      <c r="O33" s="717"/>
      <c r="P33" s="732">
        <f t="shared" si="1"/>
        <v>21</v>
      </c>
      <c r="Q33" s="752"/>
    </row>
    <row r="34" spans="1:17" x14ac:dyDescent="0.3">
      <c r="A34" s="732">
        <f t="shared" si="0"/>
        <v>22</v>
      </c>
      <c r="B34" s="717" t="s">
        <v>1232</v>
      </c>
      <c r="C34" s="732">
        <v>282</v>
      </c>
      <c r="D34" s="717">
        <f>'Order 864-1'!M34</f>
        <v>0</v>
      </c>
      <c r="E34" s="717">
        <f>'Order 864-1'!N34</f>
        <v>-11886.480999999998</v>
      </c>
      <c r="F34" s="722"/>
      <c r="G34" s="722">
        <v>-6.7990000001373119E-2</v>
      </c>
      <c r="H34" s="722"/>
      <c r="I34" s="722">
        <v>269.07151999999951</v>
      </c>
      <c r="J34" s="717">
        <f>'Order 864-1'!J34+H34+I34</f>
        <v>1588.2458836363603</v>
      </c>
      <c r="K34" s="717">
        <f t="shared" ref="K34:K36" si="10">SUM(D34:I34)</f>
        <v>-11617.47747</v>
      </c>
      <c r="L34" s="717">
        <f>'Order 864-4'!I37</f>
        <v>0</v>
      </c>
      <c r="M34" s="717">
        <f>IF(SUM($K$34:$L$34)&lt;0,0,SUM($K34:$L34))</f>
        <v>0</v>
      </c>
      <c r="N34" s="717">
        <f>IF(SUM($K$34:$L$34)&lt;0,SUM($K34:$L34),0)</f>
        <v>-11617.47747</v>
      </c>
      <c r="O34" s="733" t="s">
        <v>289</v>
      </c>
      <c r="P34" s="732">
        <f t="shared" si="1"/>
        <v>22</v>
      </c>
      <c r="Q34" s="752"/>
    </row>
    <row r="35" spans="1:17" x14ac:dyDescent="0.3">
      <c r="A35" s="732">
        <f t="shared" si="0"/>
        <v>23</v>
      </c>
      <c r="B35" s="717" t="s">
        <v>1233</v>
      </c>
      <c r="C35" s="732">
        <v>282</v>
      </c>
      <c r="D35" s="717">
        <f>'Order 864-1'!M35</f>
        <v>0</v>
      </c>
      <c r="E35" s="717">
        <f>'Order 864-1'!N35</f>
        <v>-31184.416999999998</v>
      </c>
      <c r="F35" s="722"/>
      <c r="G35" s="722">
        <v>-0.16733000000022002</v>
      </c>
      <c r="H35" s="722"/>
      <c r="I35" s="722">
        <v>970.71198999999979</v>
      </c>
      <c r="J35" s="717">
        <f>'Order 864-1'!J35+H35+I35</f>
        <v>8448.7112627272691</v>
      </c>
      <c r="K35" s="717">
        <f t="shared" si="10"/>
        <v>-30213.872339999998</v>
      </c>
      <c r="L35" s="717">
        <f>'Order 864-4'!I38</f>
        <v>0</v>
      </c>
      <c r="M35" s="717">
        <f>IF(SUM($K$35:$L$35)&lt;0,0,SUM($K35:$L35))</f>
        <v>0</v>
      </c>
      <c r="N35" s="717">
        <f>IF(SUM($K$35:$L$35)&lt;0,SUM($K35:$L35),0)</f>
        <v>-30213.872339999998</v>
      </c>
      <c r="O35" s="733" t="s">
        <v>289</v>
      </c>
      <c r="P35" s="732">
        <f t="shared" si="1"/>
        <v>23</v>
      </c>
      <c r="Q35" s="752"/>
    </row>
    <row r="36" spans="1:17" x14ac:dyDescent="0.3">
      <c r="A36" s="732">
        <f t="shared" si="0"/>
        <v>24</v>
      </c>
      <c r="B36" s="717" t="s">
        <v>1234</v>
      </c>
      <c r="C36" s="740">
        <v>282</v>
      </c>
      <c r="D36" s="717">
        <f>'Order 864-1'!M36</f>
        <v>13313.875902532822</v>
      </c>
      <c r="E36" s="717">
        <f>'Order 864-1'!N36</f>
        <v>0</v>
      </c>
      <c r="F36" s="722">
        <v>512.6372495318185</v>
      </c>
      <c r="G36" s="722"/>
      <c r="H36" s="722">
        <v>-239.16859536159149</v>
      </c>
      <c r="I36" s="722"/>
      <c r="J36" s="717">
        <f>'Order 864-1'!J36+H36+I36</f>
        <v>207.2711322649298</v>
      </c>
      <c r="K36" s="717">
        <f t="shared" si="10"/>
        <v>13587.34455670305</v>
      </c>
      <c r="L36" s="717">
        <f>'Order 864-4'!I39</f>
        <v>0</v>
      </c>
      <c r="M36" s="717">
        <f>IF(SUM($K$36:$L$36)&lt;0,0,SUM($K36:$L36))</f>
        <v>13587.34455670305</v>
      </c>
      <c r="N36" s="717">
        <f>IF(SUM($K$36:$L$36)&lt;0,SUM($K36:$L36),0)</f>
        <v>0</v>
      </c>
      <c r="O36" s="733" t="s">
        <v>289</v>
      </c>
      <c r="P36" s="732">
        <f t="shared" si="1"/>
        <v>24</v>
      </c>
      <c r="Q36" s="752"/>
    </row>
    <row r="37" spans="1:17" x14ac:dyDescent="0.3">
      <c r="A37" s="732">
        <f t="shared" si="0"/>
        <v>25</v>
      </c>
      <c r="B37" s="733" t="s">
        <v>1229</v>
      </c>
      <c r="C37" s="766"/>
      <c r="D37" s="725">
        <f t="shared" ref="D37:L37" si="11">SUM(D34:D36)</f>
        <v>13313.875902532822</v>
      </c>
      <c r="E37" s="725">
        <f t="shared" si="11"/>
        <v>-43070.897999999994</v>
      </c>
      <c r="F37" s="725">
        <f t="shared" si="11"/>
        <v>512.6372495318185</v>
      </c>
      <c r="G37" s="725">
        <f t="shared" si="11"/>
        <v>-0.23532000000159314</v>
      </c>
      <c r="H37" s="725">
        <f t="shared" si="11"/>
        <v>-239.16859536159149</v>
      </c>
      <c r="I37" s="725">
        <f t="shared" si="11"/>
        <v>1239.7835099999993</v>
      </c>
      <c r="J37" s="725">
        <f t="shared" ref="J37" si="12">SUM(J34:J36)</f>
        <v>10244.22827862856</v>
      </c>
      <c r="K37" s="725">
        <f t="shared" si="11"/>
        <v>-28244.005253296949</v>
      </c>
      <c r="L37" s="725">
        <f t="shared" si="11"/>
        <v>0</v>
      </c>
      <c r="M37" s="725">
        <f>SUM(M34:M36)</f>
        <v>13587.34455670305</v>
      </c>
      <c r="N37" s="725">
        <f>SUM(N34:N36)</f>
        <v>-41831.34981</v>
      </c>
      <c r="O37" s="733" t="s">
        <v>1235</v>
      </c>
      <c r="P37" s="732">
        <f t="shared" si="1"/>
        <v>25</v>
      </c>
      <c r="Q37" s="752"/>
    </row>
    <row r="38" spans="1:17" x14ac:dyDescent="0.3">
      <c r="A38" s="732">
        <f t="shared" si="0"/>
        <v>26</v>
      </c>
      <c r="B38" s="717"/>
      <c r="C38" s="734"/>
      <c r="D38" s="735"/>
      <c r="E38" s="735"/>
      <c r="F38" s="735"/>
      <c r="G38" s="735"/>
      <c r="H38" s="735"/>
      <c r="I38" s="735"/>
      <c r="J38" s="735"/>
      <c r="K38" s="735"/>
      <c r="L38" s="735"/>
      <c r="M38" s="735"/>
      <c r="N38" s="735"/>
      <c r="O38" s="717"/>
      <c r="P38" s="732">
        <f t="shared" si="1"/>
        <v>26</v>
      </c>
      <c r="Q38" s="752"/>
    </row>
    <row r="39" spans="1:17" x14ac:dyDescent="0.3">
      <c r="A39" s="732">
        <f t="shared" si="0"/>
        <v>27</v>
      </c>
      <c r="B39" s="717" t="s">
        <v>1231</v>
      </c>
      <c r="C39" s="734"/>
      <c r="D39" s="737"/>
      <c r="E39" s="737"/>
      <c r="F39" s="737"/>
      <c r="G39" s="737"/>
      <c r="H39" s="737"/>
      <c r="I39" s="737"/>
      <c r="J39" s="737"/>
      <c r="K39" s="737"/>
      <c r="L39" s="737"/>
      <c r="M39" s="737"/>
      <c r="N39" s="737"/>
      <c r="O39" s="717"/>
      <c r="P39" s="732">
        <f t="shared" si="1"/>
        <v>27</v>
      </c>
      <c r="Q39" s="752"/>
    </row>
    <row r="40" spans="1:17" x14ac:dyDescent="0.3">
      <c r="A40" s="732">
        <f t="shared" si="0"/>
        <v>28</v>
      </c>
      <c r="B40" s="717" t="s">
        <v>1236</v>
      </c>
      <c r="C40" s="740">
        <v>282</v>
      </c>
      <c r="D40" s="751">
        <f>'Order 864-1'!M40</f>
        <v>38052.302119052831</v>
      </c>
      <c r="E40" s="751">
        <f>'Order 864-1'!N40</f>
        <v>0</v>
      </c>
      <c r="F40" s="785">
        <v>-527.88322231766836</v>
      </c>
      <c r="G40" s="785"/>
      <c r="H40" s="785">
        <v>-546.85222120492688</v>
      </c>
      <c r="I40" s="785"/>
      <c r="J40" s="717">
        <f>'Order 864-1'!J40+H40+I40</f>
        <v>-2929.0259505396548</v>
      </c>
      <c r="K40" s="717">
        <f t="shared" ref="K40" si="13">SUM(D40:I40)</f>
        <v>36977.566675530237</v>
      </c>
      <c r="L40" s="717">
        <f>'Order 864-4'!I43</f>
        <v>0</v>
      </c>
      <c r="M40" s="717">
        <f>IF(SUM($K$40:$L$40)&lt;0,0,SUM($K40:$L40))</f>
        <v>36977.566675530237</v>
      </c>
      <c r="N40" s="717">
        <f>IF(SUM($K$40:$L$40)&lt;0,SUM($K40:$L40),0)</f>
        <v>0</v>
      </c>
      <c r="O40" s="733" t="s">
        <v>289</v>
      </c>
      <c r="P40" s="732">
        <f t="shared" si="1"/>
        <v>28</v>
      </c>
      <c r="Q40" s="752"/>
    </row>
    <row r="41" spans="1:17" x14ac:dyDescent="0.3">
      <c r="A41" s="732">
        <f t="shared" si="0"/>
        <v>29</v>
      </c>
      <c r="B41" s="717"/>
      <c r="C41" s="734"/>
      <c r="D41" s="741"/>
      <c r="E41" s="741"/>
      <c r="F41" s="741"/>
      <c r="G41" s="741"/>
      <c r="H41" s="741"/>
      <c r="I41" s="741"/>
      <c r="J41" s="741"/>
      <c r="K41" s="741"/>
      <c r="L41" s="741"/>
      <c r="M41" s="741"/>
      <c r="N41" s="741"/>
      <c r="O41" s="717"/>
      <c r="P41" s="732">
        <f t="shared" si="1"/>
        <v>29</v>
      </c>
      <c r="Q41" s="752"/>
    </row>
    <row r="42" spans="1:17" ht="15" thickBot="1" x14ac:dyDescent="0.35">
      <c r="A42" s="732">
        <f t="shared" si="0"/>
        <v>30</v>
      </c>
      <c r="B42" s="733" t="s">
        <v>1237</v>
      </c>
      <c r="C42" s="766"/>
      <c r="D42" s="715">
        <f t="shared" ref="D42:L42" si="14">D31+D37+D40</f>
        <v>155261.72492645582</v>
      </c>
      <c r="E42" s="715">
        <f t="shared" si="14"/>
        <v>-409025.82473469403</v>
      </c>
      <c r="F42" s="715">
        <f t="shared" si="14"/>
        <v>-14.34459073564301</v>
      </c>
      <c r="G42" s="715">
        <f t="shared" si="14"/>
        <v>-2.5074899999349509</v>
      </c>
      <c r="H42" s="715">
        <f t="shared" si="14"/>
        <v>-2300.1282836127239</v>
      </c>
      <c r="I42" s="715">
        <f t="shared" si="14"/>
        <v>5969.9615230611498</v>
      </c>
      <c r="J42" s="715">
        <f t="shared" si="14"/>
        <v>21718.328645714733</v>
      </c>
      <c r="K42" s="715">
        <f>K31+K37+K40</f>
        <v>-250111.11864952539</v>
      </c>
      <c r="L42" s="715">
        <f t="shared" si="14"/>
        <v>0</v>
      </c>
      <c r="M42" s="715">
        <f t="shared" ref="M42:N42" si="15">+M40+M37+M31</f>
        <v>152947.25205210745</v>
      </c>
      <c r="N42" s="715">
        <f t="shared" si="15"/>
        <v>-403058.37070163281</v>
      </c>
      <c r="O42" s="801" t="s">
        <v>1238</v>
      </c>
      <c r="P42" s="732">
        <f t="shared" si="1"/>
        <v>30</v>
      </c>
      <c r="Q42" s="752"/>
    </row>
    <row r="43" spans="1:17" ht="15" thickTop="1" x14ac:dyDescent="0.3">
      <c r="A43" s="732">
        <f t="shared" si="0"/>
        <v>31</v>
      </c>
      <c r="B43" s="717"/>
      <c r="C43" s="717"/>
      <c r="D43" s="742"/>
      <c r="E43" s="742"/>
      <c r="F43" s="742"/>
      <c r="G43" s="742"/>
      <c r="H43" s="742"/>
      <c r="I43" s="742"/>
      <c r="J43" s="742"/>
      <c r="K43" s="742"/>
      <c r="L43" s="742"/>
      <c r="M43" s="742"/>
      <c r="N43" s="742"/>
      <c r="O43" s="717"/>
      <c r="P43" s="732">
        <f t="shared" si="1"/>
        <v>31</v>
      </c>
      <c r="Q43" s="752"/>
    </row>
    <row r="44" spans="1:17" ht="15" thickBot="1" x14ac:dyDescent="0.35">
      <c r="A44" s="732">
        <f t="shared" si="0"/>
        <v>32</v>
      </c>
      <c r="B44" s="733" t="s">
        <v>1239</v>
      </c>
      <c r="C44" s="765"/>
      <c r="D44" s="715">
        <f t="shared" ref="D44:N44" si="16">D24+D42</f>
        <v>155261.72492645582</v>
      </c>
      <c r="E44" s="715">
        <f t="shared" si="16"/>
        <v>-409025.82473469403</v>
      </c>
      <c r="F44" s="715">
        <f t="shared" si="16"/>
        <v>-14.34459073564301</v>
      </c>
      <c r="G44" s="715">
        <f t="shared" si="16"/>
        <v>-2.5074899999349509</v>
      </c>
      <c r="H44" s="715">
        <f t="shared" si="16"/>
        <v>-2300.1282836127239</v>
      </c>
      <c r="I44" s="715">
        <f t="shared" si="16"/>
        <v>5969.9615230611498</v>
      </c>
      <c r="J44" s="715">
        <f t="shared" si="16"/>
        <v>23319.016964715753</v>
      </c>
      <c r="K44" s="715">
        <f t="shared" si="16"/>
        <v>-250111.11864952539</v>
      </c>
      <c r="L44" s="715">
        <f t="shared" si="16"/>
        <v>0</v>
      </c>
      <c r="M44" s="715">
        <f t="shared" si="16"/>
        <v>152947.25205210745</v>
      </c>
      <c r="N44" s="715">
        <f t="shared" si="16"/>
        <v>-403058.37070163281</v>
      </c>
      <c r="O44" s="733" t="s">
        <v>1240</v>
      </c>
      <c r="P44" s="732">
        <f t="shared" si="1"/>
        <v>32</v>
      </c>
      <c r="Q44" s="752"/>
    </row>
    <row r="45" spans="1:17" ht="15" thickTop="1" x14ac:dyDescent="0.3">
      <c r="A45" s="779"/>
      <c r="B45" s="717"/>
      <c r="C45" s="717"/>
      <c r="D45" s="717"/>
      <c r="E45" s="717"/>
      <c r="F45" s="717"/>
      <c r="G45" s="717"/>
      <c r="H45" s="717"/>
      <c r="I45" s="717"/>
      <c r="J45" s="717"/>
      <c r="K45" s="717"/>
      <c r="L45" s="717"/>
      <c r="M45" s="717">
        <f>'AF-2'!E35-M44</f>
        <v>0</v>
      </c>
      <c r="N45" s="717">
        <f>N44-'AF-2'!G35</f>
        <v>0</v>
      </c>
      <c r="O45" s="752"/>
      <c r="P45" s="752"/>
      <c r="Q45" s="752"/>
    </row>
    <row r="46" spans="1:17" x14ac:dyDescent="0.3">
      <c r="A46" s="779"/>
      <c r="B46" s="704" t="s">
        <v>1241</v>
      </c>
      <c r="C46" s="743"/>
      <c r="D46" s="717"/>
      <c r="E46" s="717"/>
      <c r="F46" s="717"/>
      <c r="G46" s="717"/>
      <c r="H46" s="717"/>
      <c r="I46" s="717"/>
      <c r="J46" s="717"/>
      <c r="K46" s="717"/>
      <c r="L46" s="717"/>
      <c r="M46" s="717"/>
      <c r="N46" s="717"/>
      <c r="O46" s="752"/>
      <c r="P46" s="752"/>
      <c r="Q46" s="752"/>
    </row>
    <row r="47" spans="1:17" x14ac:dyDescent="0.3">
      <c r="A47" s="779"/>
      <c r="B47" s="815" t="s">
        <v>1242</v>
      </c>
      <c r="C47" s="743"/>
      <c r="D47" s="717"/>
      <c r="E47" s="717"/>
      <c r="F47" s="717"/>
      <c r="G47" s="717"/>
      <c r="H47" s="717"/>
      <c r="I47" s="717"/>
      <c r="J47" s="717"/>
      <c r="K47" s="717"/>
      <c r="L47" s="717"/>
      <c r="M47" s="717"/>
      <c r="N47" s="717"/>
      <c r="O47" s="752"/>
      <c r="P47" s="752"/>
      <c r="Q47" s="752"/>
    </row>
    <row r="48" spans="1:17" x14ac:dyDescent="0.3">
      <c r="A48" s="779"/>
      <c r="B48" s="815" t="s">
        <v>1292</v>
      </c>
      <c r="C48" s="744"/>
      <c r="D48" s="744"/>
      <c r="E48" s="744"/>
      <c r="F48" s="717"/>
      <c r="G48" s="717"/>
      <c r="H48" s="717"/>
      <c r="I48" s="717"/>
      <c r="J48" s="717"/>
      <c r="K48" s="717"/>
      <c r="L48"/>
      <c r="M48" s="717"/>
      <c r="N48" s="717"/>
      <c r="O48" s="752"/>
      <c r="P48" s="752"/>
      <c r="Q48" s="752"/>
    </row>
    <row r="49" spans="1:17" x14ac:dyDescent="0.3">
      <c r="A49" s="779"/>
      <c r="B49" s="815" t="s">
        <v>1243</v>
      </c>
      <c r="C49" s="717"/>
      <c r="D49" s="717"/>
      <c r="E49" s="717"/>
      <c r="F49" s="717"/>
      <c r="G49" s="717"/>
      <c r="H49" s="717"/>
      <c r="I49" s="717"/>
      <c r="J49" s="717"/>
      <c r="K49" s="717"/>
      <c r="L49" s="717"/>
      <c r="M49" s="717"/>
      <c r="P49" s="752"/>
      <c r="Q49" s="752"/>
    </row>
    <row r="50" spans="1:17" x14ac:dyDescent="0.3">
      <c r="A50" s="779"/>
      <c r="B50" s="815" t="s">
        <v>1244</v>
      </c>
      <c r="C50" s="717"/>
      <c r="D50" s="809"/>
      <c r="E50" s="717"/>
      <c r="F50" s="717"/>
      <c r="G50" s="717"/>
      <c r="H50" s="717"/>
      <c r="I50" s="717"/>
      <c r="J50" s="717"/>
      <c r="K50" s="717"/>
      <c r="L50" s="717"/>
      <c r="M50" s="717"/>
      <c r="P50" s="752"/>
      <c r="Q50" s="752"/>
    </row>
    <row r="51" spans="1:17" x14ac:dyDescent="0.3">
      <c r="A51" s="779"/>
      <c r="B51" s="815" t="s">
        <v>1245</v>
      </c>
      <c r="C51" s="754"/>
      <c r="D51" s="786"/>
      <c r="E51" s="755"/>
      <c r="F51" s="717"/>
      <c r="G51" s="717"/>
      <c r="H51" s="717"/>
      <c r="I51" s="717"/>
      <c r="J51" s="717"/>
      <c r="K51" s="717"/>
      <c r="L51" s="717"/>
      <c r="M51" s="717"/>
      <c r="P51" s="752"/>
      <c r="Q51" s="752"/>
    </row>
    <row r="52" spans="1:17" x14ac:dyDescent="0.3">
      <c r="B52" s="815" t="s">
        <v>1246</v>
      </c>
      <c r="C52" s="754"/>
      <c r="D52" s="755"/>
      <c r="E52" s="755"/>
    </row>
    <row r="53" spans="1:17" x14ac:dyDescent="0.3">
      <c r="B53" s="815" t="s">
        <v>1247</v>
      </c>
      <c r="C53" s="754"/>
      <c r="D53" s="780"/>
      <c r="E53" s="780"/>
    </row>
    <row r="54" spans="1:17" x14ac:dyDescent="0.3">
      <c r="B54" s="815" t="s">
        <v>1248</v>
      </c>
      <c r="C54" s="744"/>
      <c r="D54" s="744"/>
      <c r="E54" s="744"/>
    </row>
    <row r="55" spans="1:17" x14ac:dyDescent="0.3">
      <c r="B55" s="815" t="s">
        <v>1249</v>
      </c>
    </row>
    <row r="56" spans="1:17" x14ac:dyDescent="0.3">
      <c r="B56" s="815" t="s">
        <v>1250</v>
      </c>
    </row>
    <row r="58" spans="1:17" x14ac:dyDescent="0.3">
      <c r="B58" s="745"/>
      <c r="C58" s="717"/>
      <c r="D58" s="717"/>
      <c r="E58" s="717"/>
      <c r="F58" s="734"/>
      <c r="G58" s="734"/>
      <c r="H58" s="779" t="s">
        <v>1251</v>
      </c>
      <c r="I58" s="779" t="s">
        <v>1252</v>
      </c>
      <c r="J58" s="779" t="s">
        <v>1253</v>
      </c>
      <c r="K58" s="779" t="s">
        <v>1254</v>
      </c>
      <c r="L58" s="779" t="s">
        <v>1255</v>
      </c>
    </row>
    <row r="59" spans="1:17" x14ac:dyDescent="0.3">
      <c r="B59" s="745"/>
      <c r="C59" s="717"/>
      <c r="D59" s="717"/>
      <c r="E59" s="717"/>
      <c r="F59" s="734"/>
      <c r="G59" s="734"/>
      <c r="H59" s="769" t="s">
        <v>1193</v>
      </c>
      <c r="I59" s="769" t="s">
        <v>1194</v>
      </c>
      <c r="J59" s="734"/>
    </row>
    <row r="60" spans="1:17" ht="40.200000000000003" x14ac:dyDescent="0.3">
      <c r="B60" s="816" t="s">
        <v>1256</v>
      </c>
      <c r="C60" s="717"/>
      <c r="D60" s="817" t="s">
        <v>1257</v>
      </c>
      <c r="E60" s="732"/>
      <c r="F60" s="734"/>
      <c r="G60" s="734"/>
      <c r="H60" s="818" t="s">
        <v>1210</v>
      </c>
      <c r="I60" s="818" t="s">
        <v>1211</v>
      </c>
      <c r="J60" s="818" t="s">
        <v>1258</v>
      </c>
      <c r="K60" s="818" t="s">
        <v>1259</v>
      </c>
      <c r="L60" s="818" t="s">
        <v>1260</v>
      </c>
    </row>
    <row r="61" spans="1:17" x14ac:dyDescent="0.3">
      <c r="B61" s="754" t="s">
        <v>1261</v>
      </c>
      <c r="C61" s="819" t="s">
        <v>1174</v>
      </c>
      <c r="D61" s="820">
        <v>0.21</v>
      </c>
      <c r="E61" s="821"/>
      <c r="F61" s="734"/>
      <c r="G61" s="754" t="s">
        <v>1262</v>
      </c>
      <c r="H61" s="717">
        <f>M24</f>
        <v>0</v>
      </c>
      <c r="I61" s="717">
        <f>N24</f>
        <v>0</v>
      </c>
      <c r="J61" s="822">
        <f>D66-1</f>
        <v>0.38857260290711548</v>
      </c>
      <c r="K61" s="717">
        <f>H61*J61</f>
        <v>0</v>
      </c>
      <c r="L61" s="717">
        <f>I61*J61</f>
        <v>0</v>
      </c>
    </row>
    <row r="62" spans="1:17" x14ac:dyDescent="0.3">
      <c r="B62" s="754" t="s">
        <v>1263</v>
      </c>
      <c r="C62" s="819" t="s">
        <v>1176</v>
      </c>
      <c r="D62" s="820">
        <v>8.8400000000000006E-2</v>
      </c>
      <c r="E62" s="821"/>
      <c r="F62" s="734"/>
      <c r="G62" s="754" t="s">
        <v>1264</v>
      </c>
      <c r="H62" s="717">
        <f>M42</f>
        <v>152947.25205210745</v>
      </c>
      <c r="I62" s="717">
        <f>N42</f>
        <v>-403058.37070163281</v>
      </c>
      <c r="J62" s="822">
        <f>D66-1</f>
        <v>0.38857260290711548</v>
      </c>
      <c r="K62" s="717">
        <f>H62*J62</f>
        <v>59431.111837378048</v>
      </c>
      <c r="L62" s="717">
        <f>I62*J62</f>
        <v>-156617.4402270345</v>
      </c>
    </row>
    <row r="63" spans="1:17" x14ac:dyDescent="0.3">
      <c r="B63" s="754" t="s">
        <v>1265</v>
      </c>
      <c r="C63" s="819" t="s">
        <v>1266</v>
      </c>
      <c r="D63" s="824">
        <f>-D62*D61</f>
        <v>-1.8564000000000001E-2</v>
      </c>
      <c r="E63" s="821"/>
      <c r="F63" s="821"/>
      <c r="G63" s="746"/>
      <c r="H63" s="746"/>
      <c r="I63" s="746"/>
      <c r="J63" s="746"/>
      <c r="K63" s="746"/>
      <c r="L63" s="746"/>
    </row>
    <row r="64" spans="1:17" x14ac:dyDescent="0.3">
      <c r="B64" s="754" t="s">
        <v>1267</v>
      </c>
      <c r="C64" s="819" t="s">
        <v>1268</v>
      </c>
      <c r="D64" s="825">
        <f>SUM(D61:D63)</f>
        <v>0.27983599999999997</v>
      </c>
      <c r="E64" s="823"/>
      <c r="F64" s="821"/>
    </row>
    <row r="65" spans="2:6" x14ac:dyDescent="0.3">
      <c r="B65" s="754" t="s">
        <v>1269</v>
      </c>
      <c r="C65" s="819" t="s">
        <v>1270</v>
      </c>
      <c r="D65" s="825">
        <f>1-D64</f>
        <v>0.72016400000000003</v>
      </c>
      <c r="E65" s="823"/>
      <c r="F65" s="821"/>
    </row>
    <row r="66" spans="2:6" x14ac:dyDescent="0.3">
      <c r="B66" s="754" t="s">
        <v>1258</v>
      </c>
      <c r="C66" s="819" t="s">
        <v>1271</v>
      </c>
      <c r="D66" s="826">
        <f>1/D65</f>
        <v>1.3885726029071155</v>
      </c>
      <c r="E66" s="822"/>
      <c r="F66" s="822"/>
    </row>
  </sheetData>
  <mergeCells count="1">
    <mergeCell ref="B5:O5"/>
  </mergeCells>
  <printOptions horizontalCentered="1"/>
  <pageMargins left="0.25" right="0.25" top="0.5" bottom="0.5" header="0.25" footer="0.25"/>
  <pageSetup scale="47" orientation="landscape" r:id="rId1"/>
  <headerFooter scaleWithDoc="0">
    <oddFooter>&amp;C&amp;"Times New Roman,Regular"&amp;10&amp;A</oddFooter>
  </headerFooter>
  <customProperties>
    <customPr name="_pios_id" r:id="rId2"/>
  </customPropertie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79B04-CBFC-4B0C-BD99-486311CFE97E}">
  <sheetPr>
    <pageSetUpPr fitToPage="1"/>
  </sheetPr>
  <dimension ref="A1:L61"/>
  <sheetViews>
    <sheetView zoomScale="80" zoomScaleNormal="80" workbookViewId="0"/>
  </sheetViews>
  <sheetFormatPr defaultColWidth="14.5546875" defaultRowHeight="14.4" x14ac:dyDescent="0.3"/>
  <cols>
    <col min="1" max="1" width="5.6640625" style="753" customWidth="1"/>
    <col min="2" max="2" width="45.6640625" style="753" customWidth="1"/>
    <col min="3" max="3" width="8.6640625" style="753" customWidth="1"/>
    <col min="4" max="9" width="16.5546875" style="753" customWidth="1"/>
    <col min="10" max="10" width="45.6640625" style="753" customWidth="1"/>
    <col min="11" max="11" width="5.6640625" style="753" customWidth="1"/>
    <col min="12" max="12" width="15.6640625" style="753" customWidth="1"/>
    <col min="13" max="16384" width="14.5546875" style="753"/>
  </cols>
  <sheetData>
    <row r="1" spans="1:12" x14ac:dyDescent="0.3">
      <c r="A1" s="759"/>
      <c r="B1" s="757" t="s">
        <v>0</v>
      </c>
      <c r="C1" s="758"/>
      <c r="D1" s="758"/>
      <c r="E1" s="758"/>
      <c r="F1" s="758"/>
      <c r="G1" s="758"/>
      <c r="H1" s="758"/>
      <c r="I1" s="758"/>
      <c r="J1" s="758"/>
      <c r="K1" s="759"/>
    </row>
    <row r="2" spans="1:12" x14ac:dyDescent="0.3">
      <c r="A2" s="759"/>
      <c r="B2" s="757" t="s">
        <v>1293</v>
      </c>
      <c r="C2" s="758"/>
      <c r="D2" s="758"/>
      <c r="E2" s="758"/>
      <c r="F2" s="758"/>
      <c r="G2" s="758"/>
      <c r="H2" s="758"/>
      <c r="I2" s="758"/>
      <c r="J2" s="758"/>
      <c r="K2" s="759"/>
    </row>
    <row r="3" spans="1:12" x14ac:dyDescent="0.3">
      <c r="A3" s="759"/>
      <c r="B3" s="728" t="s">
        <v>1180</v>
      </c>
      <c r="C3" s="758"/>
      <c r="D3" s="758"/>
      <c r="E3" s="758"/>
      <c r="F3" s="758"/>
      <c r="G3" s="758"/>
      <c r="H3" s="758"/>
      <c r="I3" s="758"/>
      <c r="J3" s="758"/>
      <c r="K3" s="759"/>
    </row>
    <row r="4" spans="1:12" x14ac:dyDescent="0.3">
      <c r="A4" s="765"/>
      <c r="B4" s="787" t="s">
        <v>1531</v>
      </c>
      <c r="C4" s="788"/>
      <c r="D4" s="788"/>
      <c r="E4" s="788"/>
      <c r="F4" s="788"/>
      <c r="G4" s="788"/>
      <c r="H4" s="788"/>
      <c r="I4" s="788"/>
      <c r="J4" s="788"/>
      <c r="K4" s="789"/>
      <c r="L4" s="764"/>
    </row>
    <row r="5" spans="1:12" x14ac:dyDescent="0.3">
      <c r="A5" s="765"/>
      <c r="B5" s="1252" t="s">
        <v>4</v>
      </c>
      <c r="C5" s="1252"/>
      <c r="D5" s="1252"/>
      <c r="E5" s="1252"/>
      <c r="F5" s="1252"/>
      <c r="G5" s="1252"/>
      <c r="H5" s="1252"/>
      <c r="I5" s="1252"/>
      <c r="J5" s="1252"/>
      <c r="K5" s="789"/>
      <c r="L5" s="764"/>
    </row>
    <row r="6" spans="1:12" x14ac:dyDescent="0.3">
      <c r="A6" s="717"/>
      <c r="B6" s="790"/>
      <c r="C6" s="733"/>
      <c r="D6" s="733"/>
      <c r="E6" s="733"/>
      <c r="F6" s="733"/>
      <c r="G6" s="733"/>
      <c r="H6" s="733"/>
      <c r="I6" s="733"/>
      <c r="J6" s="768"/>
      <c r="K6" s="768"/>
      <c r="L6" s="752"/>
    </row>
    <row r="7" spans="1:12" x14ac:dyDescent="0.3">
      <c r="A7" s="717"/>
      <c r="B7" s="790"/>
      <c r="C7" s="733"/>
      <c r="D7" s="733"/>
      <c r="E7" s="733"/>
      <c r="F7" s="733"/>
      <c r="G7" s="733"/>
      <c r="H7" s="755" t="s">
        <v>1181</v>
      </c>
      <c r="I7" s="767">
        <v>2023</v>
      </c>
      <c r="J7" s="768"/>
      <c r="K7" s="768"/>
      <c r="L7" s="752"/>
    </row>
    <row r="8" spans="1:12" x14ac:dyDescent="0.3">
      <c r="A8" s="717"/>
      <c r="B8" s="790"/>
      <c r="C8" s="733"/>
      <c r="D8" s="733"/>
      <c r="E8" s="733"/>
      <c r="F8" s="733"/>
      <c r="G8" s="733"/>
      <c r="H8" s="755" t="s">
        <v>1273</v>
      </c>
      <c r="I8" s="791" t="s">
        <v>983</v>
      </c>
      <c r="J8" s="768"/>
      <c r="K8" s="768"/>
      <c r="L8" s="752"/>
    </row>
    <row r="9" spans="1:12" x14ac:dyDescent="0.3">
      <c r="A9" s="717"/>
      <c r="B9" s="717"/>
      <c r="C9" s="717"/>
      <c r="D9" s="717"/>
      <c r="E9" s="717"/>
      <c r="F9" s="717"/>
      <c r="G9" s="717"/>
      <c r="H9" s="754" t="s">
        <v>1274</v>
      </c>
      <c r="I9" s="792"/>
      <c r="J9" s="768"/>
      <c r="K9" s="768"/>
      <c r="L9" s="752"/>
    </row>
    <row r="10" spans="1:12" x14ac:dyDescent="0.3">
      <c r="A10" s="717"/>
      <c r="B10" s="717"/>
      <c r="C10" s="717"/>
      <c r="D10" s="717"/>
      <c r="E10" s="717"/>
      <c r="F10" s="717"/>
      <c r="G10" s="717"/>
      <c r="H10" s="754"/>
      <c r="I10" s="754"/>
      <c r="J10" s="768"/>
      <c r="K10" s="768"/>
      <c r="L10" s="752"/>
    </row>
    <row r="11" spans="1:12" x14ac:dyDescent="0.3">
      <c r="A11" s="733"/>
      <c r="B11" s="769" t="s">
        <v>1182</v>
      </c>
      <c r="C11" s="769" t="s">
        <v>1183</v>
      </c>
      <c r="D11" s="769" t="s">
        <v>1184</v>
      </c>
      <c r="E11" s="769" t="s">
        <v>1185</v>
      </c>
      <c r="F11" s="769" t="s">
        <v>1186</v>
      </c>
      <c r="G11" s="769" t="s">
        <v>1187</v>
      </c>
      <c r="H11" s="769" t="s">
        <v>1188</v>
      </c>
      <c r="I11" s="769" t="s">
        <v>1189</v>
      </c>
      <c r="J11" s="768"/>
      <c r="K11" s="768"/>
      <c r="L11" s="752"/>
    </row>
    <row r="12" spans="1:12" ht="15" thickBot="1" x14ac:dyDescent="0.35">
      <c r="A12" s="717"/>
      <c r="B12" s="733"/>
      <c r="C12" s="733"/>
      <c r="D12" s="717"/>
      <c r="E12" s="717"/>
      <c r="F12" s="717"/>
      <c r="G12" s="717"/>
      <c r="H12" s="717"/>
      <c r="I12" s="717"/>
      <c r="J12" s="768"/>
      <c r="K12" s="768"/>
      <c r="L12" s="752"/>
    </row>
    <row r="13" spans="1:12" ht="15" thickBot="1" x14ac:dyDescent="0.35">
      <c r="A13" s="717"/>
      <c r="B13" s="733"/>
      <c r="C13" s="733"/>
      <c r="D13" s="1256" t="s">
        <v>1294</v>
      </c>
      <c r="E13" s="1257"/>
      <c r="F13" s="1257"/>
      <c r="G13" s="1257"/>
      <c r="H13" s="1257"/>
      <c r="I13" s="1258"/>
      <c r="J13" s="768"/>
      <c r="K13" s="768"/>
      <c r="L13" s="752"/>
    </row>
    <row r="14" spans="1:12" ht="15" thickBot="1" x14ac:dyDescent="0.35">
      <c r="A14" s="717"/>
      <c r="B14" s="733"/>
      <c r="C14" s="733"/>
      <c r="D14" s="772"/>
      <c r="E14" s="772"/>
      <c r="F14" s="793" t="s">
        <v>1276</v>
      </c>
      <c r="G14" s="794" t="s">
        <v>1277</v>
      </c>
      <c r="H14" s="793" t="s">
        <v>1295</v>
      </c>
      <c r="I14" s="793" t="s">
        <v>1279</v>
      </c>
      <c r="J14" s="768"/>
      <c r="K14" s="768"/>
      <c r="L14" s="752"/>
    </row>
    <row r="15" spans="1:12" ht="40.200000000000003" thickBot="1" x14ac:dyDescent="0.35">
      <c r="A15" s="774" t="s">
        <v>1198</v>
      </c>
      <c r="B15" s="800" t="s">
        <v>1199</v>
      </c>
      <c r="C15" s="775" t="s">
        <v>1200</v>
      </c>
      <c r="D15" s="776" t="s">
        <v>1280</v>
      </c>
      <c r="E15" s="776" t="s">
        <v>1281</v>
      </c>
      <c r="F15" s="776" t="s">
        <v>1282</v>
      </c>
      <c r="G15" s="776" t="s">
        <v>1283</v>
      </c>
      <c r="H15" s="776" t="s">
        <v>1284</v>
      </c>
      <c r="I15" s="776" t="s">
        <v>1285</v>
      </c>
      <c r="J15" s="800" t="s">
        <v>8</v>
      </c>
      <c r="K15" s="774" t="s">
        <v>1198</v>
      </c>
      <c r="L15" s="747"/>
    </row>
    <row r="16" spans="1:12" x14ac:dyDescent="0.3">
      <c r="A16" s="732">
        <v>1</v>
      </c>
      <c r="B16" s="717" t="s">
        <v>1212</v>
      </c>
      <c r="C16" s="739"/>
      <c r="D16" s="717"/>
      <c r="E16" s="717"/>
      <c r="F16" s="717"/>
      <c r="G16" s="717"/>
      <c r="H16" s="717"/>
      <c r="I16" s="717"/>
      <c r="J16" s="717"/>
      <c r="K16" s="732">
        <v>1</v>
      </c>
      <c r="L16" s="752"/>
    </row>
    <row r="17" spans="1:12" x14ac:dyDescent="0.3">
      <c r="A17" s="732">
        <f t="shared" ref="A17:A47" si="0">+A16+1</f>
        <v>2</v>
      </c>
      <c r="B17" s="717" t="s">
        <v>1213</v>
      </c>
      <c r="C17" s="732"/>
      <c r="D17" s="722"/>
      <c r="E17" s="722"/>
      <c r="F17" s="717"/>
      <c r="G17" s="717"/>
      <c r="H17" s="717"/>
      <c r="I17" s="717"/>
      <c r="J17" s="733"/>
      <c r="K17" s="732">
        <f t="shared" ref="K17:K47" si="1">+K16+1</f>
        <v>2</v>
      </c>
      <c r="L17" s="752"/>
    </row>
    <row r="18" spans="1:12" x14ac:dyDescent="0.3">
      <c r="A18" s="732">
        <f t="shared" si="0"/>
        <v>3</v>
      </c>
      <c r="B18" s="717" t="s">
        <v>1214</v>
      </c>
      <c r="C18" s="732">
        <v>190</v>
      </c>
      <c r="D18" s="722"/>
      <c r="E18" s="722"/>
      <c r="F18" s="717">
        <f t="shared" ref="F18:F20" si="2">+D18*$I$9</f>
        <v>0</v>
      </c>
      <c r="G18" s="717">
        <f t="shared" ref="G18:G20" si="3">+E18-F18</f>
        <v>0</v>
      </c>
      <c r="H18" s="717">
        <f>IF(+$I$8="No",0,'Order 864-3'!K15)</f>
        <v>0</v>
      </c>
      <c r="I18" s="717">
        <f t="shared" ref="I18:I20" si="4">+G18-H18</f>
        <v>0</v>
      </c>
      <c r="J18" s="733" t="s">
        <v>289</v>
      </c>
      <c r="K18" s="732">
        <f t="shared" si="1"/>
        <v>3</v>
      </c>
      <c r="L18" s="752"/>
    </row>
    <row r="19" spans="1:12" x14ac:dyDescent="0.3">
      <c r="A19" s="732">
        <f t="shared" si="0"/>
        <v>4</v>
      </c>
      <c r="B19" s="717" t="s">
        <v>1215</v>
      </c>
      <c r="C19" s="732">
        <v>190</v>
      </c>
      <c r="D19" s="722"/>
      <c r="E19" s="722"/>
      <c r="F19" s="717">
        <f t="shared" si="2"/>
        <v>0</v>
      </c>
      <c r="G19" s="717">
        <f t="shared" si="3"/>
        <v>0</v>
      </c>
      <c r="H19" s="717">
        <f>IF(+$I$8="No",0,'Order 864-3'!K16)</f>
        <v>0</v>
      </c>
      <c r="I19" s="717">
        <f t="shared" si="4"/>
        <v>0</v>
      </c>
      <c r="J19" s="733" t="s">
        <v>289</v>
      </c>
      <c r="K19" s="732">
        <f t="shared" si="1"/>
        <v>4</v>
      </c>
      <c r="L19" s="752"/>
    </row>
    <row r="20" spans="1:12" x14ac:dyDescent="0.3">
      <c r="A20" s="732">
        <f t="shared" si="0"/>
        <v>5</v>
      </c>
      <c r="B20" s="717" t="s">
        <v>1216</v>
      </c>
      <c r="C20" s="732">
        <v>190</v>
      </c>
      <c r="D20" s="722"/>
      <c r="E20" s="722"/>
      <c r="F20" s="717">
        <f t="shared" si="2"/>
        <v>0</v>
      </c>
      <c r="G20" s="717">
        <f t="shared" si="3"/>
        <v>0</v>
      </c>
      <c r="H20" s="717">
        <f>IF(+$I$8="No",0,'Order 864-3'!K17)</f>
        <v>0</v>
      </c>
      <c r="I20" s="717">
        <f t="shared" si="4"/>
        <v>0</v>
      </c>
      <c r="J20" s="733" t="s">
        <v>289</v>
      </c>
      <c r="K20" s="732">
        <f t="shared" si="1"/>
        <v>5</v>
      </c>
      <c r="L20" s="752"/>
    </row>
    <row r="21" spans="1:12" x14ac:dyDescent="0.3">
      <c r="A21" s="732">
        <f t="shared" si="0"/>
        <v>6</v>
      </c>
      <c r="B21" s="717" t="s">
        <v>1217</v>
      </c>
      <c r="C21" s="732"/>
      <c r="D21" s="722"/>
      <c r="E21" s="722"/>
      <c r="F21" s="717"/>
      <c r="G21" s="717"/>
      <c r="H21" s="717"/>
      <c r="I21" s="717"/>
      <c r="J21" s="733"/>
      <c r="K21" s="732">
        <f t="shared" si="1"/>
        <v>6</v>
      </c>
      <c r="L21" s="752"/>
    </row>
    <row r="22" spans="1:12" x14ac:dyDescent="0.3">
      <c r="A22" s="732">
        <f t="shared" si="0"/>
        <v>7</v>
      </c>
      <c r="B22" s="717" t="s">
        <v>1218</v>
      </c>
      <c r="C22" s="732">
        <v>190</v>
      </c>
      <c r="D22" s="722"/>
      <c r="E22" s="722"/>
      <c r="F22" s="717">
        <f t="shared" ref="F22" si="5">+D22*$I$9</f>
        <v>0</v>
      </c>
      <c r="G22" s="717">
        <f t="shared" ref="G22" si="6">+E22-F22</f>
        <v>0</v>
      </c>
      <c r="H22" s="717">
        <f>IF(+$I$8="No",0,'Order 864-3'!K19)</f>
        <v>0</v>
      </c>
      <c r="I22" s="717">
        <f t="shared" ref="I22" si="7">+G22-H22</f>
        <v>0</v>
      </c>
      <c r="J22" s="733" t="s">
        <v>289</v>
      </c>
      <c r="K22" s="732">
        <f t="shared" si="1"/>
        <v>7</v>
      </c>
      <c r="L22" s="752"/>
    </row>
    <row r="23" spans="1:12" x14ac:dyDescent="0.3">
      <c r="A23" s="732">
        <f t="shared" si="0"/>
        <v>8</v>
      </c>
      <c r="B23" s="717" t="s">
        <v>1219</v>
      </c>
      <c r="C23" s="732"/>
      <c r="D23" s="722"/>
      <c r="E23" s="722"/>
      <c r="F23" s="717"/>
      <c r="G23" s="717"/>
      <c r="H23" s="717"/>
      <c r="I23" s="717"/>
      <c r="J23" s="733"/>
      <c r="K23" s="732">
        <f t="shared" si="1"/>
        <v>8</v>
      </c>
      <c r="L23" s="752"/>
    </row>
    <row r="24" spans="1:12" x14ac:dyDescent="0.3">
      <c r="A24" s="732">
        <f t="shared" si="0"/>
        <v>9</v>
      </c>
      <c r="B24" s="717" t="s">
        <v>1220</v>
      </c>
      <c r="C24" s="732">
        <v>283</v>
      </c>
      <c r="D24" s="722"/>
      <c r="E24" s="722"/>
      <c r="F24" s="717">
        <f t="shared" ref="F24:F25" si="8">+D24*$I$9</f>
        <v>0</v>
      </c>
      <c r="G24" s="717">
        <f t="shared" ref="G24:G25" si="9">+E24-F24</f>
        <v>0</v>
      </c>
      <c r="H24" s="717">
        <f>IF(+$I$8="No",0,'Order 864-3'!K21)</f>
        <v>0</v>
      </c>
      <c r="I24" s="717">
        <f t="shared" ref="I24:I25" si="10">+G24-H24</f>
        <v>0</v>
      </c>
      <c r="J24" s="733" t="s">
        <v>289</v>
      </c>
      <c r="K24" s="732">
        <f t="shared" si="1"/>
        <v>9</v>
      </c>
      <c r="L24" s="752"/>
    </row>
    <row r="25" spans="1:12" x14ac:dyDescent="0.3">
      <c r="A25" s="732">
        <f t="shared" si="0"/>
        <v>10</v>
      </c>
      <c r="B25" s="717" t="s">
        <v>1221</v>
      </c>
      <c r="C25" s="732">
        <v>283</v>
      </c>
      <c r="D25" s="750"/>
      <c r="E25" s="750"/>
      <c r="F25" s="751">
        <f t="shared" si="8"/>
        <v>0</v>
      </c>
      <c r="G25" s="751">
        <f t="shared" si="9"/>
        <v>0</v>
      </c>
      <c r="H25" s="751">
        <f>IF(+$I$8="No",0,'Order 864-3'!K22)</f>
        <v>0</v>
      </c>
      <c r="I25" s="751">
        <f t="shared" si="10"/>
        <v>0</v>
      </c>
      <c r="J25" s="733" t="s">
        <v>289</v>
      </c>
      <c r="K25" s="732">
        <f t="shared" si="1"/>
        <v>10</v>
      </c>
      <c r="L25" s="752"/>
    </row>
    <row r="26" spans="1:12" x14ac:dyDescent="0.3">
      <c r="A26" s="732">
        <f t="shared" si="0"/>
        <v>11</v>
      </c>
      <c r="B26" s="733"/>
      <c r="C26" s="734"/>
      <c r="D26" s="717"/>
      <c r="E26" s="717"/>
      <c r="F26" s="717"/>
      <c r="G26" s="717"/>
      <c r="H26" s="717"/>
      <c r="I26" s="717"/>
      <c r="J26" s="717"/>
      <c r="K26" s="732">
        <f t="shared" si="1"/>
        <v>11</v>
      </c>
      <c r="L26" s="752"/>
    </row>
    <row r="27" spans="1:12" ht="15" thickBot="1" x14ac:dyDescent="0.35">
      <c r="A27" s="732">
        <f t="shared" si="0"/>
        <v>12</v>
      </c>
      <c r="B27" s="733" t="s">
        <v>1222</v>
      </c>
      <c r="C27" s="734"/>
      <c r="D27" s="715">
        <f>SUM(D17:D25)</f>
        <v>0</v>
      </c>
      <c r="E27" s="715">
        <f t="shared" ref="E27:I27" si="11">SUM(E17:E25)</f>
        <v>0</v>
      </c>
      <c r="F27" s="715">
        <f t="shared" si="11"/>
        <v>0</v>
      </c>
      <c r="G27" s="715">
        <f t="shared" si="11"/>
        <v>0</v>
      </c>
      <c r="H27" s="715">
        <f t="shared" si="11"/>
        <v>0</v>
      </c>
      <c r="I27" s="715">
        <f t="shared" si="11"/>
        <v>0</v>
      </c>
      <c r="J27" s="733" t="s">
        <v>1223</v>
      </c>
      <c r="K27" s="732">
        <f t="shared" si="1"/>
        <v>12</v>
      </c>
      <c r="L27" s="752"/>
    </row>
    <row r="28" spans="1:12" ht="15" thickTop="1" x14ac:dyDescent="0.3">
      <c r="A28" s="732">
        <f t="shared" si="0"/>
        <v>13</v>
      </c>
      <c r="B28" s="748"/>
      <c r="C28" s="734"/>
      <c r="D28" s="737"/>
      <c r="E28" s="737"/>
      <c r="F28" s="737"/>
      <c r="G28" s="737"/>
      <c r="H28" s="737"/>
      <c r="I28" s="737"/>
      <c r="J28" s="717"/>
      <c r="K28" s="732">
        <f t="shared" si="1"/>
        <v>13</v>
      </c>
      <c r="L28" s="752"/>
    </row>
    <row r="29" spans="1:12" x14ac:dyDescent="0.3">
      <c r="A29" s="732">
        <f t="shared" si="0"/>
        <v>14</v>
      </c>
      <c r="B29" s="717" t="s">
        <v>1224</v>
      </c>
      <c r="C29" s="738"/>
      <c r="D29" s="717"/>
      <c r="E29" s="717"/>
      <c r="F29" s="717"/>
      <c r="G29" s="717"/>
      <c r="H29" s="717"/>
      <c r="I29" s="717"/>
      <c r="J29" s="717"/>
      <c r="K29" s="732">
        <f t="shared" si="1"/>
        <v>14</v>
      </c>
      <c r="L29" s="752"/>
    </row>
    <row r="30" spans="1:12" x14ac:dyDescent="0.3">
      <c r="A30" s="732">
        <f t="shared" si="0"/>
        <v>15</v>
      </c>
      <c r="B30" s="717" t="s">
        <v>1225</v>
      </c>
      <c r="C30" s="732">
        <v>190</v>
      </c>
      <c r="D30" s="795"/>
      <c r="E30" s="722"/>
      <c r="F30" s="717">
        <f>+D30*$I$9</f>
        <v>0</v>
      </c>
      <c r="G30" s="717">
        <f>+E30-F30</f>
        <v>0</v>
      </c>
      <c r="H30" s="717">
        <f>IF(+$I$8="No",0,'Order 864-3'!K27)</f>
        <v>0</v>
      </c>
      <c r="I30" s="717">
        <f>+G30-H30</f>
        <v>0</v>
      </c>
      <c r="J30" s="733" t="s">
        <v>289</v>
      </c>
      <c r="K30" s="732">
        <f t="shared" si="1"/>
        <v>15</v>
      </c>
      <c r="L30" s="752"/>
    </row>
    <row r="31" spans="1:12" x14ac:dyDescent="0.3">
      <c r="A31" s="732">
        <f t="shared" si="0"/>
        <v>16</v>
      </c>
      <c r="B31" s="717" t="s">
        <v>1226</v>
      </c>
      <c r="C31" s="732"/>
      <c r="D31" s="795"/>
      <c r="E31" s="722"/>
      <c r="F31" s="717"/>
      <c r="G31" s="717"/>
      <c r="H31" s="717"/>
      <c r="I31" s="717"/>
      <c r="J31" s="733"/>
      <c r="K31" s="732">
        <f t="shared" si="1"/>
        <v>16</v>
      </c>
      <c r="L31" s="752"/>
    </row>
    <row r="32" spans="1:12" x14ac:dyDescent="0.3">
      <c r="A32" s="732">
        <f t="shared" si="0"/>
        <v>17</v>
      </c>
      <c r="B32" s="717" t="s">
        <v>1227</v>
      </c>
      <c r="C32" s="732">
        <v>282</v>
      </c>
      <c r="D32" s="795"/>
      <c r="E32" s="722"/>
      <c r="F32" s="717">
        <f t="shared" ref="F32:F33" si="12">+D32*$I$9</f>
        <v>0</v>
      </c>
      <c r="G32" s="717">
        <f t="shared" ref="G32:G33" si="13">+E32-F32</f>
        <v>0</v>
      </c>
      <c r="H32" s="717">
        <f>IF(+$I$8="No",0,'Order 864-3'!K29)</f>
        <v>0</v>
      </c>
      <c r="I32" s="717">
        <f t="shared" ref="I32:I33" si="14">+G32-H32</f>
        <v>0</v>
      </c>
      <c r="J32" s="733" t="s">
        <v>289</v>
      </c>
      <c r="K32" s="732">
        <f t="shared" si="1"/>
        <v>17</v>
      </c>
      <c r="L32" s="752"/>
    </row>
    <row r="33" spans="1:12" x14ac:dyDescent="0.3">
      <c r="A33" s="732">
        <f t="shared" si="0"/>
        <v>18</v>
      </c>
      <c r="B33" s="717" t="s">
        <v>1228</v>
      </c>
      <c r="C33" s="732">
        <v>282</v>
      </c>
      <c r="D33" s="795"/>
      <c r="E33" s="722"/>
      <c r="F33" s="717">
        <f t="shared" si="12"/>
        <v>0</v>
      </c>
      <c r="G33" s="717">
        <f t="shared" si="13"/>
        <v>0</v>
      </c>
      <c r="H33" s="717">
        <f>IF(+$I$8="No",0,'Order 864-3'!K30)</f>
        <v>0</v>
      </c>
      <c r="I33" s="717">
        <f t="shared" si="14"/>
        <v>0</v>
      </c>
      <c r="J33" s="733" t="s">
        <v>289</v>
      </c>
      <c r="K33" s="732">
        <f t="shared" si="1"/>
        <v>18</v>
      </c>
      <c r="L33" s="752"/>
    </row>
    <row r="34" spans="1:12" x14ac:dyDescent="0.3">
      <c r="A34" s="732">
        <f t="shared" si="0"/>
        <v>19</v>
      </c>
      <c r="B34" s="733" t="s">
        <v>1229</v>
      </c>
      <c r="C34" s="734"/>
      <c r="D34" s="725">
        <f t="shared" ref="D34:I34" si="15">SUM(D30:D33)</f>
        <v>0</v>
      </c>
      <c r="E34" s="725">
        <f t="shared" si="15"/>
        <v>0</v>
      </c>
      <c r="F34" s="725">
        <f t="shared" si="15"/>
        <v>0</v>
      </c>
      <c r="G34" s="725">
        <f t="shared" si="15"/>
        <v>0</v>
      </c>
      <c r="H34" s="725">
        <f t="shared" si="15"/>
        <v>0</v>
      </c>
      <c r="I34" s="725">
        <f t="shared" si="15"/>
        <v>0</v>
      </c>
      <c r="J34" s="733" t="s">
        <v>1296</v>
      </c>
      <c r="K34" s="732">
        <f t="shared" si="1"/>
        <v>19</v>
      </c>
      <c r="L34" s="752"/>
    </row>
    <row r="35" spans="1:12" x14ac:dyDescent="0.3">
      <c r="A35" s="732">
        <f t="shared" si="0"/>
        <v>20</v>
      </c>
      <c r="B35" s="717"/>
      <c r="C35" s="734"/>
      <c r="D35" s="717"/>
      <c r="E35" s="717"/>
      <c r="F35" s="717"/>
      <c r="G35" s="717"/>
      <c r="H35" s="717"/>
      <c r="I35" s="717"/>
      <c r="J35" s="717"/>
      <c r="K35" s="732">
        <f t="shared" si="1"/>
        <v>20</v>
      </c>
      <c r="L35" s="752"/>
    </row>
    <row r="36" spans="1:12" x14ac:dyDescent="0.3">
      <c r="A36" s="732">
        <f t="shared" si="0"/>
        <v>21</v>
      </c>
      <c r="B36" s="717" t="s">
        <v>1231</v>
      </c>
      <c r="C36" s="739"/>
      <c r="D36" s="717"/>
      <c r="E36" s="717"/>
      <c r="F36" s="717"/>
      <c r="G36" s="717"/>
      <c r="H36" s="717"/>
      <c r="I36" s="717"/>
      <c r="J36" s="717"/>
      <c r="K36" s="732">
        <f t="shared" si="1"/>
        <v>21</v>
      </c>
      <c r="L36" s="752"/>
    </row>
    <row r="37" spans="1:12" x14ac:dyDescent="0.3">
      <c r="A37" s="732">
        <f t="shared" si="0"/>
        <v>22</v>
      </c>
      <c r="B37" s="717" t="s">
        <v>1232</v>
      </c>
      <c r="C37" s="732">
        <v>282</v>
      </c>
      <c r="D37" s="722"/>
      <c r="E37" s="722"/>
      <c r="F37" s="717">
        <f t="shared" ref="F37:F39" si="16">+D37*$I$9</f>
        <v>0</v>
      </c>
      <c r="G37" s="717">
        <f t="shared" ref="G37:G39" si="17">+E37-F37</f>
        <v>0</v>
      </c>
      <c r="H37" s="717">
        <f>IF(+$I$8="No",0,'Order 864-3'!K34)</f>
        <v>0</v>
      </c>
      <c r="I37" s="717">
        <f t="shared" ref="I37:I39" si="18">+G37-H37</f>
        <v>0</v>
      </c>
      <c r="J37" s="733" t="s">
        <v>289</v>
      </c>
      <c r="K37" s="732">
        <f t="shared" si="1"/>
        <v>22</v>
      </c>
      <c r="L37" s="752"/>
    </row>
    <row r="38" spans="1:12" x14ac:dyDescent="0.3">
      <c r="A38" s="732">
        <f t="shared" si="0"/>
        <v>23</v>
      </c>
      <c r="B38" s="717" t="s">
        <v>1233</v>
      </c>
      <c r="C38" s="732">
        <v>282</v>
      </c>
      <c r="D38" s="722"/>
      <c r="E38" s="722"/>
      <c r="F38" s="717">
        <f t="shared" si="16"/>
        <v>0</v>
      </c>
      <c r="G38" s="717">
        <f t="shared" si="17"/>
        <v>0</v>
      </c>
      <c r="H38" s="717">
        <f>IF(+$I$8="No",0,'Order 864-3'!K35)</f>
        <v>0</v>
      </c>
      <c r="I38" s="717">
        <f t="shared" si="18"/>
        <v>0</v>
      </c>
      <c r="J38" s="733" t="s">
        <v>289</v>
      </c>
      <c r="K38" s="732">
        <f t="shared" si="1"/>
        <v>23</v>
      </c>
      <c r="L38" s="752"/>
    </row>
    <row r="39" spans="1:12" x14ac:dyDescent="0.3">
      <c r="A39" s="732">
        <f t="shared" si="0"/>
        <v>24</v>
      </c>
      <c r="B39" s="717" t="s">
        <v>1234</v>
      </c>
      <c r="C39" s="740">
        <v>282</v>
      </c>
      <c r="D39" s="722"/>
      <c r="E39" s="722"/>
      <c r="F39" s="717">
        <f t="shared" si="16"/>
        <v>0</v>
      </c>
      <c r="G39" s="717">
        <f t="shared" si="17"/>
        <v>0</v>
      </c>
      <c r="H39" s="717">
        <f>IF(+$I$8="No",0,'Order 864-3'!K36)</f>
        <v>0</v>
      </c>
      <c r="I39" s="717">
        <f t="shared" si="18"/>
        <v>0</v>
      </c>
      <c r="J39" s="733" t="s">
        <v>289</v>
      </c>
      <c r="K39" s="732">
        <f t="shared" si="1"/>
        <v>24</v>
      </c>
      <c r="L39" s="752"/>
    </row>
    <row r="40" spans="1:12" x14ac:dyDescent="0.3">
      <c r="A40" s="732">
        <f t="shared" si="0"/>
        <v>25</v>
      </c>
      <c r="B40" s="733" t="s">
        <v>1229</v>
      </c>
      <c r="C40" s="734"/>
      <c r="D40" s="725">
        <f t="shared" ref="D40:I40" si="19">SUM(D37:D39)</f>
        <v>0</v>
      </c>
      <c r="E40" s="725">
        <f t="shared" si="19"/>
        <v>0</v>
      </c>
      <c r="F40" s="725">
        <f t="shared" si="19"/>
        <v>0</v>
      </c>
      <c r="G40" s="725">
        <f t="shared" si="19"/>
        <v>0</v>
      </c>
      <c r="H40" s="725">
        <f t="shared" si="19"/>
        <v>0</v>
      </c>
      <c r="I40" s="725">
        <f t="shared" si="19"/>
        <v>0</v>
      </c>
      <c r="J40" s="733" t="s">
        <v>1297</v>
      </c>
      <c r="K40" s="732">
        <f t="shared" si="1"/>
        <v>25</v>
      </c>
      <c r="L40" s="752"/>
    </row>
    <row r="41" spans="1:12" x14ac:dyDescent="0.3">
      <c r="A41" s="732">
        <f t="shared" si="0"/>
        <v>26</v>
      </c>
      <c r="B41" s="748"/>
      <c r="C41" s="734"/>
      <c r="D41" s="784"/>
      <c r="E41" s="784"/>
      <c r="F41" s="784"/>
      <c r="G41" s="784"/>
      <c r="H41" s="784"/>
      <c r="I41" s="784"/>
      <c r="J41" s="717"/>
      <c r="K41" s="732">
        <f t="shared" si="1"/>
        <v>26</v>
      </c>
      <c r="L41" s="752"/>
    </row>
    <row r="42" spans="1:12" x14ac:dyDescent="0.3">
      <c r="A42" s="732">
        <f t="shared" si="0"/>
        <v>27</v>
      </c>
      <c r="B42" s="717" t="s">
        <v>1231</v>
      </c>
      <c r="C42" s="734"/>
      <c r="D42" s="717"/>
      <c r="E42" s="717"/>
      <c r="F42" s="717"/>
      <c r="G42" s="717"/>
      <c r="H42" s="717"/>
      <c r="I42" s="717"/>
      <c r="J42" s="717"/>
      <c r="K42" s="732">
        <f t="shared" si="1"/>
        <v>27</v>
      </c>
      <c r="L42" s="752"/>
    </row>
    <row r="43" spans="1:12" x14ac:dyDescent="0.3">
      <c r="A43" s="732">
        <f t="shared" si="0"/>
        <v>28</v>
      </c>
      <c r="B43" s="717" t="s">
        <v>1236</v>
      </c>
      <c r="C43" s="740">
        <v>282</v>
      </c>
      <c r="D43" s="796"/>
      <c r="E43" s="796"/>
      <c r="F43" s="797">
        <f t="shared" ref="F43" si="20">+D43*$I$9</f>
        <v>0</v>
      </c>
      <c r="G43" s="797">
        <f>+E43-F43</f>
        <v>0</v>
      </c>
      <c r="H43" s="797">
        <f>IF(+$I$8="No",0,'Order 864-3'!K40)</f>
        <v>0</v>
      </c>
      <c r="I43" s="797">
        <f>+G43-H43</f>
        <v>0</v>
      </c>
      <c r="J43" s="733" t="s">
        <v>289</v>
      </c>
      <c r="K43" s="732">
        <f t="shared" si="1"/>
        <v>28</v>
      </c>
      <c r="L43" s="752"/>
    </row>
    <row r="44" spans="1:12" x14ac:dyDescent="0.3">
      <c r="A44" s="732">
        <f t="shared" si="0"/>
        <v>29</v>
      </c>
      <c r="B44" s="717"/>
      <c r="C44" s="734"/>
      <c r="D44" s="741"/>
      <c r="E44" s="741"/>
      <c r="F44" s="741"/>
      <c r="G44" s="741"/>
      <c r="H44" s="741"/>
      <c r="I44" s="741"/>
      <c r="J44" s="717"/>
      <c r="K44" s="732">
        <f t="shared" si="1"/>
        <v>29</v>
      </c>
      <c r="L44" s="752"/>
    </row>
    <row r="45" spans="1:12" ht="15" thickBot="1" x14ac:dyDescent="0.35">
      <c r="A45" s="732">
        <f t="shared" si="0"/>
        <v>30</v>
      </c>
      <c r="B45" s="733" t="s">
        <v>1237</v>
      </c>
      <c r="C45" s="734"/>
      <c r="D45" s="736">
        <f t="shared" ref="D45:I45" si="21">D34+D40+D43</f>
        <v>0</v>
      </c>
      <c r="E45" s="736">
        <f t="shared" si="21"/>
        <v>0</v>
      </c>
      <c r="F45" s="736">
        <f t="shared" si="21"/>
        <v>0</v>
      </c>
      <c r="G45" s="736">
        <f t="shared" si="21"/>
        <v>0</v>
      </c>
      <c r="H45" s="736">
        <f t="shared" si="21"/>
        <v>0</v>
      </c>
      <c r="I45" s="736">
        <f t="shared" si="21"/>
        <v>0</v>
      </c>
      <c r="J45" s="801" t="s">
        <v>1298</v>
      </c>
      <c r="K45" s="732">
        <f t="shared" si="1"/>
        <v>30</v>
      </c>
      <c r="L45" s="752"/>
    </row>
    <row r="46" spans="1:12" ht="15" thickTop="1" x14ac:dyDescent="0.3">
      <c r="A46" s="732">
        <f t="shared" si="0"/>
        <v>31</v>
      </c>
      <c r="B46" s="717"/>
      <c r="C46" s="734"/>
      <c r="D46" s="717"/>
      <c r="E46" s="717"/>
      <c r="F46" s="717"/>
      <c r="G46" s="717"/>
      <c r="H46" s="717"/>
      <c r="I46" s="717"/>
      <c r="J46" s="717"/>
      <c r="K46" s="732">
        <f t="shared" si="1"/>
        <v>31</v>
      </c>
      <c r="L46" s="752"/>
    </row>
    <row r="47" spans="1:12" ht="15" thickBot="1" x14ac:dyDescent="0.35">
      <c r="A47" s="732">
        <f t="shared" si="0"/>
        <v>32</v>
      </c>
      <c r="B47" s="733" t="s">
        <v>1239</v>
      </c>
      <c r="C47" s="717"/>
      <c r="D47" s="736">
        <f t="shared" ref="D47:I47" si="22">D27+D45</f>
        <v>0</v>
      </c>
      <c r="E47" s="736">
        <f t="shared" si="22"/>
        <v>0</v>
      </c>
      <c r="F47" s="736">
        <f t="shared" si="22"/>
        <v>0</v>
      </c>
      <c r="G47" s="736">
        <f t="shared" si="22"/>
        <v>0</v>
      </c>
      <c r="H47" s="736">
        <f t="shared" si="22"/>
        <v>0</v>
      </c>
      <c r="I47" s="736">
        <f t="shared" si="22"/>
        <v>0</v>
      </c>
      <c r="J47" s="733" t="s">
        <v>1299</v>
      </c>
      <c r="K47" s="732">
        <f t="shared" si="1"/>
        <v>32</v>
      </c>
      <c r="L47" s="752"/>
    </row>
    <row r="48" spans="1:12" ht="15" thickTop="1" x14ac:dyDescent="0.3">
      <c r="A48" s="779"/>
      <c r="B48" s="717"/>
      <c r="C48" s="717"/>
      <c r="D48" s="717"/>
      <c r="E48" s="717"/>
      <c r="F48" s="717"/>
      <c r="G48" s="717"/>
      <c r="H48" s="717"/>
      <c r="I48" s="717"/>
      <c r="J48" s="752"/>
      <c r="K48" s="752"/>
      <c r="L48" s="752"/>
    </row>
    <row r="49" spans="1:12" x14ac:dyDescent="0.3">
      <c r="A49" s="779"/>
      <c r="B49" s="704" t="s">
        <v>1286</v>
      </c>
      <c r="C49" s="717"/>
      <c r="D49" s="717"/>
      <c r="E49" s="717"/>
      <c r="F49" s="717"/>
      <c r="G49" s="717"/>
      <c r="H49" s="717"/>
      <c r="I49" s="717"/>
      <c r="J49" s="752"/>
      <c r="K49" s="752"/>
      <c r="L49" s="752"/>
    </row>
    <row r="50" spans="1:12" ht="15.6" x14ac:dyDescent="0.4">
      <c r="A50" s="779"/>
      <c r="B50" s="745" t="s">
        <v>1287</v>
      </c>
      <c r="C50" s="717"/>
      <c r="D50" s="717"/>
      <c r="E50" s="717"/>
      <c r="F50" s="717"/>
      <c r="G50" s="717"/>
      <c r="H50" s="717"/>
      <c r="I50" s="717"/>
      <c r="J50" s="752"/>
      <c r="K50" s="752"/>
      <c r="L50" s="752"/>
    </row>
    <row r="51" spans="1:12" x14ac:dyDescent="0.3">
      <c r="A51" s="779"/>
      <c r="B51" s="745" t="s">
        <v>1288</v>
      </c>
      <c r="C51" s="717"/>
      <c r="D51" s="717"/>
      <c r="E51" s="717"/>
      <c r="F51" s="717"/>
      <c r="G51" s="717"/>
      <c r="H51" s="717"/>
      <c r="I51" s="717"/>
      <c r="J51" s="752"/>
      <c r="K51" s="752"/>
      <c r="L51" s="752"/>
    </row>
    <row r="52" spans="1:12" x14ac:dyDescent="0.3">
      <c r="A52" s="779"/>
      <c r="B52" s="704" t="s">
        <v>1241</v>
      </c>
      <c r="C52" s="743"/>
      <c r="D52" s="717"/>
      <c r="E52" s="717"/>
      <c r="F52" s="717"/>
      <c r="G52" s="717"/>
      <c r="H52" s="717"/>
      <c r="I52" s="717"/>
      <c r="J52" s="752"/>
      <c r="K52" s="752"/>
      <c r="L52" s="752"/>
    </row>
    <row r="53" spans="1:12" x14ac:dyDescent="0.3">
      <c r="A53" s="779"/>
      <c r="B53" s="815" t="s">
        <v>1242</v>
      </c>
      <c r="C53" s="744"/>
      <c r="D53" s="744"/>
      <c r="E53" s="744"/>
      <c r="F53" s="717"/>
      <c r="G53" s="717"/>
      <c r="H53" s="717"/>
      <c r="I53" s="717"/>
      <c r="J53" s="752"/>
      <c r="K53" s="752"/>
      <c r="L53" s="752"/>
    </row>
    <row r="54" spans="1:12" x14ac:dyDescent="0.3">
      <c r="A54" s="779"/>
      <c r="B54" s="815" t="s">
        <v>1292</v>
      </c>
      <c r="C54" s="744"/>
      <c r="D54" s="744"/>
      <c r="E54" s="744"/>
      <c r="F54" s="717"/>
      <c r="G54" s="717"/>
      <c r="H54" s="717"/>
      <c r="I54" s="717"/>
      <c r="J54" s="752"/>
      <c r="K54" s="752"/>
      <c r="L54"/>
    </row>
    <row r="55" spans="1:12" x14ac:dyDescent="0.3">
      <c r="A55" s="779"/>
      <c r="B55" s="815" t="s">
        <v>1243</v>
      </c>
      <c r="C55" s="717"/>
      <c r="D55" s="717"/>
      <c r="E55" s="717"/>
      <c r="F55" s="744"/>
      <c r="G55" s="744"/>
      <c r="H55" s="717"/>
      <c r="I55" s="717"/>
      <c r="J55" s="752"/>
      <c r="K55" s="752"/>
      <c r="L55" s="752"/>
    </row>
    <row r="56" spans="1:12" x14ac:dyDescent="0.3">
      <c r="A56" s="744"/>
      <c r="B56" s="815" t="s">
        <v>1244</v>
      </c>
      <c r="C56" s="744"/>
      <c r="D56" s="744"/>
      <c r="E56" s="744"/>
      <c r="F56" s="744"/>
      <c r="G56" s="744"/>
      <c r="H56" s="744"/>
      <c r="I56" s="744"/>
      <c r="J56" s="752"/>
      <c r="K56" s="752"/>
      <c r="L56" s="752"/>
    </row>
    <row r="57" spans="1:12" x14ac:dyDescent="0.3">
      <c r="A57" s="744"/>
      <c r="B57" s="815" t="s">
        <v>1245</v>
      </c>
      <c r="C57" s="744"/>
      <c r="D57" s="744"/>
      <c r="E57" s="744"/>
      <c r="F57" s="744"/>
      <c r="G57" s="744"/>
      <c r="H57" s="744"/>
      <c r="I57" s="744"/>
      <c r="J57" s="752"/>
      <c r="K57" s="752"/>
      <c r="L57" s="752"/>
    </row>
    <row r="58" spans="1:12" x14ac:dyDescent="0.3">
      <c r="A58" s="744"/>
      <c r="B58" s="815" t="s">
        <v>1246</v>
      </c>
      <c r="C58" s="744"/>
      <c r="D58" s="744"/>
      <c r="E58" s="744"/>
      <c r="F58" s="744"/>
      <c r="G58" s="744"/>
      <c r="H58" s="744"/>
      <c r="I58" s="744"/>
      <c r="J58" s="752"/>
      <c r="K58" s="752"/>
      <c r="L58" s="752"/>
    </row>
    <row r="59" spans="1:12" x14ac:dyDescent="0.3">
      <c r="A59" s="744"/>
      <c r="B59" s="815" t="s">
        <v>1247</v>
      </c>
      <c r="C59" s="744"/>
      <c r="D59" s="744"/>
      <c r="E59" s="744"/>
      <c r="F59" s="744"/>
      <c r="G59" s="744"/>
      <c r="H59" s="744"/>
      <c r="I59" s="744"/>
      <c r="J59" s="752"/>
      <c r="K59" s="752"/>
      <c r="L59" s="752"/>
    </row>
    <row r="60" spans="1:12" x14ac:dyDescent="0.3">
      <c r="A60" s="744"/>
      <c r="B60" s="815" t="s">
        <v>1248</v>
      </c>
      <c r="C60" s="752"/>
      <c r="D60" s="752"/>
      <c r="E60" s="752"/>
      <c r="F60" s="744"/>
      <c r="G60" s="744"/>
      <c r="H60" s="744"/>
      <c r="I60" s="744"/>
      <c r="J60" s="752"/>
      <c r="K60" s="752"/>
      <c r="L60" s="752"/>
    </row>
    <row r="61" spans="1:12" x14ac:dyDescent="0.3">
      <c r="A61" s="744"/>
      <c r="B61" s="815" t="s">
        <v>1249</v>
      </c>
      <c r="C61" s="744"/>
      <c r="D61" s="744"/>
      <c r="E61" s="744"/>
      <c r="F61" s="744"/>
      <c r="G61" s="744"/>
      <c r="H61" s="744"/>
      <c r="I61" s="744"/>
      <c r="J61" s="752"/>
      <c r="K61" s="752"/>
      <c r="L61" s="752"/>
    </row>
  </sheetData>
  <mergeCells count="2">
    <mergeCell ref="B5:J5"/>
    <mergeCell ref="D13:I13"/>
  </mergeCells>
  <printOptions horizontalCentered="1"/>
  <pageMargins left="0.25" right="0.25" top="0.5" bottom="0.5" header="0.25" footer="0.25"/>
  <pageSetup scale="59" orientation="landscape" r:id="rId1"/>
  <headerFooter scaleWithDoc="0">
    <oddFooter>&amp;C&amp;"Times New Roman,Regular"&amp;10&amp;A</oddFooter>
  </headerFooter>
  <customProperties>
    <customPr name="_pios_id" r:id="rId2"/>
  </customPropertie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pageSetUpPr fitToPage="1"/>
  </sheetPr>
  <dimension ref="A1:U49"/>
  <sheetViews>
    <sheetView zoomScale="80" zoomScaleNormal="80" workbookViewId="0"/>
  </sheetViews>
  <sheetFormatPr defaultColWidth="9.33203125" defaultRowHeight="15.6" x14ac:dyDescent="0.3"/>
  <cols>
    <col min="1" max="1" width="5.33203125" style="344" customWidth="1"/>
    <col min="2" max="2" width="12.5546875" style="5" customWidth="1"/>
    <col min="3" max="3" width="20" style="5" customWidth="1"/>
    <col min="4" max="7" width="21.5546875" style="5" customWidth="1"/>
    <col min="8" max="8" width="22.6640625" style="5" bestFit="1" customWidth="1"/>
    <col min="9" max="13" width="21.5546875" style="5" customWidth="1"/>
    <col min="14" max="14" width="5.33203125" style="344" customWidth="1"/>
    <col min="15" max="15" width="13.5546875" style="5" customWidth="1"/>
    <col min="16" max="16" width="12.5546875" style="5" customWidth="1"/>
    <col min="17" max="16384" width="9.33203125" style="5"/>
  </cols>
  <sheetData>
    <row r="1" spans="1:14" x14ac:dyDescent="0.3">
      <c r="I1" s="280"/>
    </row>
    <row r="2" spans="1:14" x14ac:dyDescent="0.3">
      <c r="B2" s="1244" t="s">
        <v>0</v>
      </c>
      <c r="C2" s="1244"/>
      <c r="D2" s="1244"/>
      <c r="E2" s="1244"/>
      <c r="F2" s="1244"/>
      <c r="G2" s="1244"/>
      <c r="H2" s="1244"/>
      <c r="I2" s="1244"/>
      <c r="J2" s="1244"/>
      <c r="K2" s="1244"/>
      <c r="L2" s="1244"/>
      <c r="M2" s="1244"/>
      <c r="N2" s="486"/>
    </row>
    <row r="3" spans="1:14" x14ac:dyDescent="0.3">
      <c r="B3" s="1249" t="s">
        <v>1769</v>
      </c>
      <c r="C3" s="1249"/>
      <c r="D3" s="1249"/>
      <c r="E3" s="1249"/>
      <c r="F3" s="1249"/>
      <c r="G3" s="1249"/>
      <c r="H3" s="1249"/>
      <c r="I3" s="1249"/>
      <c r="J3" s="1249"/>
      <c r="K3" s="1249"/>
      <c r="L3" s="1249"/>
      <c r="M3" s="1249"/>
      <c r="N3" s="486"/>
    </row>
    <row r="4" spans="1:14" x14ac:dyDescent="0.3">
      <c r="B4" s="1249" t="s">
        <v>1532</v>
      </c>
      <c r="C4" s="1249"/>
      <c r="D4" s="1249"/>
      <c r="E4" s="1249"/>
      <c r="F4" s="1249"/>
      <c r="G4" s="1249"/>
      <c r="H4" s="1249"/>
      <c r="I4" s="1249"/>
      <c r="J4" s="1249"/>
      <c r="K4" s="1249"/>
      <c r="L4" s="1249"/>
      <c r="M4" s="1249"/>
      <c r="N4" s="486"/>
    </row>
    <row r="5" spans="1:14" x14ac:dyDescent="0.3">
      <c r="B5" s="1245" t="s">
        <v>4</v>
      </c>
      <c r="C5" s="1245"/>
      <c r="D5" s="1245"/>
      <c r="E5" s="1245"/>
      <c r="F5" s="1245"/>
      <c r="G5" s="1245"/>
      <c r="H5" s="1245"/>
      <c r="I5" s="1245"/>
      <c r="J5" s="1245"/>
      <c r="K5" s="1245"/>
      <c r="L5" s="1245"/>
      <c r="M5" s="1245"/>
      <c r="N5" s="486"/>
    </row>
    <row r="6" spans="1:14" x14ac:dyDescent="0.3">
      <c r="A6" s="486"/>
      <c r="B6" s="486"/>
      <c r="C6" s="486"/>
      <c r="D6" s="486"/>
      <c r="E6" s="486"/>
      <c r="F6" s="486"/>
      <c r="G6" s="486"/>
      <c r="H6" s="486"/>
      <c r="I6" s="486"/>
      <c r="J6" s="486"/>
      <c r="K6" s="486"/>
      <c r="L6" s="486"/>
      <c r="M6" s="486"/>
      <c r="N6" s="486"/>
    </row>
    <row r="7" spans="1:14" x14ac:dyDescent="0.3">
      <c r="A7" s="4" t="s">
        <v>5</v>
      </c>
      <c r="B7" s="343"/>
      <c r="E7" s="33"/>
      <c r="F7" s="257"/>
      <c r="G7" s="257"/>
      <c r="N7" s="4" t="s">
        <v>5</v>
      </c>
    </row>
    <row r="8" spans="1:14" x14ac:dyDescent="0.3">
      <c r="A8" s="4" t="s">
        <v>6</v>
      </c>
      <c r="B8" s="343"/>
      <c r="E8" s="33"/>
      <c r="F8" s="257"/>
      <c r="G8" s="257"/>
      <c r="N8" s="4" t="s">
        <v>6</v>
      </c>
    </row>
    <row r="9" spans="1:14" x14ac:dyDescent="0.3">
      <c r="A9" s="477"/>
      <c r="B9" s="343"/>
      <c r="E9" s="33"/>
      <c r="F9" s="852" t="s">
        <v>8</v>
      </c>
      <c r="G9" s="852"/>
      <c r="N9" s="477"/>
    </row>
    <row r="10" spans="1:14" ht="18" x14ac:dyDescent="0.3">
      <c r="A10" s="4">
        <v>1</v>
      </c>
      <c r="B10" s="33" t="s">
        <v>1300</v>
      </c>
      <c r="C10" s="29"/>
      <c r="E10" s="84">
        <f>'TO5 True-Up BK-1'!E93</f>
        <v>1078752.4954202229</v>
      </c>
      <c r="F10" s="33" t="s">
        <v>1646</v>
      </c>
      <c r="G10" s="33"/>
      <c r="H10" s="32"/>
      <c r="I10" s="32"/>
      <c r="N10" s="4">
        <f>A10</f>
        <v>1</v>
      </c>
    </row>
    <row r="11" spans="1:14" x14ac:dyDescent="0.3">
      <c r="A11" s="4">
        <f>A10+1</f>
        <v>2</v>
      </c>
      <c r="B11" s="5" t="s">
        <v>1301</v>
      </c>
      <c r="D11" s="228">
        <v>1.0274999999999999E-2</v>
      </c>
      <c r="E11" s="6">
        <f>E10*D11</f>
        <v>11084.181890442789</v>
      </c>
      <c r="F11" s="5" t="s">
        <v>1302</v>
      </c>
      <c r="H11" s="32"/>
      <c r="I11" s="491"/>
      <c r="J11" s="491"/>
      <c r="N11" s="4">
        <f>N10+1</f>
        <v>2</v>
      </c>
    </row>
    <row r="12" spans="1:14" ht="16.2" thickBot="1" x14ac:dyDescent="0.35">
      <c r="A12" s="4">
        <f t="shared" ref="A12:A35" si="0">A11+1</f>
        <v>3</v>
      </c>
      <c r="B12" s="5" t="s">
        <v>1560</v>
      </c>
      <c r="D12" s="228">
        <v>1.73E-3</v>
      </c>
      <c r="E12" s="685">
        <f>E10*D12</f>
        <v>1866.2418170769856</v>
      </c>
      <c r="F12" s="492" t="s">
        <v>1303</v>
      </c>
      <c r="G12" s="492"/>
      <c r="H12" s="4"/>
      <c r="I12" s="491"/>
      <c r="J12" s="491"/>
      <c r="N12" s="4">
        <f t="shared" ref="N12:N35" si="1">N11+1</f>
        <v>3</v>
      </c>
    </row>
    <row r="13" spans="1:14" ht="16.2" thickTop="1" x14ac:dyDescent="0.3">
      <c r="A13" s="4">
        <f t="shared" si="0"/>
        <v>4</v>
      </c>
      <c r="B13" s="5" t="s">
        <v>1304</v>
      </c>
      <c r="E13" s="10">
        <f>E10+E11+E12</f>
        <v>1091702.9191277425</v>
      </c>
      <c r="F13" s="492" t="s">
        <v>487</v>
      </c>
      <c r="G13" s="492"/>
      <c r="H13" s="4"/>
      <c r="I13" s="491"/>
      <c r="J13" s="491"/>
      <c r="N13" s="4">
        <f t="shared" si="1"/>
        <v>4</v>
      </c>
    </row>
    <row r="14" spans="1:14" x14ac:dyDescent="0.3">
      <c r="A14" s="4">
        <f t="shared" si="0"/>
        <v>5</v>
      </c>
      <c r="E14" s="345"/>
      <c r="I14" s="491"/>
      <c r="J14" s="491"/>
      <c r="N14" s="4">
        <f t="shared" si="1"/>
        <v>5</v>
      </c>
    </row>
    <row r="15" spans="1:14" x14ac:dyDescent="0.3">
      <c r="A15" s="4">
        <f t="shared" si="0"/>
        <v>6</v>
      </c>
      <c r="C15" s="493" t="s">
        <v>1182</v>
      </c>
      <c r="D15" s="493" t="s">
        <v>1183</v>
      </c>
      <c r="E15" s="493" t="s">
        <v>1184</v>
      </c>
      <c r="F15" s="493" t="s">
        <v>1185</v>
      </c>
      <c r="G15" s="493" t="s">
        <v>1186</v>
      </c>
      <c r="H15" s="493" t="s">
        <v>1187</v>
      </c>
      <c r="I15" s="493" t="s">
        <v>1188</v>
      </c>
      <c r="J15" s="493" t="s">
        <v>1189</v>
      </c>
      <c r="K15" s="493" t="s">
        <v>1190</v>
      </c>
      <c r="L15" s="493" t="s">
        <v>1191</v>
      </c>
      <c r="M15" s="493" t="s">
        <v>1192</v>
      </c>
      <c r="N15" s="4">
        <f t="shared" si="1"/>
        <v>6</v>
      </c>
    </row>
    <row r="16" spans="1:14" x14ac:dyDescent="0.3">
      <c r="A16" s="4">
        <f t="shared" si="0"/>
        <v>7</v>
      </c>
      <c r="B16" s="345" t="s">
        <v>1305</v>
      </c>
      <c r="C16" s="4"/>
      <c r="D16" s="4" t="s">
        <v>1306</v>
      </c>
      <c r="E16" s="4"/>
      <c r="F16" s="4" t="s">
        <v>1307</v>
      </c>
      <c r="G16" s="4"/>
      <c r="H16" s="35" t="s">
        <v>1308</v>
      </c>
      <c r="I16" s="35" t="s">
        <v>1309</v>
      </c>
      <c r="J16" s="4"/>
      <c r="K16" s="4" t="s">
        <v>1310</v>
      </c>
      <c r="L16" s="4" t="s">
        <v>1311</v>
      </c>
      <c r="M16" s="35" t="s">
        <v>1312</v>
      </c>
      <c r="N16" s="4">
        <f t="shared" si="1"/>
        <v>7</v>
      </c>
    </row>
    <row r="17" spans="1:21" x14ac:dyDescent="0.3">
      <c r="A17" s="4">
        <f t="shared" si="0"/>
        <v>8</v>
      </c>
      <c r="B17" s="345"/>
      <c r="C17" s="4"/>
      <c r="D17" s="4"/>
      <c r="E17" s="4"/>
      <c r="F17" s="4"/>
      <c r="G17" s="4"/>
      <c r="H17" s="35"/>
      <c r="I17" s="35"/>
      <c r="J17" s="4"/>
      <c r="K17" s="4"/>
      <c r="L17" s="4"/>
      <c r="M17" s="35"/>
      <c r="N17" s="4">
        <f t="shared" si="1"/>
        <v>8</v>
      </c>
    </row>
    <row r="18" spans="1:21" x14ac:dyDescent="0.3">
      <c r="A18" s="4">
        <f t="shared" si="0"/>
        <v>9</v>
      </c>
      <c r="C18" s="493"/>
      <c r="H18" s="486"/>
      <c r="K18" s="221" t="s">
        <v>1313</v>
      </c>
      <c r="M18" s="221" t="s">
        <v>1313</v>
      </c>
      <c r="N18" s="4">
        <f t="shared" si="1"/>
        <v>9</v>
      </c>
    </row>
    <row r="19" spans="1:21" x14ac:dyDescent="0.3">
      <c r="A19" s="4">
        <f t="shared" si="0"/>
        <v>10</v>
      </c>
      <c r="C19" s="493"/>
      <c r="F19" s="486"/>
      <c r="G19" s="486"/>
      <c r="H19" s="221"/>
      <c r="I19" s="221" t="s">
        <v>1314</v>
      </c>
      <c r="J19" s="221"/>
      <c r="K19" s="221" t="s">
        <v>1315</v>
      </c>
      <c r="M19" s="221" t="s">
        <v>1315</v>
      </c>
      <c r="N19" s="4">
        <f t="shared" si="1"/>
        <v>10</v>
      </c>
    </row>
    <row r="20" spans="1:21" x14ac:dyDescent="0.3">
      <c r="A20" s="4">
        <f t="shared" si="0"/>
        <v>11</v>
      </c>
      <c r="C20" s="221"/>
      <c r="D20" s="221" t="s">
        <v>1314</v>
      </c>
      <c r="E20" s="221" t="s">
        <v>1314</v>
      </c>
      <c r="F20" s="221" t="s">
        <v>1316</v>
      </c>
      <c r="G20" s="221"/>
      <c r="H20" s="221" t="s">
        <v>1317</v>
      </c>
      <c r="I20" s="221" t="s">
        <v>1315</v>
      </c>
      <c r="J20" s="221" t="s">
        <v>1314</v>
      </c>
      <c r="K20" s="221" t="s">
        <v>1318</v>
      </c>
      <c r="M20" s="221" t="s">
        <v>1318</v>
      </c>
      <c r="N20" s="4">
        <f t="shared" si="1"/>
        <v>11</v>
      </c>
    </row>
    <row r="21" spans="1:21" x14ac:dyDescent="0.3">
      <c r="A21" s="4">
        <f t="shared" si="0"/>
        <v>12</v>
      </c>
      <c r="C21" s="221"/>
      <c r="D21" s="221" t="s">
        <v>1319</v>
      </c>
      <c r="E21" s="221" t="s">
        <v>1319</v>
      </c>
      <c r="F21" s="221" t="s">
        <v>1319</v>
      </c>
      <c r="G21" s="221" t="s">
        <v>1320</v>
      </c>
      <c r="H21" s="221" t="s">
        <v>1319</v>
      </c>
      <c r="I21" s="221" t="s">
        <v>1318</v>
      </c>
      <c r="J21" s="221" t="s">
        <v>1321</v>
      </c>
      <c r="K21" s="221" t="s">
        <v>1322</v>
      </c>
      <c r="L21" s="221"/>
      <c r="M21" s="221" t="s">
        <v>1322</v>
      </c>
      <c r="N21" s="4">
        <f t="shared" si="1"/>
        <v>12</v>
      </c>
    </row>
    <row r="22" spans="1:21" ht="18" x14ac:dyDescent="0.3">
      <c r="A22" s="4">
        <f t="shared" si="0"/>
        <v>13</v>
      </c>
      <c r="B22" s="257" t="s">
        <v>286</v>
      </c>
      <c r="C22" s="257" t="s">
        <v>1323</v>
      </c>
      <c r="D22" s="257" t="s">
        <v>1324</v>
      </c>
      <c r="E22" s="257" t="s">
        <v>1325</v>
      </c>
      <c r="F22" s="257" t="s">
        <v>1326</v>
      </c>
      <c r="G22" s="257" t="s">
        <v>1327</v>
      </c>
      <c r="H22" s="257" t="s">
        <v>1328</v>
      </c>
      <c r="I22" s="257" t="s">
        <v>1322</v>
      </c>
      <c r="J22" s="257" t="s">
        <v>1329</v>
      </c>
      <c r="K22" s="257" t="s">
        <v>1330</v>
      </c>
      <c r="L22" s="505" t="s">
        <v>1321</v>
      </c>
      <c r="M22" s="257" t="s">
        <v>1331</v>
      </c>
      <c r="N22" s="4">
        <f t="shared" si="1"/>
        <v>13</v>
      </c>
      <c r="P22"/>
      <c r="Q22"/>
      <c r="R22"/>
      <c r="S22"/>
      <c r="T22"/>
      <c r="U22"/>
    </row>
    <row r="23" spans="1:21" x14ac:dyDescent="0.3">
      <c r="A23" s="4">
        <f t="shared" si="0"/>
        <v>14</v>
      </c>
      <c r="B23" s="33" t="s">
        <v>1332</v>
      </c>
      <c r="C23" s="494" t="str">
        <f>RIGHT(B4,4)</f>
        <v>2023</v>
      </c>
      <c r="D23" s="144">
        <f t="shared" ref="D23:D34" si="2">$E$13/12</f>
        <v>90975.243260645206</v>
      </c>
      <c r="E23" s="873">
        <v>103756.927</v>
      </c>
      <c r="F23" s="145">
        <f t="shared" ref="F23:F34" si="3">$F$35/12</f>
        <v>-6675.1976666666669</v>
      </c>
      <c r="G23" s="145">
        <f>$G$35/12</f>
        <v>369.75</v>
      </c>
      <c r="H23" s="10">
        <f>SUM(E23:G23)</f>
        <v>97451.479333333322</v>
      </c>
      <c r="I23" s="145">
        <f>D23-H23</f>
        <v>-6476.2360726881161</v>
      </c>
      <c r="J23" s="146">
        <v>5.4000000000000003E-3</v>
      </c>
      <c r="K23" s="147">
        <f>I23</f>
        <v>-6476.2360726881161</v>
      </c>
      <c r="L23" s="144">
        <f>(I23/2)*J23</f>
        <v>-17.485837396257914</v>
      </c>
      <c r="M23" s="144">
        <f t="shared" ref="M23:M34" si="4">K23+L23</f>
        <v>-6493.721910084374</v>
      </c>
      <c r="N23" s="4">
        <f t="shared" si="1"/>
        <v>14</v>
      </c>
      <c r="O23" s="119"/>
      <c r="P23" s="258"/>
    </row>
    <row r="24" spans="1:21" x14ac:dyDescent="0.3">
      <c r="A24" s="4">
        <f t="shared" si="0"/>
        <v>15</v>
      </c>
      <c r="B24" s="33" t="s">
        <v>1333</v>
      </c>
      <c r="C24" s="494" t="str">
        <f>C23</f>
        <v>2023</v>
      </c>
      <c r="D24" s="148">
        <f t="shared" si="2"/>
        <v>90975.243260645206</v>
      </c>
      <c r="E24" s="873">
        <v>86496.557000000001</v>
      </c>
      <c r="F24" s="119">
        <f t="shared" si="3"/>
        <v>-6675.1976666666669</v>
      </c>
      <c r="G24" s="119">
        <f>$G$35/12</f>
        <v>369.75</v>
      </c>
      <c r="H24" s="8">
        <f>SUM(E24:G24)</f>
        <v>80191.109333333327</v>
      </c>
      <c r="I24" s="119">
        <f t="shared" ref="I24:I34" si="5">D24-H24</f>
        <v>10784.133927311879</v>
      </c>
      <c r="J24" s="146">
        <v>4.7999999999999996E-3</v>
      </c>
      <c r="K24" s="149">
        <f>M23+I24</f>
        <v>4290.4120172275052</v>
      </c>
      <c r="L24" s="148">
        <f t="shared" ref="L24:L34" si="6">(M23+K24)/2*J24</f>
        <v>-5.2879437428564851</v>
      </c>
      <c r="M24" s="148">
        <f t="shared" si="4"/>
        <v>4285.1240734846488</v>
      </c>
      <c r="N24" s="4">
        <f t="shared" si="1"/>
        <v>15</v>
      </c>
      <c r="O24" s="157"/>
    </row>
    <row r="25" spans="1:21" x14ac:dyDescent="0.3">
      <c r="A25" s="4">
        <f t="shared" si="0"/>
        <v>16</v>
      </c>
      <c r="B25" s="33" t="s">
        <v>1334</v>
      </c>
      <c r="C25" s="494" t="str">
        <f>C23</f>
        <v>2023</v>
      </c>
      <c r="D25" s="148">
        <f t="shared" si="2"/>
        <v>90975.243260645206</v>
      </c>
      <c r="E25" s="873">
        <v>102725.97</v>
      </c>
      <c r="F25" s="119">
        <f t="shared" si="3"/>
        <v>-6675.1976666666669</v>
      </c>
      <c r="G25" s="119">
        <f t="shared" ref="G25:G34" si="7">$G$35/12</f>
        <v>369.75</v>
      </c>
      <c r="H25" s="8">
        <f t="shared" ref="H25:H33" si="8">SUM(E25:G25)</f>
        <v>96420.522333333327</v>
      </c>
      <c r="I25" s="119">
        <f t="shared" si="5"/>
        <v>-5445.2790726881212</v>
      </c>
      <c r="J25" s="146">
        <v>5.4000000000000003E-3</v>
      </c>
      <c r="K25" s="149">
        <f>M24+I25</f>
        <v>-1160.1549992034725</v>
      </c>
      <c r="L25" s="148">
        <f>(M24+K25)/2*J25</f>
        <v>8.437416500559177</v>
      </c>
      <c r="M25" s="148">
        <f t="shared" si="4"/>
        <v>-1151.7175827029132</v>
      </c>
      <c r="N25" s="4">
        <f t="shared" si="1"/>
        <v>16</v>
      </c>
      <c r="O25" s="157"/>
    </row>
    <row r="26" spans="1:21" x14ac:dyDescent="0.3">
      <c r="A26" s="4">
        <f t="shared" si="0"/>
        <v>17</v>
      </c>
      <c r="B26" s="33" t="s">
        <v>1335</v>
      </c>
      <c r="C26" s="494" t="str">
        <f>C23</f>
        <v>2023</v>
      </c>
      <c r="D26" s="148">
        <f t="shared" si="2"/>
        <v>90975.243260645206</v>
      </c>
      <c r="E26" s="873">
        <v>79666.353000000003</v>
      </c>
      <c r="F26" s="119">
        <f t="shared" si="3"/>
        <v>-6675.1976666666669</v>
      </c>
      <c r="G26" s="119">
        <f t="shared" si="7"/>
        <v>369.75</v>
      </c>
      <c r="H26" s="8">
        <f t="shared" si="8"/>
        <v>73360.905333333329</v>
      </c>
      <c r="I26" s="119">
        <f>D26-H26</f>
        <v>17614.337927311877</v>
      </c>
      <c r="J26" s="146">
        <v>6.1999999999999998E-3</v>
      </c>
      <c r="K26" s="149">
        <f>M25+I26</f>
        <v>16462.620344608964</v>
      </c>
      <c r="L26" s="148">
        <f>(M25+K26)/2*J26</f>
        <v>47.463798561908753</v>
      </c>
      <c r="M26" s="148">
        <f t="shared" si="4"/>
        <v>16510.084143170872</v>
      </c>
      <c r="N26" s="4">
        <f t="shared" si="1"/>
        <v>17</v>
      </c>
      <c r="O26" s="157"/>
      <c r="Q26" s="495"/>
    </row>
    <row r="27" spans="1:21" x14ac:dyDescent="0.3">
      <c r="A27" s="4">
        <f t="shared" si="0"/>
        <v>18</v>
      </c>
      <c r="B27" s="33" t="s">
        <v>1336</v>
      </c>
      <c r="C27" s="494" t="str">
        <f>C23</f>
        <v>2023</v>
      </c>
      <c r="D27" s="148">
        <f t="shared" si="2"/>
        <v>90975.243260645206</v>
      </c>
      <c r="E27" s="873">
        <v>82468.038</v>
      </c>
      <c r="F27" s="119">
        <f t="shared" si="3"/>
        <v>-6675.1976666666669</v>
      </c>
      <c r="G27" s="119">
        <f t="shared" si="7"/>
        <v>369.75</v>
      </c>
      <c r="H27" s="8">
        <f t="shared" si="8"/>
        <v>76162.590333333326</v>
      </c>
      <c r="I27" s="119">
        <f t="shared" si="5"/>
        <v>14812.652927311879</v>
      </c>
      <c r="J27" s="146">
        <v>6.4000000000000003E-3</v>
      </c>
      <c r="K27" s="149">
        <f t="shared" ref="K27:K34" si="9">M26+I27</f>
        <v>31322.737070482752</v>
      </c>
      <c r="L27" s="148">
        <f t="shared" si="6"/>
        <v>153.06502788369161</v>
      </c>
      <c r="M27" s="148">
        <f t="shared" si="4"/>
        <v>31475.802098366443</v>
      </c>
      <c r="N27" s="4">
        <f t="shared" si="1"/>
        <v>18</v>
      </c>
      <c r="O27" s="157"/>
    </row>
    <row r="28" spans="1:21" x14ac:dyDescent="0.3">
      <c r="A28" s="4">
        <f t="shared" si="0"/>
        <v>19</v>
      </c>
      <c r="B28" s="33" t="s">
        <v>1337</v>
      </c>
      <c r="C28" s="494" t="str">
        <f>C23</f>
        <v>2023</v>
      </c>
      <c r="D28" s="148">
        <f t="shared" si="2"/>
        <v>90975.243260645206</v>
      </c>
      <c r="E28" s="873">
        <v>94033.187000000005</v>
      </c>
      <c r="F28" s="119">
        <f t="shared" si="3"/>
        <v>-6675.1976666666669</v>
      </c>
      <c r="G28" s="119">
        <f t="shared" si="7"/>
        <v>369.75</v>
      </c>
      <c r="H28" s="8">
        <f t="shared" si="8"/>
        <v>87727.739333333331</v>
      </c>
      <c r="I28" s="119">
        <f t="shared" si="5"/>
        <v>3247.5039273118746</v>
      </c>
      <c r="J28" s="146">
        <v>6.1999999999999998E-3</v>
      </c>
      <c r="K28" s="149">
        <f t="shared" si="9"/>
        <v>34723.306025678321</v>
      </c>
      <c r="L28" s="148">
        <f>(M27+K28)/2*J28</f>
        <v>205.21723518453877</v>
      </c>
      <c r="M28" s="148">
        <f t="shared" si="4"/>
        <v>34928.523260862858</v>
      </c>
      <c r="N28" s="4">
        <f t="shared" si="1"/>
        <v>19</v>
      </c>
      <c r="O28" s="157"/>
    </row>
    <row r="29" spans="1:21" x14ac:dyDescent="0.3">
      <c r="A29" s="4">
        <f t="shared" si="0"/>
        <v>20</v>
      </c>
      <c r="B29" s="33" t="s">
        <v>1338</v>
      </c>
      <c r="C29" s="494" t="str">
        <f>C23</f>
        <v>2023</v>
      </c>
      <c r="D29" s="148">
        <f t="shared" si="2"/>
        <v>90975.243260645206</v>
      </c>
      <c r="E29" s="873">
        <v>90023.712</v>
      </c>
      <c r="F29" s="119">
        <f t="shared" si="3"/>
        <v>-6675.1976666666669</v>
      </c>
      <c r="G29" s="119">
        <f t="shared" si="7"/>
        <v>369.75</v>
      </c>
      <c r="H29" s="8">
        <f t="shared" si="8"/>
        <v>83718.264333333325</v>
      </c>
      <c r="I29" s="119">
        <f t="shared" si="5"/>
        <v>7256.9789273118804</v>
      </c>
      <c r="J29" s="146">
        <v>6.7999999999999996E-3</v>
      </c>
      <c r="K29" s="149">
        <f t="shared" si="9"/>
        <v>42185.502188174738</v>
      </c>
      <c r="L29" s="148">
        <f t="shared" si="6"/>
        <v>262.18768652672782</v>
      </c>
      <c r="M29" s="148">
        <f t="shared" si="4"/>
        <v>42447.689874701464</v>
      </c>
      <c r="N29" s="4">
        <f t="shared" si="1"/>
        <v>20</v>
      </c>
      <c r="O29" s="157"/>
    </row>
    <row r="30" spans="1:21" x14ac:dyDescent="0.3">
      <c r="A30" s="4">
        <f t="shared" si="0"/>
        <v>21</v>
      </c>
      <c r="B30" s="33" t="s">
        <v>1339</v>
      </c>
      <c r="C30" s="494" t="str">
        <f>C23</f>
        <v>2023</v>
      </c>
      <c r="D30" s="148">
        <f t="shared" si="2"/>
        <v>90975.243260645206</v>
      </c>
      <c r="E30" s="873">
        <v>125705.72900000001</v>
      </c>
      <c r="F30" s="119">
        <f t="shared" si="3"/>
        <v>-6675.1976666666669</v>
      </c>
      <c r="G30" s="119">
        <f t="shared" si="7"/>
        <v>369.75</v>
      </c>
      <c r="H30" s="8">
        <f t="shared" si="8"/>
        <v>119400.28133333335</v>
      </c>
      <c r="I30" s="119">
        <f t="shared" si="5"/>
        <v>-28425.038072688141</v>
      </c>
      <c r="J30" s="146">
        <v>6.7999999999999996E-3</v>
      </c>
      <c r="K30" s="149">
        <f t="shared" si="9"/>
        <v>14022.651802013323</v>
      </c>
      <c r="L30" s="148">
        <f t="shared" si="6"/>
        <v>191.99916170083026</v>
      </c>
      <c r="M30" s="148">
        <f t="shared" si="4"/>
        <v>14214.650963714153</v>
      </c>
      <c r="N30" s="4">
        <f t="shared" si="1"/>
        <v>21</v>
      </c>
      <c r="O30" s="157"/>
    </row>
    <row r="31" spans="1:21" x14ac:dyDescent="0.3">
      <c r="A31" s="4">
        <f t="shared" si="0"/>
        <v>22</v>
      </c>
      <c r="B31" s="33" t="s">
        <v>1340</v>
      </c>
      <c r="C31" s="494" t="str">
        <f>C23</f>
        <v>2023</v>
      </c>
      <c r="D31" s="148">
        <f t="shared" si="2"/>
        <v>90975.243260645206</v>
      </c>
      <c r="E31" s="873">
        <v>113780.53</v>
      </c>
      <c r="F31" s="119">
        <f t="shared" si="3"/>
        <v>-6675.1976666666669</v>
      </c>
      <c r="G31" s="119">
        <f t="shared" si="7"/>
        <v>369.75</v>
      </c>
      <c r="H31" s="8">
        <f t="shared" si="8"/>
        <v>107475.08233333332</v>
      </c>
      <c r="I31" s="119">
        <f t="shared" si="5"/>
        <v>-16499.839072688119</v>
      </c>
      <c r="J31" s="146">
        <v>6.6E-3</v>
      </c>
      <c r="K31" s="149">
        <f t="shared" si="9"/>
        <v>-2285.1881089739654</v>
      </c>
      <c r="L31" s="148">
        <f t="shared" si="6"/>
        <v>39.367227420642621</v>
      </c>
      <c r="M31" s="148">
        <f t="shared" si="4"/>
        <v>-2245.8208815533226</v>
      </c>
      <c r="N31" s="4">
        <f t="shared" si="1"/>
        <v>22</v>
      </c>
      <c r="O31" s="157"/>
    </row>
    <row r="32" spans="1:21" x14ac:dyDescent="0.3">
      <c r="A32" s="4">
        <f t="shared" si="0"/>
        <v>23</v>
      </c>
      <c r="B32" s="33" t="s">
        <v>1341</v>
      </c>
      <c r="C32" s="494" t="str">
        <f>C23</f>
        <v>2023</v>
      </c>
      <c r="D32" s="148">
        <f t="shared" si="2"/>
        <v>90975.243260645206</v>
      </c>
      <c r="E32" s="873">
        <v>112727.056</v>
      </c>
      <c r="F32" s="119">
        <f t="shared" si="3"/>
        <v>-6675.1976666666669</v>
      </c>
      <c r="G32" s="119">
        <f t="shared" si="7"/>
        <v>369.75</v>
      </c>
      <c r="H32" s="8">
        <f t="shared" si="8"/>
        <v>106421.60833333334</v>
      </c>
      <c r="I32" s="119">
        <f t="shared" si="5"/>
        <v>-15446.365072688131</v>
      </c>
      <c r="J32" s="146">
        <v>7.1000000000000004E-3</v>
      </c>
      <c r="K32" s="149">
        <f t="shared" si="9"/>
        <v>-17692.185954241453</v>
      </c>
      <c r="L32" s="148">
        <f t="shared" si="6"/>
        <v>-70.779924267071451</v>
      </c>
      <c r="M32" s="148">
        <f t="shared" si="4"/>
        <v>-17762.965878508523</v>
      </c>
      <c r="N32" s="4">
        <f t="shared" si="1"/>
        <v>23</v>
      </c>
      <c r="O32" s="157"/>
    </row>
    <row r="33" spans="1:15" x14ac:dyDescent="0.3">
      <c r="A33" s="4">
        <f t="shared" si="0"/>
        <v>24</v>
      </c>
      <c r="B33" s="33" t="s">
        <v>1342</v>
      </c>
      <c r="C33" s="494" t="str">
        <f>C23</f>
        <v>2023</v>
      </c>
      <c r="D33" s="148">
        <f t="shared" si="2"/>
        <v>90975.243260645206</v>
      </c>
      <c r="E33" s="873">
        <v>95544.797000000006</v>
      </c>
      <c r="F33" s="119">
        <f t="shared" si="3"/>
        <v>-6675.1976666666669</v>
      </c>
      <c r="G33" s="119">
        <f t="shared" si="7"/>
        <v>369.75</v>
      </c>
      <c r="H33" s="8">
        <f t="shared" si="8"/>
        <v>89239.349333333346</v>
      </c>
      <c r="I33" s="119">
        <f t="shared" si="5"/>
        <v>1735.8939273118594</v>
      </c>
      <c r="J33" s="146">
        <v>6.8999999999999999E-3</v>
      </c>
      <c r="K33" s="149">
        <f t="shared" si="9"/>
        <v>-16027.071951196664</v>
      </c>
      <c r="L33" s="8">
        <f t="shared" si="6"/>
        <v>-116.57563051248289</v>
      </c>
      <c r="M33" s="8">
        <f t="shared" si="4"/>
        <v>-16143.647581709147</v>
      </c>
      <c r="N33" s="4">
        <f t="shared" si="1"/>
        <v>24</v>
      </c>
      <c r="O33" s="157"/>
    </row>
    <row r="34" spans="1:15" x14ac:dyDescent="0.3">
      <c r="A34" s="4">
        <f t="shared" si="0"/>
        <v>25</v>
      </c>
      <c r="B34" s="1067" t="s">
        <v>1343</v>
      </c>
      <c r="C34" s="1068" t="str">
        <f>C23</f>
        <v>2023</v>
      </c>
      <c r="D34" s="1069">
        <f t="shared" si="2"/>
        <v>90975.243260645206</v>
      </c>
      <c r="E34" s="873">
        <v>87335.812999999995</v>
      </c>
      <c r="F34" s="1070">
        <f t="shared" si="3"/>
        <v>-6675.1976666666669</v>
      </c>
      <c r="G34" s="1070">
        <f t="shared" si="7"/>
        <v>369.75</v>
      </c>
      <c r="H34" s="918">
        <f>SUM(E34:G34)</f>
        <v>81030.36533333332</v>
      </c>
      <c r="I34" s="1070">
        <f t="shared" si="5"/>
        <v>9944.8779273118853</v>
      </c>
      <c r="J34" s="1040">
        <v>7.1000000000000004E-3</v>
      </c>
      <c r="K34" s="1071">
        <f t="shared" si="9"/>
        <v>-6198.7696543972615</v>
      </c>
      <c r="L34" s="918">
        <f t="shared" si="6"/>
        <v>-79.315581188177759</v>
      </c>
      <c r="M34" s="918">
        <f t="shared" si="4"/>
        <v>-6278.0852355854395</v>
      </c>
      <c r="N34" s="4">
        <f t="shared" si="1"/>
        <v>25</v>
      </c>
      <c r="O34" s="157"/>
    </row>
    <row r="35" spans="1:15" ht="16.2" thickBot="1" x14ac:dyDescent="0.35">
      <c r="A35" s="4">
        <f t="shared" si="0"/>
        <v>26</v>
      </c>
      <c r="D35" s="150">
        <f>SUM(D23:D34)</f>
        <v>1091702.9191277425</v>
      </c>
      <c r="E35" s="150">
        <f>SUM(E23:E34)</f>
        <v>1174264.669</v>
      </c>
      <c r="F35" s="151">
        <f>-77465.882-2636.49</f>
        <v>-80102.372000000003</v>
      </c>
      <c r="G35" s="151">
        <v>4437</v>
      </c>
      <c r="H35" s="150">
        <f>SUM(H23:H34)</f>
        <v>1098599.297</v>
      </c>
      <c r="I35" s="150">
        <f>SUM(I23:I34)</f>
        <v>-6896.3778722574934</v>
      </c>
      <c r="J35" s="152"/>
      <c r="K35" s="153"/>
      <c r="L35" s="97">
        <f>SUM(L23:L34)</f>
        <v>618.29263667205237</v>
      </c>
      <c r="M35" s="686"/>
      <c r="N35" s="4">
        <f t="shared" si="1"/>
        <v>26</v>
      </c>
    </row>
    <row r="36" spans="1:15" ht="16.2" thickTop="1" x14ac:dyDescent="0.3">
      <c r="D36" s="165"/>
      <c r="E36" s="165"/>
      <c r="F36" s="894"/>
      <c r="G36" s="165"/>
      <c r="H36" s="894"/>
      <c r="I36" s="894"/>
      <c r="J36" s="165"/>
      <c r="K36" s="165"/>
      <c r="L36" s="687"/>
      <c r="M36" s="687"/>
    </row>
    <row r="37" spans="1:15" x14ac:dyDescent="0.3">
      <c r="B37" s="37"/>
      <c r="F37" s="496"/>
      <c r="G37" s="496"/>
    </row>
    <row r="38" spans="1:15" ht="18" x14ac:dyDescent="0.3">
      <c r="A38" s="256">
        <v>1</v>
      </c>
      <c r="B38" s="5" t="s">
        <v>1344</v>
      </c>
      <c r="F38" s="496"/>
      <c r="G38" s="496"/>
    </row>
    <row r="39" spans="1:15" ht="18" x14ac:dyDescent="0.3">
      <c r="A39" s="256">
        <v>2</v>
      </c>
      <c r="B39" s="5" t="s">
        <v>1345</v>
      </c>
    </row>
    <row r="40" spans="1:15" ht="18" x14ac:dyDescent="0.3">
      <c r="A40" s="256">
        <v>3</v>
      </c>
      <c r="B40" s="5" t="s">
        <v>1346</v>
      </c>
    </row>
    <row r="41" spans="1:15" ht="18" x14ac:dyDescent="0.3">
      <c r="A41" s="256">
        <v>4</v>
      </c>
      <c r="B41" s="5" t="s">
        <v>1347</v>
      </c>
    </row>
    <row r="42" spans="1:15" ht="18" x14ac:dyDescent="0.3">
      <c r="A42" s="256"/>
      <c r="B42" s="5" t="s">
        <v>1348</v>
      </c>
    </row>
    <row r="43" spans="1:15" ht="18" x14ac:dyDescent="0.3">
      <c r="A43" s="256">
        <v>5</v>
      </c>
      <c r="B43" s="5" t="s">
        <v>1349</v>
      </c>
      <c r="C43" s="442"/>
    </row>
    <row r="44" spans="1:15" ht="18" x14ac:dyDescent="0.3">
      <c r="A44" s="256">
        <v>6</v>
      </c>
      <c r="B44" s="5" t="s">
        <v>1350</v>
      </c>
    </row>
    <row r="45" spans="1:15" ht="18" x14ac:dyDescent="0.3">
      <c r="A45" s="256">
        <v>7</v>
      </c>
      <c r="B45" s="5" t="s">
        <v>1351</v>
      </c>
    </row>
    <row r="46" spans="1:15" customFormat="1" ht="14.4" x14ac:dyDescent="0.3"/>
    <row r="47" spans="1:15" customFormat="1" ht="14.4" x14ac:dyDescent="0.3"/>
    <row r="48" spans="1:15" customFormat="1" ht="14.4" x14ac:dyDescent="0.3"/>
    <row r="49" customFormat="1" ht="14.4" x14ac:dyDescent="0.3"/>
  </sheetData>
  <mergeCells count="4">
    <mergeCell ref="B5:M5"/>
    <mergeCell ref="B2:M2"/>
    <mergeCell ref="B3:M3"/>
    <mergeCell ref="B4:M4"/>
  </mergeCells>
  <printOptions horizontalCentered="1"/>
  <pageMargins left="0.5" right="0.5" top="0.5" bottom="0.5" header="0.25" footer="0.25"/>
  <pageSetup scale="49" orientation="landscape" r:id="rId1"/>
  <headerFooter scaleWithDoc="0">
    <oddFooter>&amp;C&amp;"Times New Roman,Regular"&amp;10&amp;A</oddFooter>
  </headerFooter>
  <rowBreaks count="1" manualBreakCount="1">
    <brk id="52" max="14" man="1"/>
  </rowBreaks>
  <customProperties>
    <customPr name="_pios_id" r:id="rId2"/>
  </customPropertie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2:P195"/>
  <sheetViews>
    <sheetView zoomScale="80" zoomScaleNormal="80" workbookViewId="0"/>
  </sheetViews>
  <sheetFormatPr defaultColWidth="9.33203125" defaultRowHeight="15.6" x14ac:dyDescent="0.3"/>
  <cols>
    <col min="1" max="1" width="5.33203125" style="4" customWidth="1"/>
    <col min="2" max="2" width="80.6640625" style="32" customWidth="1"/>
    <col min="3" max="3" width="10.44140625" style="32" customWidth="1"/>
    <col min="4" max="4" width="1.5546875" style="32" customWidth="1"/>
    <col min="5" max="5" width="16.6640625" style="32" customWidth="1"/>
    <col min="6" max="6" width="1.5546875" style="32" customWidth="1"/>
    <col min="7" max="7" width="51.44140625" style="32" customWidth="1"/>
    <col min="8" max="9" width="5.33203125" style="4" customWidth="1"/>
    <col min="10" max="10" width="11" style="32" customWidth="1"/>
    <col min="11" max="11" width="9.109375" style="32"/>
    <col min="12" max="12" width="22.109375" style="32" bestFit="1" customWidth="1"/>
    <col min="13" max="14" width="12.5546875" style="32" bestFit="1" customWidth="1"/>
    <col min="15" max="15" width="10.5546875" style="32" bestFit="1" customWidth="1"/>
    <col min="16" max="16384" width="9.33203125" style="32"/>
  </cols>
  <sheetData>
    <row r="2" spans="1:10" x14ac:dyDescent="0.3">
      <c r="B2" s="1222" t="s">
        <v>0</v>
      </c>
      <c r="C2" s="1223"/>
      <c r="D2" s="1223"/>
      <c r="E2" s="1223"/>
      <c r="F2" s="1223"/>
      <c r="G2" s="1223"/>
    </row>
    <row r="3" spans="1:10" x14ac:dyDescent="0.3">
      <c r="A3" s="4" t="s">
        <v>1</v>
      </c>
      <c r="B3" s="1222" t="s">
        <v>2</v>
      </c>
      <c r="C3" s="1223"/>
      <c r="D3" s="1223"/>
      <c r="E3" s="1223"/>
      <c r="F3" s="1223"/>
      <c r="G3" s="1223"/>
    </row>
    <row r="4" spans="1:10" ht="18" x14ac:dyDescent="0.3">
      <c r="B4" s="1222" t="s">
        <v>3</v>
      </c>
      <c r="C4" s="1224"/>
      <c r="D4" s="1224"/>
      <c r="E4" s="1224"/>
      <c r="F4" s="1224"/>
      <c r="G4" s="1224"/>
    </row>
    <row r="5" spans="1:10" x14ac:dyDescent="0.3">
      <c r="B5" s="1225" t="s">
        <v>1636</v>
      </c>
      <c r="C5" s="1225"/>
      <c r="D5" s="1225"/>
      <c r="E5" s="1225"/>
      <c r="F5" s="1225"/>
      <c r="G5" s="1225"/>
    </row>
    <row r="6" spans="1:10" x14ac:dyDescent="0.3">
      <c r="B6" s="1226" t="s">
        <v>4</v>
      </c>
      <c r="C6" s="1223"/>
      <c r="D6" s="1223"/>
      <c r="E6" s="1223"/>
      <c r="F6" s="1223"/>
      <c r="G6" s="1223"/>
    </row>
    <row r="7" spans="1:10" x14ac:dyDescent="0.3">
      <c r="B7" s="265"/>
      <c r="C7" s="1"/>
      <c r="D7" s="1"/>
      <c r="E7" s="1"/>
      <c r="F7" s="1"/>
      <c r="G7" s="1"/>
    </row>
    <row r="8" spans="1:10" x14ac:dyDescent="0.3">
      <c r="A8" s="4" t="s">
        <v>5</v>
      </c>
      <c r="E8" s="25"/>
      <c r="G8" s="4"/>
      <c r="H8" s="4" t="s">
        <v>5</v>
      </c>
    </row>
    <row r="9" spans="1:10" x14ac:dyDescent="0.3">
      <c r="A9" s="4" t="s">
        <v>6</v>
      </c>
      <c r="B9" s="1" t="s">
        <v>1</v>
      </c>
      <c r="E9" s="914" t="s">
        <v>1352</v>
      </c>
      <c r="G9" s="852" t="s">
        <v>8</v>
      </c>
      <c r="H9" s="4" t="s">
        <v>6</v>
      </c>
    </row>
    <row r="10" spans="1:10" x14ac:dyDescent="0.3">
      <c r="B10" s="251" t="s">
        <v>9</v>
      </c>
      <c r="C10" s="509"/>
      <c r="D10" s="509"/>
      <c r="E10" s="25"/>
      <c r="G10" s="4"/>
    </row>
    <row r="11" spans="1:10" x14ac:dyDescent="0.3">
      <c r="A11" s="4">
        <f t="shared" ref="A11:A92" si="0">A10+1</f>
        <v>1</v>
      </c>
      <c r="B11" s="33" t="s">
        <v>10</v>
      </c>
      <c r="C11" s="261"/>
      <c r="D11" s="261"/>
      <c r="E11" s="7">
        <f>'True-Up Stmt AH'!E19</f>
        <v>117262.21525000001</v>
      </c>
      <c r="G11" s="4" t="s">
        <v>1927</v>
      </c>
      <c r="H11" s="4">
        <f>H10+1</f>
        <v>1</v>
      </c>
      <c r="J11" s="4"/>
    </row>
    <row r="12" spans="1:10" x14ac:dyDescent="0.3">
      <c r="A12" s="4">
        <f t="shared" si="0"/>
        <v>2</v>
      </c>
      <c r="B12" s="33" t="s">
        <v>1</v>
      </c>
      <c r="C12" s="261"/>
      <c r="D12" s="261"/>
      <c r="E12" s="8" t="s">
        <v>1</v>
      </c>
      <c r="G12" s="4"/>
      <c r="H12" s="4">
        <f>H11+1</f>
        <v>2</v>
      </c>
      <c r="J12" s="4"/>
    </row>
    <row r="13" spans="1:10" x14ac:dyDescent="0.3">
      <c r="A13" s="4">
        <f t="shared" si="0"/>
        <v>3</v>
      </c>
      <c r="B13" s="33" t="s">
        <v>11</v>
      </c>
      <c r="C13" s="261"/>
      <c r="D13" s="261"/>
      <c r="E13" s="9">
        <f>'True-Up Stmt AH'!E41</f>
        <v>100674.79858886809</v>
      </c>
      <c r="F13" s="1"/>
      <c r="G13" s="4" t="s">
        <v>1928</v>
      </c>
      <c r="H13" s="4">
        <f>H12+1</f>
        <v>3</v>
      </c>
      <c r="J13" s="4"/>
    </row>
    <row r="14" spans="1:10" x14ac:dyDescent="0.3">
      <c r="A14" s="4">
        <f t="shared" si="0"/>
        <v>4</v>
      </c>
      <c r="B14" s="33"/>
      <c r="C14" s="261"/>
      <c r="D14" s="261"/>
      <c r="E14" s="8"/>
      <c r="F14" s="1"/>
      <c r="G14" s="4"/>
      <c r="H14" s="4">
        <f t="shared" ref="H14:H68" si="1">H13+1</f>
        <v>4</v>
      </c>
      <c r="J14" s="4"/>
    </row>
    <row r="15" spans="1:10" x14ac:dyDescent="0.3">
      <c r="A15" s="4">
        <f t="shared" si="0"/>
        <v>5</v>
      </c>
      <c r="B15" s="33" t="s">
        <v>12</v>
      </c>
      <c r="C15" s="261"/>
      <c r="D15" s="261"/>
      <c r="E15" s="845">
        <f>'True-Up Stmt AH'!E26</f>
        <v>0</v>
      </c>
      <c r="G15" s="4" t="s">
        <v>1944</v>
      </c>
      <c r="H15" s="4">
        <f t="shared" si="1"/>
        <v>5</v>
      </c>
      <c r="J15" s="4"/>
    </row>
    <row r="16" spans="1:10" x14ac:dyDescent="0.3">
      <c r="A16" s="4">
        <f t="shared" si="0"/>
        <v>6</v>
      </c>
      <c r="B16" s="33" t="s">
        <v>13</v>
      </c>
      <c r="C16" s="261"/>
      <c r="D16" s="261"/>
      <c r="E16" s="1126">
        <f>E11+E13+E15</f>
        <v>217937.01383886809</v>
      </c>
      <c r="F16" s="1"/>
      <c r="G16" s="4" t="s">
        <v>14</v>
      </c>
      <c r="H16" s="4">
        <f t="shared" si="1"/>
        <v>6</v>
      </c>
      <c r="J16" s="4"/>
    </row>
    <row r="17" spans="1:16" x14ac:dyDescent="0.3">
      <c r="A17" s="4">
        <f t="shared" si="0"/>
        <v>7</v>
      </c>
      <c r="E17" s="6"/>
      <c r="G17" s="4"/>
      <c r="H17" s="4">
        <f t="shared" si="1"/>
        <v>7</v>
      </c>
      <c r="J17" s="4"/>
    </row>
    <row r="18" spans="1:16" x14ac:dyDescent="0.3">
      <c r="A18" s="4">
        <f t="shared" si="0"/>
        <v>8</v>
      </c>
      <c r="B18" s="32" t="s">
        <v>15</v>
      </c>
      <c r="C18" s="261"/>
      <c r="D18" s="261"/>
      <c r="E18" s="1127">
        <f>'Stmt AJ'!E27</f>
        <v>279272.80829887092</v>
      </c>
      <c r="F18" s="72"/>
      <c r="G18" s="4" t="s">
        <v>16</v>
      </c>
      <c r="H18" s="4">
        <f t="shared" si="1"/>
        <v>8</v>
      </c>
      <c r="J18" s="4"/>
      <c r="M18" s="266"/>
      <c r="N18" s="266"/>
      <c r="O18" s="266"/>
    </row>
    <row r="19" spans="1:16" x14ac:dyDescent="0.3">
      <c r="A19" s="4">
        <f t="shared" si="0"/>
        <v>9</v>
      </c>
      <c r="E19" s="11"/>
      <c r="G19" s="4"/>
      <c r="H19" s="4">
        <f t="shared" si="1"/>
        <v>9</v>
      </c>
      <c r="M19" s="1218"/>
      <c r="N19" s="1218"/>
      <c r="O19" s="1218"/>
    </row>
    <row r="20" spans="1:16" ht="18" x14ac:dyDescent="0.3">
      <c r="A20" s="4">
        <f t="shared" si="0"/>
        <v>10</v>
      </c>
      <c r="B20" s="841" t="s">
        <v>17</v>
      </c>
      <c r="E20" s="12">
        <f>'Stmt AJ'!E33</f>
        <v>0</v>
      </c>
      <c r="G20" s="4" t="s">
        <v>18</v>
      </c>
      <c r="H20" s="4">
        <f t="shared" si="1"/>
        <v>10</v>
      </c>
      <c r="J20" s="4"/>
    </row>
    <row r="21" spans="1:16" x14ac:dyDescent="0.3">
      <c r="A21" s="4">
        <f t="shared" si="0"/>
        <v>11</v>
      </c>
      <c r="E21" s="11"/>
      <c r="G21" s="4"/>
      <c r="H21" s="4">
        <f t="shared" si="1"/>
        <v>11</v>
      </c>
      <c r="J21" s="4"/>
      <c r="M21" s="1219"/>
      <c r="N21" s="1219"/>
      <c r="O21" s="604"/>
    </row>
    <row r="22" spans="1:16" x14ac:dyDescent="0.3">
      <c r="A22" s="4">
        <f t="shared" si="0"/>
        <v>12</v>
      </c>
      <c r="B22" s="32" t="s">
        <v>19</v>
      </c>
      <c r="C22" s="261"/>
      <c r="D22" s="261"/>
      <c r="E22" s="9">
        <f>'Stmt AK'!E15</f>
        <v>71348.362928506802</v>
      </c>
      <c r="F22" s="1"/>
      <c r="G22" s="4" t="s">
        <v>1788</v>
      </c>
      <c r="H22" s="4">
        <f t="shared" si="1"/>
        <v>12</v>
      </c>
      <c r="J22" s="4"/>
      <c r="M22" s="1219"/>
      <c r="N22" s="1219"/>
      <c r="O22" s="604"/>
    </row>
    <row r="23" spans="1:16" x14ac:dyDescent="0.3">
      <c r="A23" s="4">
        <f t="shared" si="0"/>
        <v>13</v>
      </c>
      <c r="B23" s="33"/>
      <c r="C23" s="261"/>
      <c r="D23" s="261"/>
      <c r="E23" s="8"/>
      <c r="G23" s="4"/>
      <c r="H23" s="4">
        <f t="shared" si="1"/>
        <v>13</v>
      </c>
      <c r="J23" s="4"/>
      <c r="M23" s="1219"/>
      <c r="N23" s="1219"/>
      <c r="O23" s="604"/>
    </row>
    <row r="24" spans="1:16" x14ac:dyDescent="0.3">
      <c r="A24" s="4">
        <f t="shared" si="0"/>
        <v>14</v>
      </c>
      <c r="B24" s="32" t="s">
        <v>20</v>
      </c>
      <c r="C24" s="261"/>
      <c r="D24" s="261"/>
      <c r="E24" s="845">
        <f>'Stmt AK'!E22</f>
        <v>3846.2646305403759</v>
      </c>
      <c r="F24" s="1"/>
      <c r="G24" s="4" t="s">
        <v>1783</v>
      </c>
      <c r="H24" s="4">
        <f t="shared" si="1"/>
        <v>14</v>
      </c>
      <c r="J24" s="4"/>
      <c r="M24" s="604"/>
      <c r="N24" s="604"/>
      <c r="O24" s="604"/>
    </row>
    <row r="25" spans="1:16" x14ac:dyDescent="0.3">
      <c r="A25" s="4">
        <f t="shared" si="0"/>
        <v>15</v>
      </c>
      <c r="B25" s="33" t="s">
        <v>21</v>
      </c>
      <c r="C25" s="261"/>
      <c r="D25" s="261"/>
      <c r="E25" s="1126">
        <f>SUM(E16:E24)</f>
        <v>572404.44969678624</v>
      </c>
      <c r="F25" s="1"/>
      <c r="G25" s="842" t="s">
        <v>22</v>
      </c>
      <c r="H25" s="4">
        <f t="shared" si="1"/>
        <v>15</v>
      </c>
      <c r="J25" s="4"/>
    </row>
    <row r="26" spans="1:16" x14ac:dyDescent="0.3">
      <c r="A26" s="4">
        <f t="shared" si="0"/>
        <v>16</v>
      </c>
      <c r="B26" s="33"/>
      <c r="C26" s="261"/>
      <c r="D26" s="261"/>
      <c r="E26" s="13"/>
      <c r="G26" s="4"/>
      <c r="H26" s="4">
        <f t="shared" si="1"/>
        <v>16</v>
      </c>
      <c r="J26" s="4"/>
    </row>
    <row r="27" spans="1:16" ht="18" x14ac:dyDescent="0.3">
      <c r="A27" s="4">
        <f t="shared" si="0"/>
        <v>17</v>
      </c>
      <c r="B27" s="843" t="s">
        <v>1702</v>
      </c>
      <c r="C27" s="261"/>
      <c r="D27" s="8"/>
      <c r="E27" s="1161">
        <f>'True-Up Stmt AV'!G148</f>
        <v>9.3026367903775511E-2</v>
      </c>
      <c r="F27" s="1"/>
      <c r="G27" s="842" t="s">
        <v>1648</v>
      </c>
      <c r="H27" s="4">
        <f t="shared" si="1"/>
        <v>17</v>
      </c>
      <c r="J27" s="4"/>
    </row>
    <row r="28" spans="1:16" x14ac:dyDescent="0.3">
      <c r="A28" s="4">
        <f t="shared" si="0"/>
        <v>18</v>
      </c>
      <c r="B28" s="843" t="s">
        <v>23</v>
      </c>
      <c r="C28" s="261"/>
      <c r="D28" s="261"/>
      <c r="E28" s="847">
        <f>E136</f>
        <v>5319978.2293297024</v>
      </c>
      <c r="F28" s="1"/>
      <c r="G28" s="842" t="s">
        <v>1838</v>
      </c>
      <c r="H28" s="4">
        <f t="shared" si="1"/>
        <v>18</v>
      </c>
      <c r="J28" s="4"/>
    </row>
    <row r="29" spans="1:16" x14ac:dyDescent="0.3">
      <c r="A29" s="4">
        <f t="shared" si="0"/>
        <v>19</v>
      </c>
      <c r="B29" s="841" t="s">
        <v>1703</v>
      </c>
      <c r="E29" s="915">
        <f>E27*E28</f>
        <v>494898.2520017011</v>
      </c>
      <c r="F29" s="1"/>
      <c r="G29" s="842" t="s">
        <v>25</v>
      </c>
      <c r="H29" s="4">
        <f t="shared" si="1"/>
        <v>19</v>
      </c>
      <c r="J29" s="4"/>
      <c r="K29" s="280"/>
      <c r="M29" s="1218"/>
      <c r="N29" s="1218"/>
      <c r="O29" s="1218"/>
      <c r="P29" s="280"/>
    </row>
    <row r="30" spans="1:16" x14ac:dyDescent="0.3">
      <c r="A30" s="4">
        <f t="shared" si="0"/>
        <v>20</v>
      </c>
      <c r="B30" s="841"/>
      <c r="E30" s="10"/>
      <c r="F30" s="1"/>
      <c r="G30" s="842"/>
      <c r="H30" s="4">
        <f t="shared" si="1"/>
        <v>20</v>
      </c>
      <c r="J30" s="4"/>
      <c r="M30" s="1220"/>
      <c r="N30" s="1220"/>
      <c r="O30" s="1220"/>
      <c r="P30" s="280"/>
    </row>
    <row r="31" spans="1:16" ht="18" x14ac:dyDescent="0.3">
      <c r="A31" s="4">
        <f t="shared" si="0"/>
        <v>21</v>
      </c>
      <c r="B31" s="843" t="s">
        <v>1704</v>
      </c>
      <c r="E31" s="1162">
        <f>'True-Up Stmt AV'!G182</f>
        <v>3.692937016901445E-3</v>
      </c>
      <c r="F31" s="1"/>
      <c r="G31" s="842" t="s">
        <v>1705</v>
      </c>
      <c r="H31" s="4">
        <f t="shared" si="1"/>
        <v>21</v>
      </c>
      <c r="J31" s="4"/>
      <c r="M31" s="36"/>
      <c r="N31" s="36"/>
      <c r="O31" s="36"/>
    </row>
    <row r="32" spans="1:16" x14ac:dyDescent="0.3">
      <c r="A32" s="4">
        <f t="shared" si="0"/>
        <v>22</v>
      </c>
      <c r="B32" s="843" t="s">
        <v>23</v>
      </c>
      <c r="E32" s="847">
        <f>E136-E119</f>
        <v>5319978.2293297024</v>
      </c>
      <c r="F32" s="1"/>
      <c r="G32" s="842" t="s">
        <v>1706</v>
      </c>
      <c r="H32" s="4">
        <f t="shared" si="1"/>
        <v>22</v>
      </c>
      <c r="J32" s="4"/>
    </row>
    <row r="33" spans="1:15" x14ac:dyDescent="0.3">
      <c r="A33" s="4">
        <f t="shared" si="0"/>
        <v>23</v>
      </c>
      <c r="B33" s="841" t="s">
        <v>1707</v>
      </c>
      <c r="E33" s="10">
        <f>E31*E32</f>
        <v>19646.344532201463</v>
      </c>
      <c r="F33" s="1"/>
      <c r="G33" s="842" t="s">
        <v>1708</v>
      </c>
      <c r="H33" s="4">
        <f t="shared" si="1"/>
        <v>23</v>
      </c>
      <c r="J33" s="4"/>
      <c r="K33" s="280"/>
    </row>
    <row r="34" spans="1:15" x14ac:dyDescent="0.3">
      <c r="A34" s="4">
        <f t="shared" si="0"/>
        <v>24</v>
      </c>
      <c r="B34" s="33"/>
      <c r="C34" s="261"/>
      <c r="D34" s="261"/>
      <c r="E34" s="13"/>
      <c r="G34" s="4"/>
      <c r="H34" s="4">
        <f t="shared" si="1"/>
        <v>24</v>
      </c>
      <c r="J34" s="4"/>
    </row>
    <row r="35" spans="1:15" x14ac:dyDescent="0.3">
      <c r="A35" s="4">
        <f t="shared" si="0"/>
        <v>25</v>
      </c>
      <c r="B35" s="841" t="s">
        <v>26</v>
      </c>
      <c r="E35" s="1138">
        <f>'Stmt AQ'!E13</f>
        <v>1304.0991895338727</v>
      </c>
      <c r="G35" s="842" t="s">
        <v>27</v>
      </c>
      <c r="H35" s="4">
        <f t="shared" si="1"/>
        <v>25</v>
      </c>
      <c r="I35" s="361"/>
      <c r="J35" s="4"/>
      <c r="O35" s="1168"/>
    </row>
    <row r="36" spans="1:15" x14ac:dyDescent="0.3">
      <c r="A36" s="4">
        <f t="shared" si="0"/>
        <v>26</v>
      </c>
      <c r="B36" s="841" t="s">
        <v>28</v>
      </c>
      <c r="E36" s="23">
        <f>'Stmt AU'!E23</f>
        <v>-9500.6500000000015</v>
      </c>
      <c r="G36" s="842" t="s">
        <v>29</v>
      </c>
      <c r="H36" s="4">
        <f t="shared" si="1"/>
        <v>26</v>
      </c>
      <c r="I36" s="361"/>
      <c r="J36" s="4"/>
      <c r="L36" s="6"/>
    </row>
    <row r="37" spans="1:15" x14ac:dyDescent="0.3">
      <c r="A37" s="4">
        <f t="shared" si="0"/>
        <v>27</v>
      </c>
      <c r="B37" s="841" t="s">
        <v>30</v>
      </c>
      <c r="E37" s="9">
        <f>'Stmt Misc.'!E10</f>
        <v>0</v>
      </c>
      <c r="F37" s="1"/>
      <c r="G37" s="842" t="s">
        <v>31</v>
      </c>
      <c r="H37" s="4">
        <f t="shared" si="1"/>
        <v>27</v>
      </c>
      <c r="I37" s="361"/>
      <c r="J37" s="4"/>
    </row>
    <row r="38" spans="1:15" x14ac:dyDescent="0.3">
      <c r="A38" s="4">
        <f t="shared" si="0"/>
        <v>28</v>
      </c>
      <c r="B38" s="844" t="s">
        <v>32</v>
      </c>
      <c r="E38" s="845">
        <f>'Stmt AU'!E25</f>
        <v>0</v>
      </c>
      <c r="G38" s="842" t="s">
        <v>33</v>
      </c>
      <c r="H38" s="4">
        <f t="shared" si="1"/>
        <v>28</v>
      </c>
      <c r="I38" s="361"/>
      <c r="J38" s="4"/>
    </row>
    <row r="39" spans="1:15" x14ac:dyDescent="0.3">
      <c r="A39" s="4">
        <f t="shared" si="0"/>
        <v>29</v>
      </c>
      <c r="E39" s="11" t="s">
        <v>1</v>
      </c>
      <c r="G39" s="4"/>
      <c r="H39" s="4">
        <f t="shared" si="1"/>
        <v>29</v>
      </c>
      <c r="I39" s="361"/>
    </row>
    <row r="40" spans="1:15" ht="16.2" thickBot="1" x14ac:dyDescent="0.35">
      <c r="A40" s="4">
        <f t="shared" si="0"/>
        <v>30</v>
      </c>
      <c r="B40" s="32" t="s">
        <v>1353</v>
      </c>
      <c r="C40" s="261"/>
      <c r="D40" s="261"/>
      <c r="E40" s="14">
        <f>E25+E29+E33+SUM(E35:E38)</f>
        <v>1078752.4954202229</v>
      </c>
      <c r="F40" s="1"/>
      <c r="G40" s="4" t="s">
        <v>1728</v>
      </c>
      <c r="H40" s="4">
        <f t="shared" si="1"/>
        <v>30</v>
      </c>
      <c r="I40" s="361"/>
      <c r="J40" s="45"/>
    </row>
    <row r="41" spans="1:15" ht="16.2" thickTop="1" x14ac:dyDescent="0.3">
      <c r="C41" s="261"/>
      <c r="D41" s="261"/>
      <c r="E41" s="15"/>
      <c r="F41" s="1"/>
      <c r="G41" s="4"/>
      <c r="J41" s="892"/>
    </row>
    <row r="42" spans="1:15" x14ac:dyDescent="0.3">
      <c r="C42" s="261"/>
      <c r="D42" s="261"/>
      <c r="E42" s="15"/>
      <c r="F42" s="1"/>
      <c r="G42" s="4"/>
      <c r="J42" s="892"/>
    </row>
    <row r="43" spans="1:15" ht="18" x14ac:dyDescent="0.3">
      <c r="A43" s="256">
        <v>1</v>
      </c>
      <c r="B43" s="32" t="s">
        <v>35</v>
      </c>
      <c r="C43" s="261"/>
      <c r="D43" s="261"/>
      <c r="E43" s="15"/>
      <c r="F43" s="1"/>
      <c r="G43" s="4"/>
      <c r="J43" s="892"/>
    </row>
    <row r="44" spans="1:15" ht="18" x14ac:dyDescent="0.3">
      <c r="A44" s="256"/>
      <c r="C44" s="261"/>
      <c r="D44" s="261"/>
      <c r="E44" s="15"/>
      <c r="F44" s="1"/>
      <c r="G44" s="4"/>
      <c r="J44" s="892"/>
    </row>
    <row r="45" spans="1:15" x14ac:dyDescent="0.3">
      <c r="C45" s="261"/>
      <c r="D45" s="261"/>
      <c r="E45" s="15"/>
      <c r="F45" s="1"/>
      <c r="G45" s="4"/>
      <c r="J45" s="45"/>
    </row>
    <row r="46" spans="1:15" x14ac:dyDescent="0.3">
      <c r="B46" s="1259" t="s">
        <v>0</v>
      </c>
      <c r="C46" s="1260"/>
      <c r="D46" s="1260"/>
      <c r="E46" s="1260"/>
      <c r="F46" s="1260"/>
      <c r="G46" s="1260"/>
      <c r="J46" s="4"/>
    </row>
    <row r="47" spans="1:15" x14ac:dyDescent="0.3">
      <c r="B47" s="1259" t="s">
        <v>2</v>
      </c>
      <c r="C47" s="1260"/>
      <c r="D47" s="1260"/>
      <c r="E47" s="1260"/>
      <c r="F47" s="1260"/>
      <c r="G47" s="1260"/>
      <c r="J47" s="4"/>
    </row>
    <row r="48" spans="1:15" ht="18" x14ac:dyDescent="0.3">
      <c r="B48" s="1259" t="s">
        <v>3</v>
      </c>
      <c r="C48" s="1261"/>
      <c r="D48" s="1261"/>
      <c r="E48" s="1261"/>
      <c r="F48" s="1261"/>
      <c r="G48" s="1261"/>
      <c r="J48" s="4"/>
    </row>
    <row r="49" spans="1:10" x14ac:dyDescent="0.3">
      <c r="B49" s="1262" t="str">
        <f>B5</f>
        <v>For the Base Period &amp; True-Up Period Ending December 31, 2023</v>
      </c>
      <c r="C49" s="1263"/>
      <c r="D49" s="1263"/>
      <c r="E49" s="1263"/>
      <c r="F49" s="1263"/>
      <c r="G49" s="1263"/>
      <c r="J49" s="4"/>
    </row>
    <row r="50" spans="1:10" x14ac:dyDescent="0.3">
      <c r="B50" s="1264" t="s">
        <v>4</v>
      </c>
      <c r="C50" s="1260"/>
      <c r="D50" s="1260"/>
      <c r="E50" s="1260"/>
      <c r="F50" s="1260"/>
      <c r="G50" s="1260"/>
      <c r="J50" s="4"/>
    </row>
    <row r="51" spans="1:10" x14ac:dyDescent="0.3">
      <c r="C51" s="261"/>
      <c r="D51" s="261"/>
      <c r="E51" s="15"/>
      <c r="F51" s="1"/>
      <c r="G51" s="4"/>
      <c r="J51" s="4"/>
    </row>
    <row r="52" spans="1:10" x14ac:dyDescent="0.3">
      <c r="A52" s="842" t="s">
        <v>5</v>
      </c>
      <c r="C52" s="261"/>
      <c r="D52" s="261"/>
      <c r="E52" s="15"/>
      <c r="F52" s="1"/>
      <c r="G52" s="4"/>
      <c r="H52" s="842" t="s">
        <v>5</v>
      </c>
      <c r="I52" s="842"/>
      <c r="J52" s="4"/>
    </row>
    <row r="53" spans="1:10" x14ac:dyDescent="0.3">
      <c r="A53" s="842" t="s">
        <v>6</v>
      </c>
      <c r="C53" s="261"/>
      <c r="D53" s="261"/>
      <c r="E53" s="15"/>
      <c r="F53" s="1"/>
      <c r="G53" s="4"/>
      <c r="H53" s="842" t="s">
        <v>6</v>
      </c>
      <c r="I53" s="842"/>
      <c r="J53" s="4"/>
    </row>
    <row r="54" spans="1:10" ht="18" x14ac:dyDescent="0.3">
      <c r="B54" s="846" t="s">
        <v>36</v>
      </c>
      <c r="E54" s="4"/>
      <c r="G54" s="4"/>
      <c r="J54" s="4"/>
    </row>
    <row r="55" spans="1:10" x14ac:dyDescent="0.3">
      <c r="A55" s="4">
        <f t="shared" si="0"/>
        <v>1</v>
      </c>
      <c r="B55" s="33" t="s">
        <v>37</v>
      </c>
      <c r="C55" s="261"/>
      <c r="D55" s="261"/>
      <c r="E55" s="16">
        <f>'Stmt AJ'!E29</f>
        <v>0</v>
      </c>
      <c r="G55" s="4" t="s">
        <v>38</v>
      </c>
      <c r="H55" s="4">
        <f t="shared" si="1"/>
        <v>1</v>
      </c>
      <c r="J55" s="4"/>
    </row>
    <row r="56" spans="1:10" x14ac:dyDescent="0.3">
      <c r="A56" s="4">
        <f t="shared" si="0"/>
        <v>2</v>
      </c>
      <c r="B56" s="33"/>
      <c r="C56" s="261"/>
      <c r="D56" s="261"/>
      <c r="E56" s="15"/>
      <c r="G56" s="4"/>
      <c r="H56" s="4">
        <f t="shared" si="1"/>
        <v>2</v>
      </c>
      <c r="J56" s="4"/>
    </row>
    <row r="57" spans="1:10" ht="18" x14ac:dyDescent="0.3">
      <c r="A57" s="4">
        <f t="shared" si="0"/>
        <v>3</v>
      </c>
      <c r="B57" s="843" t="s">
        <v>1709</v>
      </c>
      <c r="C57" s="261"/>
      <c r="D57" s="261"/>
      <c r="E57" s="1161">
        <f>'True-Up Stmt AV'!G225</f>
        <v>1.8646691487816846E-2</v>
      </c>
      <c r="F57" s="269"/>
      <c r="G57" s="842" t="s">
        <v>1710</v>
      </c>
      <c r="H57" s="4">
        <f t="shared" si="1"/>
        <v>3</v>
      </c>
      <c r="J57" s="4"/>
    </row>
    <row r="58" spans="1:10" x14ac:dyDescent="0.3">
      <c r="A58" s="4">
        <f t="shared" si="0"/>
        <v>4</v>
      </c>
      <c r="B58" s="841" t="s">
        <v>1711</v>
      </c>
      <c r="C58" s="261"/>
      <c r="D58" s="261"/>
      <c r="E58" s="847">
        <f>E141</f>
        <v>0</v>
      </c>
      <c r="G58" s="842" t="s">
        <v>1712</v>
      </c>
      <c r="H58" s="4">
        <f t="shared" si="1"/>
        <v>4</v>
      </c>
      <c r="J58" s="4"/>
    </row>
    <row r="59" spans="1:10" x14ac:dyDescent="0.3">
      <c r="A59" s="4">
        <f t="shared" si="0"/>
        <v>5</v>
      </c>
      <c r="B59" s="841" t="s">
        <v>1713</v>
      </c>
      <c r="E59" s="917">
        <f>E58*E57</f>
        <v>0</v>
      </c>
      <c r="G59" s="842" t="s">
        <v>1714</v>
      </c>
      <c r="H59" s="4">
        <f t="shared" si="1"/>
        <v>5</v>
      </c>
      <c r="J59" s="4"/>
    </row>
    <row r="60" spans="1:10" x14ac:dyDescent="0.3">
      <c r="A60" s="4">
        <f t="shared" si="0"/>
        <v>6</v>
      </c>
      <c r="B60" s="841"/>
      <c r="E60" s="10"/>
      <c r="G60" s="842"/>
      <c r="H60" s="4">
        <f t="shared" si="1"/>
        <v>6</v>
      </c>
      <c r="J60" s="4"/>
    </row>
    <row r="61" spans="1:10" ht="18" x14ac:dyDescent="0.3">
      <c r="A61" s="4">
        <f t="shared" si="0"/>
        <v>7</v>
      </c>
      <c r="B61" s="843" t="s">
        <v>1704</v>
      </c>
      <c r="E61" s="1162">
        <f>'True-Up Stmt AV'!G259</f>
        <v>0</v>
      </c>
      <c r="G61" s="842" t="s">
        <v>1715</v>
      </c>
      <c r="H61" s="4">
        <f t="shared" si="1"/>
        <v>7</v>
      </c>
      <c r="J61" s="4"/>
    </row>
    <row r="62" spans="1:10" x14ac:dyDescent="0.3">
      <c r="A62" s="4">
        <f t="shared" si="0"/>
        <v>8</v>
      </c>
      <c r="B62" s="841" t="s">
        <v>1711</v>
      </c>
      <c r="E62" s="847">
        <f>E141</f>
        <v>0</v>
      </c>
      <c r="G62" s="842" t="s">
        <v>1712</v>
      </c>
      <c r="H62" s="4">
        <f t="shared" si="1"/>
        <v>8</v>
      </c>
      <c r="J62" s="4"/>
    </row>
    <row r="63" spans="1:10" x14ac:dyDescent="0.3">
      <c r="A63" s="4">
        <f t="shared" si="0"/>
        <v>9</v>
      </c>
      <c r="B63" s="841" t="s">
        <v>1707</v>
      </c>
      <c r="E63" s="917">
        <f>E61*E62</f>
        <v>0</v>
      </c>
      <c r="G63" s="842" t="s">
        <v>39</v>
      </c>
      <c r="H63" s="4">
        <f t="shared" si="1"/>
        <v>9</v>
      </c>
      <c r="J63" s="4"/>
    </row>
    <row r="64" spans="1:10" x14ac:dyDescent="0.3">
      <c r="A64" s="4">
        <f t="shared" si="0"/>
        <v>10</v>
      </c>
      <c r="E64" s="10"/>
      <c r="G64" s="842"/>
      <c r="H64" s="4">
        <f t="shared" si="1"/>
        <v>10</v>
      </c>
      <c r="J64" s="4"/>
    </row>
    <row r="65" spans="1:10" ht="16.2" thickBot="1" x14ac:dyDescent="0.35">
      <c r="A65" s="4">
        <f t="shared" si="0"/>
        <v>11</v>
      </c>
      <c r="B65" s="841" t="s">
        <v>40</v>
      </c>
      <c r="E65" s="24">
        <f>E55+E59+E63</f>
        <v>0</v>
      </c>
      <c r="G65" s="842" t="s">
        <v>1716</v>
      </c>
      <c r="H65" s="4">
        <f t="shared" si="1"/>
        <v>11</v>
      </c>
      <c r="J65" s="4"/>
    </row>
    <row r="66" spans="1:10" ht="16.2" thickTop="1" x14ac:dyDescent="0.3">
      <c r="A66" s="4">
        <f t="shared" si="0"/>
        <v>12</v>
      </c>
      <c r="E66" s="10"/>
      <c r="G66" s="4"/>
      <c r="H66" s="4">
        <f t="shared" si="1"/>
        <v>12</v>
      </c>
      <c r="I66" s="361"/>
      <c r="J66" s="4"/>
    </row>
    <row r="67" spans="1:10" ht="18" x14ac:dyDescent="0.3">
      <c r="A67" s="4">
        <f t="shared" si="0"/>
        <v>13</v>
      </c>
      <c r="B67" s="848" t="s">
        <v>41</v>
      </c>
      <c r="E67" s="10"/>
      <c r="G67" s="4"/>
      <c r="H67" s="4">
        <f t="shared" si="1"/>
        <v>13</v>
      </c>
      <c r="I67" s="361"/>
      <c r="J67" s="4"/>
    </row>
    <row r="68" spans="1:10" x14ac:dyDescent="0.3">
      <c r="A68" s="4">
        <f t="shared" si="0"/>
        <v>14</v>
      </c>
      <c r="B68" s="33" t="s">
        <v>42</v>
      </c>
      <c r="E68" s="7">
        <f>'Stmt AJ'!E31</f>
        <v>0</v>
      </c>
      <c r="G68" s="4" t="s">
        <v>43</v>
      </c>
      <c r="H68" s="4">
        <f t="shared" si="1"/>
        <v>14</v>
      </c>
      <c r="I68" s="361"/>
      <c r="J68" s="4"/>
    </row>
    <row r="69" spans="1:10" x14ac:dyDescent="0.3">
      <c r="A69" s="4">
        <f t="shared" si="0"/>
        <v>15</v>
      </c>
      <c r="B69" s="33"/>
      <c r="E69" s="18"/>
      <c r="G69" s="4"/>
      <c r="H69" s="4">
        <f>H68+1</f>
        <v>15</v>
      </c>
      <c r="I69" s="361"/>
      <c r="J69" s="4"/>
    </row>
    <row r="70" spans="1:10" x14ac:dyDescent="0.3">
      <c r="A70" s="4">
        <f t="shared" si="0"/>
        <v>16</v>
      </c>
      <c r="B70" s="843" t="s">
        <v>44</v>
      </c>
      <c r="E70" s="7">
        <f>E146</f>
        <v>0</v>
      </c>
      <c r="G70" s="842" t="s">
        <v>45</v>
      </c>
      <c r="H70" s="4">
        <f>H69+1</f>
        <v>16</v>
      </c>
    </row>
    <row r="71" spans="1:10" ht="18" x14ac:dyDescent="0.3">
      <c r="A71" s="4">
        <f t="shared" si="0"/>
        <v>17</v>
      </c>
      <c r="B71" s="843" t="s">
        <v>1702</v>
      </c>
      <c r="C71" s="261"/>
      <c r="D71" s="8"/>
      <c r="E71" s="871">
        <f>'True-Up Stmt AV'!G148</f>
        <v>9.3026367903775511E-2</v>
      </c>
      <c r="F71" s="1"/>
      <c r="G71" s="842" t="s">
        <v>1648</v>
      </c>
      <c r="H71" s="4">
        <f t="shared" ref="H71:H79" si="2">H70+1</f>
        <v>17</v>
      </c>
    </row>
    <row r="72" spans="1:10" x14ac:dyDescent="0.3">
      <c r="A72" s="4">
        <f t="shared" si="0"/>
        <v>18</v>
      </c>
      <c r="B72" s="841" t="s">
        <v>1717</v>
      </c>
      <c r="E72" s="917">
        <f>E70*E71</f>
        <v>0</v>
      </c>
      <c r="G72" s="842" t="s">
        <v>1718</v>
      </c>
      <c r="H72" s="4">
        <f t="shared" si="2"/>
        <v>18</v>
      </c>
    </row>
    <row r="73" spans="1:10" x14ac:dyDescent="0.3">
      <c r="A73" s="4">
        <f t="shared" si="0"/>
        <v>19</v>
      </c>
      <c r="B73" s="841"/>
      <c r="E73" s="10"/>
      <c r="G73" s="842"/>
      <c r="H73" s="4">
        <f t="shared" si="2"/>
        <v>19</v>
      </c>
    </row>
    <row r="74" spans="1:10" x14ac:dyDescent="0.3">
      <c r="A74" s="4">
        <f t="shared" si="0"/>
        <v>20</v>
      </c>
      <c r="B74" s="843" t="s">
        <v>44</v>
      </c>
      <c r="E74" s="7">
        <f>'TO5 True-Up BK-1'!E146</f>
        <v>0</v>
      </c>
      <c r="G74" s="842" t="s">
        <v>45</v>
      </c>
      <c r="H74" s="4">
        <f t="shared" si="2"/>
        <v>20</v>
      </c>
    </row>
    <row r="75" spans="1:10" ht="18" x14ac:dyDescent="0.3">
      <c r="A75" s="4">
        <f t="shared" si="0"/>
        <v>21</v>
      </c>
      <c r="B75" s="843" t="s">
        <v>1704</v>
      </c>
      <c r="E75" s="1163">
        <v>0</v>
      </c>
      <c r="G75" s="842" t="s">
        <v>46</v>
      </c>
      <c r="H75" s="4">
        <f t="shared" si="2"/>
        <v>21</v>
      </c>
    </row>
    <row r="76" spans="1:10" x14ac:dyDescent="0.3">
      <c r="A76" s="4">
        <f t="shared" si="0"/>
        <v>22</v>
      </c>
      <c r="B76" s="841" t="s">
        <v>1719</v>
      </c>
      <c r="E76" s="917">
        <f>E74*E75</f>
        <v>0</v>
      </c>
      <c r="G76" s="842" t="s">
        <v>1720</v>
      </c>
      <c r="H76" s="4">
        <f t="shared" si="2"/>
        <v>22</v>
      </c>
    </row>
    <row r="77" spans="1:10" x14ac:dyDescent="0.3">
      <c r="A77" s="4">
        <f t="shared" si="0"/>
        <v>23</v>
      </c>
      <c r="E77" s="10"/>
      <c r="G77" s="842"/>
      <c r="H77" s="4">
        <f t="shared" si="2"/>
        <v>23</v>
      </c>
    </row>
    <row r="78" spans="1:10" ht="16.2" thickBot="1" x14ac:dyDescent="0.35">
      <c r="A78" s="4">
        <f t="shared" si="0"/>
        <v>24</v>
      </c>
      <c r="B78" s="841" t="s">
        <v>47</v>
      </c>
      <c r="E78" s="24">
        <f>E68+E72+E76</f>
        <v>0</v>
      </c>
      <c r="G78" s="842" t="s">
        <v>1721</v>
      </c>
      <c r="H78" s="4">
        <f t="shared" si="2"/>
        <v>24</v>
      </c>
    </row>
    <row r="79" spans="1:10" ht="16.2" thickTop="1" x14ac:dyDescent="0.3">
      <c r="A79" s="4">
        <f t="shared" si="0"/>
        <v>25</v>
      </c>
      <c r="E79" s="10"/>
      <c r="G79" s="4"/>
      <c r="H79" s="4">
        <f t="shared" si="2"/>
        <v>25</v>
      </c>
      <c r="I79" s="361"/>
      <c r="J79" s="4"/>
    </row>
    <row r="80" spans="1:10" ht="18" x14ac:dyDescent="0.3">
      <c r="A80" s="4">
        <f t="shared" si="0"/>
        <v>26</v>
      </c>
      <c r="B80" s="848" t="s">
        <v>48</v>
      </c>
      <c r="C80" s="261"/>
      <c r="D80" s="261"/>
      <c r="E80" s="15"/>
      <c r="G80" s="4"/>
      <c r="H80" s="4">
        <f t="shared" ref="H80:H93" si="3">H79+1</f>
        <v>26</v>
      </c>
      <c r="I80" s="361"/>
      <c r="J80" s="4"/>
    </row>
    <row r="81" spans="1:10" x14ac:dyDescent="0.3">
      <c r="A81" s="4">
        <f t="shared" si="0"/>
        <v>27</v>
      </c>
      <c r="B81" s="841" t="s">
        <v>49</v>
      </c>
      <c r="C81" s="261"/>
      <c r="D81" s="261"/>
      <c r="E81" s="16">
        <f>E148</f>
        <v>0</v>
      </c>
      <c r="G81" s="842" t="s">
        <v>50</v>
      </c>
      <c r="H81" s="4">
        <f t="shared" si="3"/>
        <v>27</v>
      </c>
      <c r="I81" s="361"/>
      <c r="J81" s="4"/>
    </row>
    <row r="82" spans="1:10" ht="18" x14ac:dyDescent="0.3">
      <c r="A82" s="4">
        <f t="shared" si="0"/>
        <v>28</v>
      </c>
      <c r="B82" s="843" t="s">
        <v>1702</v>
      </c>
      <c r="C82" s="261"/>
      <c r="D82" s="261"/>
      <c r="E82" s="1164">
        <f>'True-Up Stmt AV'!G148</f>
        <v>9.3026367903775511E-2</v>
      </c>
      <c r="F82" s="1"/>
      <c r="G82" s="842" t="s">
        <v>1648</v>
      </c>
      <c r="H82" s="4">
        <f t="shared" si="3"/>
        <v>28</v>
      </c>
      <c r="I82" s="361"/>
      <c r="J82" s="4"/>
    </row>
    <row r="83" spans="1:10" x14ac:dyDescent="0.3">
      <c r="A83" s="4">
        <f t="shared" si="0"/>
        <v>29</v>
      </c>
      <c r="B83" s="841" t="s">
        <v>1722</v>
      </c>
      <c r="C83" s="261"/>
      <c r="D83" s="261"/>
      <c r="E83" s="917">
        <f>E81*E82</f>
        <v>0</v>
      </c>
      <c r="G83" s="842" t="s">
        <v>1723</v>
      </c>
      <c r="H83" s="4">
        <f t="shared" si="3"/>
        <v>29</v>
      </c>
      <c r="I83" s="361"/>
      <c r="J83" s="4"/>
    </row>
    <row r="84" spans="1:10" x14ac:dyDescent="0.3">
      <c r="A84" s="4">
        <f t="shared" si="0"/>
        <v>30</v>
      </c>
      <c r="B84" s="841"/>
      <c r="C84" s="261"/>
      <c r="D84" s="261"/>
      <c r="E84" s="10"/>
      <c r="G84" s="842"/>
      <c r="H84" s="4">
        <f t="shared" si="3"/>
        <v>30</v>
      </c>
      <c r="I84" s="361"/>
      <c r="J84" s="4"/>
    </row>
    <row r="85" spans="1:10" x14ac:dyDescent="0.3">
      <c r="A85" s="4">
        <f t="shared" si="0"/>
        <v>31</v>
      </c>
      <c r="B85" s="841" t="s">
        <v>49</v>
      </c>
      <c r="E85" s="7">
        <f>E148</f>
        <v>0</v>
      </c>
      <c r="G85" s="842" t="s">
        <v>50</v>
      </c>
      <c r="H85" s="4">
        <f t="shared" si="3"/>
        <v>31</v>
      </c>
      <c r="I85" s="361"/>
      <c r="J85" s="4"/>
    </row>
    <row r="86" spans="1:10" ht="18" x14ac:dyDescent="0.3">
      <c r="A86" s="4">
        <f t="shared" si="0"/>
        <v>32</v>
      </c>
      <c r="B86" s="843" t="s">
        <v>1704</v>
      </c>
      <c r="E86" s="1165">
        <f>'True-Up Stmt AV'!G182</f>
        <v>3.692937016901445E-3</v>
      </c>
      <c r="G86" s="842" t="s">
        <v>1705</v>
      </c>
      <c r="H86" s="4">
        <f t="shared" si="3"/>
        <v>32</v>
      </c>
      <c r="I86" s="361"/>
      <c r="J86" s="4"/>
    </row>
    <row r="87" spans="1:10" x14ac:dyDescent="0.3">
      <c r="A87" s="4">
        <f t="shared" si="0"/>
        <v>33</v>
      </c>
      <c r="B87" s="841" t="s">
        <v>1724</v>
      </c>
      <c r="E87" s="917">
        <f>E85*E86</f>
        <v>0</v>
      </c>
      <c r="G87" s="842" t="s">
        <v>1725</v>
      </c>
      <c r="H87" s="4">
        <f t="shared" si="3"/>
        <v>33</v>
      </c>
      <c r="I87" s="361"/>
      <c r="J87" s="4"/>
    </row>
    <row r="88" spans="1:10" x14ac:dyDescent="0.3">
      <c r="A88" s="4">
        <f t="shared" si="0"/>
        <v>34</v>
      </c>
      <c r="B88" s="841"/>
      <c r="E88" s="10"/>
      <c r="G88" s="842"/>
      <c r="H88" s="4">
        <f t="shared" si="3"/>
        <v>34</v>
      </c>
      <c r="I88" s="361"/>
      <c r="J88" s="4"/>
    </row>
    <row r="89" spans="1:10" ht="16.2" thickBot="1" x14ac:dyDescent="0.35">
      <c r="A89" s="4">
        <f t="shared" si="0"/>
        <v>35</v>
      </c>
      <c r="B89" s="841" t="s">
        <v>51</v>
      </c>
      <c r="E89" s="24">
        <f>E83+E87</f>
        <v>0</v>
      </c>
      <c r="G89" s="842" t="s">
        <v>1726</v>
      </c>
      <c r="H89" s="4">
        <f t="shared" si="3"/>
        <v>35</v>
      </c>
      <c r="I89" s="361"/>
      <c r="J89" s="4"/>
    </row>
    <row r="90" spans="1:10" ht="16.2" thickTop="1" x14ac:dyDescent="0.3">
      <c r="A90" s="4">
        <f t="shared" si="0"/>
        <v>36</v>
      </c>
      <c r="B90" s="841"/>
      <c r="E90" s="10"/>
      <c r="G90" s="842"/>
      <c r="H90" s="4">
        <f t="shared" si="3"/>
        <v>36</v>
      </c>
      <c r="I90" s="361"/>
      <c r="J90" s="4"/>
    </row>
    <row r="91" spans="1:10" ht="18.600000000000001" thickBot="1" x14ac:dyDescent="0.35">
      <c r="A91" s="4">
        <f t="shared" si="0"/>
        <v>37</v>
      </c>
      <c r="B91" s="841" t="s">
        <v>52</v>
      </c>
      <c r="C91" s="261"/>
      <c r="D91" s="261"/>
      <c r="E91" s="14">
        <f>E67+E78+E89</f>
        <v>0</v>
      </c>
      <c r="G91" s="842" t="s">
        <v>1727</v>
      </c>
      <c r="H91" s="4">
        <f t="shared" si="3"/>
        <v>37</v>
      </c>
      <c r="I91" s="361"/>
      <c r="J91" s="4"/>
    </row>
    <row r="92" spans="1:10" ht="16.2" thickTop="1" x14ac:dyDescent="0.3">
      <c r="A92" s="4">
        <f t="shared" si="0"/>
        <v>38</v>
      </c>
      <c r="B92" s="841"/>
      <c r="C92" s="261"/>
      <c r="D92" s="261"/>
      <c r="E92" s="15"/>
      <c r="G92" s="842"/>
      <c r="H92" s="4">
        <f t="shared" si="3"/>
        <v>38</v>
      </c>
      <c r="I92" s="361"/>
      <c r="J92" s="4"/>
    </row>
    <row r="93" spans="1:10" ht="24.75" customHeight="1" thickBot="1" x14ac:dyDescent="0.35">
      <c r="A93" s="4">
        <f t="shared" ref="A93" si="4">A92+1</f>
        <v>39</v>
      </c>
      <c r="B93" s="34" t="s">
        <v>53</v>
      </c>
      <c r="C93" s="261"/>
      <c r="D93" s="261"/>
      <c r="E93" s="14">
        <f>E40+E91</f>
        <v>1078752.4954202229</v>
      </c>
      <c r="F93" s="1"/>
      <c r="G93" s="842" t="s">
        <v>1737</v>
      </c>
      <c r="H93" s="4">
        <f t="shared" si="3"/>
        <v>39</v>
      </c>
      <c r="I93" s="361"/>
      <c r="J93" s="4"/>
    </row>
    <row r="94" spans="1:10" ht="16.2" thickTop="1" x14ac:dyDescent="0.3">
      <c r="B94" s="34"/>
      <c r="C94" s="261"/>
      <c r="D94" s="261"/>
      <c r="E94" s="15"/>
      <c r="F94" s="72"/>
      <c r="G94" s="4"/>
    </row>
    <row r="95" spans="1:10" x14ac:dyDescent="0.3">
      <c r="B95" s="34"/>
      <c r="C95" s="261"/>
      <c r="D95" s="261"/>
      <c r="E95" s="15"/>
      <c r="F95" s="72"/>
      <c r="G95" s="4"/>
    </row>
    <row r="96" spans="1:10" ht="18" x14ac:dyDescent="0.3">
      <c r="A96" s="849">
        <v>1</v>
      </c>
      <c r="B96" s="841" t="s">
        <v>35</v>
      </c>
      <c r="C96" s="261"/>
      <c r="D96" s="261"/>
      <c r="E96" s="19"/>
      <c r="F96" s="72"/>
      <c r="G96" s="4"/>
    </row>
    <row r="97" spans="1:8" ht="18" x14ac:dyDescent="0.3">
      <c r="A97" s="849">
        <v>2</v>
      </c>
      <c r="B97" s="841" t="s">
        <v>54</v>
      </c>
      <c r="C97" s="261"/>
      <c r="D97" s="261"/>
      <c r="E97" s="19"/>
      <c r="F97" s="72"/>
      <c r="G97" s="4"/>
    </row>
    <row r="98" spans="1:8" ht="18" x14ac:dyDescent="0.3">
      <c r="A98" s="849">
        <v>3</v>
      </c>
      <c r="B98" s="841" t="s">
        <v>55</v>
      </c>
      <c r="C98" s="261"/>
      <c r="D98" s="261"/>
      <c r="E98" s="19"/>
      <c r="F98" s="72"/>
      <c r="G98" s="4"/>
    </row>
    <row r="99" spans="1:8" x14ac:dyDescent="0.3">
      <c r="B99" s="1"/>
      <c r="C99" s="261"/>
      <c r="D99" s="261"/>
      <c r="E99" s="15"/>
      <c r="G99" s="4"/>
    </row>
    <row r="100" spans="1:8" x14ac:dyDescent="0.3">
      <c r="C100" s="261"/>
      <c r="D100" s="261"/>
      <c r="E100" s="15"/>
      <c r="G100" s="4"/>
    </row>
    <row r="101" spans="1:8" x14ac:dyDescent="0.3">
      <c r="B101" s="1222" t="s">
        <v>0</v>
      </c>
      <c r="C101" s="1223"/>
      <c r="D101" s="1223"/>
      <c r="E101" s="1223"/>
      <c r="F101" s="1223"/>
      <c r="G101" s="1223"/>
    </row>
    <row r="102" spans="1:8" x14ac:dyDescent="0.3">
      <c r="B102" s="1222" t="s">
        <v>2</v>
      </c>
      <c r="C102" s="1223"/>
      <c r="D102" s="1223"/>
      <c r="E102" s="1223"/>
      <c r="F102" s="1223"/>
      <c r="G102" s="1223"/>
    </row>
    <row r="103" spans="1:8" ht="18" x14ac:dyDescent="0.3">
      <c r="A103" s="4" t="s">
        <v>1</v>
      </c>
      <c r="B103" s="1222" t="s">
        <v>3</v>
      </c>
      <c r="C103" s="1224"/>
      <c r="D103" s="1224"/>
      <c r="E103" s="1224"/>
      <c r="F103" s="1224"/>
      <c r="G103" s="1224"/>
      <c r="H103" s="4" t="s">
        <v>1</v>
      </c>
    </row>
    <row r="104" spans="1:8" x14ac:dyDescent="0.3">
      <c r="B104" s="1227" t="str">
        <f>B5</f>
        <v>For the Base Period &amp; True-Up Period Ending December 31, 2023</v>
      </c>
      <c r="C104" s="1228"/>
      <c r="D104" s="1228"/>
      <c r="E104" s="1228"/>
      <c r="F104" s="1228"/>
      <c r="G104" s="1228"/>
    </row>
    <row r="105" spans="1:8" x14ac:dyDescent="0.3">
      <c r="B105" s="1226" t="s">
        <v>4</v>
      </c>
      <c r="C105" s="1223"/>
      <c r="D105" s="1223"/>
      <c r="E105" s="1223"/>
      <c r="F105" s="1223"/>
      <c r="G105" s="1223"/>
    </row>
    <row r="106" spans="1:8" x14ac:dyDescent="0.3">
      <c r="B106" s="265"/>
      <c r="C106" s="1"/>
      <c r="D106" s="1"/>
      <c r="E106" s="1"/>
      <c r="F106" s="1"/>
      <c r="G106" s="1"/>
    </row>
    <row r="107" spans="1:8" x14ac:dyDescent="0.3">
      <c r="A107" s="4" t="s">
        <v>5</v>
      </c>
      <c r="E107" s="25"/>
      <c r="G107" s="4"/>
      <c r="H107" s="4" t="s">
        <v>5</v>
      </c>
    </row>
    <row r="108" spans="1:8" x14ac:dyDescent="0.3">
      <c r="A108" s="4" t="s">
        <v>6</v>
      </c>
      <c r="B108" s="1" t="s">
        <v>1</v>
      </c>
      <c r="E108" s="914" t="s">
        <v>7</v>
      </c>
      <c r="G108" s="852" t="s">
        <v>8</v>
      </c>
      <c r="H108" s="4" t="s">
        <v>6</v>
      </c>
    </row>
    <row r="109" spans="1:8" x14ac:dyDescent="0.3">
      <c r="B109" s="251" t="s">
        <v>56</v>
      </c>
      <c r="C109" s="263"/>
      <c r="D109" s="263"/>
      <c r="E109" s="263"/>
      <c r="G109" s="4"/>
    </row>
    <row r="110" spans="1:8" x14ac:dyDescent="0.3">
      <c r="A110" s="4">
        <v>1</v>
      </c>
      <c r="B110" s="253" t="s">
        <v>57</v>
      </c>
      <c r="C110" s="263"/>
      <c r="D110" s="263"/>
      <c r="E110" s="263"/>
      <c r="G110" s="4"/>
      <c r="H110" s="4">
        <f>A110</f>
        <v>1</v>
      </c>
    </row>
    <row r="111" spans="1:8" x14ac:dyDescent="0.3">
      <c r="A111" s="4">
        <f t="shared" ref="A111:A148" si="5">A110+1</f>
        <v>2</v>
      </c>
      <c r="B111" s="33" t="s">
        <v>58</v>
      </c>
      <c r="C111" s="263"/>
      <c r="D111" s="263"/>
      <c r="E111" s="20">
        <f>E179</f>
        <v>6056558.2936077248</v>
      </c>
      <c r="F111" s="72"/>
      <c r="G111" s="4" t="s">
        <v>59</v>
      </c>
      <c r="H111" s="4">
        <f>H110+1</f>
        <v>2</v>
      </c>
    </row>
    <row r="112" spans="1:8" x14ac:dyDescent="0.3">
      <c r="A112" s="4">
        <f t="shared" si="5"/>
        <v>3</v>
      </c>
      <c r="B112" s="33" t="s">
        <v>60</v>
      </c>
      <c r="C112" s="263"/>
      <c r="D112" s="263"/>
      <c r="E112" s="21">
        <f>E180</f>
        <v>9151.7252080767139</v>
      </c>
      <c r="F112" s="72"/>
      <c r="G112" s="4" t="s">
        <v>61</v>
      </c>
      <c r="H112" s="4">
        <f>H111+1</f>
        <v>3</v>
      </c>
    </row>
    <row r="113" spans="1:10" x14ac:dyDescent="0.3">
      <c r="A113" s="4">
        <f t="shared" si="5"/>
        <v>4</v>
      </c>
      <c r="B113" s="33" t="s">
        <v>62</v>
      </c>
      <c r="C113" s="263"/>
      <c r="D113" s="263"/>
      <c r="E113" s="21">
        <f>E181</f>
        <v>67559.485194371402</v>
      </c>
      <c r="G113" s="4" t="s">
        <v>63</v>
      </c>
      <c r="H113" s="4">
        <f>H112+1</f>
        <v>4</v>
      </c>
    </row>
    <row r="114" spans="1:10" x14ac:dyDescent="0.3">
      <c r="A114" s="4">
        <f t="shared" si="5"/>
        <v>5</v>
      </c>
      <c r="B114" s="33" t="s">
        <v>64</v>
      </c>
      <c r="C114" s="263"/>
      <c r="D114" s="263"/>
      <c r="E114" s="916">
        <f>E182</f>
        <v>196520.25768592002</v>
      </c>
      <c r="G114" s="4" t="s">
        <v>65</v>
      </c>
      <c r="H114" s="4">
        <f>H113+1</f>
        <v>5</v>
      </c>
    </row>
    <row r="115" spans="1:10" x14ac:dyDescent="0.3">
      <c r="A115" s="4">
        <f t="shared" si="5"/>
        <v>6</v>
      </c>
      <c r="B115" s="33" t="s">
        <v>66</v>
      </c>
      <c r="C115" s="4"/>
      <c r="D115" s="4"/>
      <c r="E115" s="917">
        <f>SUM(E111:E114)</f>
        <v>6329789.7616960928</v>
      </c>
      <c r="F115" s="72"/>
      <c r="G115" s="4" t="s">
        <v>67</v>
      </c>
      <c r="H115" s="4">
        <f t="shared" ref="H115:H148" si="6">H114+1</f>
        <v>6</v>
      </c>
    </row>
    <row r="116" spans="1:10" x14ac:dyDescent="0.3">
      <c r="A116" s="4">
        <f t="shared" si="5"/>
        <v>7</v>
      </c>
      <c r="C116" s="4"/>
      <c r="D116" s="4"/>
      <c r="E116" s="11"/>
      <c r="G116" s="4"/>
      <c r="H116" s="4">
        <f t="shared" si="6"/>
        <v>7</v>
      </c>
    </row>
    <row r="117" spans="1:10" x14ac:dyDescent="0.3">
      <c r="A117" s="4">
        <f t="shared" si="5"/>
        <v>8</v>
      </c>
      <c r="B117" s="253" t="s">
        <v>68</v>
      </c>
      <c r="C117" s="4"/>
      <c r="D117" s="4"/>
      <c r="E117" s="11"/>
      <c r="G117" s="4"/>
      <c r="H117" s="4">
        <f t="shared" si="6"/>
        <v>8</v>
      </c>
    </row>
    <row r="118" spans="1:10" x14ac:dyDescent="0.3">
      <c r="A118" s="4">
        <f t="shared" si="5"/>
        <v>9</v>
      </c>
      <c r="B118" s="33" t="s">
        <v>69</v>
      </c>
      <c r="C118" s="4"/>
      <c r="D118" s="4"/>
      <c r="E118" s="22">
        <f>'Stmt AG'!E11</f>
        <v>0</v>
      </c>
      <c r="F118" s="72"/>
      <c r="G118" s="4" t="s">
        <v>70</v>
      </c>
      <c r="H118" s="4">
        <f t="shared" si="6"/>
        <v>9</v>
      </c>
      <c r="J118" s="258"/>
    </row>
    <row r="119" spans="1:10" x14ac:dyDescent="0.3">
      <c r="A119" s="4">
        <f t="shared" si="5"/>
        <v>10</v>
      </c>
      <c r="B119" s="33" t="s">
        <v>71</v>
      </c>
      <c r="C119" s="4"/>
      <c r="D119" s="4"/>
      <c r="E119" s="23">
        <f>'Stmt Misc.'!E12</f>
        <v>0</v>
      </c>
      <c r="G119" s="4" t="s">
        <v>72</v>
      </c>
      <c r="H119" s="4">
        <f t="shared" si="6"/>
        <v>10</v>
      </c>
    </row>
    <row r="120" spans="1:10" x14ac:dyDescent="0.3">
      <c r="A120" s="4">
        <f t="shared" si="5"/>
        <v>11</v>
      </c>
      <c r="B120" s="33" t="s">
        <v>73</v>
      </c>
      <c r="C120" s="4"/>
      <c r="D120" s="4"/>
      <c r="E120" s="1060">
        <f>SUM(E118:E119)</f>
        <v>0</v>
      </c>
      <c r="F120" s="72"/>
      <c r="G120" s="4" t="s">
        <v>74</v>
      </c>
      <c r="H120" s="4">
        <f t="shared" si="6"/>
        <v>11</v>
      </c>
    </row>
    <row r="121" spans="1:10" x14ac:dyDescent="0.3">
      <c r="A121" s="4">
        <f t="shared" si="5"/>
        <v>12</v>
      </c>
      <c r="B121" s="33"/>
      <c r="C121" s="4"/>
      <c r="D121" s="4"/>
      <c r="E121" s="15"/>
      <c r="G121" s="4"/>
      <c r="H121" s="4">
        <f t="shared" si="6"/>
        <v>12</v>
      </c>
    </row>
    <row r="122" spans="1:10" x14ac:dyDescent="0.3">
      <c r="A122" s="4">
        <f t="shared" si="5"/>
        <v>13</v>
      </c>
      <c r="B122" s="253" t="s">
        <v>75</v>
      </c>
      <c r="E122" s="11"/>
      <c r="G122" s="4"/>
      <c r="H122" s="4">
        <f t="shared" si="6"/>
        <v>13</v>
      </c>
    </row>
    <row r="123" spans="1:10" ht="18" x14ac:dyDescent="0.3">
      <c r="A123" s="4">
        <f t="shared" si="5"/>
        <v>14</v>
      </c>
      <c r="B123" s="32" t="s">
        <v>76</v>
      </c>
      <c r="C123" s="4"/>
      <c r="D123" s="4"/>
      <c r="E123" s="7">
        <f>'TO5 Stmt AF Proration'!I25</f>
        <v>-1117204.7588902973</v>
      </c>
      <c r="G123" s="4" t="s">
        <v>1354</v>
      </c>
      <c r="H123" s="4">
        <f t="shared" si="6"/>
        <v>14</v>
      </c>
      <c r="J123" s="571"/>
    </row>
    <row r="124" spans="1:10" x14ac:dyDescent="0.3">
      <c r="A124" s="4">
        <f t="shared" si="5"/>
        <v>15</v>
      </c>
      <c r="B124" s="32" t="s">
        <v>78</v>
      </c>
      <c r="C124" s="4"/>
      <c r="D124" s="4"/>
      <c r="E124" s="9">
        <f>'Stmt AF'!I21</f>
        <v>0</v>
      </c>
      <c r="G124" s="4" t="s">
        <v>79</v>
      </c>
      <c r="H124" s="4">
        <f t="shared" si="6"/>
        <v>15</v>
      </c>
      <c r="J124" s="571"/>
    </row>
    <row r="125" spans="1:10" x14ac:dyDescent="0.3">
      <c r="A125" s="4">
        <f t="shared" si="5"/>
        <v>16</v>
      </c>
      <c r="B125" s="33" t="s">
        <v>80</v>
      </c>
      <c r="C125" s="4"/>
      <c r="D125" s="4"/>
      <c r="E125" s="917">
        <f>SUM(E123:E124)</f>
        <v>-1117204.7588902973</v>
      </c>
      <c r="G125" s="4" t="s">
        <v>81</v>
      </c>
      <c r="H125" s="4">
        <f t="shared" si="6"/>
        <v>16</v>
      </c>
      <c r="J125" s="36"/>
    </row>
    <row r="126" spans="1:10" x14ac:dyDescent="0.3">
      <c r="A126" s="4">
        <f t="shared" si="5"/>
        <v>17</v>
      </c>
      <c r="C126" s="4"/>
      <c r="D126" s="4"/>
      <c r="E126" s="8"/>
      <c r="G126" s="4"/>
      <c r="H126" s="4">
        <f t="shared" si="6"/>
        <v>17</v>
      </c>
    </row>
    <row r="127" spans="1:10" x14ac:dyDescent="0.3">
      <c r="A127" s="4">
        <f t="shared" si="5"/>
        <v>18</v>
      </c>
      <c r="B127" s="253" t="s">
        <v>82</v>
      </c>
      <c r="C127" s="4"/>
      <c r="D127" s="4"/>
      <c r="E127" s="8"/>
      <c r="G127" s="4"/>
      <c r="H127" s="4">
        <f t="shared" si="6"/>
        <v>18</v>
      </c>
    </row>
    <row r="128" spans="1:10" x14ac:dyDescent="0.3">
      <c r="A128" s="4">
        <f t="shared" si="5"/>
        <v>19</v>
      </c>
      <c r="B128" s="33" t="s">
        <v>83</v>
      </c>
      <c r="C128" s="4"/>
      <c r="D128" s="4"/>
      <c r="E128" s="20">
        <f>'True-Up Stmt AL'!G15</f>
        <v>51953.597307497468</v>
      </c>
      <c r="F128" s="72"/>
      <c r="G128" s="4" t="s">
        <v>1930</v>
      </c>
      <c r="H128" s="4">
        <f t="shared" si="6"/>
        <v>19</v>
      </c>
    </row>
    <row r="129" spans="1:10" x14ac:dyDescent="0.3">
      <c r="A129" s="4">
        <f t="shared" si="5"/>
        <v>20</v>
      </c>
      <c r="B129" s="33" t="s">
        <v>85</v>
      </c>
      <c r="C129" s="4"/>
      <c r="D129" s="4"/>
      <c r="E129" s="21">
        <f>'True-Up Stmt AL'!G19</f>
        <v>38860.273206051555</v>
      </c>
      <c r="F129" s="72"/>
      <c r="G129" s="4" t="s">
        <v>1931</v>
      </c>
      <c r="H129" s="4">
        <f t="shared" si="6"/>
        <v>20</v>
      </c>
    </row>
    <row r="130" spans="1:10" x14ac:dyDescent="0.3">
      <c r="A130" s="4">
        <f t="shared" si="5"/>
        <v>21</v>
      </c>
      <c r="B130" s="33" t="s">
        <v>87</v>
      </c>
      <c r="C130" s="4"/>
      <c r="D130" s="4"/>
      <c r="E130" s="916">
        <f>'True-Up Stmt AL'!E29</f>
        <v>27242.126729858512</v>
      </c>
      <c r="F130" s="1"/>
      <c r="G130" s="4" t="s">
        <v>1932</v>
      </c>
      <c r="H130" s="4">
        <f t="shared" si="6"/>
        <v>21</v>
      </c>
    </row>
    <row r="131" spans="1:10" x14ac:dyDescent="0.3">
      <c r="A131" s="4">
        <f t="shared" si="5"/>
        <v>22</v>
      </c>
      <c r="B131" s="33" t="s">
        <v>89</v>
      </c>
      <c r="E131" s="917">
        <f>SUM(E128:E130)</f>
        <v>118055.99724340753</v>
      </c>
      <c r="F131" s="1"/>
      <c r="G131" s="4" t="s">
        <v>90</v>
      </c>
      <c r="H131" s="4">
        <f t="shared" si="6"/>
        <v>22</v>
      </c>
    </row>
    <row r="132" spans="1:10" x14ac:dyDescent="0.3">
      <c r="A132" s="4">
        <f t="shared" si="5"/>
        <v>23</v>
      </c>
      <c r="B132" s="33"/>
      <c r="E132" s="11"/>
      <c r="G132" s="4"/>
      <c r="H132" s="4">
        <f t="shared" si="6"/>
        <v>23</v>
      </c>
    </row>
    <row r="133" spans="1:10" x14ac:dyDescent="0.3">
      <c r="A133" s="4">
        <f t="shared" si="5"/>
        <v>24</v>
      </c>
      <c r="B133" s="843" t="s">
        <v>91</v>
      </c>
      <c r="E133" s="850">
        <f>'True-Up Stmt Misc'!E14</f>
        <v>0</v>
      </c>
      <c r="G133" s="842" t="s">
        <v>1942</v>
      </c>
      <c r="H133" s="4">
        <f t="shared" si="6"/>
        <v>24</v>
      </c>
    </row>
    <row r="134" spans="1:10" x14ac:dyDescent="0.3">
      <c r="A134" s="4">
        <f t="shared" si="5"/>
        <v>25</v>
      </c>
      <c r="B134" s="843" t="s">
        <v>93</v>
      </c>
      <c r="E134" s="1140">
        <f>'True-Up Stmt Misc'!E16</f>
        <v>-10662.770719500901</v>
      </c>
      <c r="G134" s="842" t="s">
        <v>1943</v>
      </c>
      <c r="H134" s="4">
        <f t="shared" si="6"/>
        <v>25</v>
      </c>
    </row>
    <row r="135" spans="1:10" x14ac:dyDescent="0.3">
      <c r="A135" s="4">
        <f t="shared" si="5"/>
        <v>26</v>
      </c>
      <c r="B135" s="33"/>
      <c r="E135" s="11"/>
      <c r="G135" s="4"/>
      <c r="H135" s="4">
        <f t="shared" si="6"/>
        <v>26</v>
      </c>
      <c r="J135" s="36"/>
    </row>
    <row r="136" spans="1:10" ht="16.2" thickBot="1" x14ac:dyDescent="0.35">
      <c r="A136" s="4">
        <f t="shared" si="5"/>
        <v>27</v>
      </c>
      <c r="B136" s="33" t="s">
        <v>1355</v>
      </c>
      <c r="E136" s="24">
        <f>E134+E131+E125+E120+E115</f>
        <v>5319978.2293297024</v>
      </c>
      <c r="F136" s="1"/>
      <c r="G136" s="842" t="s">
        <v>96</v>
      </c>
      <c r="H136" s="4">
        <f t="shared" si="6"/>
        <v>27</v>
      </c>
      <c r="J136" s="877"/>
    </row>
    <row r="137" spans="1:10" ht="16.2" thickTop="1" x14ac:dyDescent="0.3">
      <c r="A137" s="4">
        <f t="shared" si="5"/>
        <v>28</v>
      </c>
      <c r="B137" s="33"/>
      <c r="E137" s="10"/>
      <c r="G137" s="4"/>
      <c r="H137" s="4">
        <f t="shared" si="6"/>
        <v>28</v>
      </c>
    </row>
    <row r="138" spans="1:10" ht="18" x14ac:dyDescent="0.3">
      <c r="A138" s="4">
        <f t="shared" si="5"/>
        <v>29</v>
      </c>
      <c r="B138" s="251" t="s">
        <v>97</v>
      </c>
      <c r="E138" s="10"/>
      <c r="G138" s="4"/>
      <c r="H138" s="4">
        <f t="shared" si="6"/>
        <v>29</v>
      </c>
    </row>
    <row r="139" spans="1:10" x14ac:dyDescent="0.3">
      <c r="A139" s="4">
        <f t="shared" si="5"/>
        <v>30</v>
      </c>
      <c r="B139" s="33" t="s">
        <v>98</v>
      </c>
      <c r="E139" s="7">
        <f>E188</f>
        <v>0</v>
      </c>
      <c r="G139" s="842" t="s">
        <v>99</v>
      </c>
      <c r="H139" s="4">
        <f t="shared" si="6"/>
        <v>30</v>
      </c>
    </row>
    <row r="140" spans="1:10" x14ac:dyDescent="0.3">
      <c r="A140" s="4">
        <f t="shared" si="5"/>
        <v>31</v>
      </c>
      <c r="B140" s="33" t="s">
        <v>100</v>
      </c>
      <c r="E140" s="9">
        <f>'Stmt AF'!I19</f>
        <v>0</v>
      </c>
      <c r="G140" s="842" t="s">
        <v>101</v>
      </c>
      <c r="H140" s="4">
        <f t="shared" si="6"/>
        <v>31</v>
      </c>
      <c r="J140" s="258"/>
    </row>
    <row r="141" spans="1:10" ht="16.2" thickBot="1" x14ac:dyDescent="0.35">
      <c r="A141" s="4">
        <f t="shared" si="5"/>
        <v>32</v>
      </c>
      <c r="B141" s="32" t="s">
        <v>102</v>
      </c>
      <c r="E141" s="17">
        <f>SUM(E139:E140)</f>
        <v>0</v>
      </c>
      <c r="G141" s="842" t="s">
        <v>103</v>
      </c>
      <c r="H141" s="4">
        <f t="shared" si="6"/>
        <v>32</v>
      </c>
    </row>
    <row r="142" spans="1:10" ht="16.2" thickTop="1" x14ac:dyDescent="0.3">
      <c r="A142" s="4">
        <f t="shared" si="5"/>
        <v>33</v>
      </c>
      <c r="B142" s="33"/>
      <c r="E142" s="10"/>
      <c r="G142" s="4"/>
      <c r="H142" s="4">
        <f t="shared" si="6"/>
        <v>33</v>
      </c>
    </row>
    <row r="143" spans="1:10" ht="18" x14ac:dyDescent="0.3">
      <c r="A143" s="4">
        <f t="shared" si="5"/>
        <v>34</v>
      </c>
      <c r="B143" s="251" t="s">
        <v>104</v>
      </c>
      <c r="E143" s="10"/>
      <c r="G143" s="4"/>
      <c r="H143" s="4">
        <f t="shared" si="6"/>
        <v>34</v>
      </c>
    </row>
    <row r="144" spans="1:10" x14ac:dyDescent="0.3">
      <c r="A144" s="4">
        <f t="shared" si="5"/>
        <v>35</v>
      </c>
      <c r="B144" s="33" t="s">
        <v>105</v>
      </c>
      <c r="E144" s="7">
        <f>'Stmt Misc.'!E18</f>
        <v>0</v>
      </c>
      <c r="G144" s="842" t="s">
        <v>106</v>
      </c>
      <c r="H144" s="4">
        <f t="shared" si="6"/>
        <v>35</v>
      </c>
    </row>
    <row r="145" spans="1:10" x14ac:dyDescent="0.3">
      <c r="A145" s="4">
        <f t="shared" si="5"/>
        <v>36</v>
      </c>
      <c r="B145" s="32" t="s">
        <v>107</v>
      </c>
      <c r="E145" s="845">
        <f>'Stmt AF'!I23</f>
        <v>0</v>
      </c>
      <c r="G145" s="842" t="s">
        <v>108</v>
      </c>
      <c r="H145" s="4">
        <f t="shared" si="6"/>
        <v>36</v>
      </c>
      <c r="J145" s="258"/>
    </row>
    <row r="146" spans="1:10" ht="16.2" thickBot="1" x14ac:dyDescent="0.35">
      <c r="A146" s="4">
        <f t="shared" si="5"/>
        <v>37</v>
      </c>
      <c r="B146" s="32" t="s">
        <v>109</v>
      </c>
      <c r="E146" s="17">
        <f>SUM(E144:E145)</f>
        <v>0</v>
      </c>
      <c r="G146" s="842" t="s">
        <v>110</v>
      </c>
      <c r="H146" s="4">
        <f t="shared" si="6"/>
        <v>37</v>
      </c>
    </row>
    <row r="147" spans="1:10" ht="16.2" thickTop="1" x14ac:dyDescent="0.3">
      <c r="A147" s="4">
        <f t="shared" si="5"/>
        <v>38</v>
      </c>
      <c r="B147" s="33"/>
      <c r="E147" s="10"/>
      <c r="G147" s="4"/>
      <c r="H147" s="4">
        <f t="shared" si="6"/>
        <v>38</v>
      </c>
    </row>
    <row r="148" spans="1:10" ht="18.600000000000001" thickBot="1" x14ac:dyDescent="0.35">
      <c r="A148" s="4">
        <f t="shared" si="5"/>
        <v>39</v>
      </c>
      <c r="B148" s="251" t="s">
        <v>111</v>
      </c>
      <c r="E148" s="1171">
        <f>'Stmt AM'!E11</f>
        <v>0</v>
      </c>
      <c r="G148" s="4" t="s">
        <v>112</v>
      </c>
      <c r="H148" s="4">
        <f t="shared" si="6"/>
        <v>39</v>
      </c>
    </row>
    <row r="149" spans="1:10" ht="16.2" thickTop="1" x14ac:dyDescent="0.3">
      <c r="B149" s="33"/>
      <c r="E149" s="10"/>
      <c r="G149" s="4"/>
    </row>
    <row r="150" spans="1:10" x14ac:dyDescent="0.3">
      <c r="B150" s="33"/>
      <c r="E150" s="10"/>
      <c r="G150" s="4"/>
    </row>
    <row r="151" spans="1:10" ht="18" x14ac:dyDescent="0.3">
      <c r="A151" s="256">
        <v>1</v>
      </c>
      <c r="B151" s="33" t="s">
        <v>113</v>
      </c>
      <c r="E151" s="10"/>
      <c r="G151" s="4"/>
    </row>
    <row r="152" spans="1:10" ht="18" x14ac:dyDescent="0.3">
      <c r="A152" s="256">
        <v>2</v>
      </c>
      <c r="B152" s="32" t="s">
        <v>54</v>
      </c>
      <c r="E152" s="10"/>
      <c r="G152" s="4"/>
    </row>
    <row r="153" spans="1:10" x14ac:dyDescent="0.3">
      <c r="B153" s="1"/>
      <c r="E153" s="10"/>
      <c r="G153" s="4"/>
    </row>
    <row r="154" spans="1:10" x14ac:dyDescent="0.3">
      <c r="B154" s="1"/>
      <c r="E154" s="10"/>
      <c r="G154" s="4"/>
    </row>
    <row r="155" spans="1:10" x14ac:dyDescent="0.3">
      <c r="B155" s="1222" t="s">
        <v>0</v>
      </c>
      <c r="C155" s="1223"/>
      <c r="D155" s="1223"/>
      <c r="E155" s="1223"/>
      <c r="F155" s="1223"/>
      <c r="G155" s="1223"/>
    </row>
    <row r="156" spans="1:10" x14ac:dyDescent="0.3">
      <c r="A156" s="4" t="s">
        <v>1</v>
      </c>
      <c r="B156" s="1222" t="s">
        <v>2</v>
      </c>
      <c r="C156" s="1223"/>
      <c r="D156" s="1223"/>
      <c r="E156" s="1223"/>
      <c r="F156" s="1223"/>
      <c r="G156" s="1223"/>
    </row>
    <row r="157" spans="1:10" ht="18" x14ac:dyDescent="0.3">
      <c r="B157" s="1222" t="s">
        <v>3</v>
      </c>
      <c r="C157" s="1224"/>
      <c r="D157" s="1224"/>
      <c r="E157" s="1224"/>
      <c r="F157" s="1224"/>
      <c r="G157" s="1224"/>
    </row>
    <row r="158" spans="1:10" x14ac:dyDescent="0.3">
      <c r="B158" s="1227" t="str">
        <f>B5</f>
        <v>For the Base Period &amp; True-Up Period Ending December 31, 2023</v>
      </c>
      <c r="C158" s="1228"/>
      <c r="D158" s="1228"/>
      <c r="E158" s="1228"/>
      <c r="F158" s="1228"/>
      <c r="G158" s="1228"/>
    </row>
    <row r="159" spans="1:10" x14ac:dyDescent="0.3">
      <c r="B159" s="1226" t="s">
        <v>4</v>
      </c>
      <c r="C159" s="1223"/>
      <c r="D159" s="1223"/>
      <c r="E159" s="1223"/>
      <c r="F159" s="1223"/>
      <c r="G159" s="1223"/>
    </row>
    <row r="160" spans="1:10" x14ac:dyDescent="0.3">
      <c r="B160" s="35"/>
    </row>
    <row r="161" spans="1:10" x14ac:dyDescent="0.3">
      <c r="A161" s="4" t="s">
        <v>5</v>
      </c>
      <c r="E161" s="25"/>
      <c r="G161" s="4"/>
      <c r="H161" s="4" t="s">
        <v>5</v>
      </c>
    </row>
    <row r="162" spans="1:10" x14ac:dyDescent="0.3">
      <c r="A162" s="4" t="s">
        <v>6</v>
      </c>
      <c r="B162" s="1" t="s">
        <v>1</v>
      </c>
      <c r="E162" s="914" t="s">
        <v>7</v>
      </c>
      <c r="G162" s="852" t="s">
        <v>8</v>
      </c>
      <c r="H162" s="4" t="s">
        <v>6</v>
      </c>
    </row>
    <row r="163" spans="1:10" x14ac:dyDescent="0.3">
      <c r="B163" s="251" t="s">
        <v>114</v>
      </c>
      <c r="E163" s="25"/>
      <c r="G163" s="4"/>
    </row>
    <row r="164" spans="1:10" x14ac:dyDescent="0.3">
      <c r="A164" s="4">
        <v>1</v>
      </c>
      <c r="B164" s="253" t="s">
        <v>115</v>
      </c>
      <c r="E164" s="25"/>
      <c r="G164" s="4"/>
      <c r="H164" s="4">
        <f>A164</f>
        <v>1</v>
      </c>
    </row>
    <row r="165" spans="1:10" x14ac:dyDescent="0.3">
      <c r="A165" s="4">
        <f t="shared" ref="A165:A188" si="7">A164+1</f>
        <v>2</v>
      </c>
      <c r="B165" s="33" t="s">
        <v>58</v>
      </c>
      <c r="E165" s="7">
        <f>'Stmt AD'!I21</f>
        <v>7990057.3968355898</v>
      </c>
      <c r="F165" s="72"/>
      <c r="G165" s="4" t="s">
        <v>116</v>
      </c>
      <c r="H165" s="4">
        <f t="shared" ref="H165:H188" si="8">H164+1</f>
        <v>2</v>
      </c>
      <c r="J165" s="255"/>
    </row>
    <row r="166" spans="1:10" x14ac:dyDescent="0.3">
      <c r="A166" s="4">
        <f t="shared" si="7"/>
        <v>3</v>
      </c>
      <c r="B166" s="33" t="s">
        <v>117</v>
      </c>
      <c r="E166" s="9">
        <f>'Stmt AD'!I37</f>
        <v>23810.070405144139</v>
      </c>
      <c r="F166" s="72"/>
      <c r="G166" s="4" t="s">
        <v>118</v>
      </c>
      <c r="H166" s="4">
        <f t="shared" si="8"/>
        <v>3</v>
      </c>
      <c r="J166" s="255"/>
    </row>
    <row r="167" spans="1:10" x14ac:dyDescent="0.3">
      <c r="A167" s="4">
        <f t="shared" si="7"/>
        <v>4</v>
      </c>
      <c r="B167" s="33" t="s">
        <v>62</v>
      </c>
      <c r="E167" s="9">
        <f>'Stmt AD'!I39</f>
        <v>118679.32221898218</v>
      </c>
      <c r="F167" s="1"/>
      <c r="G167" s="4" t="s">
        <v>119</v>
      </c>
      <c r="H167" s="4">
        <f t="shared" si="8"/>
        <v>4</v>
      </c>
      <c r="J167" s="255"/>
    </row>
    <row r="168" spans="1:10" x14ac:dyDescent="0.3">
      <c r="A168" s="4">
        <f t="shared" si="7"/>
        <v>5</v>
      </c>
      <c r="B168" s="33" t="s">
        <v>64</v>
      </c>
      <c r="C168" s="4"/>
      <c r="D168" s="4"/>
      <c r="E168" s="845">
        <f>'Stmt AD'!I41</f>
        <v>336812.87323412113</v>
      </c>
      <c r="F168" s="1"/>
      <c r="G168" s="4" t="s">
        <v>120</v>
      </c>
      <c r="H168" s="4">
        <f t="shared" si="8"/>
        <v>5</v>
      </c>
    </row>
    <row r="169" spans="1:10" x14ac:dyDescent="0.3">
      <c r="A169" s="4">
        <f t="shared" si="7"/>
        <v>6</v>
      </c>
      <c r="B169" s="33" t="s">
        <v>121</v>
      </c>
      <c r="E169" s="917">
        <f>SUM(E165:E168)</f>
        <v>8469359.6626938377</v>
      </c>
      <c r="F169" s="72"/>
      <c r="G169" s="4" t="s">
        <v>67</v>
      </c>
      <c r="H169" s="4">
        <f t="shared" si="8"/>
        <v>6</v>
      </c>
      <c r="J169" s="255"/>
    </row>
    <row r="170" spans="1:10" x14ac:dyDescent="0.3">
      <c r="A170" s="4">
        <f t="shared" si="7"/>
        <v>7</v>
      </c>
      <c r="C170" s="4"/>
      <c r="D170" s="4"/>
      <c r="E170" s="25"/>
      <c r="G170" s="4"/>
      <c r="H170" s="4">
        <f t="shared" si="8"/>
        <v>7</v>
      </c>
    </row>
    <row r="171" spans="1:10" x14ac:dyDescent="0.3">
      <c r="A171" s="4">
        <f t="shared" si="7"/>
        <v>8</v>
      </c>
      <c r="B171" s="254" t="s">
        <v>122</v>
      </c>
      <c r="E171" s="25"/>
      <c r="G171" s="4"/>
      <c r="H171" s="4">
        <f t="shared" si="8"/>
        <v>8</v>
      </c>
    </row>
    <row r="172" spans="1:10" x14ac:dyDescent="0.3">
      <c r="A172" s="4">
        <f t="shared" si="7"/>
        <v>9</v>
      </c>
      <c r="B172" s="32" t="s">
        <v>123</v>
      </c>
      <c r="E172" s="7">
        <f>'Stmt AE'!I11</f>
        <v>1933499.1032278647</v>
      </c>
      <c r="F172" s="72"/>
      <c r="G172" s="4" t="s">
        <v>124</v>
      </c>
      <c r="H172" s="4">
        <f t="shared" si="8"/>
        <v>9</v>
      </c>
    </row>
    <row r="173" spans="1:10" x14ac:dyDescent="0.3">
      <c r="A173" s="4">
        <f t="shared" si="7"/>
        <v>10</v>
      </c>
      <c r="B173" s="32" t="s">
        <v>125</v>
      </c>
      <c r="E173" s="9">
        <f>'Stmt AE'!I21</f>
        <v>14658.345197067425</v>
      </c>
      <c r="F173" s="72"/>
      <c r="G173" s="4" t="s">
        <v>126</v>
      </c>
      <c r="H173" s="4">
        <f t="shared" si="8"/>
        <v>10</v>
      </c>
    </row>
    <row r="174" spans="1:10" x14ac:dyDescent="0.3">
      <c r="A174" s="4">
        <f t="shared" si="7"/>
        <v>11</v>
      </c>
      <c r="B174" s="32" t="s">
        <v>127</v>
      </c>
      <c r="E174" s="9">
        <f>'Stmt AE'!I23</f>
        <v>51119.837024610781</v>
      </c>
      <c r="F174" s="1"/>
      <c r="G174" s="4" t="s">
        <v>128</v>
      </c>
      <c r="H174" s="4">
        <f t="shared" si="8"/>
        <v>11</v>
      </c>
    </row>
    <row r="175" spans="1:10" x14ac:dyDescent="0.3">
      <c r="A175" s="4">
        <f t="shared" si="7"/>
        <v>12</v>
      </c>
      <c r="B175" s="32" t="s">
        <v>129</v>
      </c>
      <c r="E175" s="845">
        <f>'Stmt AE'!I25</f>
        <v>140292.61554820111</v>
      </c>
      <c r="F175" s="1"/>
      <c r="G175" s="4" t="s">
        <v>130</v>
      </c>
      <c r="H175" s="4">
        <f t="shared" si="8"/>
        <v>12</v>
      </c>
    </row>
    <row r="176" spans="1:10" x14ac:dyDescent="0.3">
      <c r="A176" s="4">
        <f t="shared" si="7"/>
        <v>13</v>
      </c>
      <c r="B176" s="255" t="s">
        <v>131</v>
      </c>
      <c r="C176" s="255"/>
      <c r="D176" s="255"/>
      <c r="E176" s="917">
        <f>SUM(E172:E175)</f>
        <v>2139569.9009977439</v>
      </c>
      <c r="F176" s="72"/>
      <c r="G176" s="4" t="s">
        <v>132</v>
      </c>
      <c r="H176" s="4">
        <f t="shared" si="8"/>
        <v>13</v>
      </c>
    </row>
    <row r="177" spans="1:8" x14ac:dyDescent="0.3">
      <c r="A177" s="4">
        <f t="shared" si="7"/>
        <v>14</v>
      </c>
      <c r="B177" s="255"/>
      <c r="C177" s="255"/>
      <c r="D177" s="255"/>
      <c r="E177" s="8"/>
      <c r="G177" s="4"/>
      <c r="H177" s="4">
        <f t="shared" si="8"/>
        <v>14</v>
      </c>
    </row>
    <row r="178" spans="1:8" x14ac:dyDescent="0.3">
      <c r="A178" s="4">
        <f t="shared" si="7"/>
        <v>15</v>
      </c>
      <c r="B178" s="253" t="s">
        <v>57</v>
      </c>
      <c r="C178" s="255"/>
      <c r="D178" s="255"/>
      <c r="E178" s="8"/>
      <c r="G178" s="4"/>
      <c r="H178" s="4">
        <f t="shared" si="8"/>
        <v>15</v>
      </c>
    </row>
    <row r="179" spans="1:8" x14ac:dyDescent="0.3">
      <c r="A179" s="4">
        <f t="shared" si="7"/>
        <v>16</v>
      </c>
      <c r="B179" s="33" t="s">
        <v>58</v>
      </c>
      <c r="E179" s="10">
        <f>+E165-E172</f>
        <v>6056558.2936077248</v>
      </c>
      <c r="F179" s="72"/>
      <c r="G179" s="4" t="s">
        <v>1729</v>
      </c>
      <c r="H179" s="4">
        <f t="shared" si="8"/>
        <v>16</v>
      </c>
    </row>
    <row r="180" spans="1:8" x14ac:dyDescent="0.3">
      <c r="A180" s="4">
        <f t="shared" si="7"/>
        <v>17</v>
      </c>
      <c r="B180" s="33" t="s">
        <v>60</v>
      </c>
      <c r="E180" s="8">
        <f>+E166-E173</f>
        <v>9151.7252080767139</v>
      </c>
      <c r="F180" s="72"/>
      <c r="G180" s="4" t="s">
        <v>1730</v>
      </c>
      <c r="H180" s="4">
        <f t="shared" si="8"/>
        <v>17</v>
      </c>
    </row>
    <row r="181" spans="1:8" x14ac:dyDescent="0.3">
      <c r="A181" s="4">
        <f t="shared" si="7"/>
        <v>18</v>
      </c>
      <c r="B181" s="33" t="s">
        <v>62</v>
      </c>
      <c r="E181" s="8">
        <f>+E167-E174</f>
        <v>67559.485194371402</v>
      </c>
      <c r="G181" s="4" t="s">
        <v>1731</v>
      </c>
      <c r="H181" s="4">
        <f t="shared" si="8"/>
        <v>18</v>
      </c>
    </row>
    <row r="182" spans="1:8" x14ac:dyDescent="0.3">
      <c r="A182" s="4">
        <f t="shared" si="7"/>
        <v>19</v>
      </c>
      <c r="B182" s="33" t="s">
        <v>64</v>
      </c>
      <c r="E182" s="918">
        <f>+E168-E175</f>
        <v>196520.25768592002</v>
      </c>
      <c r="G182" s="4" t="s">
        <v>1732</v>
      </c>
      <c r="H182" s="4">
        <f t="shared" si="8"/>
        <v>19</v>
      </c>
    </row>
    <row r="183" spans="1:8" ht="16.2" thickBot="1" x14ac:dyDescent="0.35">
      <c r="A183" s="4">
        <f t="shared" si="7"/>
        <v>20</v>
      </c>
      <c r="B183" s="32" t="s">
        <v>66</v>
      </c>
      <c r="E183" s="17">
        <f>SUM(E179:E182)</f>
        <v>6329789.7616960928</v>
      </c>
      <c r="F183" s="72"/>
      <c r="G183" s="4" t="s">
        <v>133</v>
      </c>
      <c r="H183" s="4">
        <f t="shared" si="8"/>
        <v>20</v>
      </c>
    </row>
    <row r="184" spans="1:8" ht="16.2" thickTop="1" x14ac:dyDescent="0.3">
      <c r="A184" s="4">
        <f t="shared" si="7"/>
        <v>21</v>
      </c>
      <c r="E184" s="10"/>
      <c r="G184" s="4"/>
      <c r="H184" s="4">
        <f t="shared" si="8"/>
        <v>21</v>
      </c>
    </row>
    <row r="185" spans="1:8" ht="18" x14ac:dyDescent="0.3">
      <c r="A185" s="4">
        <f t="shared" si="7"/>
        <v>22</v>
      </c>
      <c r="B185" s="251" t="s">
        <v>1356</v>
      </c>
      <c r="E185" s="10"/>
      <c r="G185" s="4"/>
      <c r="H185" s="4">
        <f t="shared" si="8"/>
        <v>22</v>
      </c>
    </row>
    <row r="186" spans="1:8" x14ac:dyDescent="0.3">
      <c r="A186" s="4">
        <f t="shared" si="7"/>
        <v>23</v>
      </c>
      <c r="B186" s="33" t="s">
        <v>135</v>
      </c>
      <c r="E186" s="7">
        <f>'Stmt AD'!I23</f>
        <v>0</v>
      </c>
      <c r="G186" s="4" t="s">
        <v>136</v>
      </c>
      <c r="H186" s="4">
        <f t="shared" si="8"/>
        <v>23</v>
      </c>
    </row>
    <row r="187" spans="1:8" x14ac:dyDescent="0.3">
      <c r="A187" s="4">
        <f t="shared" si="7"/>
        <v>24</v>
      </c>
      <c r="B187" s="32" t="s">
        <v>137</v>
      </c>
      <c r="E187" s="845">
        <f>'Stmt AE'!I29</f>
        <v>0</v>
      </c>
      <c r="G187" s="4" t="s">
        <v>138</v>
      </c>
      <c r="H187" s="4">
        <f t="shared" si="8"/>
        <v>24</v>
      </c>
    </row>
    <row r="188" spans="1:8" ht="16.2" thickBot="1" x14ac:dyDescent="0.35">
      <c r="A188" s="4">
        <f t="shared" si="7"/>
        <v>25</v>
      </c>
      <c r="B188" s="33" t="s">
        <v>139</v>
      </c>
      <c r="E188" s="24">
        <f>E186-E187</f>
        <v>0</v>
      </c>
      <c r="G188" s="4" t="s">
        <v>1733</v>
      </c>
      <c r="H188" s="4">
        <f t="shared" si="8"/>
        <v>25</v>
      </c>
    </row>
    <row r="189" spans="1:8" ht="16.2" thickTop="1" x14ac:dyDescent="0.3">
      <c r="B189" s="33"/>
      <c r="E189" s="10"/>
      <c r="G189" s="4"/>
    </row>
    <row r="190" spans="1:8" x14ac:dyDescent="0.3">
      <c r="B190" s="33"/>
      <c r="E190" s="10"/>
      <c r="G190" s="4"/>
    </row>
    <row r="191" spans="1:8" ht="18" x14ac:dyDescent="0.3">
      <c r="A191" s="256">
        <v>1</v>
      </c>
      <c r="B191" s="32" t="s">
        <v>1357</v>
      </c>
      <c r="E191" s="10"/>
      <c r="G191" s="4"/>
    </row>
    <row r="192" spans="1:8" x14ac:dyDescent="0.3">
      <c r="E192" s="10"/>
      <c r="G192" s="4"/>
    </row>
    <row r="193" spans="1:10" x14ac:dyDescent="0.3">
      <c r="E193" s="10"/>
      <c r="G193" s="4"/>
    </row>
    <row r="194" spans="1:10" x14ac:dyDescent="0.3">
      <c r="A194" s="72"/>
      <c r="E194" s="10"/>
      <c r="G194" s="4"/>
    </row>
    <row r="195" spans="1:10" x14ac:dyDescent="0.3">
      <c r="E195" s="10"/>
      <c r="G195" s="4"/>
      <c r="J195" s="36"/>
    </row>
  </sheetData>
  <mergeCells count="20">
    <mergeCell ref="B101:G101"/>
    <mergeCell ref="B2:G2"/>
    <mergeCell ref="B3:G3"/>
    <mergeCell ref="B4:G4"/>
    <mergeCell ref="B5:G5"/>
    <mergeCell ref="B6:G6"/>
    <mergeCell ref="B46:G46"/>
    <mergeCell ref="B47:G47"/>
    <mergeCell ref="B48:G48"/>
    <mergeCell ref="B49:G49"/>
    <mergeCell ref="B50:G50"/>
    <mergeCell ref="B157:G157"/>
    <mergeCell ref="B158:G158"/>
    <mergeCell ref="B159:G159"/>
    <mergeCell ref="B102:G102"/>
    <mergeCell ref="B103:G103"/>
    <mergeCell ref="B104:G104"/>
    <mergeCell ref="B105:G105"/>
    <mergeCell ref="B155:G155"/>
    <mergeCell ref="B156:G156"/>
  </mergeCells>
  <printOptions horizontalCentered="1"/>
  <pageMargins left="0.5" right="0.5" top="0.5" bottom="0.5" header="0.25" footer="0.25"/>
  <pageSetup scale="54" fitToHeight="0" orientation="portrait" r:id="rId1"/>
  <headerFooter scaleWithDoc="0">
    <oddFooter>&amp;C&amp;"Times New Roman,Regular"&amp;10&amp;A
Page &amp;P of &amp;N</oddFooter>
    <evenFooter>&amp;C&amp;"Times New Roman,Regular"&amp;10Page 2 of 3</evenFooter>
    <firstFooter>&amp;C&amp;"Times New Roman,Regular"&amp;10Page 1 of 3</firstFooter>
  </headerFooter>
  <rowBreaks count="4" manualBreakCount="4">
    <brk id="44" max="16383" man="1"/>
    <brk id="99" max="7" man="1"/>
    <brk id="153" max="7" man="1"/>
    <brk id="193" max="9" man="1"/>
  </rowBreaks>
  <customProperties>
    <customPr name="_pios_id" r:id="rId2"/>
  </customProperties>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6D091-CCE8-4679-8652-021A4669C1B8}">
  <sheetPr>
    <pageSetUpPr fitToPage="1"/>
  </sheetPr>
  <dimension ref="A2:J174"/>
  <sheetViews>
    <sheetView zoomScale="80" zoomScaleNormal="80" workbookViewId="0"/>
  </sheetViews>
  <sheetFormatPr defaultRowHeight="15.6" x14ac:dyDescent="0.3"/>
  <cols>
    <col min="1" max="1" width="5.33203125" style="4" customWidth="1"/>
    <col min="2" max="2" width="46.6640625" customWidth="1"/>
    <col min="3" max="3" width="16.44140625" bestFit="1" customWidth="1"/>
    <col min="4" max="4" width="14.5546875" customWidth="1"/>
    <col min="5" max="5" width="15.5546875" bestFit="1" customWidth="1"/>
    <col min="6" max="6" width="17" bestFit="1" customWidth="1"/>
    <col min="7" max="7" width="17.44140625" bestFit="1" customWidth="1"/>
    <col min="8" max="8" width="18.33203125" bestFit="1" customWidth="1"/>
    <col min="9" max="9" width="22" bestFit="1" customWidth="1"/>
    <col min="10" max="10" width="5.33203125" style="4" customWidth="1"/>
  </cols>
  <sheetData>
    <row r="2" spans="1:10" x14ac:dyDescent="0.3">
      <c r="B2" s="1222" t="s">
        <v>0</v>
      </c>
      <c r="C2" s="1222"/>
      <c r="D2" s="1222"/>
      <c r="E2" s="1222"/>
      <c r="F2" s="1222"/>
      <c r="G2" s="1222"/>
      <c r="H2" s="1222"/>
      <c r="I2" s="1222"/>
    </row>
    <row r="3" spans="1:10" x14ac:dyDescent="0.3">
      <c r="B3" s="1222" t="s">
        <v>1358</v>
      </c>
      <c r="C3" s="1222"/>
      <c r="D3" s="1222"/>
      <c r="E3" s="1222"/>
      <c r="F3" s="1222"/>
      <c r="G3" s="1222"/>
      <c r="H3" s="1222"/>
      <c r="I3" s="1222"/>
    </row>
    <row r="4" spans="1:10" x14ac:dyDescent="0.3">
      <c r="B4" s="1222" t="s">
        <v>423</v>
      </c>
      <c r="C4" s="1222"/>
      <c r="D4" s="1222"/>
      <c r="E4" s="1222"/>
      <c r="F4" s="1222"/>
      <c r="G4" s="1222"/>
      <c r="H4" s="1222"/>
      <c r="I4" s="1222"/>
    </row>
    <row r="5" spans="1:10" x14ac:dyDescent="0.3">
      <c r="B5" s="1249" t="s">
        <v>1532</v>
      </c>
      <c r="C5" s="1249"/>
      <c r="D5" s="1249"/>
      <c r="E5" s="1249"/>
      <c r="F5" s="1249"/>
      <c r="G5" s="1249"/>
      <c r="H5" s="1249"/>
      <c r="I5" s="1249"/>
    </row>
    <row r="6" spans="1:10" x14ac:dyDescent="0.3">
      <c r="B6" s="1226" t="s">
        <v>4</v>
      </c>
      <c r="C6" s="1226"/>
      <c r="D6" s="1226"/>
      <c r="E6" s="1226"/>
      <c r="F6" s="1226"/>
      <c r="G6" s="1226"/>
      <c r="H6" s="1226"/>
      <c r="I6" s="1226"/>
    </row>
    <row r="8" spans="1:10" x14ac:dyDescent="0.3">
      <c r="A8" s="4" t="s">
        <v>5</v>
      </c>
      <c r="B8" s="606" t="s">
        <v>1182</v>
      </c>
      <c r="C8" s="606" t="s">
        <v>1183</v>
      </c>
      <c r="D8" s="606" t="s">
        <v>1184</v>
      </c>
      <c r="E8" s="606" t="s">
        <v>1185</v>
      </c>
      <c r="F8" s="606" t="s">
        <v>1186</v>
      </c>
      <c r="G8" s="606" t="s">
        <v>1187</v>
      </c>
      <c r="H8" s="606" t="s">
        <v>1188</v>
      </c>
      <c r="I8" s="606" t="s">
        <v>1189</v>
      </c>
      <c r="J8" s="4" t="s">
        <v>5</v>
      </c>
    </row>
    <row r="9" spans="1:10" x14ac:dyDescent="0.3">
      <c r="A9" s="4" t="s">
        <v>6</v>
      </c>
      <c r="B9" s="607"/>
      <c r="C9" s="608"/>
      <c r="D9" s="608"/>
      <c r="E9" s="609"/>
      <c r="F9" s="609"/>
      <c r="G9" s="621" t="s">
        <v>1359</v>
      </c>
      <c r="H9" s="622" t="s">
        <v>1360</v>
      </c>
      <c r="I9" s="608"/>
      <c r="J9" s="4" t="s">
        <v>6</v>
      </c>
    </row>
    <row r="10" spans="1:10" x14ac:dyDescent="0.3">
      <c r="B10" s="607"/>
      <c r="C10" s="610"/>
      <c r="D10" s="610"/>
      <c r="E10" s="609"/>
      <c r="F10" s="609"/>
      <c r="G10" s="609"/>
      <c r="H10" s="611"/>
      <c r="I10" s="607"/>
    </row>
    <row r="11" spans="1:10" x14ac:dyDescent="0.3">
      <c r="B11" s="612"/>
      <c r="C11" s="608" t="s">
        <v>1361</v>
      </c>
      <c r="D11" s="608" t="s">
        <v>1362</v>
      </c>
      <c r="E11" s="608"/>
      <c r="F11" s="608" t="s">
        <v>1363</v>
      </c>
      <c r="G11" s="608" t="s">
        <v>1364</v>
      </c>
      <c r="H11" s="613" t="s">
        <v>1365</v>
      </c>
      <c r="I11" s="613" t="s">
        <v>1366</v>
      </c>
    </row>
    <row r="12" spans="1:10" ht="18.600000000000001" x14ac:dyDescent="0.3">
      <c r="B12" s="612" t="s">
        <v>1367</v>
      </c>
      <c r="C12" s="614" t="s">
        <v>1368</v>
      </c>
      <c r="D12" s="614" t="s">
        <v>1369</v>
      </c>
      <c r="E12" s="614" t="s">
        <v>1370</v>
      </c>
      <c r="F12" s="614" t="s">
        <v>1371</v>
      </c>
      <c r="G12" s="614" t="s">
        <v>1372</v>
      </c>
      <c r="H12" s="612" t="s">
        <v>1373</v>
      </c>
      <c r="I12" s="612" t="s">
        <v>1374</v>
      </c>
    </row>
    <row r="13" spans="1:10" x14ac:dyDescent="0.3">
      <c r="A13" s="4">
        <v>1</v>
      </c>
      <c r="B13" s="615" t="s">
        <v>1375</v>
      </c>
      <c r="C13" s="616"/>
      <c r="D13" s="143">
        <f>'Stmt AF'!E17</f>
        <v>-1105773.1102425279</v>
      </c>
      <c r="E13" s="609"/>
      <c r="F13" s="617">
        <f>SUM(E14:E25)</f>
        <v>365</v>
      </c>
      <c r="G13" s="618">
        <f xml:space="preserve"> 1</f>
        <v>1</v>
      </c>
      <c r="H13" s="619"/>
      <c r="I13" s="145">
        <f>+D13</f>
        <v>-1105773.1102425279</v>
      </c>
      <c r="J13" s="4">
        <v>1</v>
      </c>
    </row>
    <row r="14" spans="1:10" x14ac:dyDescent="0.3">
      <c r="A14" s="4">
        <f>A13+1</f>
        <v>2</v>
      </c>
      <c r="B14" s="615" t="s">
        <v>1332</v>
      </c>
      <c r="C14" s="143">
        <f>('Stmt AF'!$G$17-'Stmt AF'!$E$17)/12</f>
        <v>-2068.6919962497777</v>
      </c>
      <c r="D14" s="119">
        <f>D13+C14</f>
        <v>-1107841.8022387777</v>
      </c>
      <c r="E14" s="623">
        <v>31</v>
      </c>
      <c r="F14" s="624">
        <f t="shared" ref="F14:F25" si="0">+F13-E14</f>
        <v>334</v>
      </c>
      <c r="G14" s="618">
        <f>F14/F13</f>
        <v>0.91506849315068495</v>
      </c>
      <c r="H14" s="145">
        <f t="shared" ref="H14:H25" si="1">C14*G14</f>
        <v>-1892.9948678011665</v>
      </c>
      <c r="I14" s="119">
        <f t="shared" ref="I14:I25" si="2">I13+H14</f>
        <v>-1107666.1051103291</v>
      </c>
      <c r="J14" s="4">
        <f>J13+1</f>
        <v>2</v>
      </c>
    </row>
    <row r="15" spans="1:10" x14ac:dyDescent="0.3">
      <c r="A15" s="4">
        <f>A14+1</f>
        <v>3</v>
      </c>
      <c r="B15" s="615" t="s">
        <v>1333</v>
      </c>
      <c r="C15" s="851">
        <f>('Stmt AF'!$G$17-'Stmt AF'!$E$17)/12</f>
        <v>-2068.6919962497777</v>
      </c>
      <c r="D15" s="119">
        <f>D14+C15</f>
        <v>-1109910.4942350276</v>
      </c>
      <c r="E15" s="623">
        <v>28</v>
      </c>
      <c r="F15" s="624">
        <f t="shared" si="0"/>
        <v>306</v>
      </c>
      <c r="G15" s="618">
        <f>F15/F13</f>
        <v>0.83835616438356164</v>
      </c>
      <c r="H15" s="119">
        <f t="shared" si="1"/>
        <v>-1734.3006872669368</v>
      </c>
      <c r="I15" s="119">
        <f t="shared" si="2"/>
        <v>-1109400.4057975961</v>
      </c>
      <c r="J15" s="4">
        <f>J14+1</f>
        <v>3</v>
      </c>
    </row>
    <row r="16" spans="1:10" x14ac:dyDescent="0.3">
      <c r="A16" s="4">
        <f t="shared" ref="A16:A25" si="3">A15+1</f>
        <v>4</v>
      </c>
      <c r="B16" s="615" t="s">
        <v>1376</v>
      </c>
      <c r="C16" s="851">
        <f>('Stmt AF'!$G$17-'Stmt AF'!$E$17)/12</f>
        <v>-2068.6919962497777</v>
      </c>
      <c r="D16" s="119">
        <f>D15+C16</f>
        <v>-1111979.1862312774</v>
      </c>
      <c r="E16" s="623">
        <v>31</v>
      </c>
      <c r="F16" s="624">
        <f t="shared" si="0"/>
        <v>275</v>
      </c>
      <c r="G16" s="618">
        <f>F16/F13</f>
        <v>0.75342465753424659</v>
      </c>
      <c r="H16" s="119">
        <f t="shared" si="1"/>
        <v>-1558.6035588183256</v>
      </c>
      <c r="I16" s="119">
        <f t="shared" si="2"/>
        <v>-1110959.0093564144</v>
      </c>
      <c r="J16" s="4">
        <f t="shared" ref="J16:J25" si="4">J15+1</f>
        <v>4</v>
      </c>
    </row>
    <row r="17" spans="1:10" x14ac:dyDescent="0.3">
      <c r="A17" s="4">
        <f t="shared" si="3"/>
        <v>5</v>
      </c>
      <c r="B17" s="615" t="s">
        <v>1377</v>
      </c>
      <c r="C17" s="851">
        <f>('Stmt AF'!$G$17-'Stmt AF'!$E$17)/12</f>
        <v>-2068.6919962497777</v>
      </c>
      <c r="D17" s="119">
        <f t="shared" ref="D17:D25" si="5">D16+C17</f>
        <v>-1114047.8782275273</v>
      </c>
      <c r="E17" s="623">
        <v>30</v>
      </c>
      <c r="F17" s="624">
        <f t="shared" si="0"/>
        <v>245</v>
      </c>
      <c r="G17" s="618">
        <f>F17/F13</f>
        <v>0.67123287671232879</v>
      </c>
      <c r="H17" s="119">
        <f t="shared" si="1"/>
        <v>-1388.5740796745083</v>
      </c>
      <c r="I17" s="119">
        <f t="shared" si="2"/>
        <v>-1112347.5834360889</v>
      </c>
      <c r="J17" s="4">
        <f t="shared" si="4"/>
        <v>5</v>
      </c>
    </row>
    <row r="18" spans="1:10" x14ac:dyDescent="0.3">
      <c r="A18" s="4">
        <f>A17+1</f>
        <v>6</v>
      </c>
      <c r="B18" s="615" t="s">
        <v>294</v>
      </c>
      <c r="C18" s="851">
        <f>('Stmt AF'!$G$17-'Stmt AF'!$E$17)/12</f>
        <v>-2068.6919962497777</v>
      </c>
      <c r="D18" s="119">
        <f t="shared" si="5"/>
        <v>-1116116.5702237771</v>
      </c>
      <c r="E18" s="623">
        <v>31</v>
      </c>
      <c r="F18" s="624">
        <f t="shared" si="0"/>
        <v>214</v>
      </c>
      <c r="G18" s="618">
        <f>F18/F13</f>
        <v>0.58630136986301373</v>
      </c>
      <c r="H18" s="119">
        <f t="shared" si="1"/>
        <v>-1212.8769512258971</v>
      </c>
      <c r="I18" s="119">
        <f t="shared" si="2"/>
        <v>-1113560.4603873147</v>
      </c>
      <c r="J18" s="4">
        <f>J17+1</f>
        <v>6</v>
      </c>
    </row>
    <row r="19" spans="1:10" x14ac:dyDescent="0.3">
      <c r="A19" s="4">
        <f t="shared" si="3"/>
        <v>7</v>
      </c>
      <c r="B19" s="615" t="s">
        <v>1378</v>
      </c>
      <c r="C19" s="851">
        <f>('Stmt AF'!$G$17-'Stmt AF'!$E$17)/12</f>
        <v>-2068.6919962497777</v>
      </c>
      <c r="D19" s="119">
        <f t="shared" si="5"/>
        <v>-1118185.2622200269</v>
      </c>
      <c r="E19" s="623">
        <v>30</v>
      </c>
      <c r="F19" s="624">
        <f t="shared" si="0"/>
        <v>184</v>
      </c>
      <c r="G19" s="618">
        <f>F19/F13</f>
        <v>0.50410958904109593</v>
      </c>
      <c r="H19" s="119">
        <f t="shared" si="1"/>
        <v>-1042.8474720820798</v>
      </c>
      <c r="I19" s="119">
        <f t="shared" si="2"/>
        <v>-1114603.3078593968</v>
      </c>
      <c r="J19" s="4">
        <f t="shared" si="4"/>
        <v>7</v>
      </c>
    </row>
    <row r="20" spans="1:10" x14ac:dyDescent="0.3">
      <c r="A20" s="4">
        <f t="shared" si="3"/>
        <v>8</v>
      </c>
      <c r="B20" s="615" t="s">
        <v>1379</v>
      </c>
      <c r="C20" s="851">
        <f>('Stmt AF'!$G$17-'Stmt AF'!$E$17)/12</f>
        <v>-2068.6919962497777</v>
      </c>
      <c r="D20" s="119">
        <f t="shared" si="5"/>
        <v>-1120253.9542162768</v>
      </c>
      <c r="E20" s="623">
        <v>31</v>
      </c>
      <c r="F20" s="624">
        <f t="shared" si="0"/>
        <v>153</v>
      </c>
      <c r="G20" s="618">
        <f>F20/F13</f>
        <v>0.41917808219178082</v>
      </c>
      <c r="H20" s="119">
        <f t="shared" si="1"/>
        <v>-867.15034363346842</v>
      </c>
      <c r="I20" s="119">
        <f t="shared" si="2"/>
        <v>-1115470.4582030303</v>
      </c>
      <c r="J20" s="4">
        <f t="shared" si="4"/>
        <v>8</v>
      </c>
    </row>
    <row r="21" spans="1:10" x14ac:dyDescent="0.3">
      <c r="A21" s="4">
        <f t="shared" si="3"/>
        <v>9</v>
      </c>
      <c r="B21" s="615" t="s">
        <v>1380</v>
      </c>
      <c r="C21" s="851">
        <f>('Stmt AF'!$G$17-'Stmt AF'!$E$17)/12</f>
        <v>-2068.6919962497777</v>
      </c>
      <c r="D21" s="119">
        <f t="shared" si="5"/>
        <v>-1122322.6462125266</v>
      </c>
      <c r="E21" s="623">
        <v>31</v>
      </c>
      <c r="F21" s="624">
        <f t="shared" si="0"/>
        <v>122</v>
      </c>
      <c r="G21" s="618">
        <f>F21/F13</f>
        <v>0.33424657534246577</v>
      </c>
      <c r="H21" s="119">
        <f t="shared" si="1"/>
        <v>-691.4532151848573</v>
      </c>
      <c r="I21" s="119">
        <f t="shared" si="2"/>
        <v>-1116161.9114182151</v>
      </c>
      <c r="J21" s="4">
        <f t="shared" si="4"/>
        <v>9</v>
      </c>
    </row>
    <row r="22" spans="1:10" x14ac:dyDescent="0.3">
      <c r="A22" s="4">
        <f t="shared" si="3"/>
        <v>10</v>
      </c>
      <c r="B22" s="615" t="s">
        <v>1381</v>
      </c>
      <c r="C22" s="851">
        <f>('Stmt AF'!$G$17-'Stmt AF'!$E$17)/12</f>
        <v>-2068.6919962497777</v>
      </c>
      <c r="D22" s="119">
        <f t="shared" si="5"/>
        <v>-1124391.3382087764</v>
      </c>
      <c r="E22" s="623">
        <v>30</v>
      </c>
      <c r="F22" s="624">
        <f t="shared" si="0"/>
        <v>92</v>
      </c>
      <c r="G22" s="618">
        <f>F22/F13</f>
        <v>0.25205479452054796</v>
      </c>
      <c r="H22" s="119">
        <f t="shared" si="1"/>
        <v>-521.42373604103989</v>
      </c>
      <c r="I22" s="119">
        <f t="shared" si="2"/>
        <v>-1116683.3351542561</v>
      </c>
      <c r="J22" s="4">
        <f t="shared" si="4"/>
        <v>10</v>
      </c>
    </row>
    <row r="23" spans="1:10" x14ac:dyDescent="0.3">
      <c r="A23" s="4">
        <f t="shared" si="3"/>
        <v>11</v>
      </c>
      <c r="B23" s="615" t="s">
        <v>1382</v>
      </c>
      <c r="C23" s="851">
        <f>('Stmt AF'!$G$17-'Stmt AF'!$E$17)/12</f>
        <v>-2068.6919962497777</v>
      </c>
      <c r="D23" s="119">
        <f t="shared" si="5"/>
        <v>-1126460.0302050263</v>
      </c>
      <c r="E23" s="623">
        <v>31</v>
      </c>
      <c r="F23" s="624">
        <f t="shared" si="0"/>
        <v>61</v>
      </c>
      <c r="G23" s="618">
        <f>F23/F13</f>
        <v>0.16712328767123288</v>
      </c>
      <c r="H23" s="119">
        <f t="shared" si="1"/>
        <v>-345.72660759242865</v>
      </c>
      <c r="I23" s="119">
        <f t="shared" si="2"/>
        <v>-1117029.0617618486</v>
      </c>
      <c r="J23" s="4">
        <f t="shared" si="4"/>
        <v>11</v>
      </c>
    </row>
    <row r="24" spans="1:10" x14ac:dyDescent="0.3">
      <c r="A24" s="4">
        <f t="shared" si="3"/>
        <v>12</v>
      </c>
      <c r="B24" s="615" t="s">
        <v>1383</v>
      </c>
      <c r="C24" s="851">
        <f>('Stmt AF'!$G$17-'Stmt AF'!$E$17)/12</f>
        <v>-2068.6919962497777</v>
      </c>
      <c r="D24" s="119">
        <f t="shared" si="5"/>
        <v>-1128528.7222012761</v>
      </c>
      <c r="E24" s="623">
        <v>30</v>
      </c>
      <c r="F24" s="624">
        <f t="shared" si="0"/>
        <v>31</v>
      </c>
      <c r="G24" s="618">
        <f>F24/F13</f>
        <v>8.4931506849315067E-2</v>
      </c>
      <c r="H24" s="119">
        <f t="shared" si="1"/>
        <v>-175.69712844861127</v>
      </c>
      <c r="I24" s="119">
        <f t="shared" si="2"/>
        <v>-1117204.7588902973</v>
      </c>
      <c r="J24" s="4">
        <f t="shared" si="4"/>
        <v>12</v>
      </c>
    </row>
    <row r="25" spans="1:10" x14ac:dyDescent="0.3">
      <c r="A25" s="4">
        <f t="shared" si="3"/>
        <v>13</v>
      </c>
      <c r="B25" s="615" t="s">
        <v>1384</v>
      </c>
      <c r="C25" s="851">
        <f>('Stmt AF'!$G$17-'Stmt AF'!$E$17)/12</f>
        <v>-2068.6919962497777</v>
      </c>
      <c r="D25" s="119">
        <f t="shared" si="5"/>
        <v>-1130597.4141975259</v>
      </c>
      <c r="E25" s="623">
        <v>31</v>
      </c>
      <c r="F25" s="624">
        <f t="shared" si="0"/>
        <v>0</v>
      </c>
      <c r="G25" s="618">
        <f>F25/F13</f>
        <v>0</v>
      </c>
      <c r="H25" s="119">
        <f t="shared" si="1"/>
        <v>0</v>
      </c>
      <c r="I25" s="145">
        <f t="shared" si="2"/>
        <v>-1117204.7588902973</v>
      </c>
      <c r="J25" s="4">
        <f t="shared" si="4"/>
        <v>13</v>
      </c>
    </row>
    <row r="26" spans="1:10" x14ac:dyDescent="0.3">
      <c r="B26" s="615" t="s">
        <v>1385</v>
      </c>
      <c r="C26" s="620"/>
      <c r="D26" s="143">
        <f>'Stmt AF'!G17</f>
        <v>-1130597.4141975252</v>
      </c>
      <c r="E26" s="620"/>
      <c r="F26" s="620"/>
      <c r="G26" s="620"/>
      <c r="H26" s="620"/>
      <c r="I26" s="620"/>
    </row>
    <row r="29" spans="1:10" ht="18" x14ac:dyDescent="0.3">
      <c r="A29" s="256">
        <v>1</v>
      </c>
      <c r="B29" s="5" t="s">
        <v>1386</v>
      </c>
    </row>
    <row r="30" spans="1:10" ht="18" x14ac:dyDescent="0.3">
      <c r="A30" s="256">
        <v>2</v>
      </c>
      <c r="B30" s="5" t="s">
        <v>1387</v>
      </c>
    </row>
    <row r="73" spans="1:10" ht="18" x14ac:dyDescent="0.3">
      <c r="A73" s="256"/>
      <c r="J73" s="256"/>
    </row>
    <row r="74" spans="1:10" ht="18" x14ac:dyDescent="0.3">
      <c r="A74" s="256"/>
      <c r="J74" s="256"/>
    </row>
    <row r="75" spans="1:10" ht="18" x14ac:dyDescent="0.3">
      <c r="A75" s="256"/>
      <c r="J75" s="256"/>
    </row>
    <row r="76" spans="1:10" ht="18" x14ac:dyDescent="0.3">
      <c r="A76" s="256"/>
      <c r="J76" s="256"/>
    </row>
    <row r="77" spans="1:10" ht="18" x14ac:dyDescent="0.3">
      <c r="A77" s="256"/>
      <c r="J77" s="256"/>
    </row>
    <row r="78" spans="1:10" ht="18" x14ac:dyDescent="0.3">
      <c r="A78" s="256"/>
      <c r="J78" s="256"/>
    </row>
    <row r="79" spans="1:10" ht="18" x14ac:dyDescent="0.3">
      <c r="A79" s="256"/>
      <c r="J79" s="256"/>
    </row>
    <row r="131" spans="1:10" ht="18" x14ac:dyDescent="0.3">
      <c r="A131" s="256"/>
      <c r="J131" s="256"/>
    </row>
    <row r="132" spans="1:10" ht="18" x14ac:dyDescent="0.3">
      <c r="A132" s="256"/>
      <c r="J132" s="256"/>
    </row>
    <row r="171" spans="1:10" ht="18" x14ac:dyDescent="0.3">
      <c r="A171" s="256"/>
      <c r="J171" s="256"/>
    </row>
    <row r="174" spans="1:10" x14ac:dyDescent="0.3">
      <c r="A174" s="72"/>
      <c r="J174" s="72"/>
    </row>
  </sheetData>
  <mergeCells count="5">
    <mergeCell ref="B2:I2"/>
    <mergeCell ref="B4:I4"/>
    <mergeCell ref="B3:I3"/>
    <mergeCell ref="B6:I6"/>
    <mergeCell ref="B5:I5"/>
  </mergeCells>
  <pageMargins left="0.5" right="0.5" top="0.5" bottom="0.5" header="0.25" footer="0.25"/>
  <pageSetup scale="72" orientation="landscape" horizontalDpi="1200" verticalDpi="1200" r:id="rId1"/>
  <headerFooter scaleWithDoc="0">
    <oddFooter>&amp;C&amp;"Times New Roman,Regular"&amp;10&amp;A</oddFooter>
  </headerFooter>
  <customProperties>
    <customPr name="_pios_id" r:id="rId2"/>
  </customProperties>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456B6-FC14-4CFC-9B40-9C8F490E050E}">
  <sheetPr>
    <pageSetUpPr fitToPage="1"/>
  </sheetPr>
  <dimension ref="A1:L64"/>
  <sheetViews>
    <sheetView zoomScale="80" zoomScaleNormal="80" workbookViewId="0"/>
  </sheetViews>
  <sheetFormatPr defaultColWidth="8.88671875" defaultRowHeight="15.6" x14ac:dyDescent="0.3"/>
  <cols>
    <col min="1" max="1" width="5.109375" style="4" bestFit="1" customWidth="1"/>
    <col min="2" max="2" width="78.44140625" style="32" customWidth="1"/>
    <col min="3" max="3" width="21.109375" style="32" customWidth="1"/>
    <col min="4" max="4" width="1.5546875" style="32" customWidth="1"/>
    <col min="5" max="5" width="16.88671875" style="32" customWidth="1"/>
    <col min="6" max="6" width="1.5546875" style="32" customWidth="1"/>
    <col min="7" max="7" width="44.88671875" style="32" customWidth="1"/>
    <col min="8" max="8" width="5.109375" style="32" customWidth="1"/>
    <col min="9" max="9" width="8.88671875" style="32"/>
    <col min="10" max="10" width="20.44140625" style="32" bestFit="1" customWidth="1"/>
    <col min="11" max="16384" width="8.88671875" style="32"/>
  </cols>
  <sheetData>
    <row r="1" spans="1:12" x14ac:dyDescent="0.3">
      <c r="G1" s="4"/>
      <c r="H1" s="4"/>
    </row>
    <row r="2" spans="1:12" x14ac:dyDescent="0.3">
      <c r="B2" s="1222" t="s">
        <v>0</v>
      </c>
      <c r="C2" s="1222"/>
      <c r="D2" s="1222"/>
      <c r="E2" s="1222"/>
      <c r="F2" s="1222"/>
      <c r="G2" s="1222"/>
      <c r="H2" s="4"/>
    </row>
    <row r="3" spans="1:12" x14ac:dyDescent="0.3">
      <c r="B3" s="1222" t="s">
        <v>488</v>
      </c>
      <c r="C3" s="1222"/>
      <c r="D3" s="1222"/>
      <c r="E3" s="1222"/>
      <c r="F3" s="1222"/>
      <c r="G3" s="1222"/>
      <c r="H3" s="4"/>
    </row>
    <row r="4" spans="1:12" x14ac:dyDescent="0.3">
      <c r="B4" s="1222" t="s">
        <v>489</v>
      </c>
      <c r="C4" s="1222"/>
      <c r="D4" s="1222"/>
      <c r="E4" s="1222"/>
      <c r="F4" s="1222"/>
      <c r="G4" s="1222"/>
      <c r="H4" s="4"/>
    </row>
    <row r="5" spans="1:12" x14ac:dyDescent="0.3">
      <c r="B5" s="1227" t="s">
        <v>1598</v>
      </c>
      <c r="C5" s="1227"/>
      <c r="D5" s="1227"/>
      <c r="E5" s="1227"/>
      <c r="F5" s="1227"/>
      <c r="G5" s="1227"/>
      <c r="H5" s="4"/>
      <c r="J5"/>
      <c r="K5"/>
      <c r="L5"/>
    </row>
    <row r="6" spans="1:12" x14ac:dyDescent="0.3">
      <c r="B6" s="1226" t="s">
        <v>4</v>
      </c>
      <c r="C6" s="1223"/>
      <c r="D6" s="1223"/>
      <c r="E6" s="1223"/>
      <c r="F6" s="1223"/>
      <c r="G6" s="1223"/>
      <c r="H6" s="4"/>
    </row>
    <row r="7" spans="1:12" x14ac:dyDescent="0.3">
      <c r="B7" s="4"/>
      <c r="C7" s="4"/>
      <c r="D7" s="4"/>
      <c r="E7" s="11"/>
      <c r="F7" s="11"/>
      <c r="G7" s="4"/>
      <c r="H7" s="4"/>
    </row>
    <row r="8" spans="1:12" x14ac:dyDescent="0.3">
      <c r="A8" s="4" t="s">
        <v>5</v>
      </c>
      <c r="B8" s="221"/>
      <c r="C8" s="4" t="s">
        <v>236</v>
      </c>
      <c r="D8" s="221"/>
      <c r="E8" s="360"/>
      <c r="F8" s="360"/>
      <c r="G8" s="4"/>
      <c r="H8" s="4" t="s">
        <v>5</v>
      </c>
    </row>
    <row r="9" spans="1:12" x14ac:dyDescent="0.3">
      <c r="A9" s="4" t="s">
        <v>6</v>
      </c>
      <c r="C9" s="852" t="s">
        <v>238</v>
      </c>
      <c r="D9" s="221"/>
      <c r="E9" s="853" t="s">
        <v>7</v>
      </c>
      <c r="F9" s="360"/>
      <c r="G9" s="852" t="s">
        <v>8</v>
      </c>
      <c r="H9" s="4" t="s">
        <v>6</v>
      </c>
    </row>
    <row r="10" spans="1:12" x14ac:dyDescent="0.3">
      <c r="C10" s="221"/>
      <c r="D10" s="221"/>
      <c r="E10" s="360"/>
      <c r="F10" s="360"/>
      <c r="G10" s="4"/>
      <c r="H10" s="4"/>
    </row>
    <row r="11" spans="1:12" x14ac:dyDescent="0.3">
      <c r="A11" s="4">
        <v>1</v>
      </c>
      <c r="B11" s="254" t="s">
        <v>490</v>
      </c>
      <c r="G11" s="4"/>
      <c r="H11" s="4">
        <f>A11</f>
        <v>1</v>
      </c>
    </row>
    <row r="12" spans="1:12" x14ac:dyDescent="0.3">
      <c r="A12" s="4">
        <f>+A11+1</f>
        <v>2</v>
      </c>
      <c r="B12" s="32" t="s">
        <v>491</v>
      </c>
      <c r="C12" s="4" t="s">
        <v>492</v>
      </c>
      <c r="E12" s="41">
        <f>'AH-1'!D43</f>
        <v>124467.228</v>
      </c>
      <c r="G12" s="4" t="s">
        <v>493</v>
      </c>
      <c r="H12" s="4">
        <f>+H11+1</f>
        <v>2</v>
      </c>
    </row>
    <row r="13" spans="1:12" x14ac:dyDescent="0.3">
      <c r="A13" s="4">
        <f t="shared" ref="A13:A60" si="0">+A12+1</f>
        <v>3</v>
      </c>
      <c r="B13" s="33" t="s">
        <v>1877</v>
      </c>
      <c r="E13" s="49"/>
      <c r="G13" s="4"/>
      <c r="H13" s="4">
        <f t="shared" ref="H13:H60" si="1">+H12+1</f>
        <v>3</v>
      </c>
    </row>
    <row r="14" spans="1:12" x14ac:dyDescent="0.3">
      <c r="A14" s="4">
        <f t="shared" si="0"/>
        <v>4</v>
      </c>
      <c r="B14" s="32" t="s">
        <v>1878</v>
      </c>
      <c r="C14" s="361"/>
      <c r="E14" s="43">
        <f>-'AH-1'!E48</f>
        <v>-2767.4720000000002</v>
      </c>
      <c r="G14" s="4" t="s">
        <v>1879</v>
      </c>
      <c r="H14" s="4">
        <f t="shared" si="1"/>
        <v>4</v>
      </c>
    </row>
    <row r="15" spans="1:12" x14ac:dyDescent="0.3">
      <c r="A15" s="4">
        <f t="shared" si="0"/>
        <v>5</v>
      </c>
      <c r="B15" s="32" t="s">
        <v>1880</v>
      </c>
      <c r="E15" s="43">
        <f>-'AH-1'!E49</f>
        <v>-1440.5550000000001</v>
      </c>
      <c r="G15" s="4" t="s">
        <v>1881</v>
      </c>
      <c r="H15" s="4">
        <f t="shared" si="1"/>
        <v>5</v>
      </c>
    </row>
    <row r="16" spans="1:12" x14ac:dyDescent="0.3">
      <c r="A16" s="4">
        <f t="shared" si="0"/>
        <v>6</v>
      </c>
      <c r="B16" s="32" t="s">
        <v>1882</v>
      </c>
      <c r="E16" s="43">
        <f>-'AH-1'!E50</f>
        <v>0</v>
      </c>
      <c r="G16" s="4" t="s">
        <v>1883</v>
      </c>
      <c r="H16" s="4">
        <f t="shared" si="1"/>
        <v>6</v>
      </c>
    </row>
    <row r="17" spans="1:10" x14ac:dyDescent="0.3">
      <c r="A17" s="4">
        <f t="shared" si="0"/>
        <v>7</v>
      </c>
      <c r="B17" s="32" t="s">
        <v>1884</v>
      </c>
      <c r="E17" s="43">
        <f>-'AH-1'!E56</f>
        <v>-2881.4657500000003</v>
      </c>
      <c r="G17" s="4" t="s">
        <v>1885</v>
      </c>
      <c r="H17" s="4">
        <f t="shared" si="1"/>
        <v>7</v>
      </c>
    </row>
    <row r="18" spans="1:10" x14ac:dyDescent="0.3">
      <c r="A18" s="4">
        <f t="shared" si="0"/>
        <v>8</v>
      </c>
      <c r="B18" s="32" t="s">
        <v>1886</v>
      </c>
      <c r="E18" s="926">
        <f>-'AH-1'!E47</f>
        <v>-115.52</v>
      </c>
      <c r="G18" s="4" t="s">
        <v>1887</v>
      </c>
      <c r="H18" s="4">
        <f t="shared" si="1"/>
        <v>8</v>
      </c>
    </row>
    <row r="19" spans="1:10" ht="16.2" thickBot="1" x14ac:dyDescent="0.35">
      <c r="A19" s="4">
        <f t="shared" si="0"/>
        <v>9</v>
      </c>
      <c r="B19" s="32" t="s">
        <v>494</v>
      </c>
      <c r="E19" s="97">
        <f>SUM(E12:E18)</f>
        <v>117262.21525000001</v>
      </c>
      <c r="G19" s="4" t="s">
        <v>1888</v>
      </c>
      <c r="H19" s="4">
        <f t="shared" si="1"/>
        <v>9</v>
      </c>
    </row>
    <row r="20" spans="1:10" ht="16.2" thickTop="1" x14ac:dyDescent="0.3">
      <c r="A20" s="4">
        <f t="shared" si="0"/>
        <v>10</v>
      </c>
      <c r="E20" s="6"/>
      <c r="H20" s="4">
        <f t="shared" si="1"/>
        <v>10</v>
      </c>
    </row>
    <row r="21" spans="1:10" x14ac:dyDescent="0.3">
      <c r="A21" s="4">
        <f t="shared" si="0"/>
        <v>11</v>
      </c>
      <c r="B21" s="253" t="s">
        <v>495</v>
      </c>
      <c r="E21" s="39"/>
      <c r="G21" s="4"/>
      <c r="H21" s="4">
        <f t="shared" si="1"/>
        <v>11</v>
      </c>
    </row>
    <row r="22" spans="1:10" x14ac:dyDescent="0.3">
      <c r="A22" s="4">
        <f t="shared" si="0"/>
        <v>12</v>
      </c>
      <c r="B22" s="33" t="s">
        <v>496</v>
      </c>
      <c r="C22" s="4" t="s">
        <v>497</v>
      </c>
      <c r="E22" s="41">
        <f>'True-Up AH-2'!D26</f>
        <v>626994.16997000016</v>
      </c>
      <c r="G22" s="4" t="s">
        <v>1911</v>
      </c>
      <c r="H22" s="4">
        <f t="shared" si="1"/>
        <v>12</v>
      </c>
    </row>
    <row r="23" spans="1:10" x14ac:dyDescent="0.3">
      <c r="A23" s="4">
        <f t="shared" si="0"/>
        <v>13</v>
      </c>
      <c r="B23" s="33" t="s">
        <v>1889</v>
      </c>
      <c r="E23" s="39" t="s">
        <v>1</v>
      </c>
      <c r="G23" s="4"/>
      <c r="H23" s="4">
        <f t="shared" si="1"/>
        <v>13</v>
      </c>
    </row>
    <row r="24" spans="1:10" x14ac:dyDescent="0.3">
      <c r="A24" s="4">
        <f t="shared" si="0"/>
        <v>14</v>
      </c>
      <c r="B24" s="33" t="s">
        <v>1890</v>
      </c>
      <c r="E24" s="43">
        <f>-'True-Up AH-2'!D43</f>
        <v>-908.44687999999996</v>
      </c>
      <c r="G24" s="4" t="s">
        <v>1912</v>
      </c>
      <c r="H24" s="4">
        <f t="shared" si="1"/>
        <v>14</v>
      </c>
    </row>
    <row r="25" spans="1:10" ht="31.2" x14ac:dyDescent="0.3">
      <c r="A25" s="4">
        <f t="shared" si="0"/>
        <v>15</v>
      </c>
      <c r="B25" s="33" t="s">
        <v>1891</v>
      </c>
      <c r="E25" s="43">
        <f>-SUM('True-Up AH-2'!D32+'True-Up AH-2'!D38+'True-Up AH-2'!E34)</f>
        <v>-1384.4115131900001</v>
      </c>
      <c r="G25" s="92" t="s">
        <v>1913</v>
      </c>
      <c r="H25" s="4">
        <f t="shared" si="1"/>
        <v>15</v>
      </c>
      <c r="I25" s="1215"/>
      <c r="J25" s="6"/>
    </row>
    <row r="26" spans="1:10" ht="18" x14ac:dyDescent="0.3">
      <c r="A26" s="4">
        <f t="shared" si="0"/>
        <v>16</v>
      </c>
      <c r="B26" s="33" t="s">
        <v>1892</v>
      </c>
      <c r="E26" s="43">
        <f>-'True-Up AH-2'!D39</f>
        <v>0</v>
      </c>
      <c r="G26" s="4" t="s">
        <v>1914</v>
      </c>
      <c r="H26" s="4">
        <f t="shared" si="1"/>
        <v>16</v>
      </c>
      <c r="I26" s="1215"/>
      <c r="J26" s="36"/>
    </row>
    <row r="27" spans="1:10" x14ac:dyDescent="0.3">
      <c r="A27" s="4">
        <f t="shared" si="0"/>
        <v>17</v>
      </c>
      <c r="B27" s="33" t="s">
        <v>1893</v>
      </c>
      <c r="E27" s="43">
        <f>-'True-Up AH-2'!D40</f>
        <v>-1267.5963200000001</v>
      </c>
      <c r="G27" s="4" t="s">
        <v>1915</v>
      </c>
      <c r="H27" s="4">
        <f t="shared" si="1"/>
        <v>17</v>
      </c>
    </row>
    <row r="28" spans="1:10" x14ac:dyDescent="0.3">
      <c r="A28" s="4">
        <f t="shared" si="0"/>
        <v>18</v>
      </c>
      <c r="B28" s="33" t="s">
        <v>1894</v>
      </c>
      <c r="E28" s="43">
        <f>-'True-Up AH-2'!D36</f>
        <v>-22096.966619999999</v>
      </c>
      <c r="G28" s="4" t="s">
        <v>1916</v>
      </c>
      <c r="H28" s="4">
        <f t="shared" si="1"/>
        <v>18</v>
      </c>
      <c r="J28" s="6"/>
    </row>
    <row r="29" spans="1:10" x14ac:dyDescent="0.3">
      <c r="A29" s="4">
        <f t="shared" si="0"/>
        <v>19</v>
      </c>
      <c r="B29" s="33" t="s">
        <v>1895</v>
      </c>
      <c r="E29" s="43">
        <v>0</v>
      </c>
      <c r="G29" s="92" t="s">
        <v>1536</v>
      </c>
      <c r="H29" s="4">
        <f>+H28+1</f>
        <v>19</v>
      </c>
      <c r="I29" s="1215"/>
      <c r="J29" s="6"/>
    </row>
    <row r="30" spans="1:10" x14ac:dyDescent="0.3">
      <c r="A30" s="4">
        <f t="shared" si="0"/>
        <v>20</v>
      </c>
      <c r="B30" s="33" t="s">
        <v>1896</v>
      </c>
      <c r="E30" s="43">
        <f>-'True-Up AH-2'!E42</f>
        <v>-55.474339999999998</v>
      </c>
      <c r="G30" s="92" t="s">
        <v>1917</v>
      </c>
      <c r="H30" s="4">
        <f>+H29+1</f>
        <v>20</v>
      </c>
      <c r="I30" s="1215"/>
    </row>
    <row r="31" spans="1:10" x14ac:dyDescent="0.3">
      <c r="A31" s="4">
        <f t="shared" si="0"/>
        <v>21</v>
      </c>
      <c r="B31" s="33" t="s">
        <v>1897</v>
      </c>
      <c r="E31" s="43">
        <f>-'True-Up AH-2'!E35</f>
        <v>-112751.95299999999</v>
      </c>
      <c r="G31" s="4" t="s">
        <v>1918</v>
      </c>
      <c r="H31" s="4">
        <f>+H30+1</f>
        <v>21</v>
      </c>
    </row>
    <row r="32" spans="1:10" x14ac:dyDescent="0.3">
      <c r="A32" s="4">
        <f t="shared" si="0"/>
        <v>22</v>
      </c>
      <c r="B32" s="33" t="s">
        <v>1898</v>
      </c>
      <c r="E32" s="43">
        <f>-'True-Up AH-2'!E45</f>
        <v>0</v>
      </c>
      <c r="G32" s="92" t="s">
        <v>1919</v>
      </c>
      <c r="H32" s="4">
        <f t="shared" ref="H32:H33" si="2">+H31+1</f>
        <v>22</v>
      </c>
    </row>
    <row r="33" spans="1:9" x14ac:dyDescent="0.3">
      <c r="A33" s="4">
        <f t="shared" si="0"/>
        <v>23</v>
      </c>
      <c r="B33" s="33" t="s">
        <v>1899</v>
      </c>
      <c r="E33" s="43">
        <f>-'True-Up AH-2'!D37</f>
        <v>-0.77205999999999997</v>
      </c>
      <c r="G33" s="92" t="s">
        <v>1920</v>
      </c>
      <c r="H33" s="4">
        <f t="shared" si="2"/>
        <v>23</v>
      </c>
    </row>
    <row r="34" spans="1:9" ht="31.2" x14ac:dyDescent="0.3">
      <c r="A34" s="4">
        <f t="shared" si="0"/>
        <v>24</v>
      </c>
      <c r="B34" s="33" t="s">
        <v>1900</v>
      </c>
      <c r="E34" s="912">
        <f>-SUM('True-Up AH-2'!D33+'True-Up AH-2'!D44+'True-Up AH-2'!E30+'True-Up AH-2'!E31+'True-Up AH-2'!E41)</f>
        <v>4852.3030939</v>
      </c>
      <c r="G34" s="92" t="s">
        <v>1921</v>
      </c>
      <c r="H34" s="4">
        <f>+H33+1</f>
        <v>24</v>
      </c>
    </row>
    <row r="35" spans="1:9" x14ac:dyDescent="0.3">
      <c r="A35" s="4">
        <f t="shared" si="0"/>
        <v>25</v>
      </c>
      <c r="B35" s="33" t="s">
        <v>499</v>
      </c>
      <c r="E35" s="49">
        <f>SUM(E22:E34)</f>
        <v>493380.85233071027</v>
      </c>
      <c r="G35" s="4" t="s">
        <v>1901</v>
      </c>
      <c r="H35" s="4">
        <f>+H34+1</f>
        <v>25</v>
      </c>
    </row>
    <row r="36" spans="1:9" x14ac:dyDescent="0.3">
      <c r="A36" s="4">
        <f t="shared" si="0"/>
        <v>26</v>
      </c>
      <c r="B36" s="33" t="s">
        <v>500</v>
      </c>
      <c r="E36" s="912">
        <f>-'True-Up AH-2'!F15</f>
        <v>-10584.239569999998</v>
      </c>
      <c r="G36" s="4" t="s">
        <v>1922</v>
      </c>
      <c r="H36" s="4">
        <f t="shared" ref="H36:H47" si="3">+H35+1</f>
        <v>26</v>
      </c>
    </row>
    <row r="37" spans="1:9" x14ac:dyDescent="0.3">
      <c r="A37" s="4">
        <f t="shared" si="0"/>
        <v>27</v>
      </c>
      <c r="B37" s="33" t="s">
        <v>502</v>
      </c>
      <c r="E37" s="49">
        <f>SUM(E35:E36)</f>
        <v>482796.6127607103</v>
      </c>
      <c r="G37" s="4" t="s">
        <v>1902</v>
      </c>
      <c r="H37" s="4">
        <f t="shared" si="3"/>
        <v>27</v>
      </c>
    </row>
    <row r="38" spans="1:9" x14ac:dyDescent="0.3">
      <c r="A38" s="4">
        <f t="shared" si="0"/>
        <v>28</v>
      </c>
      <c r="B38" s="32" t="s">
        <v>264</v>
      </c>
      <c r="E38" s="931">
        <f>'Stmt AI'!E25</f>
        <v>0.20002998415514117</v>
      </c>
      <c r="G38" s="4" t="s">
        <v>265</v>
      </c>
      <c r="H38" s="4">
        <f t="shared" si="3"/>
        <v>28</v>
      </c>
    </row>
    <row r="39" spans="1:9" x14ac:dyDescent="0.3">
      <c r="A39" s="4">
        <f t="shared" si="0"/>
        <v>29</v>
      </c>
      <c r="B39" s="33" t="s">
        <v>503</v>
      </c>
      <c r="E39" s="915">
        <f>E37*E38</f>
        <v>96573.798800680714</v>
      </c>
      <c r="G39" s="4" t="s">
        <v>1723</v>
      </c>
      <c r="H39" s="4">
        <f t="shared" si="3"/>
        <v>29</v>
      </c>
    </row>
    <row r="40" spans="1:9" x14ac:dyDescent="0.3">
      <c r="A40" s="4">
        <f t="shared" si="0"/>
        <v>30</v>
      </c>
      <c r="B40" s="32" t="s">
        <v>504</v>
      </c>
      <c r="E40" s="930">
        <f>E60*(-E36)</f>
        <v>4100.9997881873715</v>
      </c>
      <c r="G40" s="4" t="s">
        <v>1903</v>
      </c>
      <c r="H40" s="4">
        <f t="shared" si="3"/>
        <v>30</v>
      </c>
    </row>
    <row r="41" spans="1:9" ht="16.2" thickBot="1" x14ac:dyDescent="0.35">
      <c r="A41" s="4">
        <f t="shared" si="0"/>
        <v>31</v>
      </c>
      <c r="B41" s="33" t="s">
        <v>505</v>
      </c>
      <c r="E41" s="24">
        <f>E40+E39</f>
        <v>100674.79858886809</v>
      </c>
      <c r="G41" s="4" t="s">
        <v>1904</v>
      </c>
      <c r="H41" s="4">
        <f t="shared" si="3"/>
        <v>31</v>
      </c>
      <c r="I41" s="33"/>
    </row>
    <row r="42" spans="1:9" ht="16.2" thickTop="1" x14ac:dyDescent="0.3">
      <c r="A42" s="4">
        <f t="shared" si="0"/>
        <v>32</v>
      </c>
      <c r="B42" s="343"/>
      <c r="E42" s="10"/>
      <c r="G42" s="4"/>
      <c r="H42" s="4">
        <f t="shared" si="3"/>
        <v>32</v>
      </c>
    </row>
    <row r="43" spans="1:9" x14ac:dyDescent="0.3">
      <c r="A43" s="4">
        <f t="shared" si="0"/>
        <v>33</v>
      </c>
      <c r="B43" s="253" t="s">
        <v>506</v>
      </c>
      <c r="E43" s="50"/>
      <c r="G43" s="4"/>
      <c r="H43" s="4">
        <f t="shared" si="3"/>
        <v>33</v>
      </c>
    </row>
    <row r="44" spans="1:9" x14ac:dyDescent="0.3">
      <c r="A44" s="4">
        <f t="shared" si="0"/>
        <v>34</v>
      </c>
      <c r="B44" s="33" t="s">
        <v>507</v>
      </c>
      <c r="E44" s="7">
        <f>'Stmt AD'!I35</f>
        <v>7990057.3968355898</v>
      </c>
      <c r="G44" s="4" t="s">
        <v>508</v>
      </c>
      <c r="H44" s="4">
        <f t="shared" si="3"/>
        <v>34</v>
      </c>
    </row>
    <row r="45" spans="1:9" x14ac:dyDescent="0.3">
      <c r="A45" s="4">
        <f t="shared" si="0"/>
        <v>35</v>
      </c>
      <c r="B45" s="33" t="s">
        <v>60</v>
      </c>
      <c r="E45" s="96">
        <v>0</v>
      </c>
      <c r="G45" s="4" t="s">
        <v>46</v>
      </c>
      <c r="H45" s="4">
        <f t="shared" si="3"/>
        <v>35</v>
      </c>
    </row>
    <row r="46" spans="1:9" x14ac:dyDescent="0.3">
      <c r="A46" s="4">
        <f t="shared" si="0"/>
        <v>36</v>
      </c>
      <c r="B46" s="33" t="s">
        <v>62</v>
      </c>
      <c r="E46" s="9">
        <f>'Stmt AD'!I39</f>
        <v>118679.32221898218</v>
      </c>
      <c r="G46" s="4" t="s">
        <v>119</v>
      </c>
      <c r="H46" s="4">
        <f t="shared" si="3"/>
        <v>36</v>
      </c>
    </row>
    <row r="47" spans="1:9" x14ac:dyDescent="0.3">
      <c r="A47" s="4">
        <f t="shared" si="0"/>
        <v>37</v>
      </c>
      <c r="B47" s="33" t="s">
        <v>270</v>
      </c>
      <c r="E47" s="845">
        <f>'Stmt AD'!I41</f>
        <v>336812.87323412113</v>
      </c>
      <c r="G47" s="4" t="s">
        <v>120</v>
      </c>
      <c r="H47" s="4">
        <f t="shared" si="3"/>
        <v>37</v>
      </c>
    </row>
    <row r="48" spans="1:9" ht="16.2" thickBot="1" x14ac:dyDescent="0.35">
      <c r="A48" s="4">
        <f t="shared" si="0"/>
        <v>38</v>
      </c>
      <c r="B48" s="33" t="s">
        <v>509</v>
      </c>
      <c r="E48" s="17">
        <f>SUM(E44:E47)</f>
        <v>8445549.5922886934</v>
      </c>
      <c r="G48" s="4" t="s">
        <v>1905</v>
      </c>
      <c r="H48" s="4">
        <f t="shared" si="1"/>
        <v>38</v>
      </c>
      <c r="I48" s="362"/>
    </row>
    <row r="49" spans="1:9" ht="16.2" thickTop="1" x14ac:dyDescent="0.3">
      <c r="A49" s="4">
        <f t="shared" si="0"/>
        <v>39</v>
      </c>
      <c r="B49" s="343"/>
      <c r="E49" s="6"/>
      <c r="G49" s="4"/>
      <c r="H49" s="4">
        <f t="shared" si="1"/>
        <v>39</v>
      </c>
    </row>
    <row r="50" spans="1:9" x14ac:dyDescent="0.3">
      <c r="A50" s="4">
        <f t="shared" si="0"/>
        <v>40</v>
      </c>
      <c r="B50" s="33" t="s">
        <v>266</v>
      </c>
      <c r="E50" s="36">
        <f>E44</f>
        <v>7990057.3968355898</v>
      </c>
      <c r="G50" s="47" t="s">
        <v>1906</v>
      </c>
      <c r="H50" s="4">
        <f>+H49+1</f>
        <v>40</v>
      </c>
    </row>
    <row r="51" spans="1:9" x14ac:dyDescent="0.3">
      <c r="A51" s="4">
        <f t="shared" si="0"/>
        <v>41</v>
      </c>
      <c r="B51" s="33" t="s">
        <v>510</v>
      </c>
      <c r="E51" s="12">
        <f>'Stmt AD'!I11</f>
        <v>584038.95358923054</v>
      </c>
      <c r="G51" s="4" t="s">
        <v>511</v>
      </c>
      <c r="H51" s="4">
        <f t="shared" ref="H51:H58" si="4">+H50+1</f>
        <v>41</v>
      </c>
    </row>
    <row r="52" spans="1:9" x14ac:dyDescent="0.3">
      <c r="A52" s="4">
        <f t="shared" si="0"/>
        <v>42</v>
      </c>
      <c r="B52" s="33" t="s">
        <v>512</v>
      </c>
      <c r="E52" s="96">
        <v>0</v>
      </c>
      <c r="G52" s="4" t="s">
        <v>46</v>
      </c>
      <c r="H52" s="4">
        <f t="shared" si="4"/>
        <v>42</v>
      </c>
    </row>
    <row r="53" spans="1:9" x14ac:dyDescent="0.3">
      <c r="A53" s="4">
        <f t="shared" si="0"/>
        <v>43</v>
      </c>
      <c r="B53" s="33" t="s">
        <v>513</v>
      </c>
      <c r="E53" s="12">
        <f>'Stmt AD'!I17</f>
        <v>554696.24298076914</v>
      </c>
      <c r="G53" s="4" t="s">
        <v>514</v>
      </c>
      <c r="H53" s="4">
        <f t="shared" si="4"/>
        <v>43</v>
      </c>
    </row>
    <row r="54" spans="1:9" x14ac:dyDescent="0.3">
      <c r="A54" s="4">
        <f t="shared" si="0"/>
        <v>44</v>
      </c>
      <c r="B54" s="33" t="s">
        <v>515</v>
      </c>
      <c r="E54" s="12">
        <f>'Stmt AD'!I19</f>
        <v>10391143.364777103</v>
      </c>
      <c r="G54" s="4" t="s">
        <v>516</v>
      </c>
      <c r="H54" s="4">
        <f t="shared" si="4"/>
        <v>44</v>
      </c>
    </row>
    <row r="55" spans="1:9" x14ac:dyDescent="0.3">
      <c r="A55" s="4">
        <f t="shared" si="0"/>
        <v>45</v>
      </c>
      <c r="B55" s="33" t="s">
        <v>60</v>
      </c>
      <c r="E55" s="96">
        <v>0</v>
      </c>
      <c r="G55" s="4" t="s">
        <v>46</v>
      </c>
      <c r="H55" s="4">
        <f t="shared" si="4"/>
        <v>45</v>
      </c>
    </row>
    <row r="56" spans="1:9" x14ac:dyDescent="0.3">
      <c r="A56" s="4">
        <f t="shared" si="0"/>
        <v>46</v>
      </c>
      <c r="B56" s="33" t="s">
        <v>517</v>
      </c>
      <c r="E56" s="12">
        <f>'Stmt AD'!I27</f>
        <v>593307.66194999916</v>
      </c>
      <c r="G56" s="4" t="s">
        <v>518</v>
      </c>
      <c r="H56" s="4">
        <f t="shared" si="4"/>
        <v>46</v>
      </c>
    </row>
    <row r="57" spans="1:9" x14ac:dyDescent="0.3">
      <c r="A57" s="4">
        <f t="shared" si="0"/>
        <v>47</v>
      </c>
      <c r="B57" s="33" t="s">
        <v>519</v>
      </c>
      <c r="E57" s="988">
        <f>'Stmt AD'!I29</f>
        <v>1683811.9277802501</v>
      </c>
      <c r="G57" s="4" t="s">
        <v>520</v>
      </c>
      <c r="H57" s="4">
        <f t="shared" si="4"/>
        <v>47</v>
      </c>
    </row>
    <row r="58" spans="1:9" ht="16.2" thickBot="1" x14ac:dyDescent="0.35">
      <c r="A58" s="4">
        <f t="shared" si="0"/>
        <v>48</v>
      </c>
      <c r="B58" s="33" t="s">
        <v>521</v>
      </c>
      <c r="E58" s="97">
        <f>SUM(E50:E57)</f>
        <v>21797055.54791294</v>
      </c>
      <c r="G58" s="4" t="s">
        <v>1907</v>
      </c>
      <c r="H58" s="4">
        <f t="shared" si="4"/>
        <v>48</v>
      </c>
      <c r="I58" s="362"/>
    </row>
    <row r="59" spans="1:9" ht="16.2" thickTop="1" x14ac:dyDescent="0.3">
      <c r="A59" s="4">
        <f t="shared" si="0"/>
        <v>49</v>
      </c>
      <c r="E59" s="71"/>
      <c r="G59" s="4"/>
      <c r="H59" s="4">
        <f t="shared" si="1"/>
        <v>49</v>
      </c>
    </row>
    <row r="60" spans="1:9" ht="16.2" thickBot="1" x14ac:dyDescent="0.35">
      <c r="A60" s="4">
        <f t="shared" si="0"/>
        <v>50</v>
      </c>
      <c r="B60" s="33" t="s">
        <v>522</v>
      </c>
      <c r="E60" s="52">
        <f>E48/E58</f>
        <v>0.38746286505185107</v>
      </c>
      <c r="G60" s="4" t="s">
        <v>1908</v>
      </c>
      <c r="H60" s="4">
        <f t="shared" si="1"/>
        <v>50</v>
      </c>
      <c r="I60" s="362"/>
    </row>
    <row r="61" spans="1:9" ht="16.2" thickTop="1" x14ac:dyDescent="0.3">
      <c r="B61" s="33" t="s">
        <v>1</v>
      </c>
      <c r="E61" s="76"/>
      <c r="G61" s="4"/>
      <c r="H61" s="4"/>
    </row>
    <row r="62" spans="1:9" x14ac:dyDescent="0.3">
      <c r="B62" s="33"/>
      <c r="E62" s="76"/>
      <c r="F62" s="76"/>
      <c r="G62" s="4"/>
      <c r="H62" s="4"/>
    </row>
    <row r="63" spans="1:9" ht="18" x14ac:dyDescent="0.3">
      <c r="A63" s="269">
        <v>1</v>
      </c>
      <c r="B63" s="33" t="s">
        <v>523</v>
      </c>
      <c r="H63" s="4"/>
    </row>
    <row r="64" spans="1:9" x14ac:dyDescent="0.3">
      <c r="B64" s="33" t="s">
        <v>524</v>
      </c>
      <c r="E64" s="71"/>
      <c r="F64" s="71"/>
      <c r="G64" s="4"/>
      <c r="H64" s="4"/>
    </row>
  </sheetData>
  <mergeCells count="5">
    <mergeCell ref="B2:G2"/>
    <mergeCell ref="B3:G3"/>
    <mergeCell ref="B4:G4"/>
    <mergeCell ref="B5:G5"/>
    <mergeCell ref="B6:G6"/>
  </mergeCells>
  <printOptions horizontalCentered="1"/>
  <pageMargins left="0.25" right="0.25" top="0.5" bottom="0.5" header="0.25" footer="0.25"/>
  <pageSetup scale="58" orientation="portrait" r:id="rId1"/>
  <headerFooter scaleWithDoc="0" alignWithMargins="0">
    <oddFooter>&amp;C&amp;A</oddFoot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5884C-B57F-4572-BACC-5F03980F7687}">
  <sheetPr>
    <pageSetUpPr fitToPage="1"/>
  </sheetPr>
  <dimension ref="A2:U72"/>
  <sheetViews>
    <sheetView zoomScale="80" zoomScaleNormal="80" workbookViewId="0"/>
  </sheetViews>
  <sheetFormatPr defaultColWidth="9.109375" defaultRowHeight="15.6" x14ac:dyDescent="0.3"/>
  <cols>
    <col min="1" max="1" width="5.109375" style="108" customWidth="1"/>
    <col min="2" max="2" width="8.5546875" style="107" customWidth="1"/>
    <col min="3" max="3" width="69.109375" style="107" customWidth="1"/>
    <col min="4" max="6" width="16.88671875" style="107" customWidth="1"/>
    <col min="7" max="7" width="34.5546875" style="107" customWidth="1"/>
    <col min="8" max="8" width="5.109375" style="108" customWidth="1"/>
    <col min="9" max="9" width="4" style="107" customWidth="1"/>
    <col min="10" max="10" width="13.109375" style="107" bestFit="1" customWidth="1"/>
    <col min="11" max="11" width="9.109375" style="107"/>
    <col min="12" max="12" width="9.88671875" style="107" customWidth="1"/>
    <col min="13" max="13" width="10" style="107" customWidth="1"/>
    <col min="14" max="16384" width="9.109375" style="107"/>
  </cols>
  <sheetData>
    <row r="2" spans="1:13" x14ac:dyDescent="0.3">
      <c r="B2" s="1235" t="s">
        <v>0</v>
      </c>
      <c r="C2" s="1235"/>
      <c r="D2" s="1235"/>
      <c r="E2" s="1235"/>
      <c r="F2" s="1235"/>
      <c r="G2" s="1235"/>
      <c r="H2" s="389"/>
      <c r="J2"/>
      <c r="K2"/>
      <c r="L2"/>
    </row>
    <row r="3" spans="1:13" x14ac:dyDescent="0.3">
      <c r="B3" s="1235" t="s">
        <v>601</v>
      </c>
      <c r="C3" s="1235"/>
      <c r="D3" s="1235"/>
      <c r="E3" s="1235"/>
      <c r="F3" s="1235"/>
      <c r="G3" s="1235"/>
      <c r="H3" s="389"/>
      <c r="J3"/>
      <c r="K3"/>
      <c r="L3"/>
    </row>
    <row r="4" spans="1:13" x14ac:dyDescent="0.3">
      <c r="B4" s="1235" t="s">
        <v>1600</v>
      </c>
      <c r="C4" s="1235"/>
      <c r="D4" s="1235"/>
      <c r="E4" s="1235"/>
      <c r="F4" s="1235"/>
      <c r="G4" s="1235"/>
      <c r="H4" s="389"/>
    </row>
    <row r="5" spans="1:13" x14ac:dyDescent="0.3">
      <c r="B5" s="1236" t="s">
        <v>4</v>
      </c>
      <c r="C5" s="1236"/>
      <c r="D5" s="1236"/>
      <c r="E5" s="1236"/>
      <c r="F5" s="1236"/>
      <c r="G5" s="1236"/>
      <c r="H5" s="389"/>
    </row>
    <row r="6" spans="1:13" ht="16.2" thickBot="1" x14ac:dyDescent="0.35">
      <c r="D6" s="882"/>
      <c r="E6" s="882"/>
      <c r="F6" s="882"/>
      <c r="G6" s="882"/>
      <c r="J6" s="32"/>
    </row>
    <row r="7" spans="1:13" x14ac:dyDescent="0.3">
      <c r="A7" s="389"/>
      <c r="B7" s="390"/>
      <c r="C7" s="391"/>
      <c r="D7" s="392" t="s">
        <v>210</v>
      </c>
      <c r="E7" s="393" t="s">
        <v>211</v>
      </c>
      <c r="F7" s="392" t="s">
        <v>526</v>
      </c>
      <c r="G7" s="394"/>
      <c r="H7" s="389"/>
    </row>
    <row r="8" spans="1:13" x14ac:dyDescent="0.3">
      <c r="A8" s="108" t="s">
        <v>5</v>
      </c>
      <c r="B8" s="395" t="s">
        <v>482</v>
      </c>
      <c r="C8" s="283"/>
      <c r="D8" s="671" t="s">
        <v>200</v>
      </c>
      <c r="E8" s="389" t="s">
        <v>527</v>
      </c>
      <c r="F8" s="671" t="s">
        <v>200</v>
      </c>
      <c r="G8" s="396"/>
      <c r="H8" s="108" t="s">
        <v>5</v>
      </c>
    </row>
    <row r="9" spans="1:13" ht="16.2" thickBot="1" x14ac:dyDescent="0.35">
      <c r="A9" s="108" t="s">
        <v>6</v>
      </c>
      <c r="B9" s="397" t="s">
        <v>528</v>
      </c>
      <c r="C9" s="880" t="s">
        <v>337</v>
      </c>
      <c r="D9" s="398" t="s">
        <v>529</v>
      </c>
      <c r="E9" s="880" t="s">
        <v>530</v>
      </c>
      <c r="F9" s="398" t="s">
        <v>531</v>
      </c>
      <c r="G9" s="672" t="s">
        <v>8</v>
      </c>
      <c r="H9" s="108" t="s">
        <v>6</v>
      </c>
      <c r="I9" s="108"/>
    </row>
    <row r="10" spans="1:13" ht="16.2" x14ac:dyDescent="0.3">
      <c r="B10" s="399"/>
      <c r="C10" s="400" t="s">
        <v>602</v>
      </c>
      <c r="D10" s="673"/>
      <c r="E10" s="673"/>
      <c r="F10" s="674"/>
      <c r="G10" s="405"/>
    </row>
    <row r="11" spans="1:13" x14ac:dyDescent="0.3">
      <c r="A11" s="108">
        <v>1</v>
      </c>
      <c r="B11" s="399">
        <v>920</v>
      </c>
      <c r="C11" s="401" t="s">
        <v>603</v>
      </c>
      <c r="D11" s="235">
        <v>43017.856290000003</v>
      </c>
      <c r="E11" s="235"/>
      <c r="F11" s="235">
        <f>D11-E11</f>
        <v>43017.856290000003</v>
      </c>
      <c r="G11" s="372" t="s">
        <v>604</v>
      </c>
      <c r="H11" s="108">
        <f>A11</f>
        <v>1</v>
      </c>
      <c r="I11" s="107" t="s">
        <v>1</v>
      </c>
      <c r="J11" s="2"/>
    </row>
    <row r="12" spans="1:13" x14ac:dyDescent="0.3">
      <c r="A12" s="108">
        <f t="shared" ref="A12:A26" si="0">A11+1</f>
        <v>2</v>
      </c>
      <c r="B12" s="399">
        <v>921</v>
      </c>
      <c r="C12" s="401" t="s">
        <v>605</v>
      </c>
      <c r="D12" s="236">
        <v>32003.332709999995</v>
      </c>
      <c r="E12" s="6">
        <f>E30</f>
        <v>4.7840642999999998</v>
      </c>
      <c r="F12" s="236">
        <f>D12-E12</f>
        <v>31998.548645699993</v>
      </c>
      <c r="G12" s="372" t="s">
        <v>606</v>
      </c>
      <c r="H12" s="108">
        <f t="shared" ref="H12:H26" si="1">H11+1</f>
        <v>2</v>
      </c>
      <c r="J12" s="2"/>
      <c r="K12" s="402"/>
    </row>
    <row r="13" spans="1:13" x14ac:dyDescent="0.3">
      <c r="A13" s="108">
        <f t="shared" si="0"/>
        <v>3</v>
      </c>
      <c r="B13" s="399">
        <v>922</v>
      </c>
      <c r="C13" s="401" t="s">
        <v>607</v>
      </c>
      <c r="D13" s="236">
        <v>-13763.914919999999</v>
      </c>
      <c r="E13" s="6"/>
      <c r="F13" s="236">
        <f>D13-E13</f>
        <v>-13763.914919999999</v>
      </c>
      <c r="G13" s="372" t="s">
        <v>608</v>
      </c>
      <c r="H13" s="108">
        <f t="shared" si="1"/>
        <v>3</v>
      </c>
      <c r="J13" s="2"/>
    </row>
    <row r="14" spans="1:13" x14ac:dyDescent="0.3">
      <c r="A14" s="108">
        <f t="shared" si="0"/>
        <v>4</v>
      </c>
      <c r="B14" s="399">
        <v>923</v>
      </c>
      <c r="C14" s="401" t="s">
        <v>609</v>
      </c>
      <c r="D14" s="236">
        <v>106989.533</v>
      </c>
      <c r="E14" s="6">
        <f t="shared" ref="E14" si="2">E31</f>
        <v>-1166.77575</v>
      </c>
      <c r="F14" s="236">
        <f>D14-E14</f>
        <v>108156.30875</v>
      </c>
      <c r="G14" s="372" t="s">
        <v>610</v>
      </c>
      <c r="H14" s="108">
        <f t="shared" si="1"/>
        <v>4</v>
      </c>
      <c r="J14"/>
      <c r="K14"/>
      <c r="L14"/>
      <c r="M14"/>
    </row>
    <row r="15" spans="1:13" x14ac:dyDescent="0.3">
      <c r="A15" s="108">
        <f t="shared" si="0"/>
        <v>5</v>
      </c>
      <c r="B15" s="399">
        <v>924</v>
      </c>
      <c r="C15" s="401" t="s">
        <v>611</v>
      </c>
      <c r="D15" s="236">
        <v>10584.239569999998</v>
      </c>
      <c r="E15" s="6"/>
      <c r="F15" s="236">
        <f t="shared" ref="F15:F16" si="3">D15-E15</f>
        <v>10584.239569999998</v>
      </c>
      <c r="G15" s="372" t="s">
        <v>612</v>
      </c>
      <c r="H15" s="108">
        <f t="shared" si="1"/>
        <v>5</v>
      </c>
      <c r="J15"/>
      <c r="K15"/>
      <c r="L15"/>
      <c r="M15"/>
    </row>
    <row r="16" spans="1:13" x14ac:dyDescent="0.3">
      <c r="A16" s="108">
        <f t="shared" si="0"/>
        <v>6</v>
      </c>
      <c r="B16" s="399">
        <v>925</v>
      </c>
      <c r="C16" s="401" t="s">
        <v>613</v>
      </c>
      <c r="D16" s="236">
        <v>213057.13392000002</v>
      </c>
      <c r="E16" s="6">
        <f>E33</f>
        <v>382.02937231999999</v>
      </c>
      <c r="F16" s="236">
        <f t="shared" si="3"/>
        <v>212675.10454768004</v>
      </c>
      <c r="G16" s="372" t="s">
        <v>614</v>
      </c>
      <c r="H16" s="108">
        <f t="shared" si="1"/>
        <v>6</v>
      </c>
      <c r="J16" s="2"/>
    </row>
    <row r="17" spans="1:13" ht="18" x14ac:dyDescent="0.3">
      <c r="A17" s="108">
        <f>A16+1</f>
        <v>7</v>
      </c>
      <c r="B17" s="399">
        <v>926</v>
      </c>
      <c r="C17" s="401" t="s">
        <v>615</v>
      </c>
      <c r="D17" s="236">
        <v>63809.404609999998</v>
      </c>
      <c r="E17" s="6">
        <f>E34</f>
        <v>446.01363487000009</v>
      </c>
      <c r="F17" s="236">
        <f>D17-E17</f>
        <v>63363.390975129994</v>
      </c>
      <c r="G17" s="372" t="s">
        <v>616</v>
      </c>
      <c r="H17" s="108">
        <f>A16+1</f>
        <v>7</v>
      </c>
      <c r="J17" s="2"/>
    </row>
    <row r="18" spans="1:13" x14ac:dyDescent="0.3">
      <c r="A18" s="108">
        <f>A17+1</f>
        <v>8</v>
      </c>
      <c r="B18" s="399">
        <v>927</v>
      </c>
      <c r="C18" s="401" t="s">
        <v>617</v>
      </c>
      <c r="D18" s="907">
        <v>112751.95299999999</v>
      </c>
      <c r="E18" s="236">
        <f>E35</f>
        <v>112751.95299999999</v>
      </c>
      <c r="F18" s="236">
        <f t="shared" ref="F18:F20" si="4">D18-E18</f>
        <v>0</v>
      </c>
      <c r="G18" s="372" t="s">
        <v>618</v>
      </c>
      <c r="H18" s="108">
        <f>A17+1</f>
        <v>8</v>
      </c>
      <c r="J18" s="2"/>
    </row>
    <row r="19" spans="1:13" ht="18.600000000000001" x14ac:dyDescent="0.3">
      <c r="A19" s="108">
        <f t="shared" si="0"/>
        <v>9</v>
      </c>
      <c r="B19" s="399">
        <v>928</v>
      </c>
      <c r="C19" s="401" t="s">
        <v>619</v>
      </c>
      <c r="D19" s="236">
        <v>36424.177230000001</v>
      </c>
      <c r="E19" s="6">
        <f>E40</f>
        <v>24031.955899999997</v>
      </c>
      <c r="F19" s="236">
        <f t="shared" si="4"/>
        <v>12392.221330000004</v>
      </c>
      <c r="G19" s="372" t="s">
        <v>620</v>
      </c>
      <c r="H19" s="108">
        <f t="shared" si="1"/>
        <v>9</v>
      </c>
      <c r="J19" s="2"/>
    </row>
    <row r="20" spans="1:13" x14ac:dyDescent="0.3">
      <c r="A20" s="108">
        <f t="shared" si="0"/>
        <v>10</v>
      </c>
      <c r="B20" s="399">
        <v>929</v>
      </c>
      <c r="C20" s="401" t="s">
        <v>621</v>
      </c>
      <c r="D20" s="236">
        <v>-17216.712979999997</v>
      </c>
      <c r="E20" s="6">
        <f>E41</f>
        <v>-3937.7277100000001</v>
      </c>
      <c r="F20" s="236">
        <f t="shared" si="4"/>
        <v>-13278.985269999997</v>
      </c>
      <c r="G20" s="372" t="s">
        <v>622</v>
      </c>
      <c r="H20" s="108">
        <f t="shared" si="1"/>
        <v>10</v>
      </c>
      <c r="J20" s="2"/>
    </row>
    <row r="21" spans="1:13" x14ac:dyDescent="0.3">
      <c r="A21" s="108">
        <f>A20+1</f>
        <v>11</v>
      </c>
      <c r="B21" s="403">
        <v>930.1</v>
      </c>
      <c r="C21" s="401" t="s">
        <v>623</v>
      </c>
      <c r="D21" s="236">
        <v>55.474339999999998</v>
      </c>
      <c r="E21" s="6">
        <f>E42</f>
        <v>55.474339999999998</v>
      </c>
      <c r="F21" s="236">
        <f>D21-E21</f>
        <v>0</v>
      </c>
      <c r="G21" s="372" t="s">
        <v>624</v>
      </c>
      <c r="H21" s="108">
        <f>H20+1</f>
        <v>11</v>
      </c>
      <c r="J21" s="2"/>
    </row>
    <row r="22" spans="1:13" x14ac:dyDescent="0.3">
      <c r="A22" s="108">
        <f>A21+1</f>
        <v>12</v>
      </c>
      <c r="B22" s="403">
        <v>930.2</v>
      </c>
      <c r="C22" s="401" t="s">
        <v>625</v>
      </c>
      <c r="D22" s="236">
        <v>2770.7686400000007</v>
      </c>
      <c r="E22" s="6">
        <f>E44</f>
        <v>1045.6107878</v>
      </c>
      <c r="F22" s="236">
        <f t="shared" ref="F22" si="5">D22-E22</f>
        <v>1725.1578522000007</v>
      </c>
      <c r="G22" s="372" t="s">
        <v>626</v>
      </c>
      <c r="H22" s="108">
        <f>H21+1</f>
        <v>12</v>
      </c>
      <c r="J22" s="2"/>
    </row>
    <row r="23" spans="1:13" x14ac:dyDescent="0.3">
      <c r="A23" s="108">
        <f t="shared" si="0"/>
        <v>13</v>
      </c>
      <c r="B23" s="399">
        <v>931</v>
      </c>
      <c r="C23" s="401" t="s">
        <v>561</v>
      </c>
      <c r="D23" s="236">
        <v>13677.63228</v>
      </c>
      <c r="E23" s="6"/>
      <c r="F23" s="236">
        <f>D23-E23</f>
        <v>13677.63228</v>
      </c>
      <c r="G23" s="372" t="s">
        <v>627</v>
      </c>
      <c r="H23" s="108">
        <f t="shared" si="1"/>
        <v>13</v>
      </c>
      <c r="J23" s="2"/>
    </row>
    <row r="24" spans="1:13" x14ac:dyDescent="0.3">
      <c r="A24" s="108">
        <f t="shared" si="0"/>
        <v>14</v>
      </c>
      <c r="B24" s="399">
        <v>935</v>
      </c>
      <c r="C24" s="401" t="s">
        <v>628</v>
      </c>
      <c r="D24" s="95">
        <v>22833.292279999998</v>
      </c>
      <c r="E24" s="881">
        <f>E45</f>
        <v>0</v>
      </c>
      <c r="F24" s="95">
        <f>D24-E24</f>
        <v>22833.292279999998</v>
      </c>
      <c r="G24" s="574" t="s">
        <v>629</v>
      </c>
      <c r="H24" s="108">
        <f t="shared" si="1"/>
        <v>14</v>
      </c>
      <c r="I24" s="107" t="s">
        <v>1</v>
      </c>
      <c r="J24" s="2"/>
    </row>
    <row r="25" spans="1:13" x14ac:dyDescent="0.3">
      <c r="A25" s="108">
        <f>A24+1</f>
        <v>15</v>
      </c>
      <c r="B25" s="399"/>
      <c r="D25" s="675"/>
      <c r="F25" s="675"/>
      <c r="G25" s="404"/>
      <c r="H25" s="108">
        <f>H24+1</f>
        <v>15</v>
      </c>
    </row>
    <row r="26" spans="1:13" ht="16.2" thickBot="1" x14ac:dyDescent="0.35">
      <c r="A26" s="108">
        <f t="shared" si="0"/>
        <v>16</v>
      </c>
      <c r="B26" s="399"/>
      <c r="C26" s="283" t="s">
        <v>630</v>
      </c>
      <c r="D26" s="100">
        <f>SUM(D11:D24)</f>
        <v>626994.16997000016</v>
      </c>
      <c r="E26" s="104">
        <f>SUM(E11:E24)</f>
        <v>133613.31763928995</v>
      </c>
      <c r="F26" s="100">
        <f>SUM(F11:F24)</f>
        <v>493380.8523307101</v>
      </c>
      <c r="G26" s="405" t="str">
        <f>"Sum Lines "&amp;A11&amp;" thru "&amp;A24</f>
        <v>Sum Lines 1 thru 14</v>
      </c>
      <c r="H26" s="108">
        <f t="shared" si="1"/>
        <v>16</v>
      </c>
    </row>
    <row r="27" spans="1:13" ht="16.8" thickTop="1" thickBot="1" x14ac:dyDescent="0.35">
      <c r="A27" s="108">
        <f>A26+1</f>
        <v>17</v>
      </c>
      <c r="B27" s="406"/>
      <c r="C27" s="882"/>
      <c r="D27" s="105"/>
      <c r="E27" s="106"/>
      <c r="F27" s="106"/>
      <c r="G27" s="637"/>
      <c r="H27" s="108">
        <f>H26+1</f>
        <v>17</v>
      </c>
    </row>
    <row r="28" spans="1:13" x14ac:dyDescent="0.3">
      <c r="A28" s="108">
        <f>A27+1</f>
        <v>18</v>
      </c>
      <c r="B28" s="407"/>
      <c r="G28" s="404"/>
      <c r="H28" s="108">
        <f>H27+1</f>
        <v>18</v>
      </c>
    </row>
    <row r="29" spans="1:13" x14ac:dyDescent="0.3">
      <c r="A29" s="108">
        <f t="shared" ref="A29:A53" si="6">A28+1</f>
        <v>19</v>
      </c>
      <c r="B29" s="408" t="s">
        <v>631</v>
      </c>
      <c r="C29" s="108"/>
      <c r="D29" s="108"/>
      <c r="E29" s="108"/>
      <c r="F29" s="108"/>
      <c r="G29" s="404"/>
      <c r="H29" s="108">
        <f>H28+1</f>
        <v>19</v>
      </c>
    </row>
    <row r="30" spans="1:13" x14ac:dyDescent="0.3">
      <c r="A30" s="108">
        <f t="shared" si="6"/>
        <v>20</v>
      </c>
      <c r="B30" s="636">
        <v>921</v>
      </c>
      <c r="C30" s="401" t="s">
        <v>1909</v>
      </c>
      <c r="D30" s="1177"/>
      <c r="E30" s="870">
        <v>4.7840642999999998</v>
      </c>
      <c r="F30" s="108"/>
      <c r="G30" s="404"/>
      <c r="H30" s="108">
        <f t="shared" ref="H30:H53" si="7">H29+1</f>
        <v>20</v>
      </c>
    </row>
    <row r="31" spans="1:13" ht="18.600000000000001" x14ac:dyDescent="0.3">
      <c r="A31" s="108">
        <f t="shared" si="6"/>
        <v>21</v>
      </c>
      <c r="B31" s="636">
        <v>923</v>
      </c>
      <c r="C31" s="401" t="s">
        <v>1910</v>
      </c>
      <c r="D31" s="1177"/>
      <c r="E31" s="1216">
        <v>-1166.77575</v>
      </c>
      <c r="F31" s="108"/>
      <c r="G31" s="404"/>
      <c r="H31" s="108">
        <f t="shared" si="7"/>
        <v>21</v>
      </c>
    </row>
    <row r="32" spans="1:13" x14ac:dyDescent="0.3">
      <c r="A32" s="108">
        <f t="shared" si="6"/>
        <v>22</v>
      </c>
      <c r="B32" s="636">
        <v>925</v>
      </c>
      <c r="C32" s="401" t="s">
        <v>632</v>
      </c>
      <c r="D32" s="1177">
        <v>271.77697832000001</v>
      </c>
      <c r="E32" s="108"/>
      <c r="F32" s="108"/>
      <c r="G32" s="404"/>
      <c r="H32" s="108">
        <f t="shared" si="7"/>
        <v>22</v>
      </c>
      <c r="J32"/>
      <c r="K32"/>
      <c r="L32"/>
      <c r="M32"/>
    </row>
    <row r="33" spans="1:21" x14ac:dyDescent="0.3">
      <c r="A33" s="108">
        <f t="shared" si="6"/>
        <v>23</v>
      </c>
      <c r="B33" s="636"/>
      <c r="C33" s="401" t="s">
        <v>1909</v>
      </c>
      <c r="D33" s="1104">
        <v>110.252394</v>
      </c>
      <c r="E33" s="1177">
        <f>SUM(D32:D33)</f>
        <v>382.02937231999999</v>
      </c>
      <c r="F33" s="108"/>
      <c r="G33" s="404"/>
      <c r="H33" s="108">
        <f t="shared" si="7"/>
        <v>23</v>
      </c>
      <c r="J33"/>
      <c r="K33"/>
      <c r="L33"/>
      <c r="M33"/>
    </row>
    <row r="34" spans="1:21" x14ac:dyDescent="0.3">
      <c r="A34" s="108">
        <f t="shared" si="6"/>
        <v>24</v>
      </c>
      <c r="B34" s="636">
        <v>926</v>
      </c>
      <c r="C34" s="1179" t="s">
        <v>632</v>
      </c>
      <c r="D34"/>
      <c r="E34" s="909">
        <v>446.01363487000009</v>
      </c>
      <c r="F34" s="108"/>
      <c r="G34" s="404"/>
      <c r="H34" s="108">
        <f t="shared" si="7"/>
        <v>24</v>
      </c>
      <c r="J34"/>
      <c r="K34"/>
      <c r="L34"/>
      <c r="M34"/>
    </row>
    <row r="35" spans="1:21" x14ac:dyDescent="0.3">
      <c r="A35" s="108">
        <f t="shared" si="6"/>
        <v>25</v>
      </c>
      <c r="B35" s="634">
        <v>927</v>
      </c>
      <c r="C35" s="1179" t="s">
        <v>617</v>
      </c>
      <c r="D35" s="1177"/>
      <c r="E35" s="909">
        <v>112751.95299999999</v>
      </c>
      <c r="F35" s="108"/>
      <c r="G35" s="404"/>
      <c r="H35" s="108">
        <f t="shared" si="7"/>
        <v>25</v>
      </c>
    </row>
    <row r="36" spans="1:21" x14ac:dyDescent="0.3">
      <c r="A36" s="108">
        <f t="shared" si="6"/>
        <v>26</v>
      </c>
      <c r="B36" s="636">
        <v>928</v>
      </c>
      <c r="C36" s="401" t="s">
        <v>633</v>
      </c>
      <c r="D36" s="1177">
        <v>22096.966619999999</v>
      </c>
      <c r="E36" s="108"/>
      <c r="F36" s="108"/>
      <c r="G36" s="404"/>
      <c r="H36" s="108">
        <f t="shared" si="7"/>
        <v>26</v>
      </c>
      <c r="J36" s="908"/>
    </row>
    <row r="37" spans="1:21" x14ac:dyDescent="0.3">
      <c r="A37" s="108">
        <f t="shared" si="6"/>
        <v>27</v>
      </c>
      <c r="B37" s="636"/>
      <c r="C37" s="401" t="s">
        <v>634</v>
      </c>
      <c r="D37" s="1177">
        <v>0.77205999999999997</v>
      </c>
      <c r="E37" s="108"/>
      <c r="F37" s="108"/>
      <c r="G37" s="404"/>
      <c r="H37" s="108">
        <f t="shared" si="7"/>
        <v>27</v>
      </c>
      <c r="J37" s="908"/>
    </row>
    <row r="38" spans="1:21" x14ac:dyDescent="0.3">
      <c r="A38" s="108">
        <f t="shared" si="6"/>
        <v>28</v>
      </c>
      <c r="B38" s="636"/>
      <c r="C38" s="401" t="s">
        <v>632</v>
      </c>
      <c r="D38" s="1177">
        <v>666.62089999999989</v>
      </c>
      <c r="E38" s="108"/>
      <c r="F38" s="108"/>
      <c r="G38" s="404"/>
      <c r="H38" s="108">
        <f t="shared" si="7"/>
        <v>28</v>
      </c>
    </row>
    <row r="39" spans="1:21" x14ac:dyDescent="0.3">
      <c r="A39" s="108">
        <f t="shared" si="6"/>
        <v>29</v>
      </c>
      <c r="B39" s="636"/>
      <c r="C39" s="1180" t="s">
        <v>12</v>
      </c>
      <c r="D39" s="913">
        <v>0</v>
      </c>
      <c r="E39" s="108"/>
      <c r="F39" s="108"/>
      <c r="G39" s="404"/>
      <c r="H39" s="108">
        <f t="shared" si="7"/>
        <v>29</v>
      </c>
      <c r="J39"/>
      <c r="K39"/>
      <c r="L39"/>
      <c r="M39"/>
      <c r="N39"/>
      <c r="O39"/>
      <c r="P39"/>
      <c r="Q39"/>
      <c r="R39"/>
      <c r="S39"/>
      <c r="T39"/>
      <c r="U39"/>
    </row>
    <row r="40" spans="1:21" x14ac:dyDescent="0.3">
      <c r="A40" s="108">
        <f t="shared" si="6"/>
        <v>30</v>
      </c>
      <c r="B40" s="636"/>
      <c r="C40" s="1180" t="s">
        <v>635</v>
      </c>
      <c r="D40" s="1104">
        <v>1267.5963200000001</v>
      </c>
      <c r="E40" s="1177">
        <f>SUM(D36:D40)</f>
        <v>24031.955899999997</v>
      </c>
      <c r="F40" s="108"/>
      <c r="G40" s="404"/>
      <c r="H40" s="108">
        <f t="shared" si="7"/>
        <v>30</v>
      </c>
      <c r="J40"/>
      <c r="K40"/>
      <c r="L40"/>
      <c r="M40"/>
      <c r="N40"/>
      <c r="O40"/>
      <c r="P40"/>
      <c r="Q40"/>
      <c r="R40"/>
      <c r="S40"/>
      <c r="T40"/>
      <c r="U40"/>
    </row>
    <row r="41" spans="1:21" x14ac:dyDescent="0.3">
      <c r="A41" s="108">
        <f t="shared" si="6"/>
        <v>31</v>
      </c>
      <c r="B41" s="636">
        <v>929</v>
      </c>
      <c r="C41" s="1180" t="s">
        <v>1554</v>
      </c>
      <c r="D41" s="1177"/>
      <c r="E41" s="1177">
        <v>-3937.7277100000001</v>
      </c>
      <c r="F41" s="108"/>
      <c r="G41" s="404"/>
      <c r="H41" s="108">
        <f t="shared" si="7"/>
        <v>31</v>
      </c>
      <c r="J41"/>
      <c r="K41"/>
      <c r="L41"/>
      <c r="M41"/>
      <c r="N41"/>
      <c r="O41"/>
      <c r="P41"/>
      <c r="Q41"/>
      <c r="R41"/>
      <c r="S41"/>
      <c r="T41"/>
      <c r="U41"/>
    </row>
    <row r="42" spans="1:21" x14ac:dyDescent="0.3">
      <c r="A42" s="108">
        <f t="shared" si="6"/>
        <v>32</v>
      </c>
      <c r="B42" s="635">
        <v>930.1</v>
      </c>
      <c r="C42" s="1180" t="s">
        <v>623</v>
      </c>
      <c r="D42" s="1177"/>
      <c r="E42" s="909">
        <v>55.474339999999998</v>
      </c>
      <c r="F42" s="108"/>
      <c r="G42" s="404"/>
      <c r="H42" s="108">
        <f t="shared" si="7"/>
        <v>32</v>
      </c>
      <c r="J42"/>
      <c r="K42"/>
    </row>
    <row r="43" spans="1:21" x14ac:dyDescent="0.3">
      <c r="A43" s="108">
        <f t="shared" si="6"/>
        <v>33</v>
      </c>
      <c r="B43" s="883">
        <v>930.2</v>
      </c>
      <c r="C43" s="1179" t="s">
        <v>636</v>
      </c>
      <c r="D43" s="909">
        <v>908.44687999999996</v>
      </c>
      <c r="F43" s="108"/>
      <c r="G43" s="404"/>
      <c r="H43" s="108">
        <f t="shared" si="7"/>
        <v>33</v>
      </c>
      <c r="J43"/>
      <c r="K43"/>
    </row>
    <row r="44" spans="1:21" x14ac:dyDescent="0.3">
      <c r="A44" s="108">
        <f t="shared" si="6"/>
        <v>34</v>
      </c>
      <c r="B44" s="883"/>
      <c r="C44" s="401" t="s">
        <v>1909</v>
      </c>
      <c r="D44" s="910">
        <v>137.16390779999998</v>
      </c>
      <c r="E44" s="909">
        <f>SUM(D43:D44)</f>
        <v>1045.6107878</v>
      </c>
      <c r="F44" s="108"/>
      <c r="G44" s="404"/>
      <c r="H44" s="108">
        <f t="shared" si="7"/>
        <v>34</v>
      </c>
      <c r="J44"/>
      <c r="K44"/>
    </row>
    <row r="45" spans="1:21" x14ac:dyDescent="0.3">
      <c r="A45" s="108">
        <f t="shared" si="6"/>
        <v>35</v>
      </c>
      <c r="B45" s="636">
        <v>935</v>
      </c>
      <c r="C45" s="401" t="s">
        <v>637</v>
      </c>
      <c r="D45" s="1177"/>
      <c r="E45" s="910">
        <v>0</v>
      </c>
      <c r="F45" s="108"/>
      <c r="G45" s="404"/>
      <c r="H45" s="108">
        <f t="shared" si="7"/>
        <v>35</v>
      </c>
    </row>
    <row r="46" spans="1:21" x14ac:dyDescent="0.3">
      <c r="A46" s="108">
        <f t="shared" si="6"/>
        <v>36</v>
      </c>
      <c r="B46" s="636"/>
      <c r="C46" s="1181"/>
      <c r="D46" s="1182"/>
      <c r="E46" s="6"/>
      <c r="G46" s="404"/>
      <c r="H46" s="108">
        <f t="shared" si="7"/>
        <v>36</v>
      </c>
    </row>
    <row r="47" spans="1:21" ht="16.2" thickBot="1" x14ac:dyDescent="0.35">
      <c r="A47" s="108">
        <f t="shared" si="6"/>
        <v>37</v>
      </c>
      <c r="B47" s="407"/>
      <c r="C47" s="1183" t="s">
        <v>600</v>
      </c>
      <c r="D47" s="1184"/>
      <c r="E47" s="103">
        <f>SUM(E30:E45)</f>
        <v>133613.31763928995</v>
      </c>
      <c r="F47" s="109"/>
      <c r="G47" s="404"/>
      <c r="H47" s="108">
        <f t="shared" si="7"/>
        <v>37</v>
      </c>
    </row>
    <row r="48" spans="1:21" ht="16.2" thickTop="1" x14ac:dyDescent="0.3">
      <c r="A48" s="108">
        <f t="shared" si="6"/>
        <v>38</v>
      </c>
      <c r="B48" s="407"/>
      <c r="C48" s="1183"/>
      <c r="E48" s="44"/>
      <c r="F48" s="1"/>
      <c r="G48" s="404"/>
      <c r="H48" s="108">
        <f t="shared" si="7"/>
        <v>38</v>
      </c>
    </row>
    <row r="49" spans="1:16" x14ac:dyDescent="0.3">
      <c r="A49" s="108">
        <f t="shared" si="6"/>
        <v>39</v>
      </c>
      <c r="B49" s="407"/>
      <c r="C49" s="1183"/>
      <c r="E49" s="44"/>
      <c r="F49" s="1"/>
      <c r="G49" s="404"/>
      <c r="H49" s="108">
        <f t="shared" si="7"/>
        <v>39</v>
      </c>
    </row>
    <row r="50" spans="1:16" ht="18" x14ac:dyDescent="0.3">
      <c r="A50" s="108">
        <f t="shared" si="6"/>
        <v>40</v>
      </c>
      <c r="B50" s="409">
        <v>1</v>
      </c>
      <c r="C50" s="32" t="s">
        <v>1565</v>
      </c>
      <c r="E50" s="258"/>
      <c r="F50" s="1"/>
      <c r="G50" s="404"/>
      <c r="H50" s="108">
        <f t="shared" si="7"/>
        <v>40</v>
      </c>
      <c r="J50"/>
      <c r="K50"/>
      <c r="L50"/>
      <c r="M50"/>
      <c r="N50"/>
      <c r="O50"/>
      <c r="P50"/>
    </row>
    <row r="51" spans="1:16" ht="18" x14ac:dyDescent="0.3">
      <c r="A51" s="108">
        <f t="shared" si="6"/>
        <v>41</v>
      </c>
      <c r="B51" s="409">
        <v>2</v>
      </c>
      <c r="C51" s="1108" t="s">
        <v>1564</v>
      </c>
      <c r="E51" s="258"/>
      <c r="F51" s="1"/>
      <c r="G51" s="404"/>
      <c r="H51" s="108">
        <f t="shared" si="7"/>
        <v>41</v>
      </c>
      <c r="J51" s="1107"/>
      <c r="K51" s="1107"/>
      <c r="L51" s="1107"/>
      <c r="M51" s="1107"/>
      <c r="N51" s="1107"/>
      <c r="O51" s="1107"/>
    </row>
    <row r="52" spans="1:16" ht="18" x14ac:dyDescent="0.3">
      <c r="A52" s="108">
        <f t="shared" si="6"/>
        <v>42</v>
      </c>
      <c r="B52" s="409"/>
      <c r="C52" s="1108" t="s">
        <v>1563</v>
      </c>
      <c r="E52" s="258"/>
      <c r="F52" s="1"/>
      <c r="G52" s="404"/>
      <c r="H52" s="108">
        <f t="shared" si="7"/>
        <v>42</v>
      </c>
      <c r="J52" s="1107"/>
      <c r="K52" s="1107"/>
      <c r="L52" s="1107"/>
      <c r="M52" s="1107"/>
      <c r="N52" s="1107"/>
      <c r="O52" s="1107"/>
    </row>
    <row r="53" spans="1:16" ht="16.2" thickBot="1" x14ac:dyDescent="0.35">
      <c r="A53" s="108">
        <f t="shared" si="6"/>
        <v>43</v>
      </c>
      <c r="B53" s="410"/>
      <c r="C53" s="884"/>
      <c r="D53" s="882"/>
      <c r="E53" s="882"/>
      <c r="F53" s="882"/>
      <c r="G53" s="637"/>
      <c r="H53" s="108">
        <f t="shared" si="7"/>
        <v>43</v>
      </c>
    </row>
    <row r="54" spans="1:16" x14ac:dyDescent="0.3">
      <c r="A54" s="389"/>
      <c r="C54" s="401"/>
      <c r="D54" s="411"/>
      <c r="E54" s="411"/>
    </row>
    <row r="55" spans="1:16" ht="18" x14ac:dyDescent="0.3">
      <c r="A55" s="412"/>
      <c r="C55" s="401"/>
    </row>
    <row r="56" spans="1:16" ht="18" x14ac:dyDescent="0.3">
      <c r="A56" s="412"/>
      <c r="C56" s="401"/>
    </row>
    <row r="57" spans="1:16" ht="18" x14ac:dyDescent="0.3">
      <c r="A57" s="412"/>
      <c r="C57" s="401"/>
    </row>
    <row r="58" spans="1:16" ht="18" x14ac:dyDescent="0.3">
      <c r="A58" s="412"/>
      <c r="C58" s="401"/>
    </row>
    <row r="59" spans="1:16" ht="18" x14ac:dyDescent="0.3">
      <c r="A59" s="412"/>
      <c r="C59" s="401"/>
    </row>
    <row r="60" spans="1:16" ht="18" x14ac:dyDescent="0.3">
      <c r="A60" s="412"/>
      <c r="C60" s="401"/>
    </row>
    <row r="61" spans="1:16" x14ac:dyDescent="0.3">
      <c r="A61" s="389"/>
      <c r="C61" s="401"/>
    </row>
    <row r="62" spans="1:16" ht="18" x14ac:dyDescent="0.3">
      <c r="A62" s="412"/>
      <c r="C62" s="401"/>
    </row>
    <row r="63" spans="1:16" x14ac:dyDescent="0.3">
      <c r="A63" s="389"/>
      <c r="C63" s="401"/>
    </row>
    <row r="64" spans="1:16" ht="18" x14ac:dyDescent="0.3">
      <c r="A64" s="412"/>
      <c r="C64" s="401"/>
    </row>
    <row r="65" spans="1:3" x14ac:dyDescent="0.3">
      <c r="A65" s="389"/>
      <c r="C65" s="401"/>
    </row>
    <row r="66" spans="1:3" ht="18" x14ac:dyDescent="0.3">
      <c r="A66" s="412"/>
      <c r="C66" s="401"/>
    </row>
    <row r="67" spans="1:3" ht="18" x14ac:dyDescent="0.3">
      <c r="A67" s="412"/>
      <c r="B67" s="401"/>
    </row>
    <row r="68" spans="1:3" ht="18" x14ac:dyDescent="0.3">
      <c r="A68" s="412"/>
      <c r="B68" s="401"/>
    </row>
    <row r="69" spans="1:3" x14ac:dyDescent="0.3">
      <c r="B69" s="401"/>
    </row>
    <row r="70" spans="1:3" ht="18" x14ac:dyDescent="0.3">
      <c r="A70" s="412"/>
      <c r="B70" s="401"/>
    </row>
    <row r="71" spans="1:3" x14ac:dyDescent="0.3">
      <c r="A71" s="413"/>
      <c r="B71" s="283"/>
    </row>
    <row r="72" spans="1:3" x14ac:dyDescent="0.3">
      <c r="B72" s="401"/>
    </row>
  </sheetData>
  <mergeCells count="4">
    <mergeCell ref="B2:G2"/>
    <mergeCell ref="B3:G3"/>
    <mergeCell ref="B4:G4"/>
    <mergeCell ref="B5:G5"/>
  </mergeCells>
  <printOptions horizontalCentered="1"/>
  <pageMargins left="0.25" right="0.25" top="0.5" bottom="0.5" header="0.25" footer="0.25"/>
  <pageSetup scale="58" orientation="portrait" r:id="rId1"/>
  <headerFooter scaleWithDoc="0" alignWithMargins="0">
    <oddFooter>&amp;C&amp;A</oddFooter>
  </headerFooter>
  <colBreaks count="1" manualBreakCount="1">
    <brk id="8" max="52" man="1"/>
  </colBreak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CCB25-E46C-40B2-B7A7-5745E2B56FB5}">
  <sheetPr>
    <pageSetUpPr fitToPage="1"/>
  </sheetPr>
  <dimension ref="A1:J49"/>
  <sheetViews>
    <sheetView zoomScale="80" zoomScaleNormal="80" workbookViewId="0"/>
  </sheetViews>
  <sheetFormatPr defaultColWidth="8.88671875" defaultRowHeight="15.6" x14ac:dyDescent="0.3"/>
  <cols>
    <col min="1" max="1" width="5.109375" style="4" bestFit="1" customWidth="1"/>
    <col min="2" max="2" width="79.44140625" style="32" customWidth="1"/>
    <col min="3" max="3" width="25.5546875" style="361" bestFit="1" customWidth="1"/>
    <col min="4" max="4" width="1.5546875" style="32" customWidth="1"/>
    <col min="5" max="5" width="16.88671875" style="32" customWidth="1"/>
    <col min="6" max="6" width="1.5546875" style="32" customWidth="1"/>
    <col min="7" max="7" width="16.88671875" style="32" customWidth="1"/>
    <col min="8" max="8" width="1.5546875" style="32" customWidth="1"/>
    <col min="9" max="9" width="39.44140625" style="32" bestFit="1" customWidth="1"/>
    <col min="10" max="10" width="5.109375" style="32" customWidth="1"/>
    <col min="11" max="16384" width="8.88671875" style="32"/>
  </cols>
  <sheetData>
    <row r="1" spans="1:10" x14ac:dyDescent="0.3">
      <c r="H1" s="4"/>
      <c r="I1" s="4"/>
      <c r="J1" s="4"/>
    </row>
    <row r="2" spans="1:10" x14ac:dyDescent="0.3">
      <c r="B2" s="1222" t="s">
        <v>0</v>
      </c>
      <c r="C2" s="1234"/>
      <c r="D2" s="1234"/>
      <c r="E2" s="1234"/>
      <c r="F2" s="1234"/>
      <c r="G2" s="1234"/>
      <c r="H2" s="1234"/>
      <c r="I2" s="1234"/>
      <c r="J2" s="221"/>
    </row>
    <row r="3" spans="1:10" x14ac:dyDescent="0.3">
      <c r="B3" s="1222" t="s">
        <v>856</v>
      </c>
      <c r="C3" s="1234"/>
      <c r="D3" s="1234"/>
      <c r="E3" s="1234"/>
      <c r="F3" s="1234"/>
      <c r="G3" s="1234"/>
      <c r="H3" s="1234"/>
      <c r="I3" s="1234"/>
      <c r="J3" s="221"/>
    </row>
    <row r="4" spans="1:10" x14ac:dyDescent="0.3">
      <c r="B4" s="1222" t="s">
        <v>857</v>
      </c>
      <c r="C4" s="1234"/>
      <c r="D4" s="1234"/>
      <c r="E4" s="1234"/>
      <c r="F4" s="1234"/>
      <c r="G4" s="1234"/>
      <c r="H4" s="1234"/>
      <c r="I4" s="1234"/>
      <c r="J4" s="221"/>
    </row>
    <row r="5" spans="1:10" x14ac:dyDescent="0.3">
      <c r="B5" s="1227" t="s">
        <v>1598</v>
      </c>
      <c r="C5" s="1227"/>
      <c r="D5" s="1227"/>
      <c r="E5" s="1227"/>
      <c r="F5" s="1227"/>
      <c r="G5" s="1227"/>
      <c r="H5" s="1227"/>
      <c r="I5" s="1227"/>
      <c r="J5" s="221"/>
    </row>
    <row r="6" spans="1:10" x14ac:dyDescent="0.3">
      <c r="B6" s="1226" t="s">
        <v>4</v>
      </c>
      <c r="C6" s="1226"/>
      <c r="D6" s="1226"/>
      <c r="E6" s="1226"/>
      <c r="F6" s="1226"/>
      <c r="G6" s="1226"/>
      <c r="H6" s="1226"/>
      <c r="I6" s="1226"/>
      <c r="J6" s="1"/>
    </row>
    <row r="7" spans="1:10" x14ac:dyDescent="0.3">
      <c r="B7" s="4"/>
      <c r="D7" s="4"/>
      <c r="E7" s="4"/>
      <c r="F7" s="4"/>
      <c r="G7" s="4"/>
      <c r="H7" s="221"/>
      <c r="I7" s="221"/>
      <c r="J7" s="221"/>
    </row>
    <row r="8" spans="1:10" x14ac:dyDescent="0.3">
      <c r="A8" s="4" t="s">
        <v>5</v>
      </c>
      <c r="B8" s="221"/>
      <c r="C8" s="4" t="s">
        <v>236</v>
      </c>
      <c r="D8" s="4"/>
      <c r="E8" s="4" t="s">
        <v>858</v>
      </c>
      <c r="F8" s="4"/>
      <c r="G8" s="4" t="s">
        <v>859</v>
      </c>
      <c r="H8" s="221"/>
      <c r="I8" s="221"/>
      <c r="J8" s="4" t="s">
        <v>5</v>
      </c>
    </row>
    <row r="9" spans="1:10" x14ac:dyDescent="0.3">
      <c r="A9" s="4" t="s">
        <v>6</v>
      </c>
      <c r="B9" s="221"/>
      <c r="C9" s="852" t="s">
        <v>238</v>
      </c>
      <c r="D9" s="221"/>
      <c r="E9" s="853" t="s">
        <v>860</v>
      </c>
      <c r="F9" s="221"/>
      <c r="G9" s="853" t="s">
        <v>239</v>
      </c>
      <c r="H9" s="221"/>
      <c r="I9" s="852" t="s">
        <v>8</v>
      </c>
      <c r="J9" s="4" t="s">
        <v>6</v>
      </c>
    </row>
    <row r="10" spans="1:10" x14ac:dyDescent="0.3">
      <c r="B10" s="4"/>
      <c r="D10" s="4"/>
      <c r="E10" s="4"/>
      <c r="F10" s="4"/>
      <c r="G10" s="4"/>
      <c r="H10" s="4"/>
      <c r="I10" s="4"/>
      <c r="J10" s="4"/>
    </row>
    <row r="11" spans="1:10" ht="18" x14ac:dyDescent="0.3">
      <c r="A11" s="4">
        <v>1</v>
      </c>
      <c r="B11" s="32" t="s">
        <v>861</v>
      </c>
      <c r="C11" s="4" t="s">
        <v>862</v>
      </c>
      <c r="E11" s="49"/>
      <c r="F11" s="72"/>
      <c r="G11" s="41">
        <f>'AL-1'!C32</f>
        <v>134439.87015384616</v>
      </c>
      <c r="H11" s="72"/>
      <c r="I11" s="47" t="s">
        <v>863</v>
      </c>
      <c r="J11" s="4">
        <f>A11</f>
        <v>1</v>
      </c>
    </row>
    <row r="12" spans="1:10" x14ac:dyDescent="0.3">
      <c r="A12" s="4">
        <f>+A11+1</f>
        <v>2</v>
      </c>
      <c r="C12" s="4"/>
      <c r="E12" s="71"/>
      <c r="F12" s="42"/>
      <c r="G12" s="42"/>
      <c r="H12" s="42"/>
      <c r="I12" s="47"/>
      <c r="J12" s="4">
        <f>+J11+1</f>
        <v>2</v>
      </c>
    </row>
    <row r="13" spans="1:10" x14ac:dyDescent="0.3">
      <c r="A13" s="4">
        <f t="shared" ref="A13:A44" si="0">+A12+1</f>
        <v>3</v>
      </c>
      <c r="B13" s="32" t="s">
        <v>864</v>
      </c>
      <c r="C13" s="4"/>
      <c r="E13" s="73"/>
      <c r="F13" s="74"/>
      <c r="G13" s="976">
        <f>'Stmt AD'!I45</f>
        <v>0.38644486377474485</v>
      </c>
      <c r="H13" s="72"/>
      <c r="I13" s="47" t="s">
        <v>865</v>
      </c>
      <c r="J13" s="4">
        <f t="shared" ref="J13:J44" si="1">+J12+1</f>
        <v>3</v>
      </c>
    </row>
    <row r="14" spans="1:10" x14ac:dyDescent="0.3">
      <c r="A14" s="4">
        <f t="shared" si="0"/>
        <v>4</v>
      </c>
      <c r="C14" s="4"/>
      <c r="E14" s="71"/>
      <c r="F14" s="42"/>
      <c r="G14" s="71"/>
      <c r="H14" s="42"/>
      <c r="I14" s="47"/>
      <c r="J14" s="4">
        <f t="shared" si="1"/>
        <v>4</v>
      </c>
    </row>
    <row r="15" spans="1:10" ht="16.2" thickBot="1" x14ac:dyDescent="0.35">
      <c r="A15" s="4">
        <f t="shared" si="0"/>
        <v>5</v>
      </c>
      <c r="B15" s="32" t="s">
        <v>866</v>
      </c>
      <c r="C15" s="4"/>
      <c r="E15" s="76"/>
      <c r="F15" s="42"/>
      <c r="G15" s="78">
        <f>G11*G13</f>
        <v>51953.597307497468</v>
      </c>
      <c r="H15" s="72"/>
      <c r="I15" s="47" t="s">
        <v>867</v>
      </c>
      <c r="J15" s="4">
        <f t="shared" si="1"/>
        <v>5</v>
      </c>
    </row>
    <row r="16" spans="1:10" ht="16.2" thickTop="1" x14ac:dyDescent="0.3">
      <c r="A16" s="4">
        <f t="shared" si="0"/>
        <v>6</v>
      </c>
      <c r="C16" s="4"/>
      <c r="E16" s="6"/>
      <c r="F16" s="4"/>
      <c r="G16" s="4"/>
      <c r="H16" s="4"/>
      <c r="I16" s="47"/>
      <c r="J16" s="4">
        <f t="shared" si="1"/>
        <v>6</v>
      </c>
    </row>
    <row r="17" spans="1:10" ht="18" x14ac:dyDescent="0.3">
      <c r="A17" s="4">
        <f t="shared" si="0"/>
        <v>7</v>
      </c>
      <c r="B17" s="32" t="s">
        <v>868</v>
      </c>
      <c r="C17" s="4" t="s">
        <v>869</v>
      </c>
      <c r="D17" s="36"/>
      <c r="E17" s="49"/>
      <c r="F17" s="42"/>
      <c r="G17" s="1047">
        <f>'AL-2'!C30</f>
        <v>100558.3896923077</v>
      </c>
      <c r="H17" s="72"/>
      <c r="I17" s="47" t="s">
        <v>870</v>
      </c>
      <c r="J17" s="4">
        <f t="shared" si="1"/>
        <v>7</v>
      </c>
    </row>
    <row r="18" spans="1:10" x14ac:dyDescent="0.3">
      <c r="A18" s="4">
        <f t="shared" si="0"/>
        <v>8</v>
      </c>
      <c r="C18" s="4"/>
      <c r="E18" s="39"/>
      <c r="F18" s="42"/>
      <c r="G18" s="42"/>
      <c r="H18" s="42"/>
      <c r="I18" s="47"/>
      <c r="J18" s="4">
        <f t="shared" si="1"/>
        <v>8</v>
      </c>
    </row>
    <row r="19" spans="1:10" ht="16.2" thickBot="1" x14ac:dyDescent="0.35">
      <c r="A19" s="4">
        <f t="shared" si="0"/>
        <v>9</v>
      </c>
      <c r="B19" s="32" t="s">
        <v>871</v>
      </c>
      <c r="E19" s="49"/>
      <c r="F19" s="42"/>
      <c r="G19" s="78">
        <f>G13*G17</f>
        <v>38860.273206051555</v>
      </c>
      <c r="H19" s="72"/>
      <c r="I19" s="47" t="s">
        <v>872</v>
      </c>
      <c r="J19" s="4">
        <f t="shared" si="1"/>
        <v>9</v>
      </c>
    </row>
    <row r="20" spans="1:10" ht="16.2" thickTop="1" x14ac:dyDescent="0.3">
      <c r="A20" s="4">
        <f t="shared" si="0"/>
        <v>10</v>
      </c>
      <c r="E20" s="39"/>
      <c r="F20" s="42"/>
      <c r="G20" s="42"/>
      <c r="H20" s="42"/>
      <c r="I20" s="47"/>
      <c r="J20" s="4">
        <f t="shared" si="1"/>
        <v>10</v>
      </c>
    </row>
    <row r="21" spans="1:10" x14ac:dyDescent="0.3">
      <c r="A21" s="4">
        <f t="shared" si="0"/>
        <v>11</v>
      </c>
      <c r="B21" s="254" t="s">
        <v>873</v>
      </c>
      <c r="E21" s="39"/>
      <c r="F21" s="42"/>
      <c r="G21" s="42"/>
      <c r="H21" s="42"/>
      <c r="I21" s="47"/>
      <c r="J21" s="4">
        <f t="shared" si="1"/>
        <v>11</v>
      </c>
    </row>
    <row r="22" spans="1:10" x14ac:dyDescent="0.3">
      <c r="A22" s="4">
        <f t="shared" si="0"/>
        <v>12</v>
      </c>
      <c r="B22" s="32" t="s">
        <v>874</v>
      </c>
      <c r="E22" s="121">
        <f>'True-Up Stmt AH'!E19</f>
        <v>117262.21525000001</v>
      </c>
      <c r="F22" s="42"/>
      <c r="G22" s="49"/>
      <c r="H22" s="42"/>
      <c r="I22" s="47" t="s">
        <v>1927</v>
      </c>
      <c r="J22" s="4">
        <f t="shared" si="1"/>
        <v>12</v>
      </c>
    </row>
    <row r="23" spans="1:10" x14ac:dyDescent="0.3">
      <c r="A23" s="4">
        <f t="shared" si="0"/>
        <v>13</v>
      </c>
      <c r="B23" s="32" t="s">
        <v>875</v>
      </c>
      <c r="E23" s="21">
        <f>'True-Up Stmt AH'!E41</f>
        <v>100674.79858886809</v>
      </c>
      <c r="F23" s="1"/>
      <c r="G23" s="39"/>
      <c r="H23" s="42"/>
      <c r="I23" s="47" t="s">
        <v>1928</v>
      </c>
      <c r="J23" s="4">
        <f t="shared" si="1"/>
        <v>13</v>
      </c>
    </row>
    <row r="24" spans="1:10" x14ac:dyDescent="0.3">
      <c r="A24" s="4">
        <f t="shared" si="0"/>
        <v>14</v>
      </c>
      <c r="B24" s="32" t="s">
        <v>876</v>
      </c>
      <c r="E24" s="1048">
        <f>'True-Up Stmt AH'!E26</f>
        <v>0</v>
      </c>
      <c r="F24" s="42"/>
      <c r="G24" s="39"/>
      <c r="H24" s="42"/>
      <c r="I24" s="47" t="s">
        <v>1929</v>
      </c>
      <c r="J24" s="4">
        <f t="shared" si="1"/>
        <v>14</v>
      </c>
    </row>
    <row r="25" spans="1:10" x14ac:dyDescent="0.3">
      <c r="A25" s="4">
        <f t="shared" si="0"/>
        <v>15</v>
      </c>
      <c r="B25" s="32" t="s">
        <v>877</v>
      </c>
      <c r="E25" s="10">
        <f>SUM(E22:E24)</f>
        <v>217937.01383886809</v>
      </c>
      <c r="F25" s="1"/>
      <c r="G25" s="36"/>
      <c r="H25" s="47"/>
      <c r="I25" s="47" t="s">
        <v>878</v>
      </c>
      <c r="J25" s="4">
        <f t="shared" si="1"/>
        <v>15</v>
      </c>
    </row>
    <row r="26" spans="1:10" x14ac:dyDescent="0.3">
      <c r="A26" s="4">
        <f t="shared" si="0"/>
        <v>16</v>
      </c>
      <c r="F26" s="4"/>
      <c r="H26" s="4"/>
      <c r="I26" s="47"/>
      <c r="J26" s="4">
        <f t="shared" si="1"/>
        <v>16</v>
      </c>
    </row>
    <row r="27" spans="1:10" x14ac:dyDescent="0.3">
      <c r="A27" s="4">
        <f t="shared" si="0"/>
        <v>17</v>
      </c>
      <c r="B27" s="32" t="s">
        <v>879</v>
      </c>
      <c r="E27" s="920">
        <f>1/8</f>
        <v>0.125</v>
      </c>
      <c r="F27" s="4"/>
      <c r="G27" s="48"/>
      <c r="H27" s="4"/>
      <c r="I27" s="47" t="s">
        <v>880</v>
      </c>
      <c r="J27" s="4">
        <f t="shared" si="1"/>
        <v>17</v>
      </c>
    </row>
    <row r="28" spans="1:10" x14ac:dyDescent="0.3">
      <c r="A28" s="4">
        <f t="shared" si="0"/>
        <v>18</v>
      </c>
      <c r="E28" s="71" t="s">
        <v>1</v>
      </c>
      <c r="F28" s="42"/>
      <c r="G28" s="71"/>
      <c r="H28" s="42"/>
      <c r="I28" s="47"/>
      <c r="J28" s="4">
        <f t="shared" si="1"/>
        <v>18</v>
      </c>
    </row>
    <row r="29" spans="1:10" ht="16.2" thickBot="1" x14ac:dyDescent="0.35">
      <c r="A29" s="4">
        <f t="shared" si="0"/>
        <v>19</v>
      </c>
      <c r="B29" s="32" t="s">
        <v>881</v>
      </c>
      <c r="E29" s="78">
        <f>E25*E27</f>
        <v>27242.126729858512</v>
      </c>
      <c r="F29" s="1"/>
      <c r="G29" s="76"/>
      <c r="H29" s="42"/>
      <c r="I29" s="4" t="s">
        <v>882</v>
      </c>
      <c r="J29" s="4">
        <f t="shared" si="1"/>
        <v>19</v>
      </c>
    </row>
    <row r="30" spans="1:10" ht="16.2" thickTop="1" x14ac:dyDescent="0.3">
      <c r="A30" s="4">
        <f t="shared" si="0"/>
        <v>20</v>
      </c>
      <c r="E30" s="76"/>
      <c r="F30" s="72"/>
      <c r="G30" s="76"/>
      <c r="H30" s="42"/>
      <c r="I30" s="4"/>
      <c r="J30" s="4">
        <f t="shared" si="1"/>
        <v>20</v>
      </c>
    </row>
    <row r="31" spans="1:10" x14ac:dyDescent="0.3">
      <c r="A31" s="4">
        <f t="shared" si="0"/>
        <v>21</v>
      </c>
      <c r="B31" s="254" t="s">
        <v>883</v>
      </c>
      <c r="E31" s="39"/>
      <c r="F31" s="42"/>
      <c r="G31" s="42"/>
      <c r="H31" s="42"/>
      <c r="I31" s="47"/>
      <c r="J31" s="4">
        <f t="shared" si="1"/>
        <v>21</v>
      </c>
    </row>
    <row r="32" spans="1:10" x14ac:dyDescent="0.3">
      <c r="A32" s="4">
        <f t="shared" si="0"/>
        <v>22</v>
      </c>
      <c r="B32" s="32" t="s">
        <v>876</v>
      </c>
      <c r="E32" s="49">
        <f>E24</f>
        <v>0</v>
      </c>
      <c r="F32" s="42"/>
      <c r="G32" s="49"/>
      <c r="H32" s="42"/>
      <c r="I32" s="47" t="s">
        <v>884</v>
      </c>
      <c r="J32" s="4">
        <f t="shared" si="1"/>
        <v>22</v>
      </c>
    </row>
    <row r="33" spans="1:10" x14ac:dyDescent="0.3">
      <c r="A33" s="4">
        <f t="shared" si="0"/>
        <v>23</v>
      </c>
      <c r="E33" s="115"/>
      <c r="F33" s="42"/>
      <c r="G33" s="49"/>
      <c r="H33" s="42"/>
      <c r="I33" s="47"/>
      <c r="J33" s="4">
        <f t="shared" si="1"/>
        <v>23</v>
      </c>
    </row>
    <row r="34" spans="1:10" x14ac:dyDescent="0.3">
      <c r="A34" s="4">
        <f t="shared" si="0"/>
        <v>24</v>
      </c>
      <c r="B34" s="32" t="s">
        <v>879</v>
      </c>
      <c r="E34" s="1049">
        <f>E27</f>
        <v>0.125</v>
      </c>
      <c r="F34" s="4"/>
      <c r="G34" s="48"/>
      <c r="H34" s="4"/>
      <c r="I34" s="47" t="s">
        <v>885</v>
      </c>
      <c r="J34" s="4">
        <f t="shared" si="1"/>
        <v>24</v>
      </c>
    </row>
    <row r="35" spans="1:10" x14ac:dyDescent="0.3">
      <c r="A35" s="4">
        <f t="shared" si="0"/>
        <v>25</v>
      </c>
      <c r="E35" s="48"/>
      <c r="F35" s="4"/>
      <c r="G35" s="48"/>
      <c r="H35" s="4"/>
      <c r="I35" s="47"/>
      <c r="J35" s="4">
        <f t="shared" si="1"/>
        <v>25</v>
      </c>
    </row>
    <row r="36" spans="1:10" x14ac:dyDescent="0.3">
      <c r="A36" s="4">
        <f t="shared" si="0"/>
        <v>26</v>
      </c>
      <c r="B36" s="32" t="s">
        <v>886</v>
      </c>
      <c r="E36" s="36">
        <f>E32*E34</f>
        <v>0</v>
      </c>
      <c r="F36" s="4"/>
      <c r="G36" s="48"/>
      <c r="H36" s="4"/>
      <c r="I36" s="4" t="s">
        <v>887</v>
      </c>
      <c r="J36" s="4">
        <f t="shared" si="1"/>
        <v>26</v>
      </c>
    </row>
    <row r="37" spans="1:10" x14ac:dyDescent="0.3">
      <c r="A37" s="4">
        <f t="shared" si="0"/>
        <v>27</v>
      </c>
      <c r="J37" s="4">
        <f t="shared" si="1"/>
        <v>27</v>
      </c>
    </row>
    <row r="38" spans="1:10" ht="18" x14ac:dyDescent="0.3">
      <c r="A38" s="4">
        <f t="shared" si="0"/>
        <v>28</v>
      </c>
      <c r="B38" s="33" t="s">
        <v>1923</v>
      </c>
      <c r="C38" s="4"/>
      <c r="E38" s="871">
        <f>'True-Up Stmt AV'!G148</f>
        <v>9.3026367903775511E-2</v>
      </c>
      <c r="F38" s="1"/>
      <c r="I38" s="4" t="s">
        <v>1648</v>
      </c>
      <c r="J38" s="4">
        <f t="shared" si="1"/>
        <v>28</v>
      </c>
    </row>
    <row r="39" spans="1:10" x14ac:dyDescent="0.3">
      <c r="A39" s="4">
        <f t="shared" si="0"/>
        <v>29</v>
      </c>
      <c r="C39" s="4"/>
      <c r="J39" s="4">
        <f t="shared" si="1"/>
        <v>29</v>
      </c>
    </row>
    <row r="40" spans="1:10" ht="19.2" thickBot="1" x14ac:dyDescent="0.35">
      <c r="A40" s="4">
        <f t="shared" si="0"/>
        <v>30</v>
      </c>
      <c r="B40" s="32" t="s">
        <v>1924</v>
      </c>
      <c r="C40" s="4"/>
      <c r="E40" s="78">
        <f>E36*E38</f>
        <v>0</v>
      </c>
      <c r="I40" s="4" t="s">
        <v>1746</v>
      </c>
      <c r="J40" s="4">
        <f t="shared" si="1"/>
        <v>30</v>
      </c>
    </row>
    <row r="41" spans="1:10" ht="16.2" thickTop="1" x14ac:dyDescent="0.3">
      <c r="A41" s="4">
        <f t="shared" si="0"/>
        <v>31</v>
      </c>
      <c r="C41" s="4"/>
      <c r="E41" s="76"/>
      <c r="I41" s="4"/>
      <c r="J41" s="4">
        <f t="shared" si="1"/>
        <v>31</v>
      </c>
    </row>
    <row r="42" spans="1:10" ht="18" x14ac:dyDescent="0.3">
      <c r="A42" s="4">
        <f t="shared" si="0"/>
        <v>32</v>
      </c>
      <c r="B42" s="33" t="s">
        <v>1925</v>
      </c>
      <c r="C42" s="4"/>
      <c r="E42" s="871">
        <f>'True-Up Stmt AV'!G182</f>
        <v>3.692937016901445E-3</v>
      </c>
      <c r="I42" s="4" t="s">
        <v>1705</v>
      </c>
      <c r="J42" s="4">
        <f t="shared" si="1"/>
        <v>32</v>
      </c>
    </row>
    <row r="43" spans="1:10" x14ac:dyDescent="0.3">
      <c r="A43" s="4">
        <f t="shared" si="0"/>
        <v>33</v>
      </c>
      <c r="C43" s="4"/>
      <c r="E43" s="76"/>
      <c r="I43" s="4"/>
      <c r="J43" s="4">
        <f t="shared" si="1"/>
        <v>33</v>
      </c>
    </row>
    <row r="44" spans="1:10" ht="19.2" thickBot="1" x14ac:dyDescent="0.35">
      <c r="A44" s="4">
        <f t="shared" si="0"/>
        <v>34</v>
      </c>
      <c r="B44" s="32" t="s">
        <v>1926</v>
      </c>
      <c r="C44" s="4"/>
      <c r="E44" s="78">
        <f>E36*E42</f>
        <v>0</v>
      </c>
      <c r="I44" s="4" t="s">
        <v>1819</v>
      </c>
      <c r="J44" s="4">
        <f t="shared" si="1"/>
        <v>34</v>
      </c>
    </row>
    <row r="45" spans="1:10" ht="16.2" thickTop="1" x14ac:dyDescent="0.3">
      <c r="C45" s="4"/>
      <c r="E45" s="76"/>
      <c r="I45" s="4"/>
      <c r="J45" s="4"/>
    </row>
    <row r="46" spans="1:10" x14ac:dyDescent="0.3">
      <c r="C46" s="4"/>
    </row>
    <row r="47" spans="1:10" ht="18" x14ac:dyDescent="0.3">
      <c r="A47" s="256">
        <v>1</v>
      </c>
      <c r="B47" s="32" t="s">
        <v>888</v>
      </c>
      <c r="C47" s="4"/>
    </row>
    <row r="48" spans="1:10" ht="18" x14ac:dyDescent="0.3">
      <c r="A48" s="256">
        <v>2</v>
      </c>
      <c r="B48" s="32" t="s">
        <v>889</v>
      </c>
      <c r="C48" s="4"/>
    </row>
    <row r="49" spans="1:2" x14ac:dyDescent="0.3">
      <c r="A49" s="221"/>
      <c r="B49" s="1"/>
    </row>
  </sheetData>
  <mergeCells count="5">
    <mergeCell ref="B2:I2"/>
    <mergeCell ref="B3:I3"/>
    <mergeCell ref="B4:I4"/>
    <mergeCell ref="B5:I5"/>
    <mergeCell ref="B6:I6"/>
  </mergeCells>
  <printOptions horizontalCentered="1"/>
  <pageMargins left="0.25" right="0.25" top="0.5" bottom="0.5" header="0.25" footer="0.25"/>
  <pageSetup scale="52" orientation="portrait" r:id="rId1"/>
  <headerFooter scaleWithDoc="0" alignWithMargins="0">
    <oddFooter>&amp;C&amp;A</oddFooter>
  </headerFooter>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EF875-8C53-4280-AFED-7511E83DA685}">
  <dimension ref="A1:P271"/>
  <sheetViews>
    <sheetView zoomScale="80" zoomScaleNormal="80" workbookViewId="0"/>
  </sheetViews>
  <sheetFormatPr defaultColWidth="8.6640625" defaultRowHeight="15.6" x14ac:dyDescent="0.3"/>
  <cols>
    <col min="1" max="1" width="5.33203125" style="4" customWidth="1"/>
    <col min="2" max="2" width="55.44140625" style="32" customWidth="1"/>
    <col min="3" max="5" width="15.5546875" style="32" customWidth="1"/>
    <col min="6" max="6" width="1.5546875" style="32" customWidth="1"/>
    <col min="7" max="7" width="16.6640625" style="32" customWidth="1"/>
    <col min="8" max="8" width="1.5546875" style="32" customWidth="1"/>
    <col min="9" max="9" width="41.33203125" style="259" customWidth="1"/>
    <col min="10" max="10" width="5.33203125" style="32" customWidth="1"/>
    <col min="11" max="11" width="10.33203125" style="32" customWidth="1"/>
    <col min="12" max="12" width="15" style="32" customWidth="1"/>
    <col min="13" max="13" width="10.44140625" style="32" customWidth="1"/>
    <col min="14" max="16384" width="8.6640625" style="32"/>
  </cols>
  <sheetData>
    <row r="1" spans="1:12" x14ac:dyDescent="0.3">
      <c r="A1" s="221"/>
      <c r="G1" s="71"/>
      <c r="H1" s="71"/>
      <c r="I1" s="424"/>
      <c r="J1" s="4"/>
      <c r="L1" s="280"/>
    </row>
    <row r="2" spans="1:12" x14ac:dyDescent="0.3">
      <c r="B2" s="1222" t="s">
        <v>0</v>
      </c>
      <c r="C2" s="1222"/>
      <c r="D2" s="1222"/>
      <c r="E2" s="1222"/>
      <c r="F2" s="1222"/>
      <c r="G2" s="1222"/>
      <c r="H2" s="1222"/>
      <c r="I2" s="1222"/>
      <c r="J2" s="4"/>
    </row>
    <row r="3" spans="1:12" x14ac:dyDescent="0.3">
      <c r="B3" s="1222" t="s">
        <v>1388</v>
      </c>
      <c r="C3" s="1222"/>
      <c r="D3" s="1222"/>
      <c r="E3" s="1222"/>
      <c r="F3" s="1222"/>
      <c r="G3" s="1222"/>
      <c r="H3" s="1222"/>
      <c r="I3" s="1222"/>
      <c r="J3" s="4"/>
    </row>
    <row r="4" spans="1:12" x14ac:dyDescent="0.3">
      <c r="B4" s="1222" t="s">
        <v>1021</v>
      </c>
      <c r="C4" s="1222"/>
      <c r="D4" s="1222"/>
      <c r="E4" s="1222"/>
      <c r="F4" s="1222"/>
      <c r="G4" s="1222"/>
      <c r="H4" s="1222"/>
      <c r="I4" s="1222"/>
      <c r="J4" s="4"/>
    </row>
    <row r="5" spans="1:12" x14ac:dyDescent="0.3">
      <c r="B5" s="1227" t="str">
        <f>'Stmt AD'!B5</f>
        <v>Base Period &amp; True-Up Period 12 - Months Ending December 31, 2023</v>
      </c>
      <c r="C5" s="1227"/>
      <c r="D5" s="1227"/>
      <c r="E5" s="1227"/>
      <c r="F5" s="1227"/>
      <c r="G5" s="1227"/>
      <c r="H5" s="1227"/>
      <c r="I5" s="1227"/>
      <c r="J5" s="4"/>
    </row>
    <row r="6" spans="1:12" x14ac:dyDescent="0.3">
      <c r="B6" s="1226" t="s">
        <v>4</v>
      </c>
      <c r="C6" s="1223"/>
      <c r="D6" s="1223"/>
      <c r="E6" s="1223"/>
      <c r="F6" s="1223"/>
      <c r="G6" s="1223"/>
      <c r="H6" s="1223"/>
      <c r="I6" s="1223"/>
      <c r="J6" s="4"/>
    </row>
    <row r="7" spans="1:12" x14ac:dyDescent="0.3">
      <c r="B7" s="4"/>
      <c r="C7" s="4"/>
      <c r="D7" s="4"/>
      <c r="E7" s="4"/>
      <c r="F7" s="4"/>
      <c r="G7" s="4"/>
      <c r="H7" s="4"/>
      <c r="I7" s="92"/>
      <c r="J7" s="4"/>
    </row>
    <row r="8" spans="1:12" x14ac:dyDescent="0.3">
      <c r="A8" s="4" t="s">
        <v>5</v>
      </c>
      <c r="B8" s="221"/>
      <c r="C8" s="221"/>
      <c r="D8" s="221"/>
      <c r="E8" s="4" t="s">
        <v>236</v>
      </c>
      <c r="F8" s="221"/>
      <c r="G8" s="221"/>
      <c r="H8" s="221"/>
      <c r="I8" s="92"/>
      <c r="J8" s="4" t="s">
        <v>5</v>
      </c>
    </row>
    <row r="9" spans="1:12" x14ac:dyDescent="0.3">
      <c r="A9" s="4" t="s">
        <v>6</v>
      </c>
      <c r="B9" s="4"/>
      <c r="C9" s="4"/>
      <c r="D9" s="4"/>
      <c r="E9" s="852" t="s">
        <v>238</v>
      </c>
      <c r="F9" s="4"/>
      <c r="G9" s="853" t="s">
        <v>7</v>
      </c>
      <c r="H9" s="221"/>
      <c r="I9" s="854" t="s">
        <v>8</v>
      </c>
      <c r="J9" s="4" t="s">
        <v>6</v>
      </c>
    </row>
    <row r="10" spans="1:12" x14ac:dyDescent="0.3">
      <c r="B10" s="4"/>
      <c r="C10" s="4"/>
      <c r="D10" s="4"/>
      <c r="E10" s="4"/>
      <c r="F10" s="4"/>
      <c r="G10" s="4"/>
      <c r="H10" s="4"/>
      <c r="I10" s="92"/>
      <c r="J10" s="4"/>
      <c r="L10" s="280"/>
    </row>
    <row r="11" spans="1:12" x14ac:dyDescent="0.3">
      <c r="A11" s="4">
        <v>1</v>
      </c>
      <c r="B11" s="254" t="s">
        <v>1022</v>
      </c>
      <c r="H11" s="221"/>
      <c r="I11" s="92"/>
      <c r="J11" s="4">
        <f>A11</f>
        <v>1</v>
      </c>
      <c r="L11" s="280"/>
    </row>
    <row r="12" spans="1:12" x14ac:dyDescent="0.3">
      <c r="A12" s="4">
        <f>A11+1</f>
        <v>2</v>
      </c>
      <c r="B12" s="32" t="s">
        <v>1023</v>
      </c>
      <c r="E12" s="4" t="s">
        <v>1024</v>
      </c>
      <c r="F12" s="5"/>
      <c r="G12" s="41">
        <v>8350000</v>
      </c>
      <c r="H12" s="221"/>
      <c r="I12" s="448"/>
      <c r="J12" s="4">
        <f>J11+1</f>
        <v>2</v>
      </c>
    </row>
    <row r="13" spans="1:12" x14ac:dyDescent="0.3">
      <c r="A13" s="4">
        <f t="shared" ref="A13:A52" si="0">A12+1</f>
        <v>3</v>
      </c>
      <c r="B13" s="32" t="s">
        <v>1025</v>
      </c>
      <c r="E13" s="4" t="s">
        <v>1026</v>
      </c>
      <c r="F13" s="5"/>
      <c r="G13" s="43">
        <v>0</v>
      </c>
      <c r="H13" s="221"/>
      <c r="I13" s="448"/>
      <c r="J13" s="4">
        <f t="shared" ref="J13:J52" si="1">J12+1</f>
        <v>3</v>
      </c>
    </row>
    <row r="14" spans="1:12" x14ac:dyDescent="0.3">
      <c r="A14" s="4">
        <f t="shared" si="0"/>
        <v>4</v>
      </c>
      <c r="B14" s="32" t="s">
        <v>1027</v>
      </c>
      <c r="E14" s="4" t="s">
        <v>1028</v>
      </c>
      <c r="F14" s="5"/>
      <c r="G14" s="43">
        <v>400000</v>
      </c>
      <c r="H14" s="221"/>
      <c r="I14" s="448"/>
      <c r="J14" s="4">
        <f t="shared" si="1"/>
        <v>4</v>
      </c>
    </row>
    <row r="15" spans="1:12" x14ac:dyDescent="0.3">
      <c r="A15" s="4">
        <f t="shared" si="0"/>
        <v>5</v>
      </c>
      <c r="B15" s="32" t="s">
        <v>1029</v>
      </c>
      <c r="E15" s="4" t="s">
        <v>1030</v>
      </c>
      <c r="F15" s="5"/>
      <c r="G15" s="43">
        <v>0</v>
      </c>
      <c r="H15" s="221"/>
      <c r="I15" s="448"/>
      <c r="J15" s="4">
        <f t="shared" si="1"/>
        <v>5</v>
      </c>
    </row>
    <row r="16" spans="1:12" x14ac:dyDescent="0.3">
      <c r="A16" s="4">
        <f t="shared" si="0"/>
        <v>6</v>
      </c>
      <c r="B16" s="32" t="s">
        <v>1031</v>
      </c>
      <c r="E16" s="4" t="s">
        <v>1032</v>
      </c>
      <c r="F16" s="5"/>
      <c r="G16" s="912">
        <v>-29212.842000000001</v>
      </c>
      <c r="H16" s="221"/>
      <c r="I16" s="448"/>
      <c r="J16" s="4">
        <f t="shared" si="1"/>
        <v>6</v>
      </c>
    </row>
    <row r="17" spans="1:10" x14ac:dyDescent="0.3">
      <c r="A17" s="4">
        <f t="shared" si="0"/>
        <v>7</v>
      </c>
      <c r="B17" s="32" t="s">
        <v>1389</v>
      </c>
      <c r="G17" s="1130">
        <f>SUM(G12:G16)</f>
        <v>8720787.1579999998</v>
      </c>
      <c r="H17" s="36"/>
      <c r="I17" s="92" t="s">
        <v>454</v>
      </c>
      <c r="J17" s="4">
        <f t="shared" si="1"/>
        <v>7</v>
      </c>
    </row>
    <row r="18" spans="1:10" x14ac:dyDescent="0.3">
      <c r="A18" s="4">
        <f t="shared" si="0"/>
        <v>8</v>
      </c>
      <c r="I18" s="92"/>
      <c r="J18" s="4">
        <f t="shared" si="1"/>
        <v>8</v>
      </c>
    </row>
    <row r="19" spans="1:10" x14ac:dyDescent="0.3">
      <c r="A19" s="4">
        <f t="shared" si="0"/>
        <v>9</v>
      </c>
      <c r="B19" s="254" t="s">
        <v>1034</v>
      </c>
      <c r="G19" s="6"/>
      <c r="H19" s="221"/>
      <c r="I19" s="92"/>
      <c r="J19" s="4">
        <f t="shared" si="1"/>
        <v>9</v>
      </c>
    </row>
    <row r="20" spans="1:10" x14ac:dyDescent="0.3">
      <c r="A20" s="4">
        <f t="shared" si="0"/>
        <v>10</v>
      </c>
      <c r="B20" s="32" t="s">
        <v>1035</v>
      </c>
      <c r="E20" s="4" t="s">
        <v>1036</v>
      </c>
      <c r="F20" s="5"/>
      <c r="G20" s="41">
        <v>340601.527</v>
      </c>
      <c r="H20" s="221"/>
      <c r="I20" s="466"/>
      <c r="J20" s="4">
        <f t="shared" si="1"/>
        <v>10</v>
      </c>
    </row>
    <row r="21" spans="1:10" x14ac:dyDescent="0.3">
      <c r="A21" s="4">
        <f t="shared" si="0"/>
        <v>11</v>
      </c>
      <c r="B21" s="32" t="s">
        <v>1037</v>
      </c>
      <c r="E21" s="4" t="s">
        <v>1038</v>
      </c>
      <c r="F21" s="5"/>
      <c r="G21" s="43">
        <v>6103.5349999999999</v>
      </c>
      <c r="H21" s="221"/>
      <c r="I21" s="466"/>
      <c r="J21" s="4">
        <f t="shared" si="1"/>
        <v>11</v>
      </c>
    </row>
    <row r="22" spans="1:10" x14ac:dyDescent="0.3">
      <c r="A22" s="4">
        <f t="shared" si="0"/>
        <v>12</v>
      </c>
      <c r="B22" s="32" t="s">
        <v>1039</v>
      </c>
      <c r="E22" s="4" t="s">
        <v>1040</v>
      </c>
      <c r="F22" s="5"/>
      <c r="G22" s="43">
        <v>689.16499999999996</v>
      </c>
      <c r="H22" s="221"/>
      <c r="I22" s="466"/>
      <c r="J22" s="4">
        <f t="shared" si="1"/>
        <v>12</v>
      </c>
    </row>
    <row r="23" spans="1:10" x14ac:dyDescent="0.3">
      <c r="A23" s="4">
        <f t="shared" si="0"/>
        <v>13</v>
      </c>
      <c r="B23" s="32" t="s">
        <v>1041</v>
      </c>
      <c r="E23" s="4" t="s">
        <v>1042</v>
      </c>
      <c r="F23" s="5"/>
      <c r="G23" s="43">
        <v>0</v>
      </c>
      <c r="H23" s="221"/>
      <c r="I23" s="466"/>
      <c r="J23" s="4">
        <f t="shared" si="1"/>
        <v>13</v>
      </c>
    </row>
    <row r="24" spans="1:10" x14ac:dyDescent="0.3">
      <c r="A24" s="4">
        <f t="shared" si="0"/>
        <v>14</v>
      </c>
      <c r="B24" s="32" t="s">
        <v>1043</v>
      </c>
      <c r="E24" s="4" t="s">
        <v>1044</v>
      </c>
      <c r="F24" s="5"/>
      <c r="G24" s="912">
        <v>0</v>
      </c>
      <c r="H24" s="221"/>
      <c r="I24" s="466"/>
      <c r="J24" s="4">
        <f t="shared" si="1"/>
        <v>14</v>
      </c>
    </row>
    <row r="25" spans="1:10" x14ac:dyDescent="0.3">
      <c r="A25" s="4">
        <f t="shared" si="0"/>
        <v>15</v>
      </c>
      <c r="B25" s="32" t="s">
        <v>1390</v>
      </c>
      <c r="G25" s="1062">
        <f>SUM(G20:G24)</f>
        <v>347394.22699999996</v>
      </c>
      <c r="H25" s="49"/>
      <c r="I25" s="92" t="s">
        <v>1046</v>
      </c>
      <c r="J25" s="4">
        <f t="shared" si="1"/>
        <v>15</v>
      </c>
    </row>
    <row r="26" spans="1:10" x14ac:dyDescent="0.3">
      <c r="A26" s="4">
        <f t="shared" si="0"/>
        <v>16</v>
      </c>
      <c r="I26" s="92"/>
      <c r="J26" s="4">
        <f t="shared" si="1"/>
        <v>16</v>
      </c>
    </row>
    <row r="27" spans="1:10" ht="16.2" thickBot="1" x14ac:dyDescent="0.35">
      <c r="A27" s="4">
        <f t="shared" si="0"/>
        <v>17</v>
      </c>
      <c r="B27" s="254" t="s">
        <v>1047</v>
      </c>
      <c r="G27" s="52">
        <f>IFERROR(G25/G17,0)</f>
        <v>3.9835191560812083E-2</v>
      </c>
      <c r="H27" s="27"/>
      <c r="I27" s="92" t="s">
        <v>1048</v>
      </c>
      <c r="J27" s="4">
        <f t="shared" si="1"/>
        <v>17</v>
      </c>
    </row>
    <row r="28" spans="1:10" ht="16.2" thickTop="1" x14ac:dyDescent="0.3">
      <c r="A28" s="4">
        <f t="shared" si="0"/>
        <v>18</v>
      </c>
      <c r="I28" s="92"/>
      <c r="J28" s="4">
        <f t="shared" si="1"/>
        <v>18</v>
      </c>
    </row>
    <row r="29" spans="1:10" x14ac:dyDescent="0.3">
      <c r="A29" s="4">
        <f t="shared" si="0"/>
        <v>19</v>
      </c>
      <c r="B29" s="254" t="s">
        <v>1049</v>
      </c>
      <c r="I29" s="92"/>
      <c r="J29" s="4">
        <f t="shared" si="1"/>
        <v>19</v>
      </c>
    </row>
    <row r="30" spans="1:10" x14ac:dyDescent="0.3">
      <c r="A30" s="4">
        <f t="shared" si="0"/>
        <v>20</v>
      </c>
      <c r="B30" s="32" t="s">
        <v>1050</v>
      </c>
      <c r="E30" s="4" t="s">
        <v>1051</v>
      </c>
      <c r="F30" s="5"/>
      <c r="G30" s="41">
        <v>0</v>
      </c>
      <c r="H30" s="221"/>
      <c r="I30" s="466"/>
      <c r="J30" s="4">
        <f t="shared" si="1"/>
        <v>20</v>
      </c>
    </row>
    <row r="31" spans="1:10" x14ac:dyDescent="0.3">
      <c r="A31" s="4">
        <f t="shared" si="0"/>
        <v>21</v>
      </c>
      <c r="B31" s="32" t="s">
        <v>1052</v>
      </c>
      <c r="E31" s="4" t="s">
        <v>1053</v>
      </c>
      <c r="F31" s="5"/>
      <c r="G31" s="41">
        <v>0</v>
      </c>
      <c r="H31" s="221"/>
      <c r="I31" s="466"/>
      <c r="J31" s="4">
        <f t="shared" si="1"/>
        <v>21</v>
      </c>
    </row>
    <row r="32" spans="1:10" ht="16.2" thickBot="1" x14ac:dyDescent="0.35">
      <c r="A32" s="4">
        <f t="shared" si="0"/>
        <v>22</v>
      </c>
      <c r="B32" s="32" t="s">
        <v>1391</v>
      </c>
      <c r="G32" s="52">
        <f>IFERROR((G31/G30),0)</f>
        <v>0</v>
      </c>
      <c r="H32" s="27"/>
      <c r="I32" s="92" t="s">
        <v>1055</v>
      </c>
      <c r="J32" s="4">
        <f t="shared" si="1"/>
        <v>22</v>
      </c>
    </row>
    <row r="33" spans="1:16" ht="16.2" thickTop="1" x14ac:dyDescent="0.3">
      <c r="A33" s="4">
        <f t="shared" si="0"/>
        <v>23</v>
      </c>
      <c r="I33" s="92"/>
      <c r="J33" s="4">
        <f t="shared" si="1"/>
        <v>23</v>
      </c>
    </row>
    <row r="34" spans="1:16" x14ac:dyDescent="0.3">
      <c r="A34" s="4">
        <f t="shared" si="0"/>
        <v>24</v>
      </c>
      <c r="B34" s="254" t="s">
        <v>1056</v>
      </c>
      <c r="I34" s="92"/>
      <c r="J34" s="4">
        <f t="shared" si="1"/>
        <v>24</v>
      </c>
    </row>
    <row r="35" spans="1:16" x14ac:dyDescent="0.3">
      <c r="A35" s="4">
        <f t="shared" si="0"/>
        <v>25</v>
      </c>
      <c r="B35" s="32" t="s">
        <v>1057</v>
      </c>
      <c r="E35" s="4" t="s">
        <v>1058</v>
      </c>
      <c r="F35" s="5"/>
      <c r="G35" s="41">
        <v>9901206.2530000005</v>
      </c>
      <c r="H35" s="221"/>
      <c r="I35" s="466"/>
      <c r="J35" s="4">
        <f t="shared" si="1"/>
        <v>25</v>
      </c>
    </row>
    <row r="36" spans="1:16" x14ac:dyDescent="0.3">
      <c r="A36" s="4">
        <f t="shared" si="0"/>
        <v>26</v>
      </c>
      <c r="B36" s="32" t="s">
        <v>1059</v>
      </c>
      <c r="E36" s="4" t="s">
        <v>1051</v>
      </c>
      <c r="G36" s="39">
        <f>G30</f>
        <v>0</v>
      </c>
      <c r="H36" s="39"/>
      <c r="I36" s="92" t="s">
        <v>1060</v>
      </c>
      <c r="J36" s="4">
        <f t="shared" si="1"/>
        <v>26</v>
      </c>
    </row>
    <row r="37" spans="1:16" x14ac:dyDescent="0.3">
      <c r="A37" s="4">
        <f t="shared" si="0"/>
        <v>27</v>
      </c>
      <c r="B37" s="32" t="s">
        <v>1061</v>
      </c>
      <c r="E37" s="4" t="s">
        <v>1062</v>
      </c>
      <c r="G37" s="43">
        <v>0</v>
      </c>
      <c r="H37" s="221"/>
      <c r="I37" s="466"/>
      <c r="J37" s="4">
        <f t="shared" si="1"/>
        <v>27</v>
      </c>
    </row>
    <row r="38" spans="1:16" x14ac:dyDescent="0.3">
      <c r="A38" s="4">
        <f t="shared" si="0"/>
        <v>28</v>
      </c>
      <c r="B38" s="32" t="s">
        <v>1063</v>
      </c>
      <c r="E38" s="4" t="s">
        <v>1064</v>
      </c>
      <c r="G38" s="43">
        <v>8347.9140000000007</v>
      </c>
      <c r="H38" s="221"/>
      <c r="I38" s="466"/>
      <c r="J38" s="4">
        <f t="shared" si="1"/>
        <v>28</v>
      </c>
    </row>
    <row r="39" spans="1:16" ht="16.2" thickBot="1" x14ac:dyDescent="0.35">
      <c r="A39" s="4">
        <f t="shared" si="0"/>
        <v>29</v>
      </c>
      <c r="B39" s="32" t="s">
        <v>1392</v>
      </c>
      <c r="G39" s="97">
        <f>SUM(G35:G38)</f>
        <v>9909554.1670000013</v>
      </c>
      <c r="H39" s="36"/>
      <c r="I39" s="92" t="s">
        <v>1839</v>
      </c>
      <c r="J39" s="4">
        <f t="shared" si="1"/>
        <v>29</v>
      </c>
    </row>
    <row r="40" spans="1:16" ht="16.8" thickTop="1" thickBot="1" x14ac:dyDescent="0.35">
      <c r="A40" s="865">
        <f t="shared" si="0"/>
        <v>30</v>
      </c>
      <c r="B40" s="866"/>
      <c r="C40" s="866"/>
      <c r="D40" s="866"/>
      <c r="E40" s="866"/>
      <c r="F40" s="866"/>
      <c r="G40" s="866"/>
      <c r="H40" s="866"/>
      <c r="I40" s="867"/>
      <c r="J40" s="865">
        <f t="shared" si="1"/>
        <v>30</v>
      </c>
    </row>
    <row r="41" spans="1:16" x14ac:dyDescent="0.3">
      <c r="A41" s="4">
        <f>A40+1</f>
        <v>31</v>
      </c>
      <c r="I41" s="92"/>
      <c r="J41" s="4">
        <f>J40+1</f>
        <v>31</v>
      </c>
    </row>
    <row r="42" spans="1:16" ht="16.2" thickBot="1" x14ac:dyDescent="0.35">
      <c r="A42" s="4">
        <f>A41+1</f>
        <v>32</v>
      </c>
      <c r="B42" s="254" t="s">
        <v>1393</v>
      </c>
      <c r="G42" s="135">
        <v>0.10100000000000001</v>
      </c>
      <c r="H42" s="221"/>
      <c r="I42" s="92" t="s">
        <v>1651</v>
      </c>
      <c r="J42" s="4">
        <f>J41+1</f>
        <v>32</v>
      </c>
      <c r="P42" s="280"/>
    </row>
    <row r="43" spans="1:16" ht="16.2" thickTop="1" x14ac:dyDescent="0.3">
      <c r="A43" s="4">
        <f t="shared" si="0"/>
        <v>33</v>
      </c>
      <c r="C43" s="35" t="s">
        <v>210</v>
      </c>
      <c r="D43" s="35" t="s">
        <v>211</v>
      </c>
      <c r="E43" s="35" t="s">
        <v>212</v>
      </c>
      <c r="F43" s="35"/>
      <c r="G43" s="35" t="s">
        <v>1066</v>
      </c>
      <c r="H43" s="35"/>
      <c r="I43" s="92"/>
      <c r="J43" s="4">
        <f t="shared" si="1"/>
        <v>33</v>
      </c>
    </row>
    <row r="44" spans="1:16" x14ac:dyDescent="0.3">
      <c r="A44" s="4">
        <f t="shared" si="0"/>
        <v>34</v>
      </c>
      <c r="D44" s="4" t="s">
        <v>1067</v>
      </c>
      <c r="E44" s="4" t="s">
        <v>1068</v>
      </c>
      <c r="F44" s="4"/>
      <c r="G44" s="4" t="s">
        <v>1069</v>
      </c>
      <c r="H44" s="4"/>
      <c r="I44" s="92"/>
      <c r="J44" s="4">
        <f t="shared" si="1"/>
        <v>34</v>
      </c>
    </row>
    <row r="45" spans="1:16" ht="18" x14ac:dyDescent="0.3">
      <c r="A45" s="4">
        <f t="shared" si="0"/>
        <v>35</v>
      </c>
      <c r="B45" s="254" t="s">
        <v>1070</v>
      </c>
      <c r="C45" s="852" t="s">
        <v>1071</v>
      </c>
      <c r="D45" s="852" t="s">
        <v>1072</v>
      </c>
      <c r="E45" s="852" t="s">
        <v>1073</v>
      </c>
      <c r="F45" s="852"/>
      <c r="G45" s="852" t="s">
        <v>1074</v>
      </c>
      <c r="H45" s="4"/>
      <c r="I45" s="92"/>
      <c r="J45" s="4">
        <f t="shared" si="1"/>
        <v>35</v>
      </c>
    </row>
    <row r="46" spans="1:16" x14ac:dyDescent="0.3">
      <c r="A46" s="4">
        <f t="shared" si="0"/>
        <v>36</v>
      </c>
      <c r="I46" s="92"/>
      <c r="J46" s="4">
        <f t="shared" si="1"/>
        <v>36</v>
      </c>
    </row>
    <row r="47" spans="1:16" x14ac:dyDescent="0.3">
      <c r="A47" s="4">
        <f t="shared" si="0"/>
        <v>37</v>
      </c>
      <c r="B47" s="32" t="s">
        <v>1075</v>
      </c>
      <c r="C47" s="36">
        <f>G17</f>
        <v>8720787.1579999998</v>
      </c>
      <c r="D47" s="27">
        <f>IFERROR(C47/C$50,0)</f>
        <v>0.46809594123203746</v>
      </c>
      <c r="E47" s="136">
        <f>G27</f>
        <v>3.9835191560812083E-2</v>
      </c>
      <c r="G47" s="27">
        <f>D47*E47</f>
        <v>1.8646691487816846E-2</v>
      </c>
      <c r="H47" s="27"/>
      <c r="I47" s="92" t="s">
        <v>1076</v>
      </c>
      <c r="J47" s="4">
        <f t="shared" si="1"/>
        <v>37</v>
      </c>
    </row>
    <row r="48" spans="1:16" x14ac:dyDescent="0.3">
      <c r="A48" s="4">
        <f t="shared" si="0"/>
        <v>38</v>
      </c>
      <c r="B48" s="32" t="s">
        <v>1077</v>
      </c>
      <c r="C48" s="6">
        <f>G30</f>
        <v>0</v>
      </c>
      <c r="D48" s="27">
        <f>IFERROR(C48/C$50,0)</f>
        <v>0</v>
      </c>
      <c r="E48" s="136">
        <f>G32</f>
        <v>0</v>
      </c>
      <c r="G48" s="27">
        <f>D48*E48</f>
        <v>0</v>
      </c>
      <c r="H48" s="27"/>
      <c r="I48" s="92" t="s">
        <v>1078</v>
      </c>
      <c r="J48" s="4">
        <f t="shared" si="1"/>
        <v>38</v>
      </c>
    </row>
    <row r="49" spans="1:10" x14ac:dyDescent="0.3">
      <c r="A49" s="4">
        <f t="shared" si="0"/>
        <v>39</v>
      </c>
      <c r="B49" s="32" t="s">
        <v>1079</v>
      </c>
      <c r="C49" s="6">
        <f>G39</f>
        <v>9909554.1670000013</v>
      </c>
      <c r="D49" s="1063">
        <f>IFERROR(C49/C$50,0)</f>
        <v>0.53190405876796243</v>
      </c>
      <c r="E49" s="1207">
        <f>G42</f>
        <v>0.10100000000000001</v>
      </c>
      <c r="G49" s="1063">
        <f>D49*E49</f>
        <v>5.3722309935564205E-2</v>
      </c>
      <c r="H49" s="27"/>
      <c r="I49" s="92" t="s">
        <v>1080</v>
      </c>
      <c r="J49" s="4">
        <f t="shared" si="1"/>
        <v>39</v>
      </c>
    </row>
    <row r="50" spans="1:10" ht="16.2" thickBot="1" x14ac:dyDescent="0.35">
      <c r="A50" s="4">
        <f t="shared" si="0"/>
        <v>40</v>
      </c>
      <c r="B50" s="32" t="s">
        <v>1394</v>
      </c>
      <c r="C50" s="97">
        <f>SUM(C47:C49)</f>
        <v>18630341.325000003</v>
      </c>
      <c r="D50" s="52">
        <f>SUM(D47:D49)</f>
        <v>0.99999999999999989</v>
      </c>
      <c r="G50" s="52">
        <f>SUM(G47:G49)</f>
        <v>7.2369001423381055E-2</v>
      </c>
      <c r="H50" s="27"/>
      <c r="I50" s="92" t="s">
        <v>1082</v>
      </c>
      <c r="J50" s="4">
        <f t="shared" si="1"/>
        <v>40</v>
      </c>
    </row>
    <row r="51" spans="1:10" ht="16.2" thickTop="1" x14ac:dyDescent="0.3">
      <c r="A51" s="4">
        <f t="shared" si="0"/>
        <v>41</v>
      </c>
      <c r="I51" s="92"/>
      <c r="J51" s="4">
        <f t="shared" si="1"/>
        <v>41</v>
      </c>
    </row>
    <row r="52" spans="1:10" ht="16.2" thickBot="1" x14ac:dyDescent="0.35">
      <c r="A52" s="4">
        <f t="shared" si="0"/>
        <v>42</v>
      </c>
      <c r="B52" s="254" t="s">
        <v>1652</v>
      </c>
      <c r="G52" s="52">
        <f>G48+G49</f>
        <v>5.3722309935564205E-2</v>
      </c>
      <c r="H52" s="27"/>
      <c r="I52" s="92" t="s">
        <v>1083</v>
      </c>
      <c r="J52" s="4">
        <f t="shared" si="1"/>
        <v>42</v>
      </c>
    </row>
    <row r="53" spans="1:10" ht="16.8" thickTop="1" thickBot="1" x14ac:dyDescent="0.35">
      <c r="A53" s="865">
        <f>A52+1</f>
        <v>43</v>
      </c>
      <c r="B53" s="866"/>
      <c r="C53" s="866"/>
      <c r="D53" s="866"/>
      <c r="E53" s="866"/>
      <c r="F53" s="866"/>
      <c r="G53" s="866"/>
      <c r="H53" s="866"/>
      <c r="I53" s="867"/>
      <c r="J53" s="865">
        <f>J52+1</f>
        <v>43</v>
      </c>
    </row>
    <row r="54" spans="1:10" x14ac:dyDescent="0.3">
      <c r="A54" s="4">
        <f>A53+1</f>
        <v>44</v>
      </c>
      <c r="I54" s="92"/>
      <c r="J54" s="4">
        <f>J53+1</f>
        <v>44</v>
      </c>
    </row>
    <row r="55" spans="1:10" ht="18.600000000000001" thickBot="1" x14ac:dyDescent="0.35">
      <c r="A55" s="4">
        <f t="shared" ref="A55:A65" si="2">A54+1</f>
        <v>45</v>
      </c>
      <c r="B55" s="254" t="s">
        <v>1647</v>
      </c>
      <c r="G55" s="135">
        <v>5.0000000000000001E-3</v>
      </c>
      <c r="H55" s="221"/>
      <c r="I55" s="424" t="s">
        <v>1651</v>
      </c>
      <c r="J55" s="4">
        <f t="shared" ref="J55:J65" si="3">J54+1</f>
        <v>45</v>
      </c>
    </row>
    <row r="56" spans="1:10" ht="16.2" thickTop="1" x14ac:dyDescent="0.3">
      <c r="A56" s="4">
        <f t="shared" si="2"/>
        <v>46</v>
      </c>
      <c r="C56" s="35" t="s">
        <v>210</v>
      </c>
      <c r="D56" s="35" t="s">
        <v>211</v>
      </c>
      <c r="E56" s="35" t="s">
        <v>212</v>
      </c>
      <c r="F56" s="35"/>
      <c r="G56" s="35" t="s">
        <v>1066</v>
      </c>
      <c r="H56" s="35"/>
      <c r="I56" s="92"/>
      <c r="J56" s="4">
        <f t="shared" si="3"/>
        <v>46</v>
      </c>
    </row>
    <row r="57" spans="1:10" x14ac:dyDescent="0.3">
      <c r="A57" s="4">
        <f t="shared" si="2"/>
        <v>47</v>
      </c>
      <c r="D57" s="4" t="s">
        <v>1067</v>
      </c>
      <c r="E57" s="4" t="s">
        <v>1068</v>
      </c>
      <c r="F57" s="4"/>
      <c r="G57" s="4" t="s">
        <v>1069</v>
      </c>
      <c r="H57" s="4"/>
      <c r="I57" s="92"/>
      <c r="J57" s="4">
        <f t="shared" si="3"/>
        <v>47</v>
      </c>
    </row>
    <row r="58" spans="1:10" ht="18" x14ac:dyDescent="0.3">
      <c r="A58" s="4">
        <f t="shared" si="2"/>
        <v>48</v>
      </c>
      <c r="B58" s="254" t="s">
        <v>1070</v>
      </c>
      <c r="C58" s="852" t="s">
        <v>1071</v>
      </c>
      <c r="D58" s="852" t="s">
        <v>1072</v>
      </c>
      <c r="E58" s="852" t="s">
        <v>1073</v>
      </c>
      <c r="F58" s="852"/>
      <c r="G58" s="852" t="s">
        <v>1074</v>
      </c>
      <c r="H58" s="4"/>
      <c r="I58" s="92"/>
      <c r="J58" s="4">
        <f t="shared" si="3"/>
        <v>48</v>
      </c>
    </row>
    <row r="59" spans="1:10" x14ac:dyDescent="0.3">
      <c r="A59" s="4">
        <f t="shared" si="2"/>
        <v>49</v>
      </c>
      <c r="I59" s="92"/>
      <c r="J59" s="4">
        <f t="shared" si="3"/>
        <v>49</v>
      </c>
    </row>
    <row r="60" spans="1:10" x14ac:dyDescent="0.3">
      <c r="A60" s="4">
        <f t="shared" si="2"/>
        <v>50</v>
      </c>
      <c r="B60" s="32" t="s">
        <v>1075</v>
      </c>
      <c r="C60" s="36">
        <f>G17</f>
        <v>8720787.1579999998</v>
      </c>
      <c r="D60" s="27">
        <f>IFERROR(C60/C$50,0)</f>
        <v>0.46809594123203746</v>
      </c>
      <c r="E60" s="1141">
        <v>0</v>
      </c>
      <c r="G60" s="27">
        <f>D60*E60</f>
        <v>0</v>
      </c>
      <c r="H60" s="27"/>
      <c r="I60" s="92" t="s">
        <v>1653</v>
      </c>
      <c r="J60" s="4">
        <f t="shared" si="3"/>
        <v>50</v>
      </c>
    </row>
    <row r="61" spans="1:10" x14ac:dyDescent="0.3">
      <c r="A61" s="4">
        <f t="shared" si="2"/>
        <v>51</v>
      </c>
      <c r="B61" s="32" t="s">
        <v>1077</v>
      </c>
      <c r="C61" s="6">
        <f>G30</f>
        <v>0</v>
      </c>
      <c r="D61" s="27">
        <f>IFERROR(C61/C$50,0)</f>
        <v>0</v>
      </c>
      <c r="E61" s="1141">
        <v>0</v>
      </c>
      <c r="G61" s="27">
        <f>D61*E61</f>
        <v>0</v>
      </c>
      <c r="H61" s="27"/>
      <c r="I61" s="92" t="s">
        <v>1653</v>
      </c>
      <c r="J61" s="4">
        <f t="shared" si="3"/>
        <v>51</v>
      </c>
    </row>
    <row r="62" spans="1:10" x14ac:dyDescent="0.3">
      <c r="A62" s="4">
        <f t="shared" si="2"/>
        <v>52</v>
      </c>
      <c r="B62" s="32" t="s">
        <v>1079</v>
      </c>
      <c r="C62" s="6">
        <f>G39</f>
        <v>9909554.1670000013</v>
      </c>
      <c r="D62" s="1063">
        <f>IFERROR(C62/C$50,0)</f>
        <v>0.53190405876796243</v>
      </c>
      <c r="E62" s="1207">
        <f>G55</f>
        <v>5.0000000000000001E-3</v>
      </c>
      <c r="G62" s="1063">
        <f>D62*E62</f>
        <v>2.6595202938398121E-3</v>
      </c>
      <c r="H62" s="27"/>
      <c r="I62" s="92" t="s">
        <v>1654</v>
      </c>
      <c r="J62" s="4">
        <f t="shared" si="3"/>
        <v>52</v>
      </c>
    </row>
    <row r="63" spans="1:10" ht="16.2" thickBot="1" x14ac:dyDescent="0.35">
      <c r="A63" s="4">
        <f t="shared" si="2"/>
        <v>53</v>
      </c>
      <c r="B63" s="32" t="s">
        <v>1394</v>
      </c>
      <c r="C63" s="97">
        <f>SUM(C60:C62)</f>
        <v>18630341.325000003</v>
      </c>
      <c r="D63" s="52">
        <f>SUM(D60:D62)</f>
        <v>0.99999999999999989</v>
      </c>
      <c r="G63" s="52">
        <f>SUM(G60:G62)</f>
        <v>2.6595202938398121E-3</v>
      </c>
      <c r="H63" s="27"/>
      <c r="I63" s="92" t="s">
        <v>1655</v>
      </c>
      <c r="J63" s="4">
        <f t="shared" si="3"/>
        <v>53</v>
      </c>
    </row>
    <row r="64" spans="1:10" ht="16.2" thickTop="1" x14ac:dyDescent="0.3">
      <c r="A64" s="4">
        <f t="shared" si="2"/>
        <v>54</v>
      </c>
      <c r="I64" s="92"/>
      <c r="J64" s="4">
        <f t="shared" si="3"/>
        <v>54</v>
      </c>
    </row>
    <row r="65" spans="1:10" ht="16.2" thickBot="1" x14ac:dyDescent="0.35">
      <c r="A65" s="4">
        <f t="shared" si="2"/>
        <v>55</v>
      </c>
      <c r="B65" s="254" t="s">
        <v>1656</v>
      </c>
      <c r="G65" s="1208">
        <f>G61+G62</f>
        <v>2.6595202938398121E-3</v>
      </c>
      <c r="H65" s="27"/>
      <c r="I65" s="92" t="s">
        <v>1657</v>
      </c>
      <c r="J65" s="4">
        <f t="shared" si="3"/>
        <v>55</v>
      </c>
    </row>
    <row r="66" spans="1:10" ht="16.2" thickTop="1" x14ac:dyDescent="0.3">
      <c r="B66" s="254"/>
      <c r="G66" s="1142"/>
      <c r="H66" s="1142"/>
      <c r="I66" s="92"/>
      <c r="J66" s="4"/>
    </row>
    <row r="67" spans="1:10" ht="18" x14ac:dyDescent="0.3">
      <c r="A67" s="269">
        <v>1</v>
      </c>
      <c r="B67" s="32" t="s">
        <v>1084</v>
      </c>
      <c r="G67" s="71"/>
      <c r="H67" s="71"/>
      <c r="J67" s="4" t="s">
        <v>1</v>
      </c>
    </row>
    <row r="68" spans="1:10" ht="18" x14ac:dyDescent="0.3">
      <c r="A68" s="269"/>
      <c r="G68" s="71"/>
      <c r="H68" s="71"/>
      <c r="J68" s="4"/>
    </row>
    <row r="69" spans="1:10" ht="18" x14ac:dyDescent="0.3">
      <c r="A69" s="269"/>
      <c r="G69" s="71"/>
      <c r="H69" s="71"/>
      <c r="J69" s="4"/>
    </row>
    <row r="70" spans="1:10" x14ac:dyDescent="0.3">
      <c r="B70" s="1222" t="s">
        <v>0</v>
      </c>
      <c r="C70" s="1222"/>
      <c r="D70" s="1222"/>
      <c r="E70" s="1222"/>
      <c r="F70" s="1222"/>
      <c r="G70" s="1222"/>
      <c r="H70" s="1222"/>
      <c r="I70" s="1222"/>
      <c r="J70" s="4"/>
    </row>
    <row r="71" spans="1:10" x14ac:dyDescent="0.3">
      <c r="B71" s="1222" t="s">
        <v>1020</v>
      </c>
      <c r="C71" s="1222"/>
      <c r="D71" s="1222"/>
      <c r="E71" s="1222"/>
      <c r="F71" s="1222"/>
      <c r="G71" s="1222"/>
      <c r="H71" s="1222"/>
      <c r="I71" s="1222"/>
      <c r="J71" s="4"/>
    </row>
    <row r="72" spans="1:10" x14ac:dyDescent="0.3">
      <c r="B72" s="1222" t="s">
        <v>1021</v>
      </c>
      <c r="C72" s="1222"/>
      <c r="D72" s="1222"/>
      <c r="E72" s="1222"/>
      <c r="F72" s="1222"/>
      <c r="G72" s="1222"/>
      <c r="H72" s="1222"/>
      <c r="I72" s="1222"/>
      <c r="J72" s="4"/>
    </row>
    <row r="73" spans="1:10" x14ac:dyDescent="0.3">
      <c r="B73" s="1227" t="str">
        <f>B5</f>
        <v>Base Period &amp; True-Up Period 12 - Months Ending December 31, 2023</v>
      </c>
      <c r="C73" s="1227"/>
      <c r="D73" s="1227"/>
      <c r="E73" s="1227"/>
      <c r="F73" s="1227"/>
      <c r="G73" s="1227"/>
      <c r="H73" s="1227"/>
      <c r="I73" s="1227"/>
      <c r="J73" s="4"/>
    </row>
    <row r="74" spans="1:10" x14ac:dyDescent="0.3">
      <c r="B74" s="1226" t="s">
        <v>4</v>
      </c>
      <c r="C74" s="1223"/>
      <c r="D74" s="1223"/>
      <c r="E74" s="1223"/>
      <c r="F74" s="1223"/>
      <c r="G74" s="1223"/>
      <c r="H74" s="1223"/>
      <c r="I74" s="1223"/>
      <c r="J74" s="4"/>
    </row>
    <row r="75" spans="1:10" x14ac:dyDescent="0.3">
      <c r="B75" s="4"/>
      <c r="C75" s="4"/>
      <c r="D75" s="4"/>
      <c r="E75" s="4"/>
      <c r="F75" s="4"/>
      <c r="G75" s="4"/>
      <c r="H75" s="4"/>
      <c r="I75" s="92"/>
      <c r="J75" s="4"/>
    </row>
    <row r="76" spans="1:10" x14ac:dyDescent="0.3">
      <c r="A76" s="4" t="s">
        <v>5</v>
      </c>
      <c r="B76" s="221"/>
      <c r="C76" s="221"/>
      <c r="D76" s="221"/>
      <c r="E76" s="4" t="s">
        <v>236</v>
      </c>
      <c r="F76" s="221"/>
      <c r="G76" s="221"/>
      <c r="H76" s="221"/>
      <c r="I76" s="92"/>
      <c r="J76" s="4" t="s">
        <v>5</v>
      </c>
    </row>
    <row r="77" spans="1:10" x14ac:dyDescent="0.3">
      <c r="A77" s="4" t="s">
        <v>6</v>
      </c>
      <c r="B77" s="4"/>
      <c r="C77" s="4"/>
      <c r="D77" s="4"/>
      <c r="E77" s="852" t="s">
        <v>238</v>
      </c>
      <c r="F77" s="4"/>
      <c r="G77" s="853" t="s">
        <v>7</v>
      </c>
      <c r="H77" s="221"/>
      <c r="I77" s="854" t="s">
        <v>8</v>
      </c>
      <c r="J77" s="4" t="s">
        <v>6</v>
      </c>
    </row>
    <row r="78" spans="1:10" x14ac:dyDescent="0.3">
      <c r="I78" s="92"/>
      <c r="J78" s="4"/>
    </row>
    <row r="79" spans="1:10" ht="18.600000000000001" thickBot="1" x14ac:dyDescent="0.35">
      <c r="A79" s="4">
        <v>1</v>
      </c>
      <c r="B79" s="254" t="s">
        <v>1658</v>
      </c>
      <c r="G79" s="855">
        <v>0</v>
      </c>
      <c r="H79" s="221"/>
      <c r="I79" s="424"/>
      <c r="J79" s="4">
        <f>A79</f>
        <v>1</v>
      </c>
    </row>
    <row r="80" spans="1:10" ht="16.2" thickTop="1" x14ac:dyDescent="0.3">
      <c r="A80" s="4">
        <f t="shared" ref="A80:A102" si="4">A79+1</f>
        <v>2</v>
      </c>
      <c r="C80" s="35" t="s">
        <v>210</v>
      </c>
      <c r="D80" s="35" t="s">
        <v>211</v>
      </c>
      <c r="E80" s="35" t="s">
        <v>212</v>
      </c>
      <c r="F80" s="35"/>
      <c r="G80" s="35" t="s">
        <v>1066</v>
      </c>
      <c r="H80" s="35"/>
      <c r="I80" s="92"/>
      <c r="J80" s="4">
        <f t="shared" ref="J80:J102" si="5">J79+1</f>
        <v>2</v>
      </c>
    </row>
    <row r="81" spans="1:10" x14ac:dyDescent="0.3">
      <c r="A81" s="4">
        <f t="shared" si="4"/>
        <v>3</v>
      </c>
      <c r="D81" s="4" t="s">
        <v>1067</v>
      </c>
      <c r="E81" s="4" t="s">
        <v>1068</v>
      </c>
      <c r="F81" s="4"/>
      <c r="G81" s="4" t="s">
        <v>1069</v>
      </c>
      <c r="H81" s="4"/>
      <c r="I81" s="92"/>
      <c r="J81" s="4">
        <f t="shared" si="5"/>
        <v>3</v>
      </c>
    </row>
    <row r="82" spans="1:10" ht="18" x14ac:dyDescent="0.3">
      <c r="A82" s="4">
        <f t="shared" si="4"/>
        <v>4</v>
      </c>
      <c r="B82" s="254" t="s">
        <v>1085</v>
      </c>
      <c r="C82" s="852" t="s">
        <v>1659</v>
      </c>
      <c r="D82" s="852" t="s">
        <v>1072</v>
      </c>
      <c r="E82" s="852" t="s">
        <v>1073</v>
      </c>
      <c r="F82" s="852"/>
      <c r="G82" s="852" t="s">
        <v>1074</v>
      </c>
      <c r="H82" s="4"/>
      <c r="I82" s="92"/>
      <c r="J82" s="4">
        <f t="shared" si="5"/>
        <v>4</v>
      </c>
    </row>
    <row r="83" spans="1:10" x14ac:dyDescent="0.3">
      <c r="A83" s="4">
        <f t="shared" si="4"/>
        <v>5</v>
      </c>
      <c r="I83" s="92"/>
      <c r="J83" s="4">
        <f t="shared" si="5"/>
        <v>5</v>
      </c>
    </row>
    <row r="84" spans="1:10" x14ac:dyDescent="0.3">
      <c r="A84" s="4">
        <f t="shared" si="4"/>
        <v>6</v>
      </c>
      <c r="B84" s="32" t="s">
        <v>1075</v>
      </c>
      <c r="C84" s="856">
        <f>G17</f>
        <v>8720787.1579999998</v>
      </c>
      <c r="D84" s="857">
        <f>IFERROR(C84/C$87,0)</f>
        <v>0.46809594123203746</v>
      </c>
      <c r="E84" s="136">
        <f>G27</f>
        <v>3.9835191560812083E-2</v>
      </c>
      <c r="G84" s="858">
        <f>D84*E84</f>
        <v>1.8646691487816846E-2</v>
      </c>
      <c r="H84" s="858"/>
      <c r="I84" s="92" t="s">
        <v>1660</v>
      </c>
      <c r="J84" s="4">
        <f t="shared" si="5"/>
        <v>6</v>
      </c>
    </row>
    <row r="85" spans="1:10" x14ac:dyDescent="0.3">
      <c r="A85" s="4">
        <f t="shared" si="4"/>
        <v>7</v>
      </c>
      <c r="B85" s="32" t="s">
        <v>1077</v>
      </c>
      <c r="C85" s="859">
        <f>G30</f>
        <v>0</v>
      </c>
      <c r="D85" s="857">
        <f>IFERROR(C85/C$87,0)</f>
        <v>0</v>
      </c>
      <c r="E85" s="136">
        <f>G32</f>
        <v>0</v>
      </c>
      <c r="G85" s="858">
        <f>D85*E85</f>
        <v>0</v>
      </c>
      <c r="H85" s="858"/>
      <c r="I85" s="92" t="s">
        <v>1661</v>
      </c>
      <c r="J85" s="4">
        <f t="shared" si="5"/>
        <v>7</v>
      </c>
    </row>
    <row r="86" spans="1:10" x14ac:dyDescent="0.3">
      <c r="A86" s="4">
        <f t="shared" si="4"/>
        <v>8</v>
      </c>
      <c r="B86" s="32" t="s">
        <v>1079</v>
      </c>
      <c r="C86" s="859">
        <f>G39</f>
        <v>9909554.1670000013</v>
      </c>
      <c r="D86" s="860">
        <f>IFERROR(C86/C$87,0)</f>
        <v>0.53190405876796243</v>
      </c>
      <c r="E86" s="1207">
        <f>G79</f>
        <v>0</v>
      </c>
      <c r="G86" s="861">
        <f>D86*E86</f>
        <v>0</v>
      </c>
      <c r="H86" s="862"/>
      <c r="I86" s="92" t="s">
        <v>1662</v>
      </c>
      <c r="J86" s="4">
        <f t="shared" si="5"/>
        <v>8</v>
      </c>
    </row>
    <row r="87" spans="1:10" ht="16.2" thickBot="1" x14ac:dyDescent="0.35">
      <c r="A87" s="4">
        <f t="shared" si="4"/>
        <v>9</v>
      </c>
      <c r="B87" s="32" t="s">
        <v>1081</v>
      </c>
      <c r="C87" s="97">
        <f>SUM(C84:C86)</f>
        <v>18630341.325000003</v>
      </c>
      <c r="D87" s="863">
        <f>SUM(D83:D86)</f>
        <v>0.99999999999999989</v>
      </c>
      <c r="G87" s="864">
        <f>SUM(G84:G86)</f>
        <v>1.8646691487816846E-2</v>
      </c>
      <c r="H87" s="862"/>
      <c r="I87" s="92" t="s">
        <v>1663</v>
      </c>
      <c r="J87" s="4">
        <f t="shared" si="5"/>
        <v>9</v>
      </c>
    </row>
    <row r="88" spans="1:10" ht="16.2" thickTop="1" x14ac:dyDescent="0.3">
      <c r="A88" s="4">
        <f t="shared" si="4"/>
        <v>10</v>
      </c>
      <c r="I88" s="92"/>
      <c r="J88" s="4">
        <f t="shared" si="5"/>
        <v>10</v>
      </c>
    </row>
    <row r="89" spans="1:10" ht="16.2" thickBot="1" x14ac:dyDescent="0.35">
      <c r="A89" s="4">
        <f t="shared" si="4"/>
        <v>11</v>
      </c>
      <c r="B89" s="254" t="s">
        <v>1656</v>
      </c>
      <c r="G89" s="864">
        <f>G85+G86</f>
        <v>0</v>
      </c>
      <c r="H89" s="862"/>
      <c r="I89" s="92" t="s">
        <v>1664</v>
      </c>
      <c r="J89" s="4">
        <f t="shared" si="5"/>
        <v>11</v>
      </c>
    </row>
    <row r="90" spans="1:10" ht="16.8" thickTop="1" thickBot="1" x14ac:dyDescent="0.35">
      <c r="A90" s="865">
        <f t="shared" si="4"/>
        <v>12</v>
      </c>
      <c r="B90" s="1139"/>
      <c r="C90" s="866"/>
      <c r="D90" s="866"/>
      <c r="E90" s="866"/>
      <c r="F90" s="866"/>
      <c r="G90" s="1143"/>
      <c r="H90" s="1143"/>
      <c r="I90" s="867"/>
      <c r="J90" s="865">
        <f t="shared" si="5"/>
        <v>12</v>
      </c>
    </row>
    <row r="91" spans="1:10" x14ac:dyDescent="0.3">
      <c r="A91" s="4">
        <f t="shared" si="4"/>
        <v>13</v>
      </c>
      <c r="I91" s="92"/>
      <c r="J91" s="4">
        <f t="shared" si="5"/>
        <v>13</v>
      </c>
    </row>
    <row r="92" spans="1:10" ht="31.8" thickBot="1" x14ac:dyDescent="0.35">
      <c r="A92" s="4">
        <f t="shared" si="4"/>
        <v>14</v>
      </c>
      <c r="B92" s="254" t="s">
        <v>1665</v>
      </c>
      <c r="G92" s="855">
        <v>0</v>
      </c>
      <c r="I92" s="92" t="s">
        <v>1666</v>
      </c>
      <c r="J92" s="4">
        <f t="shared" si="5"/>
        <v>14</v>
      </c>
    </row>
    <row r="93" spans="1:10" ht="16.2" thickTop="1" x14ac:dyDescent="0.3">
      <c r="A93" s="4">
        <f t="shared" si="4"/>
        <v>15</v>
      </c>
      <c r="C93" s="35" t="s">
        <v>210</v>
      </c>
      <c r="D93" s="35" t="s">
        <v>211</v>
      </c>
      <c r="E93" s="35" t="s">
        <v>212</v>
      </c>
      <c r="F93" s="35"/>
      <c r="G93" s="35" t="s">
        <v>1066</v>
      </c>
      <c r="I93" s="92"/>
      <c r="J93" s="4">
        <f t="shared" si="5"/>
        <v>15</v>
      </c>
    </row>
    <row r="94" spans="1:10" x14ac:dyDescent="0.3">
      <c r="A94" s="4">
        <f t="shared" si="4"/>
        <v>16</v>
      </c>
      <c r="D94" s="4" t="s">
        <v>1067</v>
      </c>
      <c r="E94" s="4" t="s">
        <v>1068</v>
      </c>
      <c r="F94" s="4"/>
      <c r="G94" s="4" t="s">
        <v>1069</v>
      </c>
      <c r="I94" s="92"/>
      <c r="J94" s="4">
        <f t="shared" si="5"/>
        <v>16</v>
      </c>
    </row>
    <row r="95" spans="1:10" ht="18" x14ac:dyDescent="0.3">
      <c r="A95" s="4">
        <f t="shared" si="4"/>
        <v>17</v>
      </c>
      <c r="B95" s="254" t="s">
        <v>1070</v>
      </c>
      <c r="C95" s="852" t="s">
        <v>1659</v>
      </c>
      <c r="D95" s="852" t="s">
        <v>1072</v>
      </c>
      <c r="E95" s="852" t="s">
        <v>1073</v>
      </c>
      <c r="F95" s="852"/>
      <c r="G95" s="852" t="s">
        <v>1074</v>
      </c>
      <c r="I95" s="92"/>
      <c r="J95" s="4">
        <f t="shared" si="5"/>
        <v>17</v>
      </c>
    </row>
    <row r="96" spans="1:10" x14ac:dyDescent="0.3">
      <c r="A96" s="4">
        <f t="shared" si="4"/>
        <v>18</v>
      </c>
      <c r="I96" s="92"/>
      <c r="J96" s="4">
        <f t="shared" si="5"/>
        <v>18</v>
      </c>
    </row>
    <row r="97" spans="1:10" x14ac:dyDescent="0.3">
      <c r="A97" s="4">
        <f t="shared" si="4"/>
        <v>19</v>
      </c>
      <c r="B97" s="32" t="s">
        <v>1075</v>
      </c>
      <c r="C97" s="856">
        <f>G17</f>
        <v>8720787.1579999998</v>
      </c>
      <c r="D97" s="857">
        <f>IFERROR(C97/C$100,0)</f>
        <v>0.46809594123203746</v>
      </c>
      <c r="E97" s="1141">
        <v>0</v>
      </c>
      <c r="G97" s="858">
        <f>D97*E97</f>
        <v>0</v>
      </c>
      <c r="I97" s="92" t="s">
        <v>1653</v>
      </c>
      <c r="J97" s="4">
        <f t="shared" si="5"/>
        <v>19</v>
      </c>
    </row>
    <row r="98" spans="1:10" x14ac:dyDescent="0.3">
      <c r="A98" s="4">
        <f t="shared" si="4"/>
        <v>20</v>
      </c>
      <c r="B98" s="32" t="s">
        <v>1077</v>
      </c>
      <c r="C98" s="859">
        <f>G30</f>
        <v>0</v>
      </c>
      <c r="D98" s="857">
        <f>IFERROR(C98/C$100,0)</f>
        <v>0</v>
      </c>
      <c r="E98" s="1141">
        <v>0</v>
      </c>
      <c r="G98" s="858">
        <f>D98*E98</f>
        <v>0</v>
      </c>
      <c r="I98" s="92" t="s">
        <v>1653</v>
      </c>
      <c r="J98" s="4">
        <f t="shared" si="5"/>
        <v>20</v>
      </c>
    </row>
    <row r="99" spans="1:10" x14ac:dyDescent="0.3">
      <c r="A99" s="4">
        <f t="shared" si="4"/>
        <v>21</v>
      </c>
      <c r="B99" s="32" t="s">
        <v>1079</v>
      </c>
      <c r="C99" s="859">
        <f>G39</f>
        <v>9909554.1670000013</v>
      </c>
      <c r="D99" s="860">
        <f>IFERROR(C99/C$100,0)</f>
        <v>0.53190405876796243</v>
      </c>
      <c r="E99" s="1207">
        <f>G92</f>
        <v>0</v>
      </c>
      <c r="G99" s="861">
        <f>D99*E99</f>
        <v>0</v>
      </c>
      <c r="I99" s="92" t="s">
        <v>1667</v>
      </c>
      <c r="J99" s="4">
        <f t="shared" si="5"/>
        <v>21</v>
      </c>
    </row>
    <row r="100" spans="1:10" ht="16.2" thickBot="1" x14ac:dyDescent="0.35">
      <c r="A100" s="4">
        <f t="shared" si="4"/>
        <v>22</v>
      </c>
      <c r="B100" s="32" t="s">
        <v>1081</v>
      </c>
      <c r="C100" s="97">
        <f>SUM(C97:C99)</f>
        <v>18630341.325000003</v>
      </c>
      <c r="D100" s="863">
        <f>SUM(D97:D99)</f>
        <v>0.99999999999999989</v>
      </c>
      <c r="G100" s="864">
        <f>SUM(G97:G99)</f>
        <v>0</v>
      </c>
      <c r="I100" s="92" t="s">
        <v>90</v>
      </c>
      <c r="J100" s="4">
        <f t="shared" si="5"/>
        <v>22</v>
      </c>
    </row>
    <row r="101" spans="1:10" ht="16.2" thickTop="1" x14ac:dyDescent="0.3">
      <c r="A101" s="4">
        <f t="shared" si="4"/>
        <v>23</v>
      </c>
      <c r="I101" s="92"/>
      <c r="J101" s="4">
        <f t="shared" si="5"/>
        <v>23</v>
      </c>
    </row>
    <row r="102" spans="1:10" ht="16.2" thickBot="1" x14ac:dyDescent="0.35">
      <c r="A102" s="4">
        <f t="shared" si="4"/>
        <v>24</v>
      </c>
      <c r="B102" s="254" t="s">
        <v>1668</v>
      </c>
      <c r="G102" s="1209">
        <f>G99</f>
        <v>0</v>
      </c>
      <c r="I102" s="92" t="s">
        <v>1669</v>
      </c>
      <c r="J102" s="4">
        <f t="shared" si="5"/>
        <v>24</v>
      </c>
    </row>
    <row r="103" spans="1:10" ht="16.2" thickTop="1" x14ac:dyDescent="0.3">
      <c r="B103" s="254"/>
      <c r="G103" s="868"/>
      <c r="I103" s="92"/>
      <c r="J103" s="4"/>
    </row>
    <row r="104" spans="1:10" ht="18" x14ac:dyDescent="0.3">
      <c r="A104" s="269">
        <v>1</v>
      </c>
      <c r="B104" s="32" t="s">
        <v>1670</v>
      </c>
      <c r="G104" s="868"/>
      <c r="I104" s="92"/>
      <c r="J104" s="4"/>
    </row>
    <row r="105" spans="1:10" ht="18" x14ac:dyDescent="0.3">
      <c r="A105" s="269">
        <v>2</v>
      </c>
      <c r="B105" s="32" t="s">
        <v>1084</v>
      </c>
      <c r="G105" s="71"/>
      <c r="H105" s="71"/>
      <c r="J105" s="4" t="s">
        <v>1</v>
      </c>
    </row>
    <row r="106" spans="1:10" ht="18" x14ac:dyDescent="0.3">
      <c r="A106" s="269"/>
      <c r="G106" s="71"/>
      <c r="H106" s="71"/>
      <c r="J106" s="4"/>
    </row>
    <row r="107" spans="1:10" ht="18" x14ac:dyDescent="0.3">
      <c r="A107" s="269"/>
      <c r="G107" s="71"/>
      <c r="H107" s="71"/>
      <c r="J107" s="4"/>
    </row>
    <row r="108" spans="1:10" x14ac:dyDescent="0.3">
      <c r="B108" s="1222" t="s">
        <v>1395</v>
      </c>
      <c r="C108" s="1222"/>
      <c r="D108" s="1222"/>
      <c r="E108" s="1222"/>
      <c r="F108" s="1222"/>
      <c r="G108" s="1222"/>
      <c r="H108" s="1222"/>
      <c r="I108" s="1222"/>
      <c r="J108" s="4"/>
    </row>
    <row r="109" spans="1:10" x14ac:dyDescent="0.3">
      <c r="B109" s="1222" t="s">
        <v>1020</v>
      </c>
      <c r="C109" s="1222"/>
      <c r="D109" s="1222"/>
      <c r="E109" s="1222"/>
      <c r="F109" s="1222"/>
      <c r="G109" s="1222"/>
      <c r="H109" s="1222"/>
      <c r="I109" s="1222"/>
      <c r="J109" s="4"/>
    </row>
    <row r="110" spans="1:10" x14ac:dyDescent="0.3">
      <c r="B110" s="1222" t="s">
        <v>1021</v>
      </c>
      <c r="C110" s="1222"/>
      <c r="D110" s="1222"/>
      <c r="E110" s="1222"/>
      <c r="F110" s="1222"/>
      <c r="G110" s="1222"/>
      <c r="H110" s="1222"/>
      <c r="I110" s="1222"/>
      <c r="J110" s="4"/>
    </row>
    <row r="111" spans="1:10" x14ac:dyDescent="0.3">
      <c r="B111" s="1227" t="str">
        <f>B5</f>
        <v>Base Period &amp; True-Up Period 12 - Months Ending December 31, 2023</v>
      </c>
      <c r="C111" s="1227"/>
      <c r="D111" s="1227"/>
      <c r="E111" s="1227"/>
      <c r="F111" s="1227"/>
      <c r="G111" s="1227"/>
      <c r="H111" s="1227"/>
      <c r="I111" s="1227"/>
      <c r="J111" s="4"/>
    </row>
    <row r="112" spans="1:10" x14ac:dyDescent="0.3">
      <c r="B112" s="1226" t="s">
        <v>4</v>
      </c>
      <c r="C112" s="1223"/>
      <c r="D112" s="1223"/>
      <c r="E112" s="1223"/>
      <c r="F112" s="1223"/>
      <c r="G112" s="1223"/>
      <c r="H112" s="1223"/>
      <c r="I112" s="1223"/>
      <c r="J112" s="4"/>
    </row>
    <row r="113" spans="1:13" x14ac:dyDescent="0.3">
      <c r="B113" s="4"/>
      <c r="C113" s="4"/>
      <c r="D113" s="4"/>
      <c r="E113" s="4"/>
      <c r="F113" s="4"/>
      <c r="G113" s="4"/>
      <c r="H113" s="4"/>
      <c r="I113" s="92"/>
      <c r="J113" s="4"/>
    </row>
    <row r="114" spans="1:13" x14ac:dyDescent="0.3">
      <c r="A114" s="4" t="s">
        <v>5</v>
      </c>
      <c r="B114" s="221"/>
      <c r="C114" s="221"/>
      <c r="D114" s="221"/>
      <c r="E114" s="221"/>
      <c r="F114" s="221"/>
      <c r="G114" s="221"/>
      <c r="H114" s="221"/>
      <c r="I114" s="92"/>
      <c r="J114" s="4" t="s">
        <v>5</v>
      </c>
    </row>
    <row r="115" spans="1:13" x14ac:dyDescent="0.3">
      <c r="A115" s="4" t="s">
        <v>6</v>
      </c>
      <c r="B115" s="4"/>
      <c r="C115" s="4"/>
      <c r="D115" s="4"/>
      <c r="E115" s="4"/>
      <c r="F115" s="4"/>
      <c r="G115" s="852" t="s">
        <v>7</v>
      </c>
      <c r="H115" s="221"/>
      <c r="I115" s="854" t="s">
        <v>8</v>
      </c>
      <c r="J115" s="4" t="s">
        <v>6</v>
      </c>
    </row>
    <row r="116" spans="1:13" x14ac:dyDescent="0.3">
      <c r="G116" s="4"/>
      <c r="H116" s="4"/>
      <c r="I116" s="92"/>
      <c r="J116" s="4"/>
    </row>
    <row r="117" spans="1:13" ht="18" x14ac:dyDescent="0.3">
      <c r="A117" s="4">
        <v>1</v>
      </c>
      <c r="B117" s="254" t="s">
        <v>1671</v>
      </c>
      <c r="E117" s="221"/>
      <c r="F117" s="221"/>
      <c r="G117" s="42"/>
      <c r="H117" s="42"/>
      <c r="I117" s="92"/>
      <c r="J117" s="4">
        <f>A117</f>
        <v>1</v>
      </c>
    </row>
    <row r="118" spans="1:13" x14ac:dyDescent="0.3">
      <c r="A118" s="4">
        <f>A117+1</f>
        <v>2</v>
      </c>
      <c r="B118" s="34"/>
      <c r="E118" s="221"/>
      <c r="F118" s="221"/>
      <c r="G118" s="42"/>
      <c r="H118" s="42"/>
      <c r="I118" s="92"/>
      <c r="J118" s="4">
        <f>J117+1</f>
        <v>2</v>
      </c>
    </row>
    <row r="119" spans="1:13" x14ac:dyDescent="0.3">
      <c r="A119" s="4">
        <f>A105+1</f>
        <v>3</v>
      </c>
      <c r="B119" s="254" t="s">
        <v>1396</v>
      </c>
      <c r="E119" s="221"/>
      <c r="F119" s="221"/>
      <c r="G119" s="42"/>
      <c r="H119" s="42"/>
      <c r="I119" s="92"/>
      <c r="J119" s="4">
        <f>J118+1</f>
        <v>3</v>
      </c>
    </row>
    <row r="120" spans="1:13" x14ac:dyDescent="0.3">
      <c r="A120" s="4">
        <f>A119+1</f>
        <v>4</v>
      </c>
      <c r="B120" s="221"/>
      <c r="C120" s="221"/>
      <c r="D120" s="221"/>
      <c r="E120" s="221"/>
      <c r="F120" s="221"/>
      <c r="G120" s="42"/>
      <c r="H120" s="42"/>
      <c r="I120" s="92"/>
      <c r="J120" s="4">
        <f>J119+1</f>
        <v>4</v>
      </c>
    </row>
    <row r="121" spans="1:13" x14ac:dyDescent="0.3">
      <c r="A121" s="4">
        <f t="shared" ref="A121:A182" si="6">A120+1</f>
        <v>5</v>
      </c>
      <c r="B121" s="33" t="s">
        <v>1087</v>
      </c>
      <c r="C121" s="221"/>
      <c r="D121" s="221"/>
      <c r="E121" s="221"/>
      <c r="F121" s="221"/>
      <c r="G121" s="42"/>
      <c r="H121" s="42"/>
      <c r="I121" s="467"/>
      <c r="J121" s="4">
        <f>J120+1</f>
        <v>5</v>
      </c>
    </row>
    <row r="122" spans="1:13" x14ac:dyDescent="0.3">
      <c r="A122" s="4">
        <f t="shared" si="6"/>
        <v>6</v>
      </c>
      <c r="B122" s="32" t="s">
        <v>1088</v>
      </c>
      <c r="D122" s="221"/>
      <c r="E122" s="221"/>
      <c r="F122" s="221"/>
      <c r="G122" s="136">
        <f>G52</f>
        <v>5.3722309935564205E-2</v>
      </c>
      <c r="H122" s="221"/>
      <c r="I122" s="92" t="s">
        <v>1672</v>
      </c>
      <c r="J122" s="4">
        <f t="shared" ref="J122:J182" si="7">J121+1</f>
        <v>6</v>
      </c>
      <c r="K122" s="4"/>
      <c r="L122" s="4"/>
    </row>
    <row r="123" spans="1:13" ht="15.75" customHeight="1" x14ac:dyDescent="0.3">
      <c r="A123" s="4">
        <f t="shared" si="6"/>
        <v>7</v>
      </c>
      <c r="B123" s="32" t="s">
        <v>1397</v>
      </c>
      <c r="D123" s="221"/>
      <c r="E123" s="221"/>
      <c r="F123" s="221"/>
      <c r="G123" s="22">
        <f>-'Stmt AR'!E19</f>
        <v>3917.7441587128469</v>
      </c>
      <c r="H123" s="221"/>
      <c r="I123" s="92" t="s">
        <v>1090</v>
      </c>
      <c r="J123" s="4">
        <f t="shared" si="7"/>
        <v>7</v>
      </c>
      <c r="K123" s="4"/>
      <c r="L123" s="4"/>
    </row>
    <row r="124" spans="1:13" x14ac:dyDescent="0.3">
      <c r="A124" s="4">
        <f t="shared" si="6"/>
        <v>8</v>
      </c>
      <c r="B124" s="32" t="s">
        <v>1091</v>
      </c>
      <c r="D124" s="221"/>
      <c r="E124" s="221"/>
      <c r="F124" s="221"/>
      <c r="G124" s="111">
        <f>'AV-1A'!C29</f>
        <v>11020.262002440008</v>
      </c>
      <c r="H124" s="221"/>
      <c r="I124" s="424" t="s">
        <v>1765</v>
      </c>
      <c r="J124" s="4">
        <f t="shared" si="7"/>
        <v>8</v>
      </c>
      <c r="K124" s="4"/>
      <c r="L124" s="221"/>
    </row>
    <row r="125" spans="1:13" x14ac:dyDescent="0.3">
      <c r="A125" s="4">
        <f t="shared" si="6"/>
        <v>9</v>
      </c>
      <c r="B125" s="32" t="s">
        <v>1092</v>
      </c>
      <c r="D125" s="221"/>
      <c r="E125" s="510"/>
      <c r="F125" s="221"/>
      <c r="G125" s="7">
        <f>'TO5 True-Up BK-1'!E136</f>
        <v>5319978.2293297024</v>
      </c>
      <c r="H125" s="221"/>
      <c r="I125" s="92" t="s">
        <v>1398</v>
      </c>
      <c r="J125" s="4">
        <f t="shared" si="7"/>
        <v>9</v>
      </c>
      <c r="K125" s="4"/>
      <c r="L125" s="4"/>
    </row>
    <row r="126" spans="1:13" x14ac:dyDescent="0.3">
      <c r="A126" s="4">
        <f t="shared" si="6"/>
        <v>10</v>
      </c>
      <c r="B126" s="32" t="s">
        <v>1399</v>
      </c>
      <c r="D126" s="48"/>
      <c r="E126" s="221"/>
      <c r="F126" s="221"/>
      <c r="G126" s="1072">
        <v>0.21</v>
      </c>
      <c r="H126" s="221"/>
      <c r="I126" s="92" t="s">
        <v>1096</v>
      </c>
      <c r="J126" s="4">
        <f t="shared" si="7"/>
        <v>10</v>
      </c>
      <c r="K126" s="4"/>
      <c r="L126" s="4"/>
      <c r="M126" s="257"/>
    </row>
    <row r="127" spans="1:13" x14ac:dyDescent="0.3">
      <c r="A127" s="4">
        <f t="shared" si="6"/>
        <v>11</v>
      </c>
      <c r="G127" s="4"/>
      <c r="H127" s="4"/>
      <c r="J127" s="4">
        <f t="shared" si="7"/>
        <v>11</v>
      </c>
      <c r="K127" s="4"/>
      <c r="L127" s="4"/>
    </row>
    <row r="128" spans="1:13" x14ac:dyDescent="0.3">
      <c r="A128" s="4">
        <f t="shared" si="6"/>
        <v>12</v>
      </c>
      <c r="B128" s="32" t="s">
        <v>1097</v>
      </c>
      <c r="D128" s="221"/>
      <c r="E128" s="221"/>
      <c r="F128" s="221"/>
      <c r="G128" s="1065">
        <f>IFERROR((((G122)+(G124/G125))*G126-(G123/G125))/(1-G126),0)</f>
        <v>1.3899083696568159E-2</v>
      </c>
      <c r="H128" s="26"/>
      <c r="I128" s="92" t="s">
        <v>1098</v>
      </c>
      <c r="J128" s="4">
        <f t="shared" si="7"/>
        <v>12</v>
      </c>
      <c r="K128" s="4"/>
      <c r="L128" s="4"/>
      <c r="M128" s="469"/>
    </row>
    <row r="129" spans="1:14" x14ac:dyDescent="0.3">
      <c r="A129" s="4">
        <f t="shared" si="6"/>
        <v>13</v>
      </c>
      <c r="B129" s="252" t="s">
        <v>1099</v>
      </c>
      <c r="G129" s="4"/>
      <c r="H129" s="4"/>
      <c r="J129" s="4">
        <f t="shared" si="7"/>
        <v>13</v>
      </c>
    </row>
    <row r="130" spans="1:14" x14ac:dyDescent="0.3">
      <c r="A130" s="4">
        <f t="shared" si="6"/>
        <v>14</v>
      </c>
      <c r="G130" s="4"/>
      <c r="H130" s="4"/>
      <c r="J130" s="4">
        <f t="shared" si="7"/>
        <v>14</v>
      </c>
    </row>
    <row r="131" spans="1:14" x14ac:dyDescent="0.3">
      <c r="A131" s="4">
        <f t="shared" si="6"/>
        <v>15</v>
      </c>
      <c r="B131" s="254" t="s">
        <v>1100</v>
      </c>
      <c r="C131" s="221"/>
      <c r="D131" s="221"/>
      <c r="E131" s="221"/>
      <c r="F131" s="221"/>
      <c r="G131" s="137"/>
      <c r="H131" s="137"/>
      <c r="I131" s="470"/>
      <c r="J131" s="4">
        <f t="shared" si="7"/>
        <v>15</v>
      </c>
      <c r="L131" s="471"/>
    </row>
    <row r="132" spans="1:14" x14ac:dyDescent="0.3">
      <c r="A132" s="4">
        <f t="shared" si="6"/>
        <v>16</v>
      </c>
      <c r="B132" s="343"/>
      <c r="C132" s="221"/>
      <c r="D132" s="221"/>
      <c r="E132" s="221"/>
      <c r="F132" s="221"/>
      <c r="G132" s="137"/>
      <c r="H132" s="137"/>
      <c r="I132" s="472"/>
      <c r="J132" s="4">
        <f t="shared" si="7"/>
        <v>16</v>
      </c>
      <c r="L132" s="221"/>
    </row>
    <row r="133" spans="1:14" x14ac:dyDescent="0.3">
      <c r="A133" s="4">
        <f t="shared" si="6"/>
        <v>17</v>
      </c>
      <c r="B133" s="33" t="s">
        <v>1087</v>
      </c>
      <c r="C133" s="221"/>
      <c r="D133" s="221"/>
      <c r="E133" s="221"/>
      <c r="F133" s="221"/>
      <c r="G133" s="137"/>
      <c r="H133" s="137"/>
      <c r="I133" s="472"/>
      <c r="J133" s="4">
        <f t="shared" si="7"/>
        <v>17</v>
      </c>
      <c r="L133" s="221"/>
    </row>
    <row r="134" spans="1:14" x14ac:dyDescent="0.3">
      <c r="A134" s="4">
        <f t="shared" si="6"/>
        <v>18</v>
      </c>
      <c r="B134" s="32" t="s">
        <v>1088</v>
      </c>
      <c r="D134" s="221"/>
      <c r="E134" s="221"/>
      <c r="F134" s="221"/>
      <c r="G134" s="136">
        <f>G122</f>
        <v>5.3722309935564205E-2</v>
      </c>
      <c r="H134" s="27"/>
      <c r="I134" s="92" t="s">
        <v>1101</v>
      </c>
      <c r="J134" s="4">
        <f t="shared" si="7"/>
        <v>18</v>
      </c>
      <c r="L134" s="4"/>
      <c r="N134" s="258"/>
    </row>
    <row r="135" spans="1:14" x14ac:dyDescent="0.3">
      <c r="A135" s="4">
        <f t="shared" si="6"/>
        <v>19</v>
      </c>
      <c r="B135" s="32" t="s">
        <v>1102</v>
      </c>
      <c r="D135" s="221"/>
      <c r="E135" s="221"/>
      <c r="F135" s="221"/>
      <c r="G135" s="893">
        <f>-'Stmt AT'!E19</f>
        <v>0</v>
      </c>
      <c r="H135" s="27"/>
      <c r="I135" s="92" t="s">
        <v>1103</v>
      </c>
      <c r="J135" s="4">
        <f t="shared" si="7"/>
        <v>19</v>
      </c>
      <c r="L135" s="4"/>
      <c r="N135" s="258"/>
    </row>
    <row r="136" spans="1:14" x14ac:dyDescent="0.3">
      <c r="A136" s="4">
        <f t="shared" si="6"/>
        <v>20</v>
      </c>
      <c r="B136" s="32" t="s">
        <v>1091</v>
      </c>
      <c r="D136" s="221"/>
      <c r="E136" s="221"/>
      <c r="F136" s="221"/>
      <c r="G136" s="22">
        <f>G124</f>
        <v>11020.262002440008</v>
      </c>
      <c r="H136" s="45"/>
      <c r="I136" s="92" t="s">
        <v>1104</v>
      </c>
      <c r="J136" s="4">
        <f t="shared" si="7"/>
        <v>20</v>
      </c>
      <c r="L136" s="4"/>
    </row>
    <row r="137" spans="1:14" x14ac:dyDescent="0.3">
      <c r="A137" s="4">
        <f t="shared" si="6"/>
        <v>21</v>
      </c>
      <c r="B137" s="32" t="s">
        <v>1092</v>
      </c>
      <c r="D137" s="221"/>
      <c r="E137" s="221"/>
      <c r="F137" s="221"/>
      <c r="G137" s="7">
        <f>G125</f>
        <v>5319978.2293297024</v>
      </c>
      <c r="H137" s="10"/>
      <c r="I137" s="92" t="s">
        <v>1105</v>
      </c>
      <c r="J137" s="4">
        <f t="shared" si="7"/>
        <v>21</v>
      </c>
      <c r="L137" s="4"/>
      <c r="N137" s="258"/>
    </row>
    <row r="138" spans="1:14" x14ac:dyDescent="0.3">
      <c r="A138" s="4">
        <f t="shared" si="6"/>
        <v>22</v>
      </c>
      <c r="B138" s="32" t="s">
        <v>1106</v>
      </c>
      <c r="D138" s="221"/>
      <c r="E138" s="221"/>
      <c r="F138" s="221"/>
      <c r="G138" s="1161">
        <f>G128</f>
        <v>1.3899083696568159E-2</v>
      </c>
      <c r="H138" s="26"/>
      <c r="I138" s="92" t="s">
        <v>1107</v>
      </c>
      <c r="J138" s="4">
        <f t="shared" si="7"/>
        <v>22</v>
      </c>
      <c r="K138" s="4"/>
      <c r="L138" s="4"/>
      <c r="M138" s="4"/>
    </row>
    <row r="139" spans="1:14" x14ac:dyDescent="0.3">
      <c r="A139" s="4">
        <f t="shared" si="6"/>
        <v>23</v>
      </c>
      <c r="B139" s="32" t="s">
        <v>1108</v>
      </c>
      <c r="D139" s="221"/>
      <c r="E139" s="221"/>
      <c r="F139" s="221"/>
      <c r="G139" s="1064" t="s">
        <v>1109</v>
      </c>
      <c r="H139" s="221"/>
      <c r="I139" s="92" t="s">
        <v>1110</v>
      </c>
      <c r="J139" s="4">
        <f t="shared" si="7"/>
        <v>23</v>
      </c>
      <c r="K139" s="4"/>
      <c r="L139" s="4"/>
      <c r="M139" s="4"/>
    </row>
    <row r="140" spans="1:14" x14ac:dyDescent="0.3">
      <c r="A140" s="4">
        <f t="shared" si="6"/>
        <v>24</v>
      </c>
      <c r="B140" s="1"/>
      <c r="D140" s="221"/>
      <c r="E140" s="221"/>
      <c r="F140" s="221"/>
      <c r="G140" s="138"/>
      <c r="H140" s="138"/>
      <c r="I140" s="472"/>
      <c r="J140" s="4">
        <f t="shared" si="7"/>
        <v>24</v>
      </c>
      <c r="K140" s="4"/>
      <c r="L140" s="4"/>
      <c r="M140" s="4"/>
    </row>
    <row r="141" spans="1:14" x14ac:dyDescent="0.3">
      <c r="A141" s="4">
        <f t="shared" si="6"/>
        <v>25</v>
      </c>
      <c r="B141" s="32" t="s">
        <v>1111</v>
      </c>
      <c r="C141" s="4"/>
      <c r="D141" s="4"/>
      <c r="E141" s="221"/>
      <c r="F141" s="221"/>
      <c r="G141" s="1065">
        <f>IFERROR((((G134)+(G136/G137)+G128)*G139-(G135/G137))/(1-G139),0)</f>
        <v>6.7582827838262973E-3</v>
      </c>
      <c r="H141" s="26"/>
      <c r="I141" s="92" t="s">
        <v>1112</v>
      </c>
      <c r="J141" s="4">
        <f t="shared" si="7"/>
        <v>25</v>
      </c>
      <c r="K141" s="4"/>
      <c r="L141" s="4"/>
      <c r="M141" s="4"/>
    </row>
    <row r="142" spans="1:14" x14ac:dyDescent="0.3">
      <c r="A142" s="4">
        <f t="shared" si="6"/>
        <v>26</v>
      </c>
      <c r="B142" s="252" t="s">
        <v>1400</v>
      </c>
      <c r="G142" s="4"/>
      <c r="H142" s="4"/>
      <c r="I142" s="92"/>
      <c r="J142" s="4">
        <f t="shared" si="7"/>
        <v>26</v>
      </c>
      <c r="K142" s="4"/>
      <c r="L142" s="4"/>
      <c r="M142" s="4"/>
    </row>
    <row r="143" spans="1:14" x14ac:dyDescent="0.3">
      <c r="A143" s="4">
        <f t="shared" si="6"/>
        <v>27</v>
      </c>
      <c r="G143" s="4"/>
      <c r="H143" s="4"/>
      <c r="I143" s="92"/>
      <c r="J143" s="4">
        <f t="shared" si="7"/>
        <v>27</v>
      </c>
      <c r="K143" s="4"/>
      <c r="L143" s="4"/>
      <c r="M143" s="4"/>
    </row>
    <row r="144" spans="1:14" x14ac:dyDescent="0.3">
      <c r="A144" s="4">
        <f t="shared" si="6"/>
        <v>28</v>
      </c>
      <c r="B144" s="254" t="s">
        <v>1673</v>
      </c>
      <c r="G144" s="1065">
        <f>G141+G128</f>
        <v>2.0657366480394457E-2</v>
      </c>
      <c r="H144" s="26"/>
      <c r="I144" s="92" t="s">
        <v>1114</v>
      </c>
      <c r="J144" s="4">
        <f t="shared" si="7"/>
        <v>28</v>
      </c>
      <c r="K144" s="4"/>
      <c r="L144" s="4"/>
      <c r="M144" s="4"/>
    </row>
    <row r="145" spans="1:13" x14ac:dyDescent="0.3">
      <c r="A145" s="4">
        <f t="shared" si="6"/>
        <v>29</v>
      </c>
      <c r="G145" s="4"/>
      <c r="H145" s="4"/>
      <c r="I145" s="92"/>
      <c r="J145" s="4">
        <f t="shared" si="7"/>
        <v>29</v>
      </c>
      <c r="L145" s="4"/>
    </row>
    <row r="146" spans="1:13" x14ac:dyDescent="0.3">
      <c r="A146" s="4">
        <f t="shared" si="6"/>
        <v>30</v>
      </c>
      <c r="B146" s="254" t="s">
        <v>1674</v>
      </c>
      <c r="G146" s="871">
        <f>G50</f>
        <v>7.2369001423381055E-2</v>
      </c>
      <c r="H146" s="221"/>
      <c r="I146" s="92" t="s">
        <v>1675</v>
      </c>
      <c r="J146" s="4">
        <f t="shared" si="7"/>
        <v>30</v>
      </c>
      <c r="K146" s="258"/>
      <c r="L146" s="4"/>
    </row>
    <row r="147" spans="1:13" x14ac:dyDescent="0.3">
      <c r="A147" s="4">
        <f t="shared" si="6"/>
        <v>31</v>
      </c>
      <c r="G147" s="27"/>
      <c r="H147" s="27"/>
      <c r="I147" s="92"/>
      <c r="J147" s="4">
        <f t="shared" si="7"/>
        <v>31</v>
      </c>
      <c r="L147" s="4"/>
    </row>
    <row r="148" spans="1:13" ht="18.600000000000001" thickBot="1" x14ac:dyDescent="0.35">
      <c r="A148" s="4">
        <f t="shared" si="6"/>
        <v>32</v>
      </c>
      <c r="B148" s="254" t="s">
        <v>1676</v>
      </c>
      <c r="G148" s="1144">
        <f>G144+G146</f>
        <v>9.3026367903775511E-2</v>
      </c>
      <c r="H148" s="26"/>
      <c r="I148" s="92" t="s">
        <v>1677</v>
      </c>
      <c r="J148" s="4">
        <f t="shared" si="7"/>
        <v>32</v>
      </c>
      <c r="K148" s="258"/>
      <c r="L148" s="473"/>
      <c r="M148" s="469"/>
    </row>
    <row r="149" spans="1:13" ht="16.8" thickTop="1" thickBot="1" x14ac:dyDescent="0.35">
      <c r="A149" s="865">
        <f t="shared" si="6"/>
        <v>33</v>
      </c>
      <c r="B149" s="866"/>
      <c r="C149" s="866"/>
      <c r="D149" s="866"/>
      <c r="E149" s="866"/>
      <c r="F149" s="866"/>
      <c r="G149" s="865"/>
      <c r="H149" s="865"/>
      <c r="I149" s="867"/>
      <c r="J149" s="865">
        <f t="shared" si="7"/>
        <v>33</v>
      </c>
      <c r="K149" s="258"/>
      <c r="L149" s="473"/>
      <c r="M149" s="469"/>
    </row>
    <row r="150" spans="1:13" x14ac:dyDescent="0.3">
      <c r="A150" s="4">
        <f t="shared" si="6"/>
        <v>34</v>
      </c>
      <c r="G150" s="4"/>
      <c r="H150" s="4"/>
      <c r="I150" s="92"/>
      <c r="J150" s="4">
        <f t="shared" si="7"/>
        <v>34</v>
      </c>
      <c r="K150" s="258"/>
      <c r="L150" s="473"/>
      <c r="M150" s="469"/>
    </row>
    <row r="151" spans="1:13" ht="18" x14ac:dyDescent="0.3">
      <c r="A151" s="4">
        <f t="shared" si="6"/>
        <v>35</v>
      </c>
      <c r="B151" s="254" t="s">
        <v>1678</v>
      </c>
      <c r="E151" s="221"/>
      <c r="F151" s="221"/>
      <c r="G151" s="42"/>
      <c r="H151" s="42"/>
      <c r="I151" s="92"/>
      <c r="J151" s="4">
        <f t="shared" si="7"/>
        <v>35</v>
      </c>
      <c r="K151" s="258"/>
      <c r="L151" s="473"/>
      <c r="M151" s="469"/>
    </row>
    <row r="152" spans="1:13" x14ac:dyDescent="0.3">
      <c r="A152" s="4">
        <f t="shared" si="6"/>
        <v>36</v>
      </c>
      <c r="B152" s="34"/>
      <c r="E152" s="221"/>
      <c r="F152" s="221"/>
      <c r="G152" s="42"/>
      <c r="H152" s="42"/>
      <c r="I152" s="92"/>
      <c r="J152" s="4">
        <f t="shared" si="7"/>
        <v>36</v>
      </c>
      <c r="K152" s="258"/>
      <c r="L152" s="473"/>
      <c r="M152" s="469"/>
    </row>
    <row r="153" spans="1:13" x14ac:dyDescent="0.3">
      <c r="A153" s="4">
        <f t="shared" si="6"/>
        <v>37</v>
      </c>
      <c r="B153" s="254" t="s">
        <v>1086</v>
      </c>
      <c r="E153" s="221"/>
      <c r="F153" s="221"/>
      <c r="G153" s="42"/>
      <c r="H153" s="42"/>
      <c r="I153" s="92"/>
      <c r="J153" s="4">
        <f t="shared" si="7"/>
        <v>37</v>
      </c>
      <c r="K153" s="258"/>
      <c r="L153" s="473"/>
      <c r="M153" s="469"/>
    </row>
    <row r="154" spans="1:13" x14ac:dyDescent="0.3">
      <c r="A154" s="4">
        <f t="shared" si="6"/>
        <v>38</v>
      </c>
      <c r="B154" s="221"/>
      <c r="C154" s="221"/>
      <c r="D154" s="221"/>
      <c r="E154" s="221"/>
      <c r="F154" s="221"/>
      <c r="G154" s="42"/>
      <c r="H154" s="42"/>
      <c r="I154" s="92"/>
      <c r="J154" s="4">
        <f t="shared" si="7"/>
        <v>38</v>
      </c>
      <c r="K154" s="258"/>
      <c r="L154" s="473"/>
      <c r="M154" s="469"/>
    </row>
    <row r="155" spans="1:13" x14ac:dyDescent="0.3">
      <c r="A155" s="4">
        <f t="shared" si="6"/>
        <v>39</v>
      </c>
      <c r="B155" s="33" t="s">
        <v>1087</v>
      </c>
      <c r="C155" s="221"/>
      <c r="D155" s="221"/>
      <c r="E155" s="221"/>
      <c r="F155" s="221"/>
      <c r="G155" s="42"/>
      <c r="H155" s="42"/>
      <c r="I155" s="467"/>
      <c r="J155" s="4">
        <f t="shared" si="7"/>
        <v>39</v>
      </c>
      <c r="K155" s="258"/>
      <c r="L155" s="473"/>
      <c r="M155" s="469"/>
    </row>
    <row r="156" spans="1:13" x14ac:dyDescent="0.3">
      <c r="A156" s="4">
        <f t="shared" si="6"/>
        <v>40</v>
      </c>
      <c r="B156" s="32" t="s">
        <v>1679</v>
      </c>
      <c r="D156" s="221"/>
      <c r="E156" s="221"/>
      <c r="F156" s="221"/>
      <c r="G156" s="1145">
        <f>G65</f>
        <v>2.6595202938398121E-3</v>
      </c>
      <c r="H156" s="221"/>
      <c r="I156" s="92" t="s">
        <v>1680</v>
      </c>
      <c r="J156" s="4">
        <f t="shared" si="7"/>
        <v>40</v>
      </c>
      <c r="K156" s="258"/>
      <c r="L156" s="473"/>
      <c r="M156" s="469"/>
    </row>
    <row r="157" spans="1:13" x14ac:dyDescent="0.3">
      <c r="A157" s="4">
        <f t="shared" si="6"/>
        <v>41</v>
      </c>
      <c r="B157" s="32" t="s">
        <v>1089</v>
      </c>
      <c r="D157" s="221"/>
      <c r="E157" s="221"/>
      <c r="F157" s="221"/>
      <c r="G157" s="1146">
        <v>0</v>
      </c>
      <c r="H157" s="221"/>
      <c r="I157" s="92" t="s">
        <v>1653</v>
      </c>
      <c r="J157" s="4">
        <f t="shared" si="7"/>
        <v>41</v>
      </c>
      <c r="K157" s="258"/>
      <c r="L157" s="473"/>
      <c r="M157" s="469"/>
    </row>
    <row r="158" spans="1:13" x14ac:dyDescent="0.3">
      <c r="A158" s="4">
        <f t="shared" si="6"/>
        <v>42</v>
      </c>
      <c r="B158" s="32" t="s">
        <v>1091</v>
      </c>
      <c r="D158" s="221"/>
      <c r="E158" s="221"/>
      <c r="F158" s="221"/>
      <c r="G158" s="1146">
        <v>0</v>
      </c>
      <c r="H158" s="221"/>
      <c r="I158" s="92" t="s">
        <v>1653</v>
      </c>
      <c r="J158" s="4">
        <f t="shared" si="7"/>
        <v>42</v>
      </c>
      <c r="K158" s="258"/>
      <c r="L158" s="473"/>
      <c r="M158" s="469"/>
    </row>
    <row r="159" spans="1:13" x14ac:dyDescent="0.3">
      <c r="A159" s="4">
        <f t="shared" si="6"/>
        <v>43</v>
      </c>
      <c r="B159" s="32" t="s">
        <v>1092</v>
      </c>
      <c r="D159" s="221"/>
      <c r="E159" s="468"/>
      <c r="F159" s="221"/>
      <c r="G159" s="1147">
        <f>'TO5 True-Up BK-1'!E136</f>
        <v>5319978.2293297024</v>
      </c>
      <c r="H159" s="221"/>
      <c r="I159" s="92" t="s">
        <v>1398</v>
      </c>
      <c r="J159" s="4">
        <f t="shared" si="7"/>
        <v>43</v>
      </c>
      <c r="K159" s="258"/>
      <c r="L159" s="473"/>
      <c r="M159" s="469"/>
    </row>
    <row r="160" spans="1:13" x14ac:dyDescent="0.3">
      <c r="A160" s="4">
        <f t="shared" si="6"/>
        <v>44</v>
      </c>
      <c r="B160" s="32" t="s">
        <v>1094</v>
      </c>
      <c r="D160" s="869"/>
      <c r="E160" s="221"/>
      <c r="F160" s="221"/>
      <c r="G160" s="1148" t="s">
        <v>1095</v>
      </c>
      <c r="H160" s="221"/>
      <c r="I160" s="92" t="s">
        <v>1096</v>
      </c>
      <c r="J160" s="4">
        <f t="shared" si="7"/>
        <v>44</v>
      </c>
      <c r="K160" s="258"/>
      <c r="L160" s="473"/>
      <c r="M160" s="469"/>
    </row>
    <row r="161" spans="1:13" x14ac:dyDescent="0.3">
      <c r="A161" s="4">
        <f t="shared" si="6"/>
        <v>45</v>
      </c>
      <c r="G161" s="4"/>
      <c r="H161" s="4"/>
      <c r="J161" s="4">
        <f t="shared" si="7"/>
        <v>45</v>
      </c>
      <c r="K161" s="258"/>
      <c r="L161" s="473"/>
      <c r="M161" s="469"/>
    </row>
    <row r="162" spans="1:13" x14ac:dyDescent="0.3">
      <c r="A162" s="4">
        <f t="shared" si="6"/>
        <v>46</v>
      </c>
      <c r="B162" s="32" t="s">
        <v>1097</v>
      </c>
      <c r="D162" s="221"/>
      <c r="E162" s="221"/>
      <c r="F162" s="221"/>
      <c r="G162" s="1153">
        <f>IFERROR((((G156)+(G158/G159))*G160-(G157/G159))/(1-G160),0)</f>
        <v>7.0696109076754494E-4</v>
      </c>
      <c r="H162" s="1149"/>
      <c r="I162" s="92" t="s">
        <v>1098</v>
      </c>
      <c r="J162" s="4">
        <f t="shared" si="7"/>
        <v>46</v>
      </c>
      <c r="K162" s="258"/>
      <c r="L162" s="473"/>
      <c r="M162" s="469"/>
    </row>
    <row r="163" spans="1:13" x14ac:dyDescent="0.3">
      <c r="A163" s="4">
        <f t="shared" si="6"/>
        <v>47</v>
      </c>
      <c r="B163" s="252" t="s">
        <v>1099</v>
      </c>
      <c r="G163" s="4"/>
      <c r="H163" s="4"/>
      <c r="J163" s="4">
        <f t="shared" si="7"/>
        <v>47</v>
      </c>
      <c r="K163" s="258"/>
      <c r="L163" s="473"/>
      <c r="M163" s="469"/>
    </row>
    <row r="164" spans="1:13" x14ac:dyDescent="0.3">
      <c r="A164" s="4">
        <f t="shared" si="6"/>
        <v>48</v>
      </c>
      <c r="G164" s="4"/>
      <c r="H164" s="4"/>
      <c r="J164" s="4">
        <f t="shared" si="7"/>
        <v>48</v>
      </c>
      <c r="K164" s="258"/>
      <c r="L164" s="473"/>
      <c r="M164" s="469"/>
    </row>
    <row r="165" spans="1:13" x14ac:dyDescent="0.3">
      <c r="A165" s="4">
        <f t="shared" si="6"/>
        <v>49</v>
      </c>
      <c r="B165" s="254" t="s">
        <v>1100</v>
      </c>
      <c r="C165" s="221"/>
      <c r="D165" s="221"/>
      <c r="E165" s="221"/>
      <c r="F165" s="221"/>
      <c r="G165" s="137"/>
      <c r="H165" s="137"/>
      <c r="I165" s="470"/>
      <c r="J165" s="4">
        <f t="shared" si="7"/>
        <v>49</v>
      </c>
      <c r="K165" s="258"/>
      <c r="L165" s="473"/>
      <c r="M165" s="469"/>
    </row>
    <row r="166" spans="1:13" x14ac:dyDescent="0.3">
      <c r="A166" s="4">
        <f t="shared" si="6"/>
        <v>50</v>
      </c>
      <c r="B166" s="343"/>
      <c r="C166" s="221"/>
      <c r="D166" s="221"/>
      <c r="E166" s="221"/>
      <c r="F166" s="221"/>
      <c r="G166" s="137"/>
      <c r="H166" s="137"/>
      <c r="I166" s="472"/>
      <c r="J166" s="4">
        <f t="shared" si="7"/>
        <v>50</v>
      </c>
      <c r="K166" s="258"/>
      <c r="L166" s="473"/>
      <c r="M166" s="469"/>
    </row>
    <row r="167" spans="1:13" x14ac:dyDescent="0.3">
      <c r="A167" s="4">
        <f t="shared" si="6"/>
        <v>51</v>
      </c>
      <c r="B167" s="33" t="s">
        <v>1087</v>
      </c>
      <c r="C167" s="221"/>
      <c r="D167" s="221"/>
      <c r="E167" s="221"/>
      <c r="F167" s="221"/>
      <c r="G167" s="137"/>
      <c r="H167" s="137"/>
      <c r="I167" s="472"/>
      <c r="J167" s="4">
        <f t="shared" si="7"/>
        <v>51</v>
      </c>
      <c r="K167" s="258"/>
      <c r="L167" s="473"/>
      <c r="M167" s="469"/>
    </row>
    <row r="168" spans="1:13" x14ac:dyDescent="0.3">
      <c r="A168" s="4">
        <f t="shared" si="6"/>
        <v>52</v>
      </c>
      <c r="B168" s="32" t="s">
        <v>1679</v>
      </c>
      <c r="D168" s="221"/>
      <c r="E168" s="221"/>
      <c r="F168" s="221"/>
      <c r="G168" s="1145">
        <f>G156</f>
        <v>2.6595202938398121E-3</v>
      </c>
      <c r="H168" s="857"/>
      <c r="I168" s="92" t="s">
        <v>1681</v>
      </c>
      <c r="J168" s="4">
        <f t="shared" si="7"/>
        <v>52</v>
      </c>
      <c r="K168" s="258"/>
      <c r="L168" s="473"/>
      <c r="M168" s="469"/>
    </row>
    <row r="169" spans="1:13" x14ac:dyDescent="0.3">
      <c r="A169" s="4">
        <f t="shared" si="6"/>
        <v>53</v>
      </c>
      <c r="B169" s="32" t="s">
        <v>1102</v>
      </c>
      <c r="D169" s="221"/>
      <c r="E169" s="221"/>
      <c r="F169" s="221"/>
      <c r="G169" s="139">
        <v>0</v>
      </c>
      <c r="H169" s="857"/>
      <c r="I169" s="92" t="s">
        <v>1653</v>
      </c>
      <c r="J169" s="4">
        <f t="shared" si="7"/>
        <v>53</v>
      </c>
      <c r="K169" s="258"/>
      <c r="L169" s="473"/>
      <c r="M169" s="469"/>
    </row>
    <row r="170" spans="1:13" x14ac:dyDescent="0.3">
      <c r="A170" s="4">
        <f t="shared" si="6"/>
        <v>54</v>
      </c>
      <c r="B170" s="32" t="s">
        <v>1091</v>
      </c>
      <c r="D170" s="221"/>
      <c r="E170" s="221"/>
      <c r="F170" s="221"/>
      <c r="G170" s="1158">
        <f>G158</f>
        <v>0</v>
      </c>
      <c r="H170" s="1150"/>
      <c r="I170" s="92" t="s">
        <v>1682</v>
      </c>
      <c r="J170" s="4">
        <f t="shared" si="7"/>
        <v>54</v>
      </c>
      <c r="K170" s="258"/>
      <c r="L170" s="473"/>
      <c r="M170" s="469"/>
    </row>
    <row r="171" spans="1:13" x14ac:dyDescent="0.3">
      <c r="A171" s="4">
        <f t="shared" si="6"/>
        <v>55</v>
      </c>
      <c r="B171" s="32" t="s">
        <v>1092</v>
      </c>
      <c r="D171" s="221"/>
      <c r="E171" s="221"/>
      <c r="F171" s="221"/>
      <c r="G171" s="1147">
        <f>G159</f>
        <v>5319978.2293297024</v>
      </c>
      <c r="H171" s="870"/>
      <c r="I171" s="92" t="s">
        <v>1683</v>
      </c>
      <c r="J171" s="4">
        <f t="shared" si="7"/>
        <v>55</v>
      </c>
      <c r="K171" s="258"/>
      <c r="L171" s="473"/>
      <c r="M171" s="469"/>
    </row>
    <row r="172" spans="1:13" x14ac:dyDescent="0.3">
      <c r="A172" s="4">
        <f t="shared" si="6"/>
        <v>56</v>
      </c>
      <c r="B172" s="32" t="s">
        <v>1106</v>
      </c>
      <c r="D172" s="221"/>
      <c r="E172" s="221"/>
      <c r="F172" s="221"/>
      <c r="G172" s="1210">
        <f>G162</f>
        <v>7.0696109076754494E-4</v>
      </c>
      <c r="H172" s="1151"/>
      <c r="I172" s="92" t="s">
        <v>1684</v>
      </c>
      <c r="J172" s="4">
        <f t="shared" si="7"/>
        <v>56</v>
      </c>
      <c r="K172" s="258"/>
      <c r="L172" s="473"/>
      <c r="M172" s="469"/>
    </row>
    <row r="173" spans="1:13" x14ac:dyDescent="0.3">
      <c r="A173" s="4">
        <f t="shared" si="6"/>
        <v>57</v>
      </c>
      <c r="B173" s="32" t="s">
        <v>1108</v>
      </c>
      <c r="D173" s="221"/>
      <c r="E173" s="221"/>
      <c r="F173" s="221"/>
      <c r="G173" s="1148" t="s">
        <v>1109</v>
      </c>
      <c r="H173" s="221"/>
      <c r="I173" s="92" t="s">
        <v>1110</v>
      </c>
      <c r="J173" s="4">
        <f t="shared" si="7"/>
        <v>57</v>
      </c>
      <c r="K173" s="258"/>
      <c r="L173" s="473"/>
      <c r="M173" s="469"/>
    </row>
    <row r="174" spans="1:13" x14ac:dyDescent="0.3">
      <c r="A174" s="4">
        <f t="shared" si="6"/>
        <v>58</v>
      </c>
      <c r="B174" s="1"/>
      <c r="D174" s="221"/>
      <c r="E174" s="221"/>
      <c r="F174" s="221"/>
      <c r="G174" s="1152"/>
      <c r="H174" s="1152"/>
      <c r="I174" s="472"/>
      <c r="J174" s="4">
        <f t="shared" si="7"/>
        <v>58</v>
      </c>
      <c r="K174" s="258"/>
      <c r="L174" s="473"/>
      <c r="M174" s="469"/>
    </row>
    <row r="175" spans="1:13" x14ac:dyDescent="0.3">
      <c r="A175" s="4">
        <f t="shared" si="6"/>
        <v>59</v>
      </c>
      <c r="B175" s="32" t="s">
        <v>1111</v>
      </c>
      <c r="C175" s="4"/>
      <c r="D175" s="4"/>
      <c r="E175" s="221"/>
      <c r="F175" s="221"/>
      <c r="G175" s="1153">
        <f>IFERROR((((G168)+(G170/G171)+G162)*G173-(G169/G171))/(1-G173),0)</f>
        <v>3.2645563229408771E-4</v>
      </c>
      <c r="H175" s="1154"/>
      <c r="I175" s="92" t="s">
        <v>1112</v>
      </c>
      <c r="J175" s="4">
        <f t="shared" si="7"/>
        <v>59</v>
      </c>
      <c r="K175" s="258"/>
      <c r="L175" s="473"/>
      <c r="M175" s="469"/>
    </row>
    <row r="176" spans="1:13" x14ac:dyDescent="0.3">
      <c r="A176" s="4">
        <f t="shared" si="6"/>
        <v>60</v>
      </c>
      <c r="B176" s="252" t="s">
        <v>1400</v>
      </c>
      <c r="G176" s="4"/>
      <c r="H176" s="4"/>
      <c r="I176" s="92"/>
      <c r="J176" s="4">
        <f t="shared" si="7"/>
        <v>60</v>
      </c>
      <c r="K176" s="258"/>
      <c r="L176" s="473"/>
      <c r="M176" s="469"/>
    </row>
    <row r="177" spans="1:13" x14ac:dyDescent="0.3">
      <c r="A177" s="4">
        <f t="shared" si="6"/>
        <v>61</v>
      </c>
      <c r="G177" s="4"/>
      <c r="H177" s="4"/>
      <c r="I177" s="92"/>
      <c r="J177" s="4">
        <f t="shared" si="7"/>
        <v>61</v>
      </c>
      <c r="K177" s="258"/>
      <c r="L177" s="473"/>
      <c r="M177" s="469"/>
    </row>
    <row r="178" spans="1:13" x14ac:dyDescent="0.3">
      <c r="A178" s="4">
        <f t="shared" si="6"/>
        <v>62</v>
      </c>
      <c r="B178" s="254" t="s">
        <v>1673</v>
      </c>
      <c r="G178" s="1153">
        <f>G175+G162</f>
        <v>1.0334167230616326E-3</v>
      </c>
      <c r="H178" s="1149"/>
      <c r="I178" s="92" t="s">
        <v>1685</v>
      </c>
      <c r="J178" s="4">
        <f t="shared" si="7"/>
        <v>62</v>
      </c>
      <c r="K178" s="258"/>
      <c r="L178" s="473"/>
      <c r="M178" s="469"/>
    </row>
    <row r="179" spans="1:13" x14ac:dyDescent="0.3">
      <c r="A179" s="4">
        <f t="shared" si="6"/>
        <v>63</v>
      </c>
      <c r="G179" s="4"/>
      <c r="H179" s="4"/>
      <c r="I179" s="92"/>
      <c r="J179" s="4">
        <f t="shared" si="7"/>
        <v>63</v>
      </c>
      <c r="K179" s="258"/>
      <c r="L179" s="473"/>
      <c r="M179" s="469"/>
    </row>
    <row r="180" spans="1:13" x14ac:dyDescent="0.3">
      <c r="A180" s="4">
        <f t="shared" si="6"/>
        <v>64</v>
      </c>
      <c r="B180" s="254" t="s">
        <v>1686</v>
      </c>
      <c r="G180" s="1169">
        <f>G63</f>
        <v>2.6595202938398121E-3</v>
      </c>
      <c r="H180" s="221"/>
      <c r="I180" s="92" t="s">
        <v>1687</v>
      </c>
      <c r="J180" s="4">
        <f t="shared" si="7"/>
        <v>64</v>
      </c>
      <c r="K180" s="258"/>
      <c r="L180" s="473"/>
      <c r="M180" s="469"/>
    </row>
    <row r="181" spans="1:13" x14ac:dyDescent="0.3">
      <c r="A181" s="4">
        <f t="shared" si="6"/>
        <v>65</v>
      </c>
      <c r="G181" s="857"/>
      <c r="H181" s="857"/>
      <c r="I181" s="92"/>
      <c r="J181" s="4">
        <f t="shared" si="7"/>
        <v>65</v>
      </c>
      <c r="K181" s="258"/>
      <c r="L181" s="473"/>
      <c r="M181" s="469"/>
    </row>
    <row r="182" spans="1:13" ht="18.600000000000001" thickBot="1" x14ac:dyDescent="0.35">
      <c r="A182" s="4">
        <f t="shared" si="6"/>
        <v>66</v>
      </c>
      <c r="B182" s="254" t="s">
        <v>1688</v>
      </c>
      <c r="G182" s="1155">
        <f>G178+G180</f>
        <v>3.692937016901445E-3</v>
      </c>
      <c r="H182" s="1154"/>
      <c r="I182" s="92" t="s">
        <v>1689</v>
      </c>
      <c r="J182" s="4">
        <f t="shared" si="7"/>
        <v>66</v>
      </c>
      <c r="K182" s="258"/>
      <c r="L182" s="473"/>
      <c r="M182" s="469"/>
    </row>
    <row r="183" spans="1:13" ht="16.2" thickTop="1" x14ac:dyDescent="0.3">
      <c r="B183" s="254"/>
      <c r="G183" s="26"/>
      <c r="H183" s="26"/>
      <c r="I183" s="92"/>
      <c r="J183" s="4"/>
      <c r="K183" s="258"/>
      <c r="L183" s="473"/>
      <c r="M183" s="469"/>
    </row>
    <row r="184" spans="1:13" x14ac:dyDescent="0.3">
      <c r="A184" s="72"/>
      <c r="B184" s="1"/>
      <c r="C184" s="475"/>
      <c r="D184" s="475"/>
      <c r="E184" s="475"/>
      <c r="F184" s="475"/>
      <c r="G184" s="75"/>
      <c r="H184" s="75"/>
      <c r="I184" s="476"/>
      <c r="J184" s="4"/>
    </row>
    <row r="185" spans="1:13" x14ac:dyDescent="0.3">
      <c r="B185" s="1222" t="s">
        <v>1395</v>
      </c>
      <c r="C185" s="1222"/>
      <c r="D185" s="1222"/>
      <c r="E185" s="1222"/>
      <c r="F185" s="1222"/>
      <c r="G185" s="1222"/>
      <c r="H185" s="1222"/>
      <c r="I185" s="1222"/>
      <c r="J185" s="4"/>
    </row>
    <row r="186" spans="1:13" x14ac:dyDescent="0.3">
      <c r="B186" s="1222" t="s">
        <v>1020</v>
      </c>
      <c r="C186" s="1222"/>
      <c r="D186" s="1222"/>
      <c r="E186" s="1222"/>
      <c r="F186" s="1222"/>
      <c r="G186" s="1222"/>
      <c r="H186" s="1222"/>
      <c r="I186" s="1222"/>
      <c r="J186" s="4"/>
    </row>
    <row r="187" spans="1:13" x14ac:dyDescent="0.3">
      <c r="B187" s="1222" t="s">
        <v>1021</v>
      </c>
      <c r="C187" s="1222"/>
      <c r="D187" s="1222"/>
      <c r="E187" s="1222"/>
      <c r="F187" s="1222"/>
      <c r="G187" s="1222"/>
      <c r="H187" s="1222"/>
      <c r="I187" s="1222"/>
      <c r="J187" s="4"/>
    </row>
    <row r="188" spans="1:13" x14ac:dyDescent="0.3">
      <c r="B188" s="1227" t="str">
        <f>B5</f>
        <v>Base Period &amp; True-Up Period 12 - Months Ending December 31, 2023</v>
      </c>
      <c r="C188" s="1227"/>
      <c r="D188" s="1227"/>
      <c r="E188" s="1227"/>
      <c r="F188" s="1227"/>
      <c r="G188" s="1227"/>
      <c r="H188" s="1227"/>
      <c r="I188" s="1227"/>
      <c r="J188" s="4"/>
    </row>
    <row r="189" spans="1:13" x14ac:dyDescent="0.3">
      <c r="B189" s="1226" t="s">
        <v>4</v>
      </c>
      <c r="C189" s="1223"/>
      <c r="D189" s="1223"/>
      <c r="E189" s="1223"/>
      <c r="F189" s="1223"/>
      <c r="G189" s="1223"/>
      <c r="H189" s="1223"/>
      <c r="I189" s="1223"/>
      <c r="J189" s="4"/>
    </row>
    <row r="190" spans="1:13" x14ac:dyDescent="0.3">
      <c r="B190" s="4"/>
      <c r="C190" s="4"/>
      <c r="D190" s="4"/>
      <c r="E190" s="4"/>
      <c r="F190" s="4"/>
      <c r="G190" s="221"/>
      <c r="H190" s="221"/>
      <c r="I190" s="92"/>
      <c r="J190" s="4"/>
    </row>
    <row r="191" spans="1:13" x14ac:dyDescent="0.3">
      <c r="A191" s="4" t="s">
        <v>5</v>
      </c>
      <c r="B191" s="221"/>
      <c r="C191" s="221"/>
      <c r="D191" s="221"/>
      <c r="E191" s="221"/>
      <c r="F191" s="221"/>
      <c r="G191" s="221"/>
      <c r="H191" s="221"/>
      <c r="I191" s="92"/>
      <c r="J191" s="4" t="s">
        <v>5</v>
      </c>
    </row>
    <row r="192" spans="1:13" x14ac:dyDescent="0.3">
      <c r="A192" s="4" t="s">
        <v>6</v>
      </c>
      <c r="B192" s="4"/>
      <c r="C192" s="4"/>
      <c r="D192" s="4"/>
      <c r="E192" s="4"/>
      <c r="F192" s="4"/>
      <c r="G192" s="852" t="s">
        <v>7</v>
      </c>
      <c r="H192" s="221"/>
      <c r="I192" s="854" t="s">
        <v>8</v>
      </c>
      <c r="J192" s="4" t="s">
        <v>6</v>
      </c>
    </row>
    <row r="193" spans="1:10" x14ac:dyDescent="0.3">
      <c r="G193" s="4"/>
      <c r="H193" s="4"/>
      <c r="I193" s="92"/>
      <c r="J193" s="4"/>
    </row>
    <row r="194" spans="1:10" ht="18" x14ac:dyDescent="0.3">
      <c r="A194" s="4">
        <v>1</v>
      </c>
      <c r="B194" s="254" t="s">
        <v>1690</v>
      </c>
      <c r="E194" s="221"/>
      <c r="F194" s="221"/>
      <c r="G194" s="42"/>
      <c r="H194" s="42"/>
      <c r="I194" s="92"/>
      <c r="J194" s="4">
        <f>A194</f>
        <v>1</v>
      </c>
    </row>
    <row r="195" spans="1:10" x14ac:dyDescent="0.3">
      <c r="A195" s="4">
        <f>A194+1</f>
        <v>2</v>
      </c>
      <c r="B195" s="34"/>
      <c r="E195" s="221"/>
      <c r="F195" s="221"/>
      <c r="G195" s="42"/>
      <c r="H195" s="42"/>
      <c r="I195" s="92"/>
      <c r="J195" s="4">
        <f>J194+1</f>
        <v>2</v>
      </c>
    </row>
    <row r="196" spans="1:10" x14ac:dyDescent="0.3">
      <c r="A196" s="4">
        <f>A195+1</f>
        <v>3</v>
      </c>
      <c r="B196" s="254" t="s">
        <v>1396</v>
      </c>
      <c r="E196" s="221"/>
      <c r="F196" s="221"/>
      <c r="G196" s="42"/>
      <c r="H196" s="42"/>
      <c r="I196" s="92"/>
      <c r="J196" s="4">
        <f>J195+1</f>
        <v>3</v>
      </c>
    </row>
    <row r="197" spans="1:10" x14ac:dyDescent="0.3">
      <c r="A197" s="4">
        <f>A196+1</f>
        <v>4</v>
      </c>
      <c r="B197" s="221"/>
      <c r="C197" s="221"/>
      <c r="D197" s="221"/>
      <c r="E197" s="221"/>
      <c r="F197" s="221"/>
      <c r="G197" s="42"/>
      <c r="H197" s="42"/>
      <c r="I197" s="92"/>
      <c r="J197" s="4">
        <f>J196+1</f>
        <v>4</v>
      </c>
    </row>
    <row r="198" spans="1:10" x14ac:dyDescent="0.3">
      <c r="A198" s="4">
        <f t="shared" ref="A198:A259" si="8">A197+1</f>
        <v>5</v>
      </c>
      <c r="B198" s="33" t="s">
        <v>1087</v>
      </c>
      <c r="C198" s="221"/>
      <c r="D198" s="221"/>
      <c r="E198" s="221"/>
      <c r="F198" s="221"/>
      <c r="G198" s="42"/>
      <c r="H198" s="42"/>
      <c r="I198" s="467"/>
      <c r="J198" s="4">
        <f t="shared" ref="J198:J259" si="9">J197+1</f>
        <v>5</v>
      </c>
    </row>
    <row r="199" spans="1:10" x14ac:dyDescent="0.3">
      <c r="A199" s="4">
        <f t="shared" si="8"/>
        <v>6</v>
      </c>
      <c r="B199" s="32" t="s">
        <v>1088</v>
      </c>
      <c r="D199" s="221"/>
      <c r="E199" s="221"/>
      <c r="F199" s="221"/>
      <c r="G199" s="136">
        <f>G89</f>
        <v>0</v>
      </c>
      <c r="H199" s="221"/>
      <c r="I199" s="92" t="s">
        <v>1691</v>
      </c>
      <c r="J199" s="4">
        <f t="shared" si="9"/>
        <v>6</v>
      </c>
    </row>
    <row r="200" spans="1:10" x14ac:dyDescent="0.3">
      <c r="A200" s="4">
        <f t="shared" si="8"/>
        <v>7</v>
      </c>
      <c r="B200" s="32" t="s">
        <v>1089</v>
      </c>
      <c r="D200" s="221"/>
      <c r="E200" s="221"/>
      <c r="F200" s="221"/>
      <c r="G200" s="139">
        <v>0</v>
      </c>
      <c r="H200" s="221"/>
      <c r="I200" s="92" t="s">
        <v>1115</v>
      </c>
      <c r="J200" s="4">
        <f t="shared" si="9"/>
        <v>7</v>
      </c>
    </row>
    <row r="201" spans="1:10" x14ac:dyDescent="0.3">
      <c r="A201" s="4">
        <f t="shared" si="8"/>
        <v>8</v>
      </c>
      <c r="B201" s="32" t="s">
        <v>1091</v>
      </c>
      <c r="D201" s="221"/>
      <c r="E201" s="221"/>
      <c r="F201" s="221"/>
      <c r="G201" s="111">
        <v>0</v>
      </c>
      <c r="H201" s="221"/>
      <c r="I201" s="424"/>
      <c r="J201" s="4">
        <f t="shared" si="9"/>
        <v>8</v>
      </c>
    </row>
    <row r="202" spans="1:10" x14ac:dyDescent="0.3">
      <c r="A202" s="4">
        <f t="shared" si="8"/>
        <v>9</v>
      </c>
      <c r="B202" s="32" t="s">
        <v>1116</v>
      </c>
      <c r="D202" s="221"/>
      <c r="E202" s="221"/>
      <c r="F202" s="221"/>
      <c r="G202" s="22">
        <f>'TO5 True-Up BK-1'!E141</f>
        <v>0</v>
      </c>
      <c r="H202" s="221"/>
      <c r="I202" s="92" t="s">
        <v>1401</v>
      </c>
      <c r="J202" s="4">
        <f t="shared" si="9"/>
        <v>9</v>
      </c>
    </row>
    <row r="203" spans="1:10" x14ac:dyDescent="0.3">
      <c r="A203" s="4">
        <f t="shared" si="8"/>
        <v>10</v>
      </c>
      <c r="B203" s="32" t="s">
        <v>1094</v>
      </c>
      <c r="D203" s="221"/>
      <c r="E203" s="221"/>
      <c r="F203" s="221"/>
      <c r="G203" s="1066">
        <f>G126</f>
        <v>0.21</v>
      </c>
      <c r="H203" s="221"/>
      <c r="I203" s="92" t="s">
        <v>1692</v>
      </c>
      <c r="J203" s="4">
        <f t="shared" si="9"/>
        <v>10</v>
      </c>
    </row>
    <row r="204" spans="1:10" x14ac:dyDescent="0.3">
      <c r="A204" s="4">
        <f t="shared" si="8"/>
        <v>11</v>
      </c>
      <c r="G204" s="4"/>
      <c r="H204" s="4"/>
      <c r="J204" s="4">
        <f t="shared" si="9"/>
        <v>11</v>
      </c>
    </row>
    <row r="205" spans="1:10" x14ac:dyDescent="0.3">
      <c r="A205" s="4">
        <f t="shared" si="8"/>
        <v>12</v>
      </c>
      <c r="B205" s="32" t="s">
        <v>1118</v>
      </c>
      <c r="D205" s="221"/>
      <c r="E205" s="221"/>
      <c r="F205" s="221"/>
      <c r="G205" s="1065">
        <f>IFERROR((((G199)+(G201/G202))*G203-(G200/G202))/(1-G203),0)</f>
        <v>0</v>
      </c>
      <c r="H205" s="26"/>
      <c r="I205" s="92" t="s">
        <v>1119</v>
      </c>
      <c r="J205" s="4">
        <f t="shared" si="9"/>
        <v>12</v>
      </c>
    </row>
    <row r="206" spans="1:10" x14ac:dyDescent="0.3">
      <c r="A206" s="4">
        <f t="shared" si="8"/>
        <v>13</v>
      </c>
      <c r="B206" s="252" t="s">
        <v>1099</v>
      </c>
      <c r="G206" s="27"/>
      <c r="H206" s="27"/>
      <c r="J206" s="4">
        <f t="shared" si="9"/>
        <v>13</v>
      </c>
    </row>
    <row r="207" spans="1:10" x14ac:dyDescent="0.3">
      <c r="A207" s="4">
        <f t="shared" si="8"/>
        <v>14</v>
      </c>
      <c r="G207" s="4"/>
      <c r="H207" s="4"/>
      <c r="J207" s="4">
        <f t="shared" si="9"/>
        <v>14</v>
      </c>
    </row>
    <row r="208" spans="1:10" x14ac:dyDescent="0.3">
      <c r="A208" s="4">
        <f t="shared" si="8"/>
        <v>15</v>
      </c>
      <c r="B208" s="254" t="s">
        <v>1100</v>
      </c>
      <c r="C208" s="221"/>
      <c r="D208" s="221"/>
      <c r="E208" s="221"/>
      <c r="F208" s="221"/>
      <c r="G208" s="137"/>
      <c r="H208" s="137"/>
      <c r="I208" s="470"/>
      <c r="J208" s="4">
        <f t="shared" si="9"/>
        <v>15</v>
      </c>
    </row>
    <row r="209" spans="1:10" x14ac:dyDescent="0.3">
      <c r="A209" s="4">
        <f t="shared" si="8"/>
        <v>16</v>
      </c>
      <c r="B209" s="343"/>
      <c r="C209" s="221"/>
      <c r="D209" s="221"/>
      <c r="E209" s="221"/>
      <c r="F209" s="221"/>
      <c r="G209" s="137"/>
      <c r="H209" s="137"/>
      <c r="I209" s="467"/>
      <c r="J209" s="4">
        <f t="shared" si="9"/>
        <v>16</v>
      </c>
    </row>
    <row r="210" spans="1:10" x14ac:dyDescent="0.3">
      <c r="A210" s="4">
        <f t="shared" si="8"/>
        <v>17</v>
      </c>
      <c r="B210" s="33" t="s">
        <v>1087</v>
      </c>
      <c r="C210" s="221"/>
      <c r="D210" s="221"/>
      <c r="E210" s="221"/>
      <c r="F210" s="221"/>
      <c r="G210" s="137"/>
      <c r="H210" s="137"/>
      <c r="I210" s="467"/>
      <c r="J210" s="4">
        <f t="shared" si="9"/>
        <v>17</v>
      </c>
    </row>
    <row r="211" spans="1:10" x14ac:dyDescent="0.3">
      <c r="A211" s="4">
        <f t="shared" si="8"/>
        <v>18</v>
      </c>
      <c r="B211" s="32" t="s">
        <v>1088</v>
      </c>
      <c r="D211" s="221"/>
      <c r="E211" s="221"/>
      <c r="F211" s="221"/>
      <c r="G211" s="136">
        <f>G199</f>
        <v>0</v>
      </c>
      <c r="H211" s="27"/>
      <c r="I211" s="92" t="s">
        <v>1101</v>
      </c>
      <c r="J211" s="4">
        <f t="shared" si="9"/>
        <v>18</v>
      </c>
    </row>
    <row r="212" spans="1:10" x14ac:dyDescent="0.3">
      <c r="A212" s="4">
        <f t="shared" si="8"/>
        <v>19</v>
      </c>
      <c r="B212" s="32" t="s">
        <v>1102</v>
      </c>
      <c r="D212" s="221"/>
      <c r="E212" s="221"/>
      <c r="F212" s="221"/>
      <c r="G212" s="139">
        <v>0</v>
      </c>
      <c r="H212" s="27"/>
      <c r="I212" s="92" t="s">
        <v>1115</v>
      </c>
      <c r="J212" s="4">
        <f t="shared" si="9"/>
        <v>19</v>
      </c>
    </row>
    <row r="213" spans="1:10" x14ac:dyDescent="0.3">
      <c r="A213" s="4">
        <f t="shared" si="8"/>
        <v>20</v>
      </c>
      <c r="B213" s="32" t="s">
        <v>1091</v>
      </c>
      <c r="D213" s="221"/>
      <c r="E213" s="221"/>
      <c r="F213" s="221"/>
      <c r="G213" s="22">
        <f>G201</f>
        <v>0</v>
      </c>
      <c r="H213" s="45"/>
      <c r="I213" s="92" t="s">
        <v>1104</v>
      </c>
      <c r="J213" s="4">
        <f t="shared" si="9"/>
        <v>20</v>
      </c>
    </row>
    <row r="214" spans="1:10" x14ac:dyDescent="0.3">
      <c r="A214" s="4">
        <f t="shared" si="8"/>
        <v>21</v>
      </c>
      <c r="B214" s="32" t="s">
        <v>1116</v>
      </c>
      <c r="D214" s="221"/>
      <c r="E214" s="221"/>
      <c r="F214" s="221"/>
      <c r="G214" s="22">
        <f>G202</f>
        <v>0</v>
      </c>
      <c r="H214" s="45"/>
      <c r="I214" s="92" t="s">
        <v>1105</v>
      </c>
      <c r="J214" s="4">
        <f t="shared" si="9"/>
        <v>21</v>
      </c>
    </row>
    <row r="215" spans="1:10" x14ac:dyDescent="0.3">
      <c r="A215" s="4">
        <f t="shared" si="8"/>
        <v>22</v>
      </c>
      <c r="B215" s="32" t="s">
        <v>1106</v>
      </c>
      <c r="D215" s="221"/>
      <c r="E215" s="221"/>
      <c r="F215" s="221"/>
      <c r="G215" s="1161">
        <f>G205</f>
        <v>0</v>
      </c>
      <c r="H215" s="26"/>
      <c r="I215" s="92" t="s">
        <v>1107</v>
      </c>
      <c r="J215" s="4">
        <f t="shared" si="9"/>
        <v>22</v>
      </c>
    </row>
    <row r="216" spans="1:10" x14ac:dyDescent="0.3">
      <c r="A216" s="4">
        <f t="shared" si="8"/>
        <v>23</v>
      </c>
      <c r="B216" s="32" t="s">
        <v>1108</v>
      </c>
      <c r="D216" s="221"/>
      <c r="E216" s="221"/>
      <c r="F216" s="221"/>
      <c r="G216" s="931" t="str">
        <f>G139</f>
        <v>8.84%</v>
      </c>
      <c r="H216" s="221"/>
      <c r="I216" s="92" t="s">
        <v>1693</v>
      </c>
      <c r="J216" s="4">
        <f t="shared" si="9"/>
        <v>23</v>
      </c>
    </row>
    <row r="217" spans="1:10" x14ac:dyDescent="0.3">
      <c r="A217" s="4">
        <f t="shared" si="8"/>
        <v>24</v>
      </c>
      <c r="B217" s="1"/>
      <c r="D217" s="221"/>
      <c r="E217" s="221"/>
      <c r="F217" s="221"/>
      <c r="G217" s="138"/>
      <c r="H217" s="138"/>
      <c r="I217" s="472"/>
      <c r="J217" s="4">
        <f t="shared" si="9"/>
        <v>24</v>
      </c>
    </row>
    <row r="218" spans="1:10" x14ac:dyDescent="0.3">
      <c r="A218" s="4">
        <f t="shared" si="8"/>
        <v>25</v>
      </c>
      <c r="B218" s="32" t="s">
        <v>1111</v>
      </c>
      <c r="C218" s="4"/>
      <c r="D218" s="4"/>
      <c r="E218" s="221"/>
      <c r="F218" s="221"/>
      <c r="G218" s="1065">
        <f>IFERROR((((G211)+(G213/G214)+G205)*G216-(G212/G214))/(1-G216),0)</f>
        <v>0</v>
      </c>
      <c r="H218" s="26"/>
      <c r="I218" s="92" t="s">
        <v>1112</v>
      </c>
      <c r="J218" s="4">
        <f t="shared" si="9"/>
        <v>25</v>
      </c>
    </row>
    <row r="219" spans="1:10" x14ac:dyDescent="0.3">
      <c r="A219" s="4">
        <f t="shared" si="8"/>
        <v>26</v>
      </c>
      <c r="B219" s="252" t="s">
        <v>1400</v>
      </c>
      <c r="G219" s="4"/>
      <c r="H219" s="4"/>
      <c r="I219" s="92"/>
      <c r="J219" s="4">
        <f t="shared" si="9"/>
        <v>26</v>
      </c>
    </row>
    <row r="220" spans="1:10" x14ac:dyDescent="0.3">
      <c r="A220" s="4">
        <f t="shared" si="8"/>
        <v>27</v>
      </c>
      <c r="G220" s="4"/>
      <c r="H220" s="4"/>
      <c r="I220" s="92"/>
      <c r="J220" s="4">
        <f t="shared" si="9"/>
        <v>27</v>
      </c>
    </row>
    <row r="221" spans="1:10" x14ac:dyDescent="0.3">
      <c r="A221" s="4">
        <f t="shared" si="8"/>
        <v>28</v>
      </c>
      <c r="B221" s="254" t="s">
        <v>1673</v>
      </c>
      <c r="G221" s="1065">
        <f>G218+G205</f>
        <v>0</v>
      </c>
      <c r="H221" s="26"/>
      <c r="I221" s="92" t="s">
        <v>1114</v>
      </c>
      <c r="J221" s="4">
        <f t="shared" si="9"/>
        <v>28</v>
      </c>
    </row>
    <row r="222" spans="1:10" x14ac:dyDescent="0.3">
      <c r="A222" s="4">
        <f t="shared" si="8"/>
        <v>29</v>
      </c>
      <c r="G222" s="4"/>
      <c r="H222" s="4"/>
      <c r="I222" s="92"/>
      <c r="J222" s="4">
        <f t="shared" si="9"/>
        <v>29</v>
      </c>
    </row>
    <row r="223" spans="1:10" x14ac:dyDescent="0.3">
      <c r="A223" s="4">
        <f t="shared" si="8"/>
        <v>30</v>
      </c>
      <c r="B223" s="254" t="s">
        <v>1694</v>
      </c>
      <c r="G223" s="871">
        <f>G87</f>
        <v>1.8646691487816846E-2</v>
      </c>
      <c r="H223" s="221"/>
      <c r="I223" s="92" t="s">
        <v>1695</v>
      </c>
      <c r="J223" s="4">
        <f t="shared" si="9"/>
        <v>30</v>
      </c>
    </row>
    <row r="224" spans="1:10" x14ac:dyDescent="0.3">
      <c r="A224" s="4">
        <f t="shared" si="8"/>
        <v>31</v>
      </c>
      <c r="G224" s="4"/>
      <c r="H224" s="4"/>
      <c r="I224" s="92"/>
      <c r="J224" s="4">
        <f t="shared" si="9"/>
        <v>31</v>
      </c>
    </row>
    <row r="225" spans="1:11" ht="18.600000000000001" thickBot="1" x14ac:dyDescent="0.35">
      <c r="A225" s="4">
        <f t="shared" si="8"/>
        <v>32</v>
      </c>
      <c r="B225" s="254" t="s">
        <v>1696</v>
      </c>
      <c r="G225" s="1144">
        <f>G221+G223</f>
        <v>1.8646691487816846E-2</v>
      </c>
      <c r="H225" s="26"/>
      <c r="I225" s="92" t="s">
        <v>1677</v>
      </c>
      <c r="J225" s="4">
        <f t="shared" si="9"/>
        <v>32</v>
      </c>
    </row>
    <row r="226" spans="1:11" ht="16.8" thickTop="1" thickBot="1" x14ac:dyDescent="0.35">
      <c r="A226" s="865">
        <f t="shared" si="8"/>
        <v>33</v>
      </c>
      <c r="B226" s="1139"/>
      <c r="C226" s="866"/>
      <c r="D226" s="866"/>
      <c r="E226" s="866"/>
      <c r="F226" s="866"/>
      <c r="G226" s="1156"/>
      <c r="H226" s="1156"/>
      <c r="I226" s="867"/>
      <c r="J226" s="865">
        <f t="shared" si="9"/>
        <v>33</v>
      </c>
      <c r="K226" s="258"/>
    </row>
    <row r="227" spans="1:11" x14ac:dyDescent="0.3">
      <c r="A227" s="4">
        <f t="shared" si="8"/>
        <v>34</v>
      </c>
      <c r="B227" s="254"/>
      <c r="G227" s="26"/>
      <c r="H227" s="26"/>
      <c r="I227" s="92"/>
      <c r="J227" s="4">
        <f t="shared" si="9"/>
        <v>34</v>
      </c>
      <c r="K227" s="258"/>
    </row>
    <row r="228" spans="1:11" ht="18" x14ac:dyDescent="0.3">
      <c r="A228" s="4">
        <f t="shared" si="8"/>
        <v>35</v>
      </c>
      <c r="B228" s="254" t="s">
        <v>1678</v>
      </c>
      <c r="E228" s="221"/>
      <c r="F228" s="221"/>
      <c r="G228" s="42"/>
      <c r="H228" s="42"/>
      <c r="I228" s="92"/>
      <c r="J228" s="4">
        <f t="shared" si="9"/>
        <v>35</v>
      </c>
      <c r="K228" s="258"/>
    </row>
    <row r="229" spans="1:11" x14ac:dyDescent="0.3">
      <c r="A229" s="4">
        <f t="shared" si="8"/>
        <v>36</v>
      </c>
      <c r="B229" s="34"/>
      <c r="E229" s="221"/>
      <c r="F229" s="221"/>
      <c r="G229" s="42"/>
      <c r="H229" s="42"/>
      <c r="I229" s="92"/>
      <c r="J229" s="4">
        <f t="shared" si="9"/>
        <v>36</v>
      </c>
      <c r="K229" s="258"/>
    </row>
    <row r="230" spans="1:11" x14ac:dyDescent="0.3">
      <c r="A230" s="4">
        <f t="shared" si="8"/>
        <v>37</v>
      </c>
      <c r="B230" s="254" t="s">
        <v>1086</v>
      </c>
      <c r="E230" s="221"/>
      <c r="F230" s="221"/>
      <c r="G230" s="42"/>
      <c r="H230" s="42"/>
      <c r="I230" s="92"/>
      <c r="J230" s="4">
        <f t="shared" si="9"/>
        <v>37</v>
      </c>
      <c r="K230" s="258"/>
    </row>
    <row r="231" spans="1:11" x14ac:dyDescent="0.3">
      <c r="A231" s="4">
        <f t="shared" si="8"/>
        <v>38</v>
      </c>
      <c r="B231" s="221"/>
      <c r="C231" s="221"/>
      <c r="D231" s="221"/>
      <c r="E231" s="221"/>
      <c r="F231" s="221"/>
      <c r="G231" s="42"/>
      <c r="H231" s="42"/>
      <c r="I231" s="92"/>
      <c r="J231" s="4">
        <f t="shared" si="9"/>
        <v>38</v>
      </c>
      <c r="K231" s="258"/>
    </row>
    <row r="232" spans="1:11" x14ac:dyDescent="0.3">
      <c r="A232" s="4">
        <f t="shared" si="8"/>
        <v>39</v>
      </c>
      <c r="B232" s="33" t="s">
        <v>1087</v>
      </c>
      <c r="C232" s="221"/>
      <c r="D232" s="221"/>
      <c r="E232" s="221"/>
      <c r="F232" s="221"/>
      <c r="G232" s="42"/>
      <c r="H232" s="42"/>
      <c r="I232" s="467"/>
      <c r="J232" s="4">
        <f t="shared" si="9"/>
        <v>39</v>
      </c>
      <c r="K232" s="258"/>
    </row>
    <row r="233" spans="1:11" x14ac:dyDescent="0.3">
      <c r="A233" s="4">
        <f t="shared" si="8"/>
        <v>40</v>
      </c>
      <c r="B233" s="32" t="s">
        <v>1679</v>
      </c>
      <c r="D233" s="221"/>
      <c r="E233" s="221"/>
      <c r="F233" s="221"/>
      <c r="G233" s="1145">
        <f>G102</f>
        <v>0</v>
      </c>
      <c r="H233" s="221"/>
      <c r="I233" s="92" t="s">
        <v>1697</v>
      </c>
      <c r="J233" s="4">
        <f t="shared" si="9"/>
        <v>40</v>
      </c>
      <c r="K233" s="258"/>
    </row>
    <row r="234" spans="1:11" x14ac:dyDescent="0.3">
      <c r="A234" s="4">
        <f t="shared" si="8"/>
        <v>41</v>
      </c>
      <c r="B234" s="32" t="s">
        <v>1089</v>
      </c>
      <c r="D234" s="221"/>
      <c r="E234" s="221"/>
      <c r="F234" s="221"/>
      <c r="G234" s="1146">
        <v>0</v>
      </c>
      <c r="H234" s="221"/>
      <c r="I234" s="92" t="s">
        <v>1115</v>
      </c>
      <c r="J234" s="4">
        <f t="shared" si="9"/>
        <v>41</v>
      </c>
      <c r="K234" s="258"/>
    </row>
    <row r="235" spans="1:11" x14ac:dyDescent="0.3">
      <c r="A235" s="4">
        <f t="shared" si="8"/>
        <v>42</v>
      </c>
      <c r="B235" s="32" t="s">
        <v>1091</v>
      </c>
      <c r="D235" s="221"/>
      <c r="E235" s="221"/>
      <c r="F235" s="221"/>
      <c r="G235" s="1157">
        <v>0</v>
      </c>
      <c r="H235" s="221"/>
      <c r="I235" s="424"/>
      <c r="J235" s="4">
        <f t="shared" si="9"/>
        <v>42</v>
      </c>
      <c r="K235" s="258"/>
    </row>
    <row r="236" spans="1:11" x14ac:dyDescent="0.3">
      <c r="A236" s="4">
        <f t="shared" si="8"/>
        <v>43</v>
      </c>
      <c r="B236" s="32" t="s">
        <v>1116</v>
      </c>
      <c r="D236" s="221"/>
      <c r="E236" s="221"/>
      <c r="F236" s="221"/>
      <c r="G236" s="1158">
        <f>'TO5 True-Up BK-1'!E141</f>
        <v>0</v>
      </c>
      <c r="H236" s="221"/>
      <c r="I236" s="92" t="s">
        <v>1401</v>
      </c>
      <c r="J236" s="4">
        <f t="shared" si="9"/>
        <v>43</v>
      </c>
      <c r="K236" s="258"/>
    </row>
    <row r="237" spans="1:11" x14ac:dyDescent="0.3">
      <c r="A237" s="4">
        <f t="shared" si="8"/>
        <v>44</v>
      </c>
      <c r="B237" s="32" t="s">
        <v>1094</v>
      </c>
      <c r="D237" s="221"/>
      <c r="E237" s="221"/>
      <c r="F237" s="221"/>
      <c r="G237" s="1159" t="str">
        <f>G160</f>
        <v>21%</v>
      </c>
      <c r="H237" s="221"/>
      <c r="I237" s="92" t="s">
        <v>1698</v>
      </c>
      <c r="J237" s="4">
        <f t="shared" si="9"/>
        <v>44</v>
      </c>
      <c r="K237" s="258"/>
    </row>
    <row r="238" spans="1:11" x14ac:dyDescent="0.3">
      <c r="A238" s="4">
        <f t="shared" si="8"/>
        <v>45</v>
      </c>
      <c r="G238" s="4"/>
      <c r="H238" s="4"/>
      <c r="J238" s="4">
        <f t="shared" si="9"/>
        <v>45</v>
      </c>
      <c r="K238" s="258"/>
    </row>
    <row r="239" spans="1:11" x14ac:dyDescent="0.3">
      <c r="A239" s="4">
        <f t="shared" si="8"/>
        <v>46</v>
      </c>
      <c r="B239" s="32" t="s">
        <v>1097</v>
      </c>
      <c r="D239" s="221"/>
      <c r="E239" s="221"/>
      <c r="F239" s="221"/>
      <c r="G239" s="1153">
        <f>IFERROR((((G233)+(G235/G236))*G237-(G234/G236))/(1-G237),0)</f>
        <v>0</v>
      </c>
      <c r="H239" s="1149"/>
      <c r="I239" s="92" t="s">
        <v>1119</v>
      </c>
      <c r="J239" s="4">
        <f t="shared" si="9"/>
        <v>46</v>
      </c>
      <c r="K239" s="258"/>
    </row>
    <row r="240" spans="1:11" x14ac:dyDescent="0.3">
      <c r="A240" s="4">
        <f t="shared" si="8"/>
        <v>47</v>
      </c>
      <c r="B240" s="252" t="s">
        <v>1099</v>
      </c>
      <c r="D240" s="252"/>
      <c r="G240" s="868"/>
      <c r="H240" s="868"/>
      <c r="J240" s="4">
        <f t="shared" si="9"/>
        <v>47</v>
      </c>
      <c r="K240" s="258"/>
    </row>
    <row r="241" spans="1:11" x14ac:dyDescent="0.3">
      <c r="A241" s="4">
        <f t="shared" si="8"/>
        <v>48</v>
      </c>
      <c r="G241" s="4"/>
      <c r="H241" s="4"/>
      <c r="J241" s="4">
        <f t="shared" si="9"/>
        <v>48</v>
      </c>
      <c r="K241" s="258"/>
    </row>
    <row r="242" spans="1:11" x14ac:dyDescent="0.3">
      <c r="A242" s="4">
        <f t="shared" si="8"/>
        <v>49</v>
      </c>
      <c r="B242" s="254" t="s">
        <v>1100</v>
      </c>
      <c r="C242" s="221"/>
      <c r="D242" s="221"/>
      <c r="E242" s="221"/>
      <c r="F242" s="221"/>
      <c r="G242" s="137"/>
      <c r="H242" s="137"/>
      <c r="I242" s="470"/>
      <c r="J242" s="4">
        <f t="shared" si="9"/>
        <v>49</v>
      </c>
      <c r="K242" s="258"/>
    </row>
    <row r="243" spans="1:11" x14ac:dyDescent="0.3">
      <c r="A243" s="4">
        <f t="shared" si="8"/>
        <v>50</v>
      </c>
      <c r="B243" s="343"/>
      <c r="C243" s="221"/>
      <c r="D243" s="221"/>
      <c r="E243" s="221"/>
      <c r="F243" s="221"/>
      <c r="G243" s="137"/>
      <c r="H243" s="137"/>
      <c r="I243" s="467"/>
      <c r="J243" s="4">
        <f t="shared" si="9"/>
        <v>50</v>
      </c>
      <c r="K243" s="258"/>
    </row>
    <row r="244" spans="1:11" x14ac:dyDescent="0.3">
      <c r="A244" s="4">
        <f t="shared" si="8"/>
        <v>51</v>
      </c>
      <c r="B244" s="33" t="s">
        <v>1087</v>
      </c>
      <c r="C244" s="221"/>
      <c r="D244" s="221"/>
      <c r="E244" s="221"/>
      <c r="F244" s="221"/>
      <c r="G244" s="137"/>
      <c r="H244" s="137"/>
      <c r="I244" s="467"/>
      <c r="J244" s="4">
        <f t="shared" si="9"/>
        <v>51</v>
      </c>
      <c r="K244" s="258"/>
    </row>
    <row r="245" spans="1:11" x14ac:dyDescent="0.3">
      <c r="A245" s="4">
        <f t="shared" si="8"/>
        <v>52</v>
      </c>
      <c r="B245" s="32" t="s">
        <v>1679</v>
      </c>
      <c r="D245" s="221"/>
      <c r="E245" s="221"/>
      <c r="F245" s="221"/>
      <c r="G245" s="1145">
        <f>G233</f>
        <v>0</v>
      </c>
      <c r="H245" s="857"/>
      <c r="I245" s="92" t="s">
        <v>1681</v>
      </c>
      <c r="J245" s="4">
        <f t="shared" si="9"/>
        <v>52</v>
      </c>
      <c r="K245" s="258"/>
    </row>
    <row r="246" spans="1:11" x14ac:dyDescent="0.3">
      <c r="A246" s="4">
        <f t="shared" si="8"/>
        <v>53</v>
      </c>
      <c r="B246" s="32" t="s">
        <v>1102</v>
      </c>
      <c r="D246" s="221"/>
      <c r="E246" s="221"/>
      <c r="F246" s="221"/>
      <c r="G246" s="139">
        <v>0</v>
      </c>
      <c r="H246" s="27"/>
      <c r="I246" s="92" t="s">
        <v>1115</v>
      </c>
      <c r="J246" s="4">
        <f t="shared" si="9"/>
        <v>53</v>
      </c>
      <c r="K246" s="258"/>
    </row>
    <row r="247" spans="1:11" x14ac:dyDescent="0.3">
      <c r="A247" s="4">
        <f t="shared" si="8"/>
        <v>54</v>
      </c>
      <c r="B247" s="32" t="s">
        <v>1091</v>
      </c>
      <c r="D247" s="221"/>
      <c r="E247" s="221"/>
      <c r="F247" s="221"/>
      <c r="G247" s="1158">
        <f>G235</f>
        <v>0</v>
      </c>
      <c r="H247" s="1150"/>
      <c r="I247" s="92" t="s">
        <v>1682</v>
      </c>
      <c r="J247" s="4">
        <f t="shared" si="9"/>
        <v>54</v>
      </c>
      <c r="K247" s="258"/>
    </row>
    <row r="248" spans="1:11" x14ac:dyDescent="0.3">
      <c r="A248" s="4">
        <f t="shared" si="8"/>
        <v>55</v>
      </c>
      <c r="B248" s="32" t="s">
        <v>1116</v>
      </c>
      <c r="D248" s="221"/>
      <c r="E248" s="221"/>
      <c r="F248" s="221"/>
      <c r="G248" s="1158">
        <f>G236</f>
        <v>0</v>
      </c>
      <c r="H248" s="1150"/>
      <c r="I248" s="92" t="s">
        <v>1683</v>
      </c>
      <c r="J248" s="4">
        <f t="shared" si="9"/>
        <v>55</v>
      </c>
      <c r="K248" s="258"/>
    </row>
    <row r="249" spans="1:11" x14ac:dyDescent="0.3">
      <c r="A249" s="4">
        <f t="shared" si="8"/>
        <v>56</v>
      </c>
      <c r="B249" s="32" t="s">
        <v>1106</v>
      </c>
      <c r="D249" s="221"/>
      <c r="E249" s="221"/>
      <c r="F249" s="221"/>
      <c r="G249" s="1210">
        <f>G239</f>
        <v>0</v>
      </c>
      <c r="H249" s="1151"/>
      <c r="I249" s="92" t="s">
        <v>1684</v>
      </c>
      <c r="J249" s="4">
        <f t="shared" si="9"/>
        <v>56</v>
      </c>
      <c r="K249" s="258"/>
    </row>
    <row r="250" spans="1:11" x14ac:dyDescent="0.3">
      <c r="A250" s="4">
        <f t="shared" si="8"/>
        <v>57</v>
      </c>
      <c r="B250" s="32" t="s">
        <v>1108</v>
      </c>
      <c r="D250" s="221"/>
      <c r="E250" s="221"/>
      <c r="F250" s="221"/>
      <c r="G250" s="1160" t="str">
        <f>G173</f>
        <v>8.84%</v>
      </c>
      <c r="H250" s="221"/>
      <c r="I250" s="92" t="s">
        <v>1699</v>
      </c>
      <c r="J250" s="4">
        <f t="shared" si="9"/>
        <v>57</v>
      </c>
      <c r="K250" s="258"/>
    </row>
    <row r="251" spans="1:11" x14ac:dyDescent="0.3">
      <c r="A251" s="4">
        <f t="shared" si="8"/>
        <v>58</v>
      </c>
      <c r="B251" s="1"/>
      <c r="D251" s="221"/>
      <c r="E251" s="221"/>
      <c r="F251" s="221"/>
      <c r="G251" s="1152"/>
      <c r="H251" s="1152"/>
      <c r="I251" s="472"/>
      <c r="J251" s="4">
        <f t="shared" si="9"/>
        <v>58</v>
      </c>
      <c r="K251" s="258"/>
    </row>
    <row r="252" spans="1:11" x14ac:dyDescent="0.3">
      <c r="A252" s="4">
        <f t="shared" si="8"/>
        <v>59</v>
      </c>
      <c r="B252" s="32" t="s">
        <v>1111</v>
      </c>
      <c r="C252" s="4"/>
      <c r="D252" s="4"/>
      <c r="E252" s="221"/>
      <c r="F252" s="221"/>
      <c r="G252" s="1153">
        <f>IFERROR((((G245)+(G247/G248)+G239)*G250-(G246/G248))/(1-G250),0)</f>
        <v>0</v>
      </c>
      <c r="H252" s="1154"/>
      <c r="I252" s="92" t="s">
        <v>1112</v>
      </c>
      <c r="J252" s="4">
        <f t="shared" si="9"/>
        <v>59</v>
      </c>
      <c r="K252" s="258"/>
    </row>
    <row r="253" spans="1:11" x14ac:dyDescent="0.3">
      <c r="A253" s="4">
        <f t="shared" si="8"/>
        <v>60</v>
      </c>
      <c r="B253" s="252" t="s">
        <v>1400</v>
      </c>
      <c r="D253" s="252"/>
      <c r="G253" s="4"/>
      <c r="H253" s="4"/>
      <c r="I253" s="92"/>
      <c r="J253" s="4">
        <f t="shared" si="9"/>
        <v>60</v>
      </c>
      <c r="K253" s="258"/>
    </row>
    <row r="254" spans="1:11" x14ac:dyDescent="0.3">
      <c r="A254" s="4">
        <f t="shared" si="8"/>
        <v>61</v>
      </c>
      <c r="G254" s="4"/>
      <c r="H254" s="4"/>
      <c r="I254" s="92"/>
      <c r="J254" s="4">
        <f t="shared" si="9"/>
        <v>61</v>
      </c>
      <c r="K254" s="258"/>
    </row>
    <row r="255" spans="1:11" x14ac:dyDescent="0.3">
      <c r="A255" s="4">
        <f t="shared" si="8"/>
        <v>62</v>
      </c>
      <c r="B255" s="254" t="s">
        <v>1673</v>
      </c>
      <c r="G255" s="1153">
        <f>G252+G239</f>
        <v>0</v>
      </c>
      <c r="H255" s="1149"/>
      <c r="I255" s="92" t="s">
        <v>1685</v>
      </c>
      <c r="J255" s="4">
        <f t="shared" si="9"/>
        <v>62</v>
      </c>
      <c r="K255" s="258"/>
    </row>
    <row r="256" spans="1:11" x14ac:dyDescent="0.3">
      <c r="A256" s="4">
        <f t="shared" si="8"/>
        <v>63</v>
      </c>
      <c r="G256" s="4"/>
      <c r="H256" s="4"/>
      <c r="I256" s="92"/>
      <c r="J256" s="4">
        <f t="shared" si="9"/>
        <v>63</v>
      </c>
      <c r="K256" s="258"/>
    </row>
    <row r="257" spans="1:11" x14ac:dyDescent="0.3">
      <c r="A257" s="4">
        <f t="shared" si="8"/>
        <v>64</v>
      </c>
      <c r="B257" s="254" t="s">
        <v>1686</v>
      </c>
      <c r="G257" s="871">
        <f>G100</f>
        <v>0</v>
      </c>
      <c r="H257" s="221"/>
      <c r="I257" s="92" t="s">
        <v>1700</v>
      </c>
      <c r="J257" s="4">
        <f t="shared" si="9"/>
        <v>64</v>
      </c>
      <c r="K257" s="258"/>
    </row>
    <row r="258" spans="1:11" x14ac:dyDescent="0.3">
      <c r="A258" s="4">
        <f t="shared" si="8"/>
        <v>65</v>
      </c>
      <c r="G258" s="4"/>
      <c r="H258" s="4"/>
      <c r="I258" s="92"/>
      <c r="J258" s="4">
        <f t="shared" si="9"/>
        <v>65</v>
      </c>
      <c r="K258" s="258"/>
    </row>
    <row r="259" spans="1:11" ht="18.600000000000001" thickBot="1" x14ac:dyDescent="0.35">
      <c r="A259" s="4">
        <f t="shared" si="8"/>
        <v>66</v>
      </c>
      <c r="B259" s="254" t="s">
        <v>1688</v>
      </c>
      <c r="G259" s="1144">
        <f>G255+G257</f>
        <v>0</v>
      </c>
      <c r="H259" s="26"/>
      <c r="I259" s="92" t="s">
        <v>1689</v>
      </c>
      <c r="J259" s="4">
        <f t="shared" si="9"/>
        <v>66</v>
      </c>
      <c r="K259" s="258"/>
    </row>
    <row r="260" spans="1:11" ht="16.2" thickTop="1" x14ac:dyDescent="0.3">
      <c r="K260" s="258"/>
    </row>
    <row r="261" spans="1:11" ht="18" x14ac:dyDescent="0.3">
      <c r="A261" s="269">
        <v>1</v>
      </c>
      <c r="B261" s="32" t="s">
        <v>1701</v>
      </c>
      <c r="K261" s="258"/>
    </row>
    <row r="262" spans="1:11" x14ac:dyDescent="0.3">
      <c r="K262" s="258"/>
    </row>
    <row r="263" spans="1:11" x14ac:dyDescent="0.3">
      <c r="K263" s="258"/>
    </row>
    <row r="264" spans="1:11" x14ac:dyDescent="0.3">
      <c r="K264" s="258"/>
    </row>
    <row r="265" spans="1:11" x14ac:dyDescent="0.3">
      <c r="K265" s="258"/>
    </row>
    <row r="266" spans="1:11" x14ac:dyDescent="0.3">
      <c r="K266" s="258"/>
    </row>
    <row r="267" spans="1:11" x14ac:dyDescent="0.3">
      <c r="K267" s="258"/>
    </row>
    <row r="268" spans="1:11" x14ac:dyDescent="0.3">
      <c r="K268" s="258"/>
    </row>
    <row r="269" spans="1:11" x14ac:dyDescent="0.3">
      <c r="K269" s="258"/>
    </row>
    <row r="271" spans="1:11" ht="18" x14ac:dyDescent="0.3">
      <c r="A271" s="269"/>
    </row>
  </sheetData>
  <mergeCells count="20">
    <mergeCell ref="B188:I188"/>
    <mergeCell ref="B189:I189"/>
    <mergeCell ref="B110:I110"/>
    <mergeCell ref="B111:I111"/>
    <mergeCell ref="B112:I112"/>
    <mergeCell ref="B185:I185"/>
    <mergeCell ref="B186:I186"/>
    <mergeCell ref="B187:I187"/>
    <mergeCell ref="B109:I109"/>
    <mergeCell ref="B2:I2"/>
    <mergeCell ref="B3:I3"/>
    <mergeCell ref="B4:I4"/>
    <mergeCell ref="B5:I5"/>
    <mergeCell ref="B6:I6"/>
    <mergeCell ref="B70:I70"/>
    <mergeCell ref="B71:I71"/>
    <mergeCell ref="B72:I72"/>
    <mergeCell ref="B73:I73"/>
    <mergeCell ref="B74:I74"/>
    <mergeCell ref="B108:I108"/>
  </mergeCells>
  <printOptions horizontalCentered="1"/>
  <pageMargins left="0.25" right="0.25" top="0.5" bottom="0.65" header="0.25" footer="0.25"/>
  <pageSetup scale="56" orientation="portrait" r:id="rId1"/>
  <headerFooter scaleWithDoc="0" alignWithMargins="0">
    <oddFooter>&amp;C&amp;"Times New Roman,Regular"&amp;10&amp;A
Page &amp;P of &amp;N</oddFooter>
  </headerFooter>
  <rowBreaks count="3" manualBreakCount="3">
    <brk id="68" max="16383" man="1"/>
    <brk id="106" max="16383" man="1"/>
    <brk id="183" max="9" man="1"/>
  </rowBreaks>
  <customProperties>
    <customPr name="_pios_id" r:id="rId2"/>
  </customProperties>
  <drawing r:id="rId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E4218-D95F-492B-B718-905A5C76C3EF}">
  <sheetPr>
    <pageSetUpPr fitToPage="1"/>
  </sheetPr>
  <dimension ref="A1:H22"/>
  <sheetViews>
    <sheetView zoomScale="80" zoomScaleNormal="80" workbookViewId="0"/>
  </sheetViews>
  <sheetFormatPr defaultColWidth="8.88671875" defaultRowHeight="15.6" x14ac:dyDescent="0.3"/>
  <cols>
    <col min="1" max="1" width="5.109375" style="4" customWidth="1"/>
    <col min="2" max="2" width="50.88671875" style="32" customWidth="1"/>
    <col min="3" max="3" width="21.109375" style="32" customWidth="1"/>
    <col min="4" max="4" width="1.5546875" style="32" customWidth="1"/>
    <col min="5" max="5" width="16.88671875" style="32" customWidth="1"/>
    <col min="6" max="6" width="1.5546875" style="32" customWidth="1"/>
    <col min="7" max="7" width="34.5546875" style="32" customWidth="1"/>
    <col min="8" max="8" width="5.109375" style="32" customWidth="1"/>
    <col min="9" max="9" width="8.88671875" style="32"/>
    <col min="10" max="10" width="20.44140625" style="32" bestFit="1" customWidth="1"/>
    <col min="11" max="16384" width="8.88671875" style="32"/>
  </cols>
  <sheetData>
    <row r="1" spans="1:8" x14ac:dyDescent="0.3">
      <c r="E1" s="71"/>
      <c r="F1" s="71"/>
      <c r="G1" s="4"/>
      <c r="H1" s="4"/>
    </row>
    <row r="2" spans="1:8" x14ac:dyDescent="0.3">
      <c r="B2" s="1222" t="s">
        <v>0</v>
      </c>
      <c r="C2" s="1222"/>
      <c r="D2" s="1222"/>
      <c r="E2" s="1222"/>
      <c r="F2" s="1222"/>
      <c r="G2" s="1222"/>
      <c r="H2" s="4"/>
    </row>
    <row r="3" spans="1:8" x14ac:dyDescent="0.3">
      <c r="B3" s="1222" t="s">
        <v>1144</v>
      </c>
      <c r="C3" s="1222"/>
      <c r="D3" s="1222"/>
      <c r="E3" s="1224"/>
      <c r="F3" s="1224"/>
      <c r="G3" s="1224"/>
      <c r="H3" s="4"/>
    </row>
    <row r="4" spans="1:8" x14ac:dyDescent="0.3">
      <c r="B4" s="1227" t="s">
        <v>1598</v>
      </c>
      <c r="C4" s="1227"/>
      <c r="D4" s="1227"/>
      <c r="E4" s="1227"/>
      <c r="F4" s="1227"/>
      <c r="G4" s="1227"/>
      <c r="H4" s="4"/>
    </row>
    <row r="5" spans="1:8" x14ac:dyDescent="0.3">
      <c r="B5" s="1226" t="s">
        <v>4</v>
      </c>
      <c r="C5" s="1223"/>
      <c r="D5" s="1223"/>
      <c r="E5" s="1223"/>
      <c r="F5" s="1223"/>
      <c r="G5" s="1223"/>
      <c r="H5" s="4"/>
    </row>
    <row r="6" spans="1:8" x14ac:dyDescent="0.3">
      <c r="B6" s="4"/>
      <c r="C6" s="4"/>
      <c r="D6" s="4"/>
      <c r="E6" s="4"/>
      <c r="F6" s="4"/>
      <c r="G6" s="4"/>
      <c r="H6" s="4"/>
    </row>
    <row r="7" spans="1:8" x14ac:dyDescent="0.3">
      <c r="A7" s="4" t="s">
        <v>5</v>
      </c>
      <c r="B7" s="340"/>
      <c r="C7" s="4" t="s">
        <v>236</v>
      </c>
      <c r="D7" s="221"/>
      <c r="E7" s="221"/>
      <c r="F7" s="221"/>
      <c r="G7" s="4"/>
      <c r="H7" s="4" t="s">
        <v>5</v>
      </c>
    </row>
    <row r="8" spans="1:8" x14ac:dyDescent="0.3">
      <c r="A8" s="4" t="s">
        <v>6</v>
      </c>
      <c r="B8" s="4"/>
      <c r="C8" s="852" t="s">
        <v>238</v>
      </c>
      <c r="D8" s="221"/>
      <c r="E8" s="852" t="s">
        <v>7</v>
      </c>
      <c r="F8" s="221"/>
      <c r="G8" s="852" t="s">
        <v>8</v>
      </c>
      <c r="H8" s="4" t="s">
        <v>6</v>
      </c>
    </row>
    <row r="9" spans="1:8" x14ac:dyDescent="0.3">
      <c r="C9" s="4"/>
      <c r="D9" s="4"/>
      <c r="F9" s="221"/>
      <c r="H9" s="4"/>
    </row>
    <row r="10" spans="1:8" ht="18.600000000000001" thickBot="1" x14ac:dyDescent="0.35">
      <c r="A10" s="4">
        <v>1</v>
      </c>
      <c r="B10" s="33" t="s">
        <v>1145</v>
      </c>
      <c r="E10" s="93">
        <v>0</v>
      </c>
      <c r="F10" s="221"/>
      <c r="G10" s="4"/>
      <c r="H10" s="4">
        <f>A10</f>
        <v>1</v>
      </c>
    </row>
    <row r="11" spans="1:8" ht="16.2" thickTop="1" x14ac:dyDescent="0.3">
      <c r="A11" s="4">
        <f>A10+1</f>
        <v>2</v>
      </c>
      <c r="F11" s="221"/>
      <c r="H11" s="4">
        <f>+H10+1</f>
        <v>2</v>
      </c>
    </row>
    <row r="12" spans="1:8" ht="18.600000000000001" thickBot="1" x14ac:dyDescent="0.35">
      <c r="A12" s="4">
        <f t="shared" ref="A12:A18" si="0">A11+1</f>
        <v>3</v>
      </c>
      <c r="B12" s="33" t="s">
        <v>1146</v>
      </c>
      <c r="E12" s="93">
        <v>0</v>
      </c>
      <c r="F12" s="221"/>
      <c r="G12" s="4"/>
      <c r="H12" s="4">
        <f t="shared" ref="H12:H18" si="1">+H11+1</f>
        <v>3</v>
      </c>
    </row>
    <row r="13" spans="1:8" ht="16.2" thickTop="1" x14ac:dyDescent="0.3">
      <c r="A13" s="4">
        <f t="shared" si="0"/>
        <v>4</v>
      </c>
      <c r="F13" s="221"/>
      <c r="H13" s="4">
        <f t="shared" si="1"/>
        <v>4</v>
      </c>
    </row>
    <row r="14" spans="1:8" ht="18.600000000000001" thickBot="1" x14ac:dyDescent="0.35">
      <c r="A14" s="4">
        <f t="shared" si="0"/>
        <v>5</v>
      </c>
      <c r="B14" s="33" t="s">
        <v>1147</v>
      </c>
      <c r="E14" s="93">
        <v>0</v>
      </c>
      <c r="F14" s="221"/>
      <c r="G14" s="4"/>
      <c r="H14" s="4">
        <f t="shared" si="1"/>
        <v>5</v>
      </c>
    </row>
    <row r="15" spans="1:8" ht="16.2" thickTop="1" x14ac:dyDescent="0.3">
      <c r="A15" s="4">
        <f t="shared" si="0"/>
        <v>6</v>
      </c>
      <c r="B15" s="33"/>
      <c r="E15" s="36"/>
      <c r="F15" s="221"/>
      <c r="G15" s="4"/>
      <c r="H15" s="4">
        <f t="shared" si="1"/>
        <v>6</v>
      </c>
    </row>
    <row r="16" spans="1:8" ht="16.2" thickBot="1" x14ac:dyDescent="0.35">
      <c r="A16" s="4">
        <f t="shared" si="0"/>
        <v>7</v>
      </c>
      <c r="B16" s="33" t="s">
        <v>93</v>
      </c>
      <c r="E16" s="93">
        <f>'True-Up Misc.-1'!G19</f>
        <v>-10662.770719500901</v>
      </c>
      <c r="F16" s="221"/>
      <c r="G16" s="4" t="s">
        <v>1941</v>
      </c>
      <c r="H16" s="4">
        <f t="shared" si="1"/>
        <v>7</v>
      </c>
    </row>
    <row r="17" spans="1:8" ht="16.2" thickTop="1" x14ac:dyDescent="0.3">
      <c r="A17" s="4">
        <f t="shared" si="0"/>
        <v>8</v>
      </c>
      <c r="F17" s="221"/>
      <c r="H17" s="4">
        <f t="shared" si="1"/>
        <v>8</v>
      </c>
    </row>
    <row r="18" spans="1:8" ht="18.600000000000001" thickBot="1" x14ac:dyDescent="0.35">
      <c r="A18" s="4">
        <f t="shared" si="0"/>
        <v>9</v>
      </c>
      <c r="B18" s="33" t="s">
        <v>1148</v>
      </c>
      <c r="E18" s="93">
        <v>0</v>
      </c>
      <c r="F18" s="221"/>
      <c r="G18" s="4"/>
      <c r="H18" s="4">
        <f t="shared" si="1"/>
        <v>9</v>
      </c>
    </row>
    <row r="19" spans="1:8" ht="16.2" thickTop="1" x14ac:dyDescent="0.3">
      <c r="H19" s="4"/>
    </row>
    <row r="20" spans="1:8" x14ac:dyDescent="0.3">
      <c r="H20" s="4"/>
    </row>
    <row r="21" spans="1:8" ht="18" x14ac:dyDescent="0.3">
      <c r="A21" s="269">
        <v>1</v>
      </c>
      <c r="B21" s="32" t="s">
        <v>1629</v>
      </c>
      <c r="H21" s="4"/>
    </row>
    <row r="22" spans="1:8" x14ac:dyDescent="0.3">
      <c r="B22" s="32" t="s">
        <v>1149</v>
      </c>
    </row>
  </sheetData>
  <mergeCells count="4">
    <mergeCell ref="B2:G2"/>
    <mergeCell ref="B3:G3"/>
    <mergeCell ref="B4:G4"/>
    <mergeCell ref="B5:G5"/>
  </mergeCells>
  <printOptions horizontalCentered="1"/>
  <pageMargins left="0.25" right="0.25" top="0.5" bottom="0.5" header="0.25" footer="0.25"/>
  <pageSetup scale="74" orientation="portrait" r:id="rId1"/>
  <headerFooter scaleWithDoc="0" alignWithMargins="0">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I27"/>
  <sheetViews>
    <sheetView zoomScale="80" zoomScaleNormal="80" workbookViewId="0"/>
  </sheetViews>
  <sheetFormatPr defaultColWidth="9.33203125" defaultRowHeight="15.6" x14ac:dyDescent="0.3"/>
  <cols>
    <col min="1" max="1" width="5.33203125" style="221" customWidth="1"/>
    <col min="2" max="2" width="35.33203125" style="1" customWidth="1"/>
    <col min="3" max="3" width="18.5546875" style="88" customWidth="1"/>
    <col min="4" max="4" width="26.5546875" style="88" bestFit="1" customWidth="1"/>
    <col min="5" max="5" width="18.5546875" style="1" customWidth="1"/>
    <col min="6" max="6" width="60.33203125" style="1" customWidth="1"/>
    <col min="7" max="7" width="5.33203125" style="221" customWidth="1"/>
    <col min="8" max="8" width="24" style="1" customWidth="1"/>
    <col min="9" max="9" width="11" style="1" customWidth="1"/>
    <col min="10" max="10" width="7.33203125" style="1" customWidth="1"/>
    <col min="11" max="11" width="9.33203125" style="1" customWidth="1"/>
    <col min="12" max="12" width="14" style="1" customWidth="1"/>
    <col min="13" max="13" width="13.44140625" style="1" customWidth="1"/>
    <col min="14" max="16384" width="9.33203125" style="1"/>
  </cols>
  <sheetData>
    <row r="2" spans="1:9" x14ac:dyDescent="0.3">
      <c r="B2" s="1222" t="s">
        <v>0</v>
      </c>
      <c r="C2" s="1222"/>
      <c r="D2" s="1222"/>
      <c r="E2" s="1222"/>
      <c r="F2" s="1222"/>
    </row>
    <row r="3" spans="1:9" x14ac:dyDescent="0.3">
      <c r="B3" s="1222" t="s">
        <v>281</v>
      </c>
      <c r="C3" s="1222"/>
      <c r="D3" s="1222"/>
      <c r="E3" s="1222"/>
      <c r="F3" s="1222"/>
    </row>
    <row r="4" spans="1:9" x14ac:dyDescent="0.3">
      <c r="B4" s="1222" t="s">
        <v>282</v>
      </c>
      <c r="C4" s="1222"/>
      <c r="D4" s="1222"/>
      <c r="E4" s="1222"/>
      <c r="F4" s="1222"/>
    </row>
    <row r="5" spans="1:9" x14ac:dyDescent="0.3">
      <c r="B5" s="1222" t="str">
        <f>'AD-1'!B5</f>
        <v>BASE PERIOD / TRUE UP PERIOD - 12/31/2023 PER BOOK</v>
      </c>
      <c r="C5" s="1222"/>
      <c r="D5" s="1222"/>
      <c r="E5" s="1222"/>
      <c r="F5" s="1222"/>
    </row>
    <row r="6" spans="1:9" x14ac:dyDescent="0.3">
      <c r="B6" s="1226" t="s">
        <v>4</v>
      </c>
      <c r="C6" s="1226"/>
      <c r="D6" s="1226"/>
      <c r="E6" s="1226"/>
      <c r="F6" s="1226"/>
    </row>
    <row r="7" spans="1:9" x14ac:dyDescent="0.3">
      <c r="B7" s="270"/>
      <c r="C7" s="271"/>
      <c r="D7" s="271"/>
      <c r="E7" s="270"/>
      <c r="F7" s="270"/>
    </row>
    <row r="8" spans="1:9" x14ac:dyDescent="0.3">
      <c r="B8" s="1222" t="s">
        <v>315</v>
      </c>
      <c r="C8" s="1222"/>
      <c r="D8" s="1222"/>
      <c r="E8" s="1222"/>
      <c r="F8" s="1222"/>
    </row>
    <row r="9" spans="1:9" x14ac:dyDescent="0.3">
      <c r="G9" s="4"/>
    </row>
    <row r="10" spans="1:9" x14ac:dyDescent="0.3">
      <c r="B10" s="932"/>
      <c r="C10" s="272" t="s">
        <v>200</v>
      </c>
      <c r="D10" s="933"/>
      <c r="E10" s="272"/>
      <c r="F10" s="933"/>
      <c r="G10" s="4"/>
    </row>
    <row r="11" spans="1:9" x14ac:dyDescent="0.3">
      <c r="B11" s="273"/>
      <c r="C11" s="221" t="s">
        <v>316</v>
      </c>
      <c r="D11" s="273"/>
      <c r="E11" s="277" t="s">
        <v>316</v>
      </c>
      <c r="F11" s="273"/>
      <c r="G11" s="4"/>
    </row>
    <row r="12" spans="1:9" x14ac:dyDescent="0.3">
      <c r="A12" s="4" t="s">
        <v>5</v>
      </c>
      <c r="B12" s="276"/>
      <c r="C12" s="221" t="s">
        <v>317</v>
      </c>
      <c r="D12" s="273"/>
      <c r="E12" s="277" t="s">
        <v>317</v>
      </c>
      <c r="F12" s="273"/>
      <c r="G12" s="4" t="s">
        <v>5</v>
      </c>
    </row>
    <row r="13" spans="1:9" ht="18" x14ac:dyDescent="0.3">
      <c r="A13" s="4" t="s">
        <v>6</v>
      </c>
      <c r="B13" s="278" t="s">
        <v>286</v>
      </c>
      <c r="C13" s="935" t="s">
        <v>287</v>
      </c>
      <c r="D13" s="278" t="s">
        <v>8</v>
      </c>
      <c r="E13" s="279" t="s">
        <v>288</v>
      </c>
      <c r="F13" s="278" t="s">
        <v>8</v>
      </c>
      <c r="G13" s="4" t="s">
        <v>6</v>
      </c>
    </row>
    <row r="14" spans="1:9" x14ac:dyDescent="0.3">
      <c r="A14" s="4"/>
      <c r="B14" s="290"/>
      <c r="C14" s="291"/>
      <c r="D14" s="273"/>
      <c r="E14" s="277"/>
      <c r="F14" s="273"/>
      <c r="G14" s="4"/>
    </row>
    <row r="15" spans="1:9" x14ac:dyDescent="0.3">
      <c r="A15" s="4">
        <v>1</v>
      </c>
      <c r="B15" s="936" t="str">
        <f>'AD-1'!B14</f>
        <v>Dec-22</v>
      </c>
      <c r="C15" s="59">
        <v>9583284.5886699781</v>
      </c>
      <c r="D15" s="946" t="s">
        <v>289</v>
      </c>
      <c r="E15" s="65">
        <v>9750399.0658389479</v>
      </c>
      <c r="F15" s="946" t="s">
        <v>290</v>
      </c>
      <c r="G15" s="4">
        <f>A15</f>
        <v>1</v>
      </c>
      <c r="I15" s="280"/>
    </row>
    <row r="16" spans="1:9" x14ac:dyDescent="0.3">
      <c r="A16" s="4">
        <f>A15+1</f>
        <v>2</v>
      </c>
      <c r="B16" s="939"/>
      <c r="C16" s="53"/>
      <c r="D16" s="946"/>
      <c r="E16" s="66"/>
      <c r="F16" s="946"/>
      <c r="G16" s="4">
        <f>G15+1</f>
        <v>2</v>
      </c>
    </row>
    <row r="17" spans="1:9" x14ac:dyDescent="0.3">
      <c r="A17" s="4">
        <f t="shared" ref="A17:A21" si="0">A16+1</f>
        <v>3</v>
      </c>
      <c r="B17" s="936" t="str">
        <f>'AD-1'!B26</f>
        <v>Dec-23</v>
      </c>
      <c r="C17" s="53">
        <v>10855749.871329978</v>
      </c>
      <c r="D17" s="946" t="s">
        <v>289</v>
      </c>
      <c r="E17" s="53">
        <v>11031887.66371526</v>
      </c>
      <c r="F17" s="946" t="s">
        <v>301</v>
      </c>
      <c r="G17" s="4">
        <f t="shared" ref="G17" si="1">G16+1</f>
        <v>3</v>
      </c>
      <c r="I17" s="280"/>
    </row>
    <row r="18" spans="1:9" x14ac:dyDescent="0.3">
      <c r="A18" s="4">
        <f t="shared" si="0"/>
        <v>4</v>
      </c>
      <c r="B18" s="292"/>
      <c r="C18" s="62"/>
      <c r="D18" s="293"/>
      <c r="E18" s="62"/>
      <c r="F18" s="293"/>
      <c r="G18" s="4">
        <f t="shared" ref="G18:G21" si="2">G17+1</f>
        <v>4</v>
      </c>
    </row>
    <row r="19" spans="1:9" x14ac:dyDescent="0.3">
      <c r="A19" s="4">
        <f>A18+1</f>
        <v>5</v>
      </c>
      <c r="B19" s="281"/>
      <c r="C19" s="61"/>
      <c r="D19" s="281"/>
      <c r="E19" s="61"/>
      <c r="F19" s="281"/>
      <c r="G19" s="4">
        <f>G18+1</f>
        <v>5</v>
      </c>
    </row>
    <row r="20" spans="1:9" x14ac:dyDescent="0.3">
      <c r="A20" s="4">
        <f t="shared" si="0"/>
        <v>6</v>
      </c>
      <c r="B20" s="281" t="s">
        <v>318</v>
      </c>
      <c r="C20" s="56">
        <f>(C15+C17)/2</f>
        <v>10219517.229999978</v>
      </c>
      <c r="D20" s="947" t="s">
        <v>319</v>
      </c>
      <c r="E20" s="56">
        <f>(E15+E17)/2</f>
        <v>10391143.364777103</v>
      </c>
      <c r="F20" s="940" t="s">
        <v>319</v>
      </c>
      <c r="G20" s="4">
        <f t="shared" si="2"/>
        <v>6</v>
      </c>
    </row>
    <row r="21" spans="1:9" x14ac:dyDescent="0.3">
      <c r="A21" s="4">
        <f t="shared" si="0"/>
        <v>7</v>
      </c>
      <c r="B21" s="120"/>
      <c r="C21" s="57"/>
      <c r="D21" s="94"/>
      <c r="E21" s="57"/>
      <c r="F21" s="67"/>
      <c r="G21" s="4">
        <f t="shared" si="2"/>
        <v>7</v>
      </c>
    </row>
    <row r="22" spans="1:9" x14ac:dyDescent="0.3">
      <c r="B22" s="32"/>
      <c r="C22" s="32"/>
      <c r="D22" s="32"/>
      <c r="E22" s="32"/>
      <c r="F22" s="32"/>
    </row>
    <row r="23" spans="1:9" x14ac:dyDescent="0.3">
      <c r="C23" s="32"/>
      <c r="D23" s="32"/>
      <c r="E23" s="107"/>
      <c r="F23" s="32"/>
    </row>
    <row r="24" spans="1:9" ht="18" x14ac:dyDescent="0.3">
      <c r="A24" s="269">
        <v>1</v>
      </c>
      <c r="B24" s="32" t="s">
        <v>307</v>
      </c>
      <c r="C24" s="32"/>
      <c r="D24" s="32"/>
      <c r="E24" s="32"/>
      <c r="F24" s="32"/>
    </row>
    <row r="25" spans="1:9" x14ac:dyDescent="0.3">
      <c r="B25" s="32" t="s">
        <v>308</v>
      </c>
      <c r="C25" s="32"/>
      <c r="D25" s="32"/>
      <c r="E25" s="32"/>
      <c r="F25" s="32"/>
    </row>
    <row r="26" spans="1:9" x14ac:dyDescent="0.3">
      <c r="C26" s="32"/>
      <c r="D26" s="32"/>
      <c r="E26" s="32"/>
      <c r="F26" s="32"/>
    </row>
    <row r="27" spans="1:9" x14ac:dyDescent="0.3">
      <c r="C27" s="32"/>
      <c r="D27" s="32"/>
      <c r="E27" s="32"/>
      <c r="F27" s="32"/>
    </row>
  </sheetData>
  <mergeCells count="6">
    <mergeCell ref="B8:F8"/>
    <mergeCell ref="B2:F2"/>
    <mergeCell ref="B3:F3"/>
    <mergeCell ref="B4:F4"/>
    <mergeCell ref="B5:F5"/>
    <mergeCell ref="B6:F6"/>
  </mergeCells>
  <printOptions horizontalCentered="1"/>
  <pageMargins left="0.5" right="0.5" top="0.5" bottom="0.5" header="0.25" footer="0.25"/>
  <pageSetup scale="75" orientation="landscape" r:id="rId1"/>
  <headerFooter scaleWithDoc="0">
    <oddFooter>&amp;C&amp;"Times New Roman,Regular"&amp;10&amp;A</oddFooter>
  </headerFooter>
  <customProperties>
    <customPr name="_pios_id" r:id="rId2"/>
  </customPropertie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BC7DC-D079-46C6-AEA7-41AA2C1C8025}">
  <sheetPr>
    <pageSetUpPr fitToPage="1"/>
  </sheetPr>
  <dimension ref="A2:I32"/>
  <sheetViews>
    <sheetView zoomScale="80" zoomScaleNormal="80" workbookViewId="0"/>
  </sheetViews>
  <sheetFormatPr defaultColWidth="8.88671875" defaultRowHeight="15.6" x14ac:dyDescent="0.3"/>
  <cols>
    <col min="1" max="1" width="5.109375" style="4" customWidth="1"/>
    <col min="2" max="2" width="56.109375" style="32" customWidth="1"/>
    <col min="3" max="3" width="16.88671875" style="32" customWidth="1"/>
    <col min="4" max="4" width="2.88671875" style="32" bestFit="1" customWidth="1"/>
    <col min="5" max="5" width="16.88671875" style="32" customWidth="1"/>
    <col min="6" max="6" width="1.5546875" style="32" customWidth="1"/>
    <col min="7" max="7" width="18.44140625" style="32" customWidth="1"/>
    <col min="8" max="8" width="50.88671875" style="32" customWidth="1"/>
    <col min="9" max="9" width="5.109375" style="4" customWidth="1"/>
    <col min="10" max="16384" width="8.88671875" style="32"/>
  </cols>
  <sheetData>
    <row r="2" spans="1:9" x14ac:dyDescent="0.3">
      <c r="B2" s="1222" t="s">
        <v>0</v>
      </c>
      <c r="C2" s="1222"/>
      <c r="D2" s="1222"/>
      <c r="E2" s="1222"/>
      <c r="F2" s="1222"/>
      <c r="G2" s="1222"/>
      <c r="H2" s="1222"/>
    </row>
    <row r="3" spans="1:9" x14ac:dyDescent="0.3">
      <c r="B3" s="1222" t="s">
        <v>1150</v>
      </c>
      <c r="C3" s="1222"/>
      <c r="D3" s="1222"/>
      <c r="E3" s="1222"/>
      <c r="F3" s="1222"/>
      <c r="G3" s="1222"/>
      <c r="H3" s="1222"/>
    </row>
    <row r="4" spans="1:9" x14ac:dyDescent="0.3">
      <c r="B4" s="1222" t="s">
        <v>1151</v>
      </c>
      <c r="C4" s="1222"/>
      <c r="D4" s="1222"/>
      <c r="E4" s="1222"/>
      <c r="F4" s="1222"/>
      <c r="G4" s="1222"/>
      <c r="H4" s="1222"/>
    </row>
    <row r="5" spans="1:9" x14ac:dyDescent="0.3">
      <c r="B5" s="1222" t="s">
        <v>1740</v>
      </c>
      <c r="C5" s="1222"/>
      <c r="D5" s="1222"/>
      <c r="E5" s="1222"/>
      <c r="F5" s="1222"/>
      <c r="G5" s="1222"/>
      <c r="H5" s="1222"/>
    </row>
    <row r="6" spans="1:9" x14ac:dyDescent="0.3">
      <c r="B6" s="1226" t="s">
        <v>4</v>
      </c>
      <c r="C6" s="1226"/>
      <c r="D6" s="1226"/>
      <c r="E6" s="1226"/>
      <c r="F6" s="1226"/>
      <c r="G6" s="1226"/>
      <c r="H6" s="1226"/>
    </row>
    <row r="8" spans="1:9" x14ac:dyDescent="0.3">
      <c r="A8" s="4" t="s">
        <v>5</v>
      </c>
      <c r="C8" s="265" t="s">
        <v>210</v>
      </c>
      <c r="D8" s="265"/>
      <c r="E8" s="265" t="s">
        <v>211</v>
      </c>
      <c r="G8" s="265" t="s">
        <v>237</v>
      </c>
      <c r="H8" s="265"/>
      <c r="I8" s="4" t="s">
        <v>5</v>
      </c>
    </row>
    <row r="9" spans="1:9" x14ac:dyDescent="0.3">
      <c r="A9" s="4" t="s">
        <v>6</v>
      </c>
      <c r="B9" s="935" t="s">
        <v>337</v>
      </c>
      <c r="C9" s="731">
        <f>'Stmt AD'!E9</f>
        <v>44926</v>
      </c>
      <c r="D9" s="982"/>
      <c r="E9" s="731">
        <f>'Stmt AD'!G9</f>
        <v>45291</v>
      </c>
      <c r="F9" s="983"/>
      <c r="G9" s="935" t="s">
        <v>239</v>
      </c>
      <c r="H9" s="935" t="s">
        <v>8</v>
      </c>
      <c r="I9" s="4" t="s">
        <v>6</v>
      </c>
    </row>
    <row r="11" spans="1:9" x14ac:dyDescent="0.3">
      <c r="A11" s="4">
        <v>1</v>
      </c>
      <c r="B11" s="33" t="s">
        <v>1934</v>
      </c>
      <c r="C11" s="36">
        <f>'True-Up Misc.-1.1'!C14</f>
        <v>-83.353321319683971</v>
      </c>
      <c r="D11" s="6"/>
      <c r="E11" s="36">
        <f>'True-Up Misc.-1.1'!E14</f>
        <v>-66.519971230792194</v>
      </c>
      <c r="F11" s="36"/>
      <c r="G11" s="36">
        <f>'True-Up Misc.-1.1'!G14</f>
        <v>-75.026016910968494</v>
      </c>
      <c r="H11" s="45" t="s">
        <v>1937</v>
      </c>
      <c r="I11" s="4">
        <f t="shared" ref="I11:I19" si="0">A11</f>
        <v>1</v>
      </c>
    </row>
    <row r="12" spans="1:9" x14ac:dyDescent="0.3">
      <c r="A12" s="4">
        <f>A11+1</f>
        <v>2</v>
      </c>
      <c r="C12" s="36"/>
      <c r="D12" s="6"/>
      <c r="E12" s="36"/>
      <c r="F12" s="36"/>
      <c r="G12" s="36"/>
      <c r="H12" s="45"/>
      <c r="I12" s="4">
        <f t="shared" si="0"/>
        <v>2</v>
      </c>
    </row>
    <row r="13" spans="1:9" ht="18" x14ac:dyDescent="0.3">
      <c r="A13" s="4">
        <f t="shared" ref="A13:A19" si="1">A12+1</f>
        <v>3</v>
      </c>
      <c r="B13" s="32" t="s">
        <v>1153</v>
      </c>
      <c r="C13" s="36">
        <f>'True-Up Misc.-1.1'!C19</f>
        <v>-2548.7271225090149</v>
      </c>
      <c r="D13" s="888"/>
      <c r="E13" s="36">
        <f>'True-Up Misc.-1.1'!E19</f>
        <v>-2121.6914379456898</v>
      </c>
      <c r="F13" s="36"/>
      <c r="G13" s="36">
        <f>'True-Up Misc.-1.1'!G19</f>
        <v>-2337.5179024895401</v>
      </c>
      <c r="H13" s="45" t="s">
        <v>1938</v>
      </c>
      <c r="I13" s="4">
        <f t="shared" si="0"/>
        <v>3</v>
      </c>
    </row>
    <row r="14" spans="1:9" x14ac:dyDescent="0.3">
      <c r="A14" s="4">
        <f t="shared" si="1"/>
        <v>4</v>
      </c>
      <c r="C14" s="36"/>
      <c r="D14" s="6"/>
      <c r="E14" s="36"/>
      <c r="F14" s="36"/>
      <c r="G14" s="36"/>
      <c r="H14" s="45"/>
      <c r="I14" s="4">
        <f t="shared" si="0"/>
        <v>4</v>
      </c>
    </row>
    <row r="15" spans="1:9" x14ac:dyDescent="0.3">
      <c r="A15" s="4">
        <f t="shared" si="1"/>
        <v>5</v>
      </c>
      <c r="B15" s="32" t="s">
        <v>1155</v>
      </c>
      <c r="C15" s="36">
        <f>'True-Up Misc.-1.1'!C24</f>
        <v>-3389.5084506032185</v>
      </c>
      <c r="D15" s="6"/>
      <c r="E15" s="36">
        <f>'True-Up Misc.-1.1'!E24</f>
        <v>-3818.098526489181</v>
      </c>
      <c r="F15" s="36"/>
      <c r="G15" s="36">
        <f>'True-Up Misc.-1.1'!G24</f>
        <v>-3602.0539689811417</v>
      </c>
      <c r="H15" s="45" t="s">
        <v>1939</v>
      </c>
      <c r="I15" s="4">
        <f t="shared" si="0"/>
        <v>5</v>
      </c>
    </row>
    <row r="16" spans="1:9" x14ac:dyDescent="0.3">
      <c r="A16" s="4">
        <f t="shared" si="1"/>
        <v>6</v>
      </c>
      <c r="C16" s="36"/>
      <c r="D16" s="6"/>
      <c r="E16" s="36"/>
      <c r="F16" s="36"/>
      <c r="G16" s="36"/>
      <c r="H16" s="45"/>
      <c r="I16" s="4">
        <f t="shared" si="0"/>
        <v>6</v>
      </c>
    </row>
    <row r="17" spans="1:9" x14ac:dyDescent="0.3">
      <c r="A17" s="4">
        <f t="shared" si="1"/>
        <v>7</v>
      </c>
      <c r="B17" s="32" t="s">
        <v>1157</v>
      </c>
      <c r="C17" s="921">
        <f>'True-Up Misc.-1.1'!C29</f>
        <v>-4438.0207516558694</v>
      </c>
      <c r="D17" s="6"/>
      <c r="E17" s="921">
        <f>'True-Up Misc.-1.1'!E29</f>
        <v>-4861.5751418628752</v>
      </c>
      <c r="F17" s="36"/>
      <c r="G17" s="921">
        <f>'True-Up Misc.-1.1'!G29</f>
        <v>-4648.172831119251</v>
      </c>
      <c r="H17" s="45" t="s">
        <v>1940</v>
      </c>
      <c r="I17" s="4">
        <f t="shared" si="0"/>
        <v>7</v>
      </c>
    </row>
    <row r="18" spans="1:9" x14ac:dyDescent="0.3">
      <c r="A18" s="4">
        <f t="shared" si="1"/>
        <v>8</v>
      </c>
      <c r="C18" s="36"/>
      <c r="D18" s="6"/>
      <c r="E18" s="36"/>
      <c r="F18" s="36"/>
      <c r="G18" s="36"/>
      <c r="H18" s="45"/>
      <c r="I18" s="4">
        <f t="shared" si="0"/>
        <v>8</v>
      </c>
    </row>
    <row r="19" spans="1:9" ht="18.600000000000001" thickBot="1" x14ac:dyDescent="0.35">
      <c r="A19" s="4">
        <f t="shared" si="1"/>
        <v>9</v>
      </c>
      <c r="B19" s="32" t="s">
        <v>1159</v>
      </c>
      <c r="C19" s="38">
        <f>SUM(C11:C17)</f>
        <v>-10459.609646087787</v>
      </c>
      <c r="D19" s="888"/>
      <c r="E19" s="38">
        <f>SUM(E11:E17)</f>
        <v>-10867.885077528539</v>
      </c>
      <c r="F19" s="36"/>
      <c r="G19" s="38">
        <f>SUM(G11:G17)</f>
        <v>-10662.770719500901</v>
      </c>
      <c r="H19" s="4" t="s">
        <v>1160</v>
      </c>
      <c r="I19" s="4">
        <f t="shared" si="0"/>
        <v>9</v>
      </c>
    </row>
    <row r="20" spans="1:9" ht="16.2" thickTop="1" x14ac:dyDescent="0.3">
      <c r="C20" s="11"/>
      <c r="D20" s="11"/>
      <c r="E20" s="11"/>
      <c r="F20" s="11"/>
      <c r="G20" s="11"/>
      <c r="H20" s="11"/>
    </row>
    <row r="21" spans="1:9" x14ac:dyDescent="0.3">
      <c r="C21" s="6"/>
      <c r="D21" s="6"/>
      <c r="E21" s="6"/>
      <c r="F21" s="6"/>
      <c r="G21" s="6"/>
      <c r="H21" s="6"/>
    </row>
    <row r="22" spans="1:9" x14ac:dyDescent="0.3">
      <c r="A22"/>
      <c r="B22"/>
      <c r="C22"/>
      <c r="D22"/>
      <c r="E22"/>
      <c r="F22" s="6"/>
      <c r="G22" s="6"/>
      <c r="H22" s="6"/>
    </row>
    <row r="32" spans="1:9" x14ac:dyDescent="0.3">
      <c r="B32" s="627"/>
    </row>
  </sheetData>
  <mergeCells count="5">
    <mergeCell ref="B2:H2"/>
    <mergeCell ref="B3:H3"/>
    <mergeCell ref="B4:H4"/>
    <mergeCell ref="B5:H5"/>
    <mergeCell ref="B6:H6"/>
  </mergeCells>
  <printOptions horizontalCentered="1"/>
  <pageMargins left="0.25" right="0.25" top="0.5" bottom="0.5" header="0.25" footer="0.25"/>
  <pageSetup scale="76" orientation="landscape" r:id="rId1"/>
  <headerFooter scaleWithDoc="0" alignWithMargins="0">
    <oddFooter>&amp;C&amp;A</oddFooter>
  </headerFooter>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846D9-E41E-4A28-95E9-7826F0E8C1A5}">
  <sheetPr>
    <pageSetUpPr fitToPage="1"/>
  </sheetPr>
  <dimension ref="A2:K38"/>
  <sheetViews>
    <sheetView zoomScale="80" zoomScaleNormal="80" workbookViewId="0"/>
  </sheetViews>
  <sheetFormatPr defaultColWidth="8.5546875" defaultRowHeight="15.6" x14ac:dyDescent="0.3"/>
  <cols>
    <col min="1" max="1" width="5.5546875" style="4" customWidth="1"/>
    <col min="2" max="2" width="50.88671875" style="32" customWidth="1"/>
    <col min="3" max="3" width="16.88671875" style="32" customWidth="1"/>
    <col min="4" max="4" width="2.88671875" style="32" bestFit="1" customWidth="1"/>
    <col min="5" max="5" width="16.88671875" style="32" customWidth="1"/>
    <col min="6" max="6" width="1.5546875" style="32" customWidth="1"/>
    <col min="7" max="7" width="23.44140625" style="32" bestFit="1" customWidth="1"/>
    <col min="8" max="8" width="62.5546875" style="32" customWidth="1"/>
    <col min="9" max="9" width="5.44140625" style="4" customWidth="1"/>
    <col min="10" max="10" width="8.5546875" style="32"/>
    <col min="11" max="11" width="22" style="32" bestFit="1" customWidth="1"/>
    <col min="12" max="16384" width="8.5546875" style="32"/>
  </cols>
  <sheetData>
    <row r="2" spans="1:11" x14ac:dyDescent="0.3">
      <c r="B2" s="1222" t="s">
        <v>0</v>
      </c>
      <c r="C2" s="1222"/>
      <c r="D2" s="1222"/>
      <c r="E2" s="1222"/>
      <c r="F2" s="1222"/>
      <c r="G2" s="1222"/>
      <c r="H2" s="1222"/>
    </row>
    <row r="3" spans="1:11" x14ac:dyDescent="0.3">
      <c r="B3" s="1222" t="s">
        <v>1150</v>
      </c>
      <c r="C3" s="1222"/>
      <c r="D3" s="1222"/>
      <c r="E3" s="1222"/>
      <c r="F3" s="1222"/>
      <c r="G3" s="1222"/>
      <c r="H3" s="1222"/>
    </row>
    <row r="4" spans="1:11" x14ac:dyDescent="0.3">
      <c r="B4" s="1222" t="s">
        <v>1151</v>
      </c>
      <c r="C4" s="1222"/>
      <c r="D4" s="1222"/>
      <c r="E4" s="1222"/>
      <c r="F4" s="1222"/>
      <c r="G4" s="1222"/>
      <c r="H4" s="1222"/>
    </row>
    <row r="5" spans="1:11" x14ac:dyDescent="0.3">
      <c r="B5" s="1222" t="s">
        <v>1933</v>
      </c>
      <c r="C5" s="1222"/>
      <c r="D5" s="1222"/>
      <c r="E5" s="1222"/>
      <c r="F5" s="1222"/>
      <c r="G5" s="1222"/>
      <c r="H5" s="1222"/>
    </row>
    <row r="6" spans="1:11" ht="15.75" customHeight="1" x14ac:dyDescent="0.3">
      <c r="B6" s="1226" t="s">
        <v>4</v>
      </c>
      <c r="C6" s="1226"/>
      <c r="D6" s="1226"/>
      <c r="E6" s="1226"/>
      <c r="F6" s="1226"/>
      <c r="G6" s="1226"/>
      <c r="H6" s="1226"/>
    </row>
    <row r="7" spans="1:11" x14ac:dyDescent="0.3">
      <c r="K7" s="48"/>
    </row>
    <row r="8" spans="1:11" ht="18" x14ac:dyDescent="0.3">
      <c r="A8" s="4" t="s">
        <v>5</v>
      </c>
      <c r="B8" s="1"/>
      <c r="C8" s="265" t="s">
        <v>1161</v>
      </c>
      <c r="D8" s="265"/>
      <c r="E8" s="265" t="s">
        <v>211</v>
      </c>
      <c r="G8" s="265" t="s">
        <v>237</v>
      </c>
      <c r="H8" s="265"/>
      <c r="I8" s="4" t="s">
        <v>5</v>
      </c>
      <c r="K8" s="48"/>
    </row>
    <row r="9" spans="1:11" x14ac:dyDescent="0.3">
      <c r="A9" s="4" t="s">
        <v>6</v>
      </c>
      <c r="B9" s="935" t="s">
        <v>337</v>
      </c>
      <c r="C9" s="731">
        <f>'Stmt AD'!E9</f>
        <v>44926</v>
      </c>
      <c r="D9" s="731"/>
      <c r="E9" s="731">
        <f>'Stmt AD'!G9</f>
        <v>45291</v>
      </c>
      <c r="F9" s="731"/>
      <c r="G9" s="935" t="s">
        <v>239</v>
      </c>
      <c r="H9" s="935" t="s">
        <v>8</v>
      </c>
      <c r="I9" s="4" t="s">
        <v>6</v>
      </c>
      <c r="K9" s="891"/>
    </row>
    <row r="10" spans="1:11" x14ac:dyDescent="0.3">
      <c r="B10" s="1"/>
      <c r="C10" s="342"/>
      <c r="D10" s="342"/>
      <c r="E10" s="342"/>
      <c r="F10" s="342"/>
      <c r="G10" s="92"/>
      <c r="H10" s="92"/>
    </row>
    <row r="11" spans="1:11" x14ac:dyDescent="0.3">
      <c r="A11" s="4">
        <v>1</v>
      </c>
      <c r="B11" s="32" t="s">
        <v>1934</v>
      </c>
      <c r="C11" s="91"/>
      <c r="D11" s="91"/>
      <c r="E11" s="91"/>
      <c r="F11" s="91"/>
      <c r="G11" s="92"/>
      <c r="H11" s="92"/>
      <c r="I11" s="4">
        <f>A11</f>
        <v>1</v>
      </c>
    </row>
    <row r="12" spans="1:11" x14ac:dyDescent="0.3">
      <c r="A12" s="4">
        <f>A11+1</f>
        <v>2</v>
      </c>
      <c r="B12" s="33" t="s">
        <v>1935</v>
      </c>
      <c r="C12" s="36">
        <v>-575</v>
      </c>
      <c r="D12" s="36"/>
      <c r="E12" s="36">
        <v>-450</v>
      </c>
      <c r="F12" s="36"/>
      <c r="G12" s="36">
        <f>(C12+E12)/2</f>
        <v>-512.5</v>
      </c>
      <c r="H12" s="45" t="s">
        <v>289</v>
      </c>
      <c r="I12" s="4">
        <f>I11+1</f>
        <v>2</v>
      </c>
    </row>
    <row r="13" spans="1:11" x14ac:dyDescent="0.3">
      <c r="A13" s="4">
        <f t="shared" ref="A13:A29" si="0">A12+1</f>
        <v>3</v>
      </c>
      <c r="B13" s="33" t="s">
        <v>1162</v>
      </c>
      <c r="C13" s="48">
        <v>0.14496229794727647</v>
      </c>
      <c r="D13" s="6"/>
      <c r="E13" s="48">
        <f>'AD-10'!$D$18*'Stmt AI'!$E$25</f>
        <v>0.14782215829064932</v>
      </c>
      <c r="F13" s="6"/>
      <c r="G13" s="48">
        <f>(C13+E13)/2</f>
        <v>0.14639222811896291</v>
      </c>
      <c r="H13" s="45" t="s">
        <v>1163</v>
      </c>
      <c r="I13" s="4">
        <f t="shared" ref="I13:I29" si="1">I12+1</f>
        <v>3</v>
      </c>
      <c r="K13" s="869"/>
    </row>
    <row r="14" spans="1:11" ht="16.2" thickBot="1" x14ac:dyDescent="0.35">
      <c r="A14" s="4">
        <f t="shared" si="0"/>
        <v>4</v>
      </c>
      <c r="B14" s="343" t="s">
        <v>1936</v>
      </c>
      <c r="C14" s="90">
        <f>C12*C13</f>
        <v>-83.353321319683971</v>
      </c>
      <c r="D14" s="6"/>
      <c r="E14" s="90">
        <f>E12*E13</f>
        <v>-66.519971230792194</v>
      </c>
      <c r="F14" s="44"/>
      <c r="G14" s="90">
        <f>G12*G13</f>
        <v>-75.026016910968494</v>
      </c>
      <c r="H14" s="628" t="s">
        <v>1164</v>
      </c>
      <c r="I14" s="4">
        <f t="shared" si="1"/>
        <v>4</v>
      </c>
      <c r="K14" s="869"/>
    </row>
    <row r="15" spans="1:11" ht="16.2" thickTop="1" x14ac:dyDescent="0.3">
      <c r="A15" s="4">
        <f t="shared" si="0"/>
        <v>5</v>
      </c>
      <c r="C15" s="86"/>
      <c r="D15" s="86"/>
      <c r="E15" s="86"/>
      <c r="F15" s="86"/>
      <c r="G15" s="86"/>
      <c r="H15" s="86"/>
      <c r="I15" s="4">
        <f t="shared" si="1"/>
        <v>5</v>
      </c>
      <c r="K15" s="1217"/>
    </row>
    <row r="16" spans="1:11" x14ac:dyDescent="0.3">
      <c r="A16" s="4">
        <f t="shared" si="0"/>
        <v>6</v>
      </c>
      <c r="B16" s="33" t="s">
        <v>1153</v>
      </c>
      <c r="C16" s="91"/>
      <c r="D16" s="91"/>
      <c r="E16" s="91"/>
      <c r="F16" s="91"/>
      <c r="G16" s="92"/>
      <c r="H16" s="92"/>
      <c r="I16" s="4">
        <f t="shared" si="1"/>
        <v>6</v>
      </c>
    </row>
    <row r="17" spans="1:9" x14ac:dyDescent="0.3">
      <c r="A17" s="4">
        <f t="shared" si="0"/>
        <v>7</v>
      </c>
      <c r="B17" s="33" t="s">
        <v>1165</v>
      </c>
      <c r="C17" s="36">
        <v>-17582</v>
      </c>
      <c r="D17" s="36"/>
      <c r="E17" s="36">
        <v>-14353</v>
      </c>
      <c r="F17" s="36"/>
      <c r="G17" s="36">
        <f>(C17+E17)/2</f>
        <v>-15967.5</v>
      </c>
      <c r="H17" s="45" t="s">
        <v>289</v>
      </c>
      <c r="I17" s="4">
        <f t="shared" si="1"/>
        <v>7</v>
      </c>
    </row>
    <row r="18" spans="1:9" x14ac:dyDescent="0.3">
      <c r="A18" s="4">
        <f t="shared" si="0"/>
        <v>8</v>
      </c>
      <c r="B18" s="33" t="s">
        <v>1162</v>
      </c>
      <c r="C18" s="48">
        <f>C13</f>
        <v>0.14496229794727647</v>
      </c>
      <c r="D18" s="6"/>
      <c r="E18" s="48">
        <f>'AD-10'!$D$18*'Stmt AI'!$E$25</f>
        <v>0.14782215829064932</v>
      </c>
      <c r="F18" s="6"/>
      <c r="G18" s="48">
        <f>(C18+E18)/2</f>
        <v>0.14639222811896291</v>
      </c>
      <c r="H18" s="45" t="s">
        <v>1163</v>
      </c>
      <c r="I18" s="4">
        <f t="shared" si="1"/>
        <v>8</v>
      </c>
    </row>
    <row r="19" spans="1:9" ht="16.2" thickBot="1" x14ac:dyDescent="0.35">
      <c r="A19" s="4">
        <f t="shared" si="0"/>
        <v>9</v>
      </c>
      <c r="B19" s="343" t="s">
        <v>1166</v>
      </c>
      <c r="C19" s="90">
        <f>C17*C18</f>
        <v>-2548.7271225090149</v>
      </c>
      <c r="D19" s="6"/>
      <c r="E19" s="90">
        <f>E17*E18</f>
        <v>-2121.6914379456898</v>
      </c>
      <c r="F19" s="44"/>
      <c r="G19" s="90">
        <f>G17*G18</f>
        <v>-2337.5179024895401</v>
      </c>
      <c r="H19" s="628" t="s">
        <v>39</v>
      </c>
      <c r="I19" s="4">
        <f t="shared" si="1"/>
        <v>9</v>
      </c>
    </row>
    <row r="20" spans="1:9" ht="16.2" thickTop="1" x14ac:dyDescent="0.3">
      <c r="A20" s="4">
        <f t="shared" si="0"/>
        <v>10</v>
      </c>
      <c r="I20" s="4">
        <f t="shared" si="1"/>
        <v>10</v>
      </c>
    </row>
    <row r="21" spans="1:9" x14ac:dyDescent="0.3">
      <c r="A21" s="4">
        <f t="shared" si="0"/>
        <v>11</v>
      </c>
      <c r="B21" s="32" t="s">
        <v>1155</v>
      </c>
      <c r="C21" s="91"/>
      <c r="D21" s="91"/>
      <c r="E21" s="91"/>
      <c r="F21" s="91"/>
      <c r="G21" s="92"/>
      <c r="H21" s="4"/>
      <c r="I21" s="4">
        <f t="shared" si="1"/>
        <v>11</v>
      </c>
    </row>
    <row r="22" spans="1:9" ht="18" x14ac:dyDescent="0.3">
      <c r="A22" s="4">
        <f t="shared" si="0"/>
        <v>12</v>
      </c>
      <c r="B22" s="33" t="s">
        <v>1167</v>
      </c>
      <c r="C22" s="36">
        <v>-23382</v>
      </c>
      <c r="D22" s="888"/>
      <c r="E22" s="36">
        <v>-25829</v>
      </c>
      <c r="F22" s="36"/>
      <c r="G22" s="36">
        <f>(C22+E22)/2</f>
        <v>-24605.5</v>
      </c>
      <c r="H22" s="45" t="s">
        <v>289</v>
      </c>
      <c r="I22" s="4">
        <f t="shared" si="1"/>
        <v>12</v>
      </c>
    </row>
    <row r="23" spans="1:9" x14ac:dyDescent="0.3">
      <c r="A23" s="4">
        <f t="shared" si="0"/>
        <v>13</v>
      </c>
      <c r="B23" s="33" t="s">
        <v>1162</v>
      </c>
      <c r="C23" s="48">
        <f>C13</f>
        <v>0.14496229794727647</v>
      </c>
      <c r="D23" s="6"/>
      <c r="E23" s="48">
        <f>'AD-10'!$D$18*'Stmt AI'!$E$25</f>
        <v>0.14782215829064932</v>
      </c>
      <c r="F23" s="6"/>
      <c r="G23" s="48">
        <f>(C23+E23)/2</f>
        <v>0.14639222811896291</v>
      </c>
      <c r="H23" s="45" t="s">
        <v>1163</v>
      </c>
      <c r="I23" s="4">
        <f t="shared" si="1"/>
        <v>13</v>
      </c>
    </row>
    <row r="24" spans="1:9" ht="18.600000000000001" thickBot="1" x14ac:dyDescent="0.35">
      <c r="A24" s="4">
        <f t="shared" si="0"/>
        <v>14</v>
      </c>
      <c r="B24" s="343" t="s">
        <v>1168</v>
      </c>
      <c r="C24" s="90">
        <f>C22*C23</f>
        <v>-3389.5084506032185</v>
      </c>
      <c r="D24" s="888"/>
      <c r="E24" s="90">
        <f>E22*E23</f>
        <v>-3818.098526489181</v>
      </c>
      <c r="F24" s="44"/>
      <c r="G24" s="90">
        <f>G22*G23</f>
        <v>-3602.0539689811417</v>
      </c>
      <c r="H24" s="628" t="s">
        <v>1169</v>
      </c>
      <c r="I24" s="4">
        <f t="shared" si="1"/>
        <v>14</v>
      </c>
    </row>
    <row r="25" spans="1:9" ht="16.2" thickTop="1" x14ac:dyDescent="0.3">
      <c r="A25" s="4">
        <f t="shared" si="0"/>
        <v>15</v>
      </c>
      <c r="I25" s="4">
        <f t="shared" si="1"/>
        <v>15</v>
      </c>
    </row>
    <row r="26" spans="1:9" x14ac:dyDescent="0.3">
      <c r="A26" s="4">
        <f t="shared" si="0"/>
        <v>16</v>
      </c>
      <c r="B26" s="32" t="s">
        <v>1157</v>
      </c>
      <c r="C26" s="91"/>
      <c r="D26" s="91"/>
      <c r="E26" s="91"/>
      <c r="F26" s="91"/>
      <c r="G26" s="92"/>
      <c r="H26" s="4"/>
      <c r="I26" s="4">
        <f t="shared" si="1"/>
        <v>16</v>
      </c>
    </row>
    <row r="27" spans="1:9" x14ac:dyDescent="0.3">
      <c r="A27" s="4">
        <f t="shared" si="0"/>
        <v>17</v>
      </c>
      <c r="B27" s="33" t="s">
        <v>1170</v>
      </c>
      <c r="C27" s="36">
        <v>-30615</v>
      </c>
      <c r="D27" s="36"/>
      <c r="E27" s="36">
        <v>-32888</v>
      </c>
      <c r="F27" s="36"/>
      <c r="G27" s="36">
        <f>(C27+E27)/2</f>
        <v>-31751.5</v>
      </c>
      <c r="H27" s="45" t="s">
        <v>289</v>
      </c>
      <c r="I27" s="4">
        <f t="shared" si="1"/>
        <v>17</v>
      </c>
    </row>
    <row r="28" spans="1:9" x14ac:dyDescent="0.3">
      <c r="A28" s="4">
        <f t="shared" si="0"/>
        <v>18</v>
      </c>
      <c r="B28" s="33" t="s">
        <v>1162</v>
      </c>
      <c r="C28" s="48">
        <f>C13</f>
        <v>0.14496229794727647</v>
      </c>
      <c r="D28" s="6"/>
      <c r="E28" s="48">
        <f>'AD-10'!$D$18*'Stmt AI'!$E$25</f>
        <v>0.14782215829064932</v>
      </c>
      <c r="F28" s="6"/>
      <c r="G28" s="48">
        <f>(C28+E28)/2</f>
        <v>0.14639222811896291</v>
      </c>
      <c r="H28" s="45" t="s">
        <v>1163</v>
      </c>
      <c r="I28" s="4">
        <f t="shared" si="1"/>
        <v>18</v>
      </c>
    </row>
    <row r="29" spans="1:9" ht="16.2" thickBot="1" x14ac:dyDescent="0.35">
      <c r="A29" s="4">
        <f t="shared" si="0"/>
        <v>19</v>
      </c>
      <c r="B29" s="343" t="s">
        <v>1171</v>
      </c>
      <c r="C29" s="90">
        <f>C27*C28</f>
        <v>-4438.0207516558694</v>
      </c>
      <c r="D29" s="6"/>
      <c r="E29" s="90">
        <f>E27*E28</f>
        <v>-4861.5751418628752</v>
      </c>
      <c r="F29" s="44"/>
      <c r="G29" s="90">
        <f>G27*G28</f>
        <v>-4648.172831119251</v>
      </c>
      <c r="H29" s="628" t="s">
        <v>25</v>
      </c>
      <c r="I29" s="4">
        <f t="shared" si="1"/>
        <v>19</v>
      </c>
    </row>
    <row r="30" spans="1:9" ht="16.2" thickTop="1" x14ac:dyDescent="0.3">
      <c r="B30" s="343"/>
      <c r="C30" s="44"/>
      <c r="D30" s="6"/>
      <c r="E30" s="44"/>
      <c r="F30" s="44"/>
      <c r="G30" s="44"/>
      <c r="H30" s="628"/>
    </row>
    <row r="32" spans="1:9" ht="18" x14ac:dyDescent="0.3">
      <c r="A32" s="265" t="s">
        <v>1172</v>
      </c>
      <c r="B32" s="32" t="s">
        <v>1173</v>
      </c>
    </row>
    <row r="33" spans="1:9" x14ac:dyDescent="0.3">
      <c r="A33" s="4" t="s">
        <v>1174</v>
      </c>
      <c r="B33" s="32" t="s">
        <v>1175</v>
      </c>
      <c r="C33" s="48">
        <v>0.73170000000000002</v>
      </c>
      <c r="E33" s="36"/>
      <c r="H33" s="629" t="s">
        <v>1555</v>
      </c>
      <c r="I33" s="4" t="s">
        <v>1174</v>
      </c>
    </row>
    <row r="34" spans="1:9" x14ac:dyDescent="0.3">
      <c r="A34" s="4" t="s">
        <v>1176</v>
      </c>
      <c r="B34" s="32" t="s">
        <v>264</v>
      </c>
      <c r="C34" s="48">
        <v>0.1981</v>
      </c>
      <c r="H34" s="4" t="s">
        <v>1556</v>
      </c>
      <c r="I34" s="4" t="s">
        <v>1176</v>
      </c>
    </row>
    <row r="35" spans="1:9" ht="16.2" thickBot="1" x14ac:dyDescent="0.35">
      <c r="A35" s="4" t="s">
        <v>1177</v>
      </c>
      <c r="B35" s="32" t="s">
        <v>1162</v>
      </c>
      <c r="C35" s="630">
        <f>C33*C34</f>
        <v>0.14494977000000001</v>
      </c>
      <c r="H35" s="4" t="s">
        <v>1178</v>
      </c>
      <c r="I35" s="4" t="s">
        <v>1177</v>
      </c>
    </row>
    <row r="36" spans="1:9" ht="16.2" thickTop="1" x14ac:dyDescent="0.3"/>
    <row r="37" spans="1:9" x14ac:dyDescent="0.3">
      <c r="A37"/>
      <c r="B37"/>
      <c r="C37"/>
    </row>
    <row r="38" spans="1:9" x14ac:dyDescent="0.3">
      <c r="H38" s="4"/>
      <c r="I38" s="32"/>
    </row>
  </sheetData>
  <mergeCells count="5">
    <mergeCell ref="B2:H2"/>
    <mergeCell ref="B3:H3"/>
    <mergeCell ref="B4:H4"/>
    <mergeCell ref="B5:H5"/>
    <mergeCell ref="B6:H6"/>
  </mergeCells>
  <printOptions horizontalCentered="1"/>
  <pageMargins left="0.25" right="0.25" top="0.5" bottom="0.5" header="0.25" footer="0.25"/>
  <pageSetup scale="71" orientation="landscape" r:id="rId1"/>
  <headerFooter scaleWithDoc="0" alignWithMargins="0">
    <oddFooter>&amp;C&amp;A</oddFooter>
  </headerFooter>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pageSetUpPr fitToPage="1"/>
  </sheetPr>
  <dimension ref="A1:M35"/>
  <sheetViews>
    <sheetView zoomScale="80" zoomScaleNormal="80" workbookViewId="0"/>
  </sheetViews>
  <sheetFormatPr defaultColWidth="9.33203125" defaultRowHeight="15.6" x14ac:dyDescent="0.3"/>
  <cols>
    <col min="1" max="1" width="5.33203125" style="344" customWidth="1"/>
    <col min="2" max="3" width="19.5546875" style="5" customWidth="1"/>
    <col min="4" max="5" width="20.6640625" style="5" customWidth="1"/>
    <col min="6" max="6" width="35.5546875" style="5" customWidth="1"/>
    <col min="7" max="7" width="20.6640625" style="5" customWidth="1"/>
    <col min="8" max="8" width="35.33203125" style="5" customWidth="1"/>
    <col min="9" max="9" width="5.33203125" style="344" customWidth="1"/>
    <col min="10" max="10" width="8.6640625" style="5" customWidth="1"/>
    <col min="11" max="11" width="9" style="5" customWidth="1"/>
    <col min="12" max="12" width="14" style="5" customWidth="1"/>
    <col min="13" max="13" width="13.33203125" style="5" customWidth="1"/>
    <col min="14" max="14" width="12.6640625" style="5" customWidth="1"/>
    <col min="15" max="15" width="13.5546875" style="5" customWidth="1"/>
    <col min="16" max="16" width="12.5546875" style="5" customWidth="1"/>
    <col min="17" max="16384" width="9.33203125" style="5"/>
  </cols>
  <sheetData>
    <row r="1" spans="1:13" x14ac:dyDescent="0.3">
      <c r="M1" s="165"/>
    </row>
    <row r="2" spans="1:13" x14ac:dyDescent="0.3">
      <c r="B2" s="1222" t="s">
        <v>0</v>
      </c>
      <c r="C2" s="1222"/>
      <c r="D2" s="1222"/>
      <c r="E2" s="1222"/>
      <c r="F2" s="1222"/>
      <c r="G2" s="1222"/>
      <c r="H2" s="1222"/>
      <c r="I2" s="221"/>
      <c r="J2" s="221"/>
      <c r="M2" s="165"/>
    </row>
    <row r="3" spans="1:13" x14ac:dyDescent="0.3">
      <c r="B3" s="1225" t="s">
        <v>1638</v>
      </c>
      <c r="C3" s="1225"/>
      <c r="D3" s="1225"/>
      <c r="E3" s="1225"/>
      <c r="F3" s="1225"/>
      <c r="G3" s="1225"/>
      <c r="H3" s="1225"/>
      <c r="I3" s="221"/>
      <c r="J3" s="221"/>
      <c r="M3" s="165"/>
    </row>
    <row r="4" spans="1:13" x14ac:dyDescent="0.3">
      <c r="B4" s="1227" t="str">
        <f>'True-Up'!B4</f>
        <v>For 12-Month True-Up Period January 1, 2023 Through December 31, 2023</v>
      </c>
      <c r="C4" s="1227"/>
      <c r="D4" s="1227"/>
      <c r="E4" s="1227"/>
      <c r="F4" s="1227"/>
      <c r="G4" s="1227"/>
      <c r="H4" s="1227"/>
      <c r="I4" s="221"/>
      <c r="J4" s="221"/>
      <c r="M4" s="165"/>
    </row>
    <row r="5" spans="1:13" x14ac:dyDescent="0.3">
      <c r="B5" s="1226" t="s">
        <v>4</v>
      </c>
      <c r="C5" s="1226"/>
      <c r="D5" s="1226"/>
      <c r="E5" s="1226"/>
      <c r="F5" s="1226"/>
      <c r="G5" s="1226"/>
      <c r="H5" s="1226"/>
      <c r="I5" s="221"/>
      <c r="J5" s="221"/>
    </row>
    <row r="6" spans="1:13" x14ac:dyDescent="0.3">
      <c r="A6" s="221"/>
      <c r="B6" s="221"/>
      <c r="C6" s="221"/>
      <c r="D6" s="221"/>
      <c r="E6" s="221"/>
      <c r="F6" s="221"/>
      <c r="G6" s="221"/>
      <c r="H6" s="221"/>
      <c r="I6" s="221"/>
      <c r="J6" s="221"/>
    </row>
    <row r="7" spans="1:13" x14ac:dyDescent="0.3">
      <c r="A7" s="4" t="s">
        <v>5</v>
      </c>
      <c r="B7" s="221"/>
      <c r="C7" s="221"/>
      <c r="D7" s="221"/>
      <c r="E7" s="221"/>
      <c r="F7" s="221"/>
      <c r="G7" s="221"/>
      <c r="H7" s="221"/>
      <c r="I7" s="4" t="s">
        <v>5</v>
      </c>
      <c r="J7" s="221"/>
    </row>
    <row r="8" spans="1:13" x14ac:dyDescent="0.3">
      <c r="A8" s="4" t="s">
        <v>6</v>
      </c>
      <c r="E8" s="491"/>
      <c r="I8" s="4" t="s">
        <v>6</v>
      </c>
      <c r="J8" s="477"/>
    </row>
    <row r="9" spans="1:13" x14ac:dyDescent="0.3">
      <c r="A9" s="477"/>
      <c r="E9" s="491"/>
      <c r="I9" s="477"/>
      <c r="J9" s="477"/>
    </row>
    <row r="10" spans="1:13" x14ac:dyDescent="0.3">
      <c r="A10" s="344">
        <v>1</v>
      </c>
      <c r="C10" s="493" t="s">
        <v>1182</v>
      </c>
      <c r="D10" s="493" t="s">
        <v>1183</v>
      </c>
      <c r="E10" s="493" t="s">
        <v>1184</v>
      </c>
      <c r="F10" s="493" t="s">
        <v>1185</v>
      </c>
      <c r="G10" s="493" t="s">
        <v>1186</v>
      </c>
      <c r="H10" s="493" t="s">
        <v>1187</v>
      </c>
      <c r="I10" s="344">
        <f>A10</f>
        <v>1</v>
      </c>
      <c r="J10" s="344"/>
    </row>
    <row r="11" spans="1:13" x14ac:dyDescent="0.3">
      <c r="A11" s="344">
        <f>A10+1</f>
        <v>2</v>
      </c>
      <c r="B11" s="345" t="s">
        <v>1305</v>
      </c>
      <c r="C11" s="493"/>
      <c r="D11" s="4"/>
      <c r="E11" s="4" t="s">
        <v>1402</v>
      </c>
      <c r="F11" s="4" t="s">
        <v>1403</v>
      </c>
      <c r="G11" s="35" t="s">
        <v>1404</v>
      </c>
      <c r="H11" s="35" t="s">
        <v>1405</v>
      </c>
      <c r="I11" s="344">
        <f>I10+1</f>
        <v>2</v>
      </c>
      <c r="J11" s="344"/>
    </row>
    <row r="12" spans="1:13" x14ac:dyDescent="0.3">
      <c r="A12" s="344">
        <f t="shared" ref="A12:A28" si="0">A11+1</f>
        <v>3</v>
      </c>
      <c r="C12" s="493"/>
      <c r="D12" s="493"/>
      <c r="E12" s="493"/>
      <c r="F12" s="221"/>
      <c r="G12" s="493"/>
      <c r="H12" s="493"/>
      <c r="I12" s="344">
        <f t="shared" ref="I12:I28" si="1">I11+1</f>
        <v>3</v>
      </c>
      <c r="J12" s="344"/>
    </row>
    <row r="13" spans="1:13" x14ac:dyDescent="0.3">
      <c r="A13" s="344">
        <f t="shared" si="0"/>
        <v>4</v>
      </c>
      <c r="C13" s="221"/>
      <c r="D13" s="221" t="s">
        <v>1406</v>
      </c>
      <c r="E13" s="221" t="s">
        <v>1314</v>
      </c>
      <c r="F13" s="221" t="s">
        <v>1407</v>
      </c>
      <c r="H13" s="221" t="s">
        <v>1407</v>
      </c>
      <c r="I13" s="344">
        <f t="shared" si="1"/>
        <v>4</v>
      </c>
      <c r="J13" s="344"/>
    </row>
    <row r="14" spans="1:13" x14ac:dyDescent="0.3">
      <c r="A14" s="344">
        <f t="shared" si="0"/>
        <v>5</v>
      </c>
      <c r="C14" s="221"/>
      <c r="D14" s="221" t="s">
        <v>1408</v>
      </c>
      <c r="E14" s="221" t="s">
        <v>1321</v>
      </c>
      <c r="F14" s="221" t="s">
        <v>1409</v>
      </c>
      <c r="G14" s="221"/>
      <c r="H14" s="221" t="s">
        <v>1409</v>
      </c>
      <c r="I14" s="344">
        <f t="shared" si="1"/>
        <v>5</v>
      </c>
      <c r="J14" s="344"/>
    </row>
    <row r="15" spans="1:13" ht="18" x14ac:dyDescent="0.3">
      <c r="A15" s="344">
        <f t="shared" si="0"/>
        <v>6</v>
      </c>
      <c r="B15" s="257" t="s">
        <v>286</v>
      </c>
      <c r="C15" s="257" t="s">
        <v>1323</v>
      </c>
      <c r="D15" s="257" t="s">
        <v>1410</v>
      </c>
      <c r="E15" s="257" t="s">
        <v>719</v>
      </c>
      <c r="F15" s="257" t="s">
        <v>1330</v>
      </c>
      <c r="G15" s="505" t="s">
        <v>1321</v>
      </c>
      <c r="H15" s="257" t="s">
        <v>1331</v>
      </c>
      <c r="I15" s="344">
        <f t="shared" si="1"/>
        <v>6</v>
      </c>
      <c r="J15" s="344"/>
    </row>
    <row r="16" spans="1:13" x14ac:dyDescent="0.3">
      <c r="A16" s="344">
        <f t="shared" si="0"/>
        <v>7</v>
      </c>
      <c r="B16" s="33" t="s">
        <v>1332</v>
      </c>
      <c r="C16" s="494" t="str">
        <f>'True-Up'!C23</f>
        <v>2023</v>
      </c>
      <c r="D16" s="154">
        <v>-81600.269564864153</v>
      </c>
      <c r="E16" s="155">
        <f>'True-Up'!J23</f>
        <v>5.4000000000000003E-3</v>
      </c>
      <c r="F16" s="144">
        <f>D16</f>
        <v>-81600.269564864153</v>
      </c>
      <c r="G16" s="144">
        <f>((F16))*E16</f>
        <v>-440.64145565026644</v>
      </c>
      <c r="H16" s="144">
        <f t="shared" ref="H16:H27" si="2">F16+G16</f>
        <v>-82040.911020514424</v>
      </c>
      <c r="I16" s="344">
        <f t="shared" si="1"/>
        <v>7</v>
      </c>
      <c r="J16" s="344"/>
    </row>
    <row r="17" spans="1:10" x14ac:dyDescent="0.3">
      <c r="A17" s="344">
        <f t="shared" si="0"/>
        <v>8</v>
      </c>
      <c r="B17" s="33" t="s">
        <v>1333</v>
      </c>
      <c r="C17" s="494" t="str">
        <f>$C$16</f>
        <v>2023</v>
      </c>
      <c r="D17" s="156"/>
      <c r="E17" s="155">
        <f>'True-Up'!J24</f>
        <v>4.7999999999999996E-3</v>
      </c>
      <c r="F17" s="148">
        <f>H16</f>
        <v>-82040.911020514424</v>
      </c>
      <c r="G17" s="148">
        <f t="shared" ref="G17:G27" si="3">((H16+F17)/2)*E17</f>
        <v>-393.7963728984692</v>
      </c>
      <c r="H17" s="148">
        <f t="shared" si="2"/>
        <v>-82434.7073934129</v>
      </c>
      <c r="I17" s="344">
        <f t="shared" si="1"/>
        <v>8</v>
      </c>
      <c r="J17" s="344"/>
    </row>
    <row r="18" spans="1:10" x14ac:dyDescent="0.3">
      <c r="A18" s="344">
        <f t="shared" si="0"/>
        <v>9</v>
      </c>
      <c r="B18" s="33" t="s">
        <v>1376</v>
      </c>
      <c r="C18" s="494" t="str">
        <f t="shared" ref="C18:C27" si="4">$C$16</f>
        <v>2023</v>
      </c>
      <c r="D18" s="156"/>
      <c r="E18" s="155">
        <f>'True-Up'!J25</f>
        <v>5.4000000000000003E-3</v>
      </c>
      <c r="F18" s="148">
        <f>H17</f>
        <v>-82434.7073934129</v>
      </c>
      <c r="G18" s="148">
        <f t="shared" si="3"/>
        <v>-445.1474199244297</v>
      </c>
      <c r="H18" s="148">
        <f t="shared" si="2"/>
        <v>-82879.854813337326</v>
      </c>
      <c r="I18" s="344">
        <f t="shared" si="1"/>
        <v>9</v>
      </c>
      <c r="J18" s="344"/>
    </row>
    <row r="19" spans="1:10" x14ac:dyDescent="0.3">
      <c r="A19" s="344">
        <f t="shared" si="0"/>
        <v>10</v>
      </c>
      <c r="B19" s="33" t="s">
        <v>1377</v>
      </c>
      <c r="C19" s="494" t="str">
        <f t="shared" si="4"/>
        <v>2023</v>
      </c>
      <c r="D19" s="156"/>
      <c r="E19" s="155">
        <f>'True-Up'!J26</f>
        <v>6.1999999999999998E-3</v>
      </c>
      <c r="F19" s="148">
        <f t="shared" ref="F19:F27" si="5">H18</f>
        <v>-82879.854813337326</v>
      </c>
      <c r="G19" s="148">
        <f t="shared" si="3"/>
        <v>-513.8550998426914</v>
      </c>
      <c r="H19" s="148">
        <f t="shared" si="2"/>
        <v>-83393.709913180021</v>
      </c>
      <c r="I19" s="344">
        <f t="shared" si="1"/>
        <v>10</v>
      </c>
      <c r="J19" s="344"/>
    </row>
    <row r="20" spans="1:10" x14ac:dyDescent="0.3">
      <c r="A20" s="344">
        <f t="shared" si="0"/>
        <v>11</v>
      </c>
      <c r="B20" s="33" t="s">
        <v>294</v>
      </c>
      <c r="C20" s="494" t="str">
        <f t="shared" si="4"/>
        <v>2023</v>
      </c>
      <c r="D20" s="156"/>
      <c r="E20" s="155">
        <f>'True-Up'!J27</f>
        <v>6.4000000000000003E-3</v>
      </c>
      <c r="F20" s="148">
        <f t="shared" si="5"/>
        <v>-83393.709913180021</v>
      </c>
      <c r="G20" s="148">
        <f t="shared" si="3"/>
        <v>-533.71974344435216</v>
      </c>
      <c r="H20" s="148">
        <f t="shared" si="2"/>
        <v>-83927.429656624372</v>
      </c>
      <c r="I20" s="344">
        <f t="shared" si="1"/>
        <v>11</v>
      </c>
      <c r="J20" s="344"/>
    </row>
    <row r="21" spans="1:10" x14ac:dyDescent="0.3">
      <c r="A21" s="344">
        <f t="shared" si="0"/>
        <v>12</v>
      </c>
      <c r="B21" s="33" t="s">
        <v>1411</v>
      </c>
      <c r="C21" s="494" t="str">
        <f t="shared" si="4"/>
        <v>2023</v>
      </c>
      <c r="D21" s="156"/>
      <c r="E21" s="155">
        <f>'True-Up'!J28</f>
        <v>6.1999999999999998E-3</v>
      </c>
      <c r="F21" s="148">
        <f t="shared" si="5"/>
        <v>-83927.429656624372</v>
      </c>
      <c r="G21" s="148">
        <f t="shared" si="3"/>
        <v>-520.35006387107114</v>
      </c>
      <c r="H21" s="148">
        <f t="shared" si="2"/>
        <v>-84447.77972049544</v>
      </c>
      <c r="I21" s="344">
        <f t="shared" si="1"/>
        <v>12</v>
      </c>
      <c r="J21" s="344"/>
    </row>
    <row r="22" spans="1:10" x14ac:dyDescent="0.3">
      <c r="A22" s="344">
        <f t="shared" si="0"/>
        <v>13</v>
      </c>
      <c r="B22" s="33" t="s">
        <v>1379</v>
      </c>
      <c r="C22" s="494" t="str">
        <f t="shared" si="4"/>
        <v>2023</v>
      </c>
      <c r="D22" s="156"/>
      <c r="E22" s="155">
        <f>'True-Up'!J29</f>
        <v>6.7999999999999996E-3</v>
      </c>
      <c r="F22" s="148">
        <f t="shared" si="5"/>
        <v>-84447.77972049544</v>
      </c>
      <c r="G22" s="148">
        <f t="shared" si="3"/>
        <v>-574.24490209936891</v>
      </c>
      <c r="H22" s="148">
        <f t="shared" si="2"/>
        <v>-85022.024622594807</v>
      </c>
      <c r="I22" s="344">
        <f t="shared" si="1"/>
        <v>13</v>
      </c>
      <c r="J22" s="344"/>
    </row>
    <row r="23" spans="1:10" x14ac:dyDescent="0.3">
      <c r="A23" s="344">
        <f t="shared" si="0"/>
        <v>14</v>
      </c>
      <c r="B23" s="33" t="s">
        <v>1380</v>
      </c>
      <c r="C23" s="494" t="str">
        <f t="shared" si="4"/>
        <v>2023</v>
      </c>
      <c r="D23" s="156"/>
      <c r="E23" s="155">
        <f>'True-Up'!J30</f>
        <v>6.7999999999999996E-3</v>
      </c>
      <c r="F23" s="148">
        <f t="shared" si="5"/>
        <v>-85022.024622594807</v>
      </c>
      <c r="G23" s="148">
        <f t="shared" si="3"/>
        <v>-578.14976743364468</v>
      </c>
      <c r="H23" s="148">
        <f t="shared" si="2"/>
        <v>-85600.174390028449</v>
      </c>
      <c r="I23" s="344">
        <f t="shared" si="1"/>
        <v>14</v>
      </c>
      <c r="J23" s="344"/>
    </row>
    <row r="24" spans="1:10" x14ac:dyDescent="0.3">
      <c r="A24" s="344">
        <f t="shared" si="0"/>
        <v>15</v>
      </c>
      <c r="B24" s="33" t="s">
        <v>1381</v>
      </c>
      <c r="C24" s="494" t="str">
        <f t="shared" si="4"/>
        <v>2023</v>
      </c>
      <c r="D24" s="156"/>
      <c r="E24" s="155">
        <f>'True-Up'!J31</f>
        <v>6.6E-3</v>
      </c>
      <c r="F24" s="148">
        <f t="shared" si="5"/>
        <v>-85600.174390028449</v>
      </c>
      <c r="G24" s="148">
        <f t="shared" si="3"/>
        <v>-564.96115097418772</v>
      </c>
      <c r="H24" s="148">
        <f t="shared" si="2"/>
        <v>-86165.13554100263</v>
      </c>
      <c r="I24" s="344">
        <f t="shared" si="1"/>
        <v>15</v>
      </c>
      <c r="J24" s="344"/>
    </row>
    <row r="25" spans="1:10" x14ac:dyDescent="0.3">
      <c r="A25" s="344">
        <f t="shared" si="0"/>
        <v>16</v>
      </c>
      <c r="B25" s="33" t="s">
        <v>1382</v>
      </c>
      <c r="C25" s="494" t="str">
        <f t="shared" si="4"/>
        <v>2023</v>
      </c>
      <c r="D25" s="156"/>
      <c r="E25" s="155">
        <f>'True-Up'!J32</f>
        <v>7.1000000000000004E-3</v>
      </c>
      <c r="F25" s="148">
        <f t="shared" si="5"/>
        <v>-86165.13554100263</v>
      </c>
      <c r="G25" s="148">
        <f t="shared" si="3"/>
        <v>-611.77246234111874</v>
      </c>
      <c r="H25" s="148">
        <f t="shared" si="2"/>
        <v>-86776.908003343749</v>
      </c>
      <c r="I25" s="344">
        <f t="shared" si="1"/>
        <v>16</v>
      </c>
      <c r="J25" s="344"/>
    </row>
    <row r="26" spans="1:10" x14ac:dyDescent="0.3">
      <c r="A26" s="344">
        <f t="shared" si="0"/>
        <v>17</v>
      </c>
      <c r="B26" s="33" t="s">
        <v>1383</v>
      </c>
      <c r="C26" s="494" t="str">
        <f t="shared" si="4"/>
        <v>2023</v>
      </c>
      <c r="D26" s="156"/>
      <c r="E26" s="155">
        <f>'True-Up'!J33</f>
        <v>6.8999999999999999E-3</v>
      </c>
      <c r="F26" s="148">
        <f t="shared" si="5"/>
        <v>-86776.908003343749</v>
      </c>
      <c r="G26" s="148">
        <f t="shared" si="3"/>
        <v>-598.7606652230719</v>
      </c>
      <c r="H26" s="148">
        <f t="shared" si="2"/>
        <v>-87375.668668566825</v>
      </c>
      <c r="I26" s="344">
        <f t="shared" si="1"/>
        <v>17</v>
      </c>
      <c r="J26" s="344"/>
    </row>
    <row r="27" spans="1:10" x14ac:dyDescent="0.3">
      <c r="A27" s="344">
        <f t="shared" si="0"/>
        <v>18</v>
      </c>
      <c r="B27" s="1067" t="s">
        <v>1384</v>
      </c>
      <c r="C27" s="1068" t="str">
        <f t="shared" si="4"/>
        <v>2023</v>
      </c>
      <c r="D27" s="1073"/>
      <c r="E27" s="1074">
        <f>'True-Up'!J34</f>
        <v>7.1000000000000004E-3</v>
      </c>
      <c r="F27" s="1069">
        <f t="shared" si="5"/>
        <v>-87375.668668566825</v>
      </c>
      <c r="G27" s="1069">
        <f t="shared" si="3"/>
        <v>-620.3672475468245</v>
      </c>
      <c r="H27" s="1069">
        <f t="shared" si="2"/>
        <v>-87996.035916113644</v>
      </c>
      <c r="I27" s="344">
        <f t="shared" si="1"/>
        <v>18</v>
      </c>
      <c r="J27" s="344"/>
    </row>
    <row r="28" spans="1:10" ht="16.2" thickBot="1" x14ac:dyDescent="0.35">
      <c r="A28" s="344">
        <f t="shared" si="0"/>
        <v>19</v>
      </c>
      <c r="B28" s="33"/>
      <c r="C28" s="494"/>
      <c r="D28" s="156"/>
      <c r="E28" s="157"/>
      <c r="F28" s="158"/>
      <c r="G28" s="159">
        <f>SUM(G16:G27)</f>
        <v>-6395.7663512494964</v>
      </c>
      <c r="H28" s="158"/>
      <c r="I28" s="344">
        <f t="shared" si="1"/>
        <v>19</v>
      </c>
      <c r="J28" s="344"/>
    </row>
    <row r="29" spans="1:10" ht="16.2" thickTop="1" x14ac:dyDescent="0.3">
      <c r="B29" s="33"/>
      <c r="C29" s="494"/>
      <c r="D29" s="156"/>
      <c r="E29" s="157"/>
      <c r="F29" s="158"/>
      <c r="G29" s="158"/>
      <c r="H29" s="158"/>
      <c r="J29" s="344"/>
    </row>
    <row r="30" spans="1:10" x14ac:dyDescent="0.3">
      <c r="B30" s="33"/>
      <c r="C30" s="494"/>
      <c r="D30" s="163"/>
      <c r="E30" s="156"/>
      <c r="F30" s="491"/>
      <c r="G30" s="157"/>
      <c r="H30" s="497"/>
      <c r="I30" s="586"/>
      <c r="J30" s="497"/>
    </row>
    <row r="31" spans="1:10" ht="18" x14ac:dyDescent="0.3">
      <c r="A31" s="256">
        <v>1</v>
      </c>
      <c r="B31" s="33" t="s">
        <v>1412</v>
      </c>
      <c r="C31" s="494"/>
      <c r="D31" s="163"/>
      <c r="E31" s="156"/>
      <c r="F31" s="491"/>
      <c r="G31" s="157"/>
      <c r="H31" s="497"/>
      <c r="I31" s="586"/>
      <c r="J31" s="497"/>
    </row>
    <row r="32" spans="1:10" ht="18" x14ac:dyDescent="0.3">
      <c r="A32" s="482">
        <v>2</v>
      </c>
      <c r="B32" s="33" t="s">
        <v>1349</v>
      </c>
      <c r="C32" s="494"/>
      <c r="D32" s="163"/>
      <c r="E32" s="156"/>
      <c r="F32" s="491"/>
      <c r="G32" s="157"/>
      <c r="H32" s="497"/>
      <c r="I32" s="586"/>
      <c r="J32" s="497"/>
    </row>
    <row r="33" spans="1:10" ht="18" x14ac:dyDescent="0.3">
      <c r="A33" s="256">
        <v>3</v>
      </c>
      <c r="B33" s="5" t="s">
        <v>1413</v>
      </c>
      <c r="C33" s="494"/>
      <c r="D33" s="163"/>
      <c r="E33" s="156"/>
      <c r="F33" s="491"/>
      <c r="G33" s="157"/>
      <c r="H33" s="497"/>
      <c r="I33" s="586"/>
      <c r="J33" s="497"/>
    </row>
    <row r="34" spans="1:10" ht="18" x14ac:dyDescent="0.3">
      <c r="A34" s="256">
        <v>4</v>
      </c>
      <c r="B34" s="5" t="s">
        <v>1414</v>
      </c>
    </row>
    <row r="35" spans="1:10" x14ac:dyDescent="0.3">
      <c r="B35" s="5" t="s">
        <v>1415</v>
      </c>
    </row>
  </sheetData>
  <mergeCells count="4">
    <mergeCell ref="B5:H5"/>
    <mergeCell ref="B2:H2"/>
    <mergeCell ref="B3:H3"/>
    <mergeCell ref="B4:H4"/>
  </mergeCells>
  <printOptions horizontalCentered="1"/>
  <pageMargins left="0.5" right="0.5" top="0.5" bottom="0.5" header="0.25" footer="0.25"/>
  <pageSetup scale="69" orientation="landscape" r:id="rId1"/>
  <headerFooter scaleWithDoc="0">
    <oddFooter>&amp;C&amp;"Times New Roman,Regular"&amp;10Interest True-Up BP</oddFooter>
  </headerFooter>
  <customProperties>
    <customPr name="_pios_id" r:id="rId2"/>
  </customPropertie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pageSetUpPr fitToPage="1"/>
  </sheetPr>
  <dimension ref="A1:M39"/>
  <sheetViews>
    <sheetView zoomScale="80" zoomScaleNormal="80" workbookViewId="0"/>
  </sheetViews>
  <sheetFormatPr defaultColWidth="9.33203125" defaultRowHeight="15.6" x14ac:dyDescent="0.3"/>
  <cols>
    <col min="1" max="1" width="5.33203125" style="5" customWidth="1"/>
    <col min="2" max="3" width="21.44140625" style="5" customWidth="1"/>
    <col min="4" max="9" width="22" style="5" customWidth="1"/>
    <col min="10" max="10" width="5.33203125" style="344" customWidth="1"/>
    <col min="11" max="11" width="14" style="5" customWidth="1"/>
    <col min="12" max="12" width="13.33203125" style="5" customWidth="1"/>
    <col min="13" max="13" width="12.6640625" style="5" customWidth="1"/>
    <col min="14" max="14" width="13.5546875" style="5" customWidth="1"/>
    <col min="15" max="15" width="12.5546875" style="5" customWidth="1"/>
    <col min="16" max="16384" width="9.33203125" style="5"/>
  </cols>
  <sheetData>
    <row r="1" spans="1:10" x14ac:dyDescent="0.3">
      <c r="A1" s="486"/>
      <c r="B1" s="343"/>
      <c r="C1" s="468"/>
      <c r="D1" s="498"/>
      <c r="E1" s="499"/>
      <c r="F1" s="500"/>
      <c r="G1" s="501"/>
      <c r="H1" s="502"/>
      <c r="I1" s="502"/>
      <c r="J1" s="503"/>
    </row>
    <row r="2" spans="1:10" x14ac:dyDescent="0.3">
      <c r="B2" s="1244" t="s">
        <v>0</v>
      </c>
      <c r="C2" s="1244"/>
      <c r="D2" s="1244"/>
      <c r="E2" s="1244"/>
      <c r="F2" s="1244"/>
      <c r="G2" s="1244"/>
      <c r="H2" s="1244"/>
      <c r="I2" s="1244"/>
      <c r="J2" s="486"/>
    </row>
    <row r="3" spans="1:10" x14ac:dyDescent="0.3">
      <c r="B3" s="1265" t="str">
        <f>'Interest TU BP'!B3</f>
        <v>TO6-Cycle 1 Interest True-Up Adjustment</v>
      </c>
      <c r="C3" s="1265"/>
      <c r="D3" s="1265"/>
      <c r="E3" s="1265"/>
      <c r="F3" s="1265"/>
      <c r="G3" s="1265"/>
      <c r="H3" s="1265"/>
      <c r="I3" s="1265"/>
      <c r="J3" s="486"/>
    </row>
    <row r="4" spans="1:10" x14ac:dyDescent="0.3">
      <c r="B4" s="1265" t="str">
        <f>'True-Up'!B4</f>
        <v>For 12-Month True-Up Period January 1, 2023 Through December 31, 2023</v>
      </c>
      <c r="C4" s="1265"/>
      <c r="D4" s="1265"/>
      <c r="E4" s="1265"/>
      <c r="F4" s="1265"/>
      <c r="G4" s="1265"/>
      <c r="H4" s="1265"/>
      <c r="I4" s="1265"/>
      <c r="J4" s="486"/>
    </row>
    <row r="5" spans="1:10" x14ac:dyDescent="0.3">
      <c r="B5" s="1245" t="s">
        <v>4</v>
      </c>
      <c r="C5" s="1245"/>
      <c r="D5" s="1245"/>
      <c r="E5" s="1245"/>
      <c r="F5" s="1245"/>
      <c r="G5" s="1245"/>
      <c r="H5" s="1245"/>
      <c r="I5" s="1245"/>
      <c r="J5" s="486"/>
    </row>
    <row r="6" spans="1:10" x14ac:dyDescent="0.3">
      <c r="A6" s="486"/>
      <c r="B6" s="486"/>
      <c r="C6" s="486"/>
      <c r="D6" s="486"/>
      <c r="E6" s="486"/>
      <c r="F6" s="486"/>
      <c r="G6" s="486"/>
      <c r="H6" s="486"/>
      <c r="I6" s="486"/>
      <c r="J6" s="486"/>
    </row>
    <row r="7" spans="1:10" x14ac:dyDescent="0.3">
      <c r="A7" s="4" t="s">
        <v>5</v>
      </c>
      <c r="B7" s="33"/>
      <c r="C7" s="494"/>
      <c r="D7" s="163"/>
      <c r="E7" s="156"/>
      <c r="F7" s="491"/>
      <c r="G7" s="157"/>
      <c r="H7" s="497"/>
      <c r="I7" s="497"/>
      <c r="J7" s="4" t="s">
        <v>5</v>
      </c>
    </row>
    <row r="8" spans="1:10" x14ac:dyDescent="0.3">
      <c r="A8" s="4" t="s">
        <v>6</v>
      </c>
      <c r="B8" s="33"/>
      <c r="C8" s="494"/>
      <c r="D8" s="163"/>
      <c r="E8" s="156"/>
      <c r="F8" s="491"/>
      <c r="G8" s="157"/>
      <c r="H8" s="497"/>
      <c r="I8" s="497"/>
      <c r="J8" s="4" t="s">
        <v>6</v>
      </c>
    </row>
    <row r="9" spans="1:10" x14ac:dyDescent="0.3">
      <c r="B9" s="33"/>
      <c r="C9" s="494"/>
      <c r="D9" s="163"/>
      <c r="E9" s="156"/>
      <c r="F9" s="491"/>
      <c r="G9" s="157"/>
      <c r="H9" s="497"/>
      <c r="I9" s="497"/>
    </row>
    <row r="10" spans="1:10" x14ac:dyDescent="0.3">
      <c r="A10" s="344">
        <v>1</v>
      </c>
      <c r="C10" s="493" t="s">
        <v>1182</v>
      </c>
      <c r="D10" s="493" t="s">
        <v>1183</v>
      </c>
      <c r="E10" s="493" t="s">
        <v>1184</v>
      </c>
      <c r="F10" s="493" t="s">
        <v>1185</v>
      </c>
      <c r="G10" s="493" t="s">
        <v>1186</v>
      </c>
      <c r="H10" s="493" t="s">
        <v>1187</v>
      </c>
      <c r="I10" s="493" t="s">
        <v>1188</v>
      </c>
      <c r="J10" s="344">
        <f>A10</f>
        <v>1</v>
      </c>
    </row>
    <row r="11" spans="1:10" x14ac:dyDescent="0.3">
      <c r="A11" s="344">
        <f>A10+1</f>
        <v>2</v>
      </c>
      <c r="C11" s="493"/>
      <c r="D11" s="4"/>
      <c r="E11" s="4" t="s">
        <v>1402</v>
      </c>
      <c r="F11" s="4" t="s">
        <v>1403</v>
      </c>
      <c r="G11" s="35" t="s">
        <v>1416</v>
      </c>
      <c r="H11" s="35" t="s">
        <v>1417</v>
      </c>
      <c r="I11" s="35" t="s">
        <v>1418</v>
      </c>
      <c r="J11" s="344">
        <f>J10+1</f>
        <v>2</v>
      </c>
    </row>
    <row r="12" spans="1:10" x14ac:dyDescent="0.3">
      <c r="A12" s="344">
        <f t="shared" ref="A12:A32" si="0">A11+1</f>
        <v>3</v>
      </c>
      <c r="C12" s="493"/>
      <c r="D12" s="4"/>
      <c r="E12" s="4"/>
      <c r="F12" s="486"/>
      <c r="I12" s="493"/>
      <c r="J12" s="344">
        <f t="shared" ref="J12:J32" si="1">J11+1</f>
        <v>3</v>
      </c>
    </row>
    <row r="13" spans="1:10" x14ac:dyDescent="0.3">
      <c r="A13" s="344">
        <f t="shared" si="0"/>
        <v>4</v>
      </c>
      <c r="B13" s="33"/>
      <c r="C13" s="494"/>
      <c r="D13" s="221" t="s">
        <v>1314</v>
      </c>
      <c r="E13" s="503" t="s">
        <v>286</v>
      </c>
      <c r="F13" s="486"/>
      <c r="I13" s="265" t="s">
        <v>286</v>
      </c>
      <c r="J13" s="344">
        <f t="shared" si="1"/>
        <v>4</v>
      </c>
    </row>
    <row r="14" spans="1:10" x14ac:dyDescent="0.3">
      <c r="A14" s="344">
        <f t="shared" si="0"/>
        <v>5</v>
      </c>
      <c r="C14" s="494"/>
      <c r="D14" s="221" t="s">
        <v>1321</v>
      </c>
      <c r="E14" s="503" t="s">
        <v>1419</v>
      </c>
      <c r="F14" s="486"/>
      <c r="I14" s="265" t="s">
        <v>1420</v>
      </c>
      <c r="J14" s="344">
        <f t="shared" si="1"/>
        <v>5</v>
      </c>
    </row>
    <row r="15" spans="1:10" ht="18" x14ac:dyDescent="0.3">
      <c r="A15" s="344">
        <f t="shared" si="0"/>
        <v>6</v>
      </c>
      <c r="B15" s="257" t="s">
        <v>286</v>
      </c>
      <c r="C15" s="257" t="s">
        <v>1323</v>
      </c>
      <c r="D15" s="257" t="s">
        <v>1421</v>
      </c>
      <c r="E15" s="504" t="s">
        <v>367</v>
      </c>
      <c r="F15" s="505" t="s">
        <v>1422</v>
      </c>
      <c r="G15" s="257" t="s">
        <v>1423</v>
      </c>
      <c r="H15" s="257" t="s">
        <v>1321</v>
      </c>
      <c r="I15" s="493" t="s">
        <v>367</v>
      </c>
      <c r="J15" s="344">
        <f t="shared" si="1"/>
        <v>6</v>
      </c>
    </row>
    <row r="16" spans="1:10" x14ac:dyDescent="0.3">
      <c r="A16" s="344">
        <f t="shared" si="0"/>
        <v>7</v>
      </c>
      <c r="B16" s="33" t="s">
        <v>1332</v>
      </c>
      <c r="C16" s="494">
        <f>IFERROR(('True-Up'!C23+1),"xxxx")</f>
        <v>2024</v>
      </c>
      <c r="D16" s="155">
        <f>AVERAGE('True-Up'!J23:J34)</f>
        <v>6.3083333333333333E-3</v>
      </c>
      <c r="E16" s="160">
        <f>'Interest TU BP'!H27</f>
        <v>-87996.035916113644</v>
      </c>
      <c r="F16" s="145">
        <f>IFERROR(-E16/(((1+D16)^12-1)/(D16*(1+D16)^12)),0)</f>
        <v>7637.1529062276923</v>
      </c>
      <c r="G16" s="145">
        <f>-(F16+H16)</f>
        <v>-7082.0445796568756</v>
      </c>
      <c r="H16" s="145">
        <f>E16*D16</f>
        <v>-555.10832657081687</v>
      </c>
      <c r="I16" s="161">
        <f>E16-G16</f>
        <v>-80913.991336456762</v>
      </c>
      <c r="J16" s="344">
        <f t="shared" si="1"/>
        <v>7</v>
      </c>
    </row>
    <row r="17" spans="1:13" x14ac:dyDescent="0.3">
      <c r="A17" s="344">
        <f t="shared" si="0"/>
        <v>8</v>
      </c>
      <c r="B17" s="33" t="s">
        <v>1333</v>
      </c>
      <c r="C17" s="494">
        <f>$C$16</f>
        <v>2024</v>
      </c>
      <c r="D17" s="157">
        <f t="shared" ref="D17:D27" si="2">$D$16</f>
        <v>6.3083333333333333E-3</v>
      </c>
      <c r="E17" s="148">
        <f>I16</f>
        <v>-80913.991336456762</v>
      </c>
      <c r="F17" s="119">
        <f>IFERROR(-E16/(((1+D16)^12-1)/(D16*(1+D16)^12)),0)</f>
        <v>7637.1529062276923</v>
      </c>
      <c r="G17" s="119">
        <f t="shared" ref="G17:G27" si="3">-(F17+H17)</f>
        <v>-7126.7204775468772</v>
      </c>
      <c r="H17" s="119">
        <f>E17*D17</f>
        <v>-510.43242868081472</v>
      </c>
      <c r="I17" s="162">
        <f>E17-G17</f>
        <v>-73787.270858909891</v>
      </c>
      <c r="J17" s="344">
        <f t="shared" si="1"/>
        <v>8</v>
      </c>
      <c r="L17" s="496"/>
    </row>
    <row r="18" spans="1:13" x14ac:dyDescent="0.3">
      <c r="A18" s="344">
        <f t="shared" si="0"/>
        <v>9</v>
      </c>
      <c r="B18" s="33" t="s">
        <v>1376</v>
      </c>
      <c r="C18" s="494">
        <f t="shared" ref="C18:C27" si="4">$C$16</f>
        <v>2024</v>
      </c>
      <c r="D18" s="157">
        <f t="shared" si="2"/>
        <v>6.3083333333333333E-3</v>
      </c>
      <c r="E18" s="148">
        <f t="shared" ref="E18:E27" si="5">I17</f>
        <v>-73787.270858909891</v>
      </c>
      <c r="F18" s="119">
        <f>IFERROR(-E16/(((1+D16)^12-1)/(D16*(1+D16)^12)),0)</f>
        <v>7637.1529062276923</v>
      </c>
      <c r="G18" s="119">
        <f t="shared" si="3"/>
        <v>-7171.6782058927356</v>
      </c>
      <c r="H18" s="119">
        <f t="shared" ref="H18:H27" si="6">E18*D18</f>
        <v>-465.47470033495654</v>
      </c>
      <c r="I18" s="162">
        <f t="shared" ref="I18:I26" si="7">E18-G18</f>
        <v>-66615.592653017156</v>
      </c>
      <c r="J18" s="344">
        <f t="shared" si="1"/>
        <v>9</v>
      </c>
    </row>
    <row r="19" spans="1:13" x14ac:dyDescent="0.3">
      <c r="A19" s="344">
        <f t="shared" si="0"/>
        <v>10</v>
      </c>
      <c r="B19" s="33" t="s">
        <v>1377</v>
      </c>
      <c r="C19" s="494">
        <f t="shared" si="4"/>
        <v>2024</v>
      </c>
      <c r="D19" s="157">
        <f t="shared" si="2"/>
        <v>6.3083333333333333E-3</v>
      </c>
      <c r="E19" s="148">
        <f t="shared" si="5"/>
        <v>-66615.592653017156</v>
      </c>
      <c r="F19" s="119">
        <f>IFERROR(-E16/(((1+D16)^12-1)/(D16*(1+D16)^12)),0)</f>
        <v>7637.1529062276923</v>
      </c>
      <c r="G19" s="119">
        <f t="shared" si="3"/>
        <v>-7216.9195425749094</v>
      </c>
      <c r="H19" s="119">
        <f t="shared" si="6"/>
        <v>-420.23336365278323</v>
      </c>
      <c r="I19" s="162">
        <f t="shared" si="7"/>
        <v>-59398.673110442251</v>
      </c>
      <c r="J19" s="344">
        <f t="shared" si="1"/>
        <v>10</v>
      </c>
    </row>
    <row r="20" spans="1:13" x14ac:dyDescent="0.3">
      <c r="A20" s="344">
        <f t="shared" si="0"/>
        <v>11</v>
      </c>
      <c r="B20" s="33" t="s">
        <v>294</v>
      </c>
      <c r="C20" s="494">
        <f t="shared" si="4"/>
        <v>2024</v>
      </c>
      <c r="D20" s="157">
        <f t="shared" si="2"/>
        <v>6.3083333333333333E-3</v>
      </c>
      <c r="E20" s="148">
        <f t="shared" si="5"/>
        <v>-59398.673110442251</v>
      </c>
      <c r="F20" s="119">
        <f>IFERROR(-E16/(((1+D16)^12-1)/(D16*(1+D16)^12)),0)</f>
        <v>7637.1529062276923</v>
      </c>
      <c r="G20" s="119">
        <f t="shared" si="3"/>
        <v>-7262.4462766893193</v>
      </c>
      <c r="H20" s="119">
        <f t="shared" si="6"/>
        <v>-374.70662953837319</v>
      </c>
      <c r="I20" s="162">
        <f t="shared" si="7"/>
        <v>-52136.226833752931</v>
      </c>
      <c r="J20" s="344">
        <f t="shared" si="1"/>
        <v>11</v>
      </c>
    </row>
    <row r="21" spans="1:13" x14ac:dyDescent="0.3">
      <c r="A21" s="344">
        <f t="shared" si="0"/>
        <v>12</v>
      </c>
      <c r="B21" s="33" t="s">
        <v>1378</v>
      </c>
      <c r="C21" s="494">
        <f t="shared" si="4"/>
        <v>2024</v>
      </c>
      <c r="D21" s="157">
        <f t="shared" si="2"/>
        <v>6.3083333333333333E-3</v>
      </c>
      <c r="E21" s="148">
        <f t="shared" si="5"/>
        <v>-52136.226833752931</v>
      </c>
      <c r="F21" s="119">
        <f>IFERROR(-E16/(((1+D16)^12-1)/(D16*(1+D16)^12)),0)</f>
        <v>7637.1529062276923</v>
      </c>
      <c r="G21" s="119">
        <f t="shared" si="3"/>
        <v>-7308.2602086181005</v>
      </c>
      <c r="H21" s="119">
        <f t="shared" si="6"/>
        <v>-328.89269760959138</v>
      </c>
      <c r="I21" s="162">
        <f t="shared" si="7"/>
        <v>-44827.966625134832</v>
      </c>
      <c r="J21" s="344">
        <f t="shared" si="1"/>
        <v>12</v>
      </c>
    </row>
    <row r="22" spans="1:13" x14ac:dyDescent="0.3">
      <c r="A22" s="344">
        <f t="shared" si="0"/>
        <v>13</v>
      </c>
      <c r="B22" s="33" t="s">
        <v>1379</v>
      </c>
      <c r="C22" s="494">
        <f t="shared" si="4"/>
        <v>2024</v>
      </c>
      <c r="D22" s="157">
        <f t="shared" si="2"/>
        <v>6.3083333333333333E-3</v>
      </c>
      <c r="E22" s="148">
        <f t="shared" si="5"/>
        <v>-44827.966625134832</v>
      </c>
      <c r="F22" s="119">
        <f>IFERROR(-E16/(((1+D16)^12-1)/(D16*(1+D16)^12)),0)</f>
        <v>7637.1529062276923</v>
      </c>
      <c r="G22" s="119">
        <f t="shared" si="3"/>
        <v>-7354.3631501008003</v>
      </c>
      <c r="H22" s="119">
        <f t="shared" si="6"/>
        <v>-282.78975612689226</v>
      </c>
      <c r="I22" s="162">
        <f t="shared" si="7"/>
        <v>-37473.603475034033</v>
      </c>
      <c r="J22" s="344">
        <f t="shared" si="1"/>
        <v>13</v>
      </c>
    </row>
    <row r="23" spans="1:13" x14ac:dyDescent="0.3">
      <c r="A23" s="344">
        <f t="shared" si="0"/>
        <v>14</v>
      </c>
      <c r="B23" s="33" t="s">
        <v>1380</v>
      </c>
      <c r="C23" s="494">
        <f t="shared" si="4"/>
        <v>2024</v>
      </c>
      <c r="D23" s="157">
        <f t="shared" si="2"/>
        <v>6.3083333333333333E-3</v>
      </c>
      <c r="E23" s="148">
        <f t="shared" si="5"/>
        <v>-37473.603475034033</v>
      </c>
      <c r="F23" s="119">
        <f>IFERROR(-E16/(((1+D16)^12-1)/(D16*(1+D16)^12)),0)</f>
        <v>7637.1529062276923</v>
      </c>
      <c r="G23" s="119">
        <f t="shared" si="3"/>
        <v>-7400.7569243060188</v>
      </c>
      <c r="H23" s="119">
        <f t="shared" si="6"/>
        <v>-236.39598192167301</v>
      </c>
      <c r="I23" s="162">
        <f t="shared" si="7"/>
        <v>-30072.846550728013</v>
      </c>
      <c r="J23" s="344">
        <f t="shared" si="1"/>
        <v>14</v>
      </c>
    </row>
    <row r="24" spans="1:13" x14ac:dyDescent="0.3">
      <c r="A24" s="344">
        <f t="shared" si="0"/>
        <v>15</v>
      </c>
      <c r="B24" s="33" t="s">
        <v>1381</v>
      </c>
      <c r="C24" s="494">
        <f t="shared" si="4"/>
        <v>2024</v>
      </c>
      <c r="D24" s="157">
        <f t="shared" si="2"/>
        <v>6.3083333333333333E-3</v>
      </c>
      <c r="E24" s="148">
        <f t="shared" si="5"/>
        <v>-30072.846550728013</v>
      </c>
      <c r="F24" s="119">
        <f>IFERROR(-E16/(((1+D16)^12-1)/(D16*(1+D16)^12)),0)</f>
        <v>7637.1529062276923</v>
      </c>
      <c r="G24" s="119">
        <f t="shared" si="3"/>
        <v>-7447.4433659035167</v>
      </c>
      <c r="H24" s="119">
        <f t="shared" si="6"/>
        <v>-189.70954032417589</v>
      </c>
      <c r="I24" s="162">
        <f t="shared" si="7"/>
        <v>-22625.403184824496</v>
      </c>
      <c r="J24" s="344">
        <f t="shared" si="1"/>
        <v>15</v>
      </c>
      <c r="K24" s="492"/>
    </row>
    <row r="25" spans="1:13" x14ac:dyDescent="0.3">
      <c r="A25" s="344">
        <f t="shared" si="0"/>
        <v>16</v>
      </c>
      <c r="B25" s="33" t="s">
        <v>1382</v>
      </c>
      <c r="C25" s="494">
        <f t="shared" si="4"/>
        <v>2024</v>
      </c>
      <c r="D25" s="157">
        <f t="shared" si="2"/>
        <v>6.3083333333333333E-3</v>
      </c>
      <c r="E25" s="148">
        <f t="shared" si="5"/>
        <v>-22625.403184824496</v>
      </c>
      <c r="F25" s="119">
        <f>IFERROR(-E16/(((1+D16)^12-1)/(D16*(1+D16)^12)),0)</f>
        <v>7637.1529062276923</v>
      </c>
      <c r="G25" s="119">
        <f t="shared" si="3"/>
        <v>-7494.4243211367575</v>
      </c>
      <c r="H25" s="119">
        <f t="shared" si="6"/>
        <v>-142.72858509093453</v>
      </c>
      <c r="I25" s="162">
        <f t="shared" si="7"/>
        <v>-15130.978863687738</v>
      </c>
      <c r="J25" s="344">
        <f t="shared" si="1"/>
        <v>16</v>
      </c>
      <c r="K25" s="492"/>
      <c r="M25" s="157"/>
    </row>
    <row r="26" spans="1:13" x14ac:dyDescent="0.3">
      <c r="A26" s="344">
        <f t="shared" si="0"/>
        <v>17</v>
      </c>
      <c r="B26" s="33" t="s">
        <v>1383</v>
      </c>
      <c r="C26" s="494">
        <f t="shared" si="4"/>
        <v>2024</v>
      </c>
      <c r="D26" s="157">
        <f t="shared" si="2"/>
        <v>6.3083333333333333E-3</v>
      </c>
      <c r="E26" s="148">
        <f t="shared" si="5"/>
        <v>-15130.978863687738</v>
      </c>
      <c r="F26" s="119">
        <f>IFERROR(-E16/(((1+D16)^12-1)/(D16*(1+D16)^12)),0)</f>
        <v>7637.1529062276923</v>
      </c>
      <c r="G26" s="119">
        <f t="shared" si="3"/>
        <v>-7541.7016478959285</v>
      </c>
      <c r="H26" s="119">
        <f t="shared" si="6"/>
        <v>-95.451258331763484</v>
      </c>
      <c r="I26" s="162">
        <f t="shared" si="7"/>
        <v>-7589.2772157918098</v>
      </c>
      <c r="J26" s="344">
        <f t="shared" si="1"/>
        <v>17</v>
      </c>
      <c r="K26" s="492"/>
    </row>
    <row r="27" spans="1:13" x14ac:dyDescent="0.3">
      <c r="A27" s="344">
        <f t="shared" si="0"/>
        <v>18</v>
      </c>
      <c r="B27" s="1067" t="s">
        <v>1384</v>
      </c>
      <c r="C27" s="1068">
        <f t="shared" si="4"/>
        <v>2024</v>
      </c>
      <c r="D27" s="1075">
        <f t="shared" si="2"/>
        <v>6.3083333333333333E-3</v>
      </c>
      <c r="E27" s="1069">
        <f t="shared" si="5"/>
        <v>-7589.2772157918098</v>
      </c>
      <c r="F27" s="1070">
        <f>IFERROR(-E16/(((1+D16)^12-1)/(D16*(1+D16)^12)),0)</f>
        <v>7637.1529062276923</v>
      </c>
      <c r="G27" s="1070">
        <f t="shared" si="3"/>
        <v>-7589.277215791406</v>
      </c>
      <c r="H27" s="1070">
        <f t="shared" si="6"/>
        <v>-47.875690436286668</v>
      </c>
      <c r="I27" s="1076">
        <f>E27-G27</f>
        <v>-4.0381564758718014E-10</v>
      </c>
      <c r="J27" s="344">
        <f t="shared" si="1"/>
        <v>18</v>
      </c>
    </row>
    <row r="28" spans="1:13" ht="16.2" thickBot="1" x14ac:dyDescent="0.35">
      <c r="A28" s="344">
        <f t="shared" si="0"/>
        <v>19</v>
      </c>
      <c r="B28" s="33"/>
      <c r="C28" s="494"/>
      <c r="D28" s="163"/>
      <c r="E28" s="164"/>
      <c r="F28" s="165"/>
      <c r="H28" s="150">
        <f>SUM(H16:H27)</f>
        <v>-3649.7989586190629</v>
      </c>
      <c r="I28" s="165"/>
      <c r="J28" s="344">
        <f t="shared" si="1"/>
        <v>19</v>
      </c>
    </row>
    <row r="29" spans="1:13" ht="16.2" thickTop="1" x14ac:dyDescent="0.3">
      <c r="A29" s="344">
        <f t="shared" si="0"/>
        <v>20</v>
      </c>
      <c r="B29" s="33"/>
      <c r="C29" s="494"/>
      <c r="D29" s="164"/>
      <c r="E29" s="165"/>
      <c r="F29" s="165"/>
      <c r="G29" s="165"/>
      <c r="H29" s="158"/>
      <c r="I29" s="158"/>
      <c r="J29" s="344">
        <f t="shared" si="1"/>
        <v>20</v>
      </c>
      <c r="K29" s="165"/>
    </row>
    <row r="30" spans="1:13" x14ac:dyDescent="0.3">
      <c r="A30" s="344">
        <f t="shared" si="0"/>
        <v>21</v>
      </c>
      <c r="B30" s="5" t="s">
        <v>1424</v>
      </c>
      <c r="D30" s="143">
        <f>'True-Up'!M34</f>
        <v>-6278.0852355854395</v>
      </c>
      <c r="E30" s="506" t="s">
        <v>1425</v>
      </c>
      <c r="F30" s="507"/>
      <c r="G30" s="507"/>
      <c r="J30" s="344">
        <f t="shared" si="1"/>
        <v>21</v>
      </c>
    </row>
    <row r="31" spans="1:13" x14ac:dyDescent="0.3">
      <c r="A31" s="344">
        <f t="shared" si="0"/>
        <v>22</v>
      </c>
      <c r="B31" s="5" t="s">
        <v>1426</v>
      </c>
      <c r="D31" s="1077">
        <f>'Interest TU BP'!G28+'Interest TU CY'!H28</f>
        <v>-10045.56530986856</v>
      </c>
      <c r="E31" s="508" t="s">
        <v>1427</v>
      </c>
      <c r="F31" s="507"/>
      <c r="G31" s="507"/>
      <c r="J31" s="344">
        <f t="shared" si="1"/>
        <v>22</v>
      </c>
    </row>
    <row r="32" spans="1:13" x14ac:dyDescent="0.3">
      <c r="A32" s="344">
        <f t="shared" si="0"/>
        <v>23</v>
      </c>
      <c r="B32" s="5" t="s">
        <v>200</v>
      </c>
      <c r="D32" s="36">
        <f>D30+D31</f>
        <v>-16323.650545453998</v>
      </c>
      <c r="F32" s="507"/>
      <c r="G32" s="507"/>
      <c r="J32" s="344">
        <f t="shared" si="1"/>
        <v>23</v>
      </c>
    </row>
    <row r="33" spans="1:2" x14ac:dyDescent="0.3">
      <c r="A33" s="344"/>
    </row>
    <row r="34" spans="1:2" x14ac:dyDescent="0.3">
      <c r="A34" s="344"/>
    </row>
    <row r="35" spans="1:2" ht="18" x14ac:dyDescent="0.3">
      <c r="A35" s="256">
        <v>1</v>
      </c>
      <c r="B35" s="5" t="s">
        <v>1428</v>
      </c>
    </row>
    <row r="36" spans="1:2" ht="18" x14ac:dyDescent="0.3">
      <c r="A36" s="256">
        <v>2</v>
      </c>
      <c r="B36" s="5" t="s">
        <v>1429</v>
      </c>
    </row>
    <row r="37" spans="1:2" ht="18" x14ac:dyDescent="0.3">
      <c r="A37" s="256"/>
      <c r="B37" s="5" t="s">
        <v>1430</v>
      </c>
    </row>
    <row r="38" spans="1:2" ht="18" x14ac:dyDescent="0.3">
      <c r="A38" s="256">
        <v>3</v>
      </c>
      <c r="B38" s="5" t="s">
        <v>1431</v>
      </c>
    </row>
    <row r="39" spans="1:2" x14ac:dyDescent="0.3">
      <c r="B39" s="5" t="s">
        <v>1432</v>
      </c>
    </row>
  </sheetData>
  <mergeCells count="4">
    <mergeCell ref="B5:I5"/>
    <mergeCell ref="B2:I2"/>
    <mergeCell ref="B3:I3"/>
    <mergeCell ref="B4:I4"/>
  </mergeCells>
  <printOptions horizontalCentered="1"/>
  <pageMargins left="0.5" right="0.5" top="0.5" bottom="0.5" header="0.25" footer="0.25"/>
  <pageSetup scale="68" orientation="landscape" r:id="rId1"/>
  <headerFooter scaleWithDoc="0">
    <oddFooter>&amp;C&amp;"Times New Roman,Regular"&amp;10Interest True-Up CY</oddFooter>
  </headerFooter>
  <customProperties>
    <customPr name="_pios_id" r:id="rId2"/>
  </customPropertie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pageSetUpPr fitToPage="1"/>
  </sheetPr>
  <dimension ref="A2:K52"/>
  <sheetViews>
    <sheetView zoomScale="80" zoomScaleNormal="80" workbookViewId="0"/>
  </sheetViews>
  <sheetFormatPr defaultColWidth="9.33203125" defaultRowHeight="15.6" x14ac:dyDescent="0.3"/>
  <cols>
    <col min="1" max="1" width="5.33203125" style="1" customWidth="1"/>
    <col min="2" max="2" width="76.6640625" style="1" customWidth="1"/>
    <col min="3" max="3" width="2.33203125" style="1" customWidth="1"/>
    <col min="4" max="6" width="31.6640625" style="171" customWidth="1"/>
    <col min="7" max="7" width="5.33203125" style="1" customWidth="1"/>
    <col min="8" max="16384" width="9.33203125" style="1"/>
  </cols>
  <sheetData>
    <row r="2" spans="1:7" x14ac:dyDescent="0.3">
      <c r="B2" s="1222" t="s">
        <v>0</v>
      </c>
      <c r="C2" s="1222"/>
      <c r="D2" s="1222"/>
      <c r="E2" s="1222"/>
      <c r="F2" s="1222"/>
      <c r="G2" s="32"/>
    </row>
    <row r="3" spans="1:7" x14ac:dyDescent="0.3">
      <c r="B3" s="1222" t="s">
        <v>1433</v>
      </c>
      <c r="C3" s="1222"/>
      <c r="D3" s="1222"/>
      <c r="E3" s="1222"/>
      <c r="F3" s="1222"/>
      <c r="G3" s="32"/>
    </row>
    <row r="4" spans="1:7" x14ac:dyDescent="0.3">
      <c r="B4" s="1222" t="s">
        <v>1533</v>
      </c>
      <c r="C4" s="1222"/>
      <c r="D4" s="1222"/>
      <c r="E4" s="1222"/>
      <c r="F4" s="1222"/>
      <c r="G4" s="32"/>
    </row>
    <row r="5" spans="1:7" x14ac:dyDescent="0.3">
      <c r="B5" s="1226" t="s">
        <v>4</v>
      </c>
      <c r="C5" s="1226"/>
      <c r="D5" s="1226"/>
      <c r="E5" s="1226"/>
      <c r="F5" s="1226"/>
      <c r="G5" s="32"/>
    </row>
    <row r="6" spans="1:7" x14ac:dyDescent="0.3">
      <c r="B6" s="265"/>
      <c r="C6" s="265"/>
      <c r="D6" s="4"/>
      <c r="E6" s="4"/>
      <c r="F6" s="221"/>
      <c r="G6" s="32"/>
    </row>
    <row r="7" spans="1:7" ht="16.2" thickBot="1" x14ac:dyDescent="0.35">
      <c r="B7" s="221"/>
      <c r="C7" s="221"/>
      <c r="D7" s="221" t="s">
        <v>1434</v>
      </c>
      <c r="E7" s="221" t="s">
        <v>211</v>
      </c>
      <c r="F7" s="221" t="s">
        <v>1435</v>
      </c>
    </row>
    <row r="8" spans="1:7" s="251" customFormat="1" x14ac:dyDescent="0.3">
      <c r="A8" s="4" t="s">
        <v>5</v>
      </c>
      <c r="B8" s="511"/>
      <c r="C8" s="459"/>
      <c r="D8" s="512" t="s">
        <v>1436</v>
      </c>
      <c r="E8" s="513" t="s">
        <v>1437</v>
      </c>
      <c r="F8" s="514" t="s">
        <v>1438</v>
      </c>
      <c r="G8" s="4" t="s">
        <v>5</v>
      </c>
    </row>
    <row r="9" spans="1:7" s="251" customFormat="1" ht="16.2" thickBot="1" x14ac:dyDescent="0.35">
      <c r="A9" s="4" t="s">
        <v>6</v>
      </c>
      <c r="B9" s="515" t="s">
        <v>1439</v>
      </c>
      <c r="C9" s="895"/>
      <c r="D9" s="516" t="s">
        <v>200</v>
      </c>
      <c r="E9" s="1078" t="s">
        <v>1440</v>
      </c>
      <c r="F9" s="517" t="s">
        <v>1441</v>
      </c>
      <c r="G9" s="4" t="s">
        <v>6</v>
      </c>
    </row>
    <row r="10" spans="1:7" x14ac:dyDescent="0.3">
      <c r="B10" s="518"/>
      <c r="D10" s="170"/>
      <c r="F10" s="170"/>
    </row>
    <row r="11" spans="1:7" x14ac:dyDescent="0.3">
      <c r="A11" s="4">
        <v>1</v>
      </c>
      <c r="B11" s="519" t="s">
        <v>1568</v>
      </c>
      <c r="D11" s="166">
        <f>E11+F11</f>
        <v>120319.05171999999</v>
      </c>
      <c r="E11" s="166">
        <v>47040.401676202702</v>
      </c>
      <c r="F11" s="676">
        <v>73278.650043797286</v>
      </c>
      <c r="G11" s="4">
        <f>A11</f>
        <v>1</v>
      </c>
    </row>
    <row r="12" spans="1:7" x14ac:dyDescent="0.3">
      <c r="A12" s="4">
        <f>A11+1</f>
        <v>2</v>
      </c>
      <c r="B12" s="519" t="s">
        <v>1569</v>
      </c>
      <c r="D12" s="167">
        <f t="shared" ref="D12:D32" si="0">E12+F12</f>
        <v>231455.75004000004</v>
      </c>
      <c r="E12" s="6">
        <v>231455.75004000004</v>
      </c>
      <c r="F12" s="167">
        <v>0</v>
      </c>
      <c r="G12" s="4">
        <f>G11+1</f>
        <v>2</v>
      </c>
    </row>
    <row r="13" spans="1:7" x14ac:dyDescent="0.3">
      <c r="A13" s="4">
        <f t="shared" ref="A13:A18" si="1">A12+1</f>
        <v>3</v>
      </c>
      <c r="B13" s="519" t="s">
        <v>1570</v>
      </c>
      <c r="D13" s="167">
        <f t="shared" si="0"/>
        <v>59410.912830000001</v>
      </c>
      <c r="E13" s="6">
        <v>9006.8877699999939</v>
      </c>
      <c r="F13" s="167">
        <v>50404.025060000007</v>
      </c>
      <c r="G13" s="4">
        <f t="shared" ref="G13:G19" si="2">G12+1</f>
        <v>3</v>
      </c>
    </row>
    <row r="14" spans="1:7" x14ac:dyDescent="0.3">
      <c r="A14" s="4">
        <f t="shared" si="1"/>
        <v>4</v>
      </c>
      <c r="B14" s="519" t="s">
        <v>1571</v>
      </c>
      <c r="D14" s="167">
        <f t="shared" si="0"/>
        <v>38295.002849999997</v>
      </c>
      <c r="E14" s="6">
        <v>20704.355125163016</v>
      </c>
      <c r="F14" s="167">
        <v>17590.647724836981</v>
      </c>
      <c r="G14" s="4">
        <f t="shared" si="2"/>
        <v>4</v>
      </c>
    </row>
    <row r="15" spans="1:7" x14ac:dyDescent="0.3">
      <c r="A15" s="4">
        <f t="shared" si="1"/>
        <v>5</v>
      </c>
      <c r="B15" s="519" t="s">
        <v>1572</v>
      </c>
      <c r="D15" s="167">
        <f t="shared" si="0"/>
        <v>267791.19254999998</v>
      </c>
      <c r="E15" s="6">
        <v>7500.1800839469779</v>
      </c>
      <c r="F15" s="167">
        <v>260291.01246605298</v>
      </c>
      <c r="G15" s="4">
        <f t="shared" si="2"/>
        <v>5</v>
      </c>
    </row>
    <row r="16" spans="1:7" x14ac:dyDescent="0.3">
      <c r="A16" s="4">
        <f t="shared" si="1"/>
        <v>6</v>
      </c>
      <c r="B16" s="519" t="s">
        <v>1573</v>
      </c>
      <c r="D16" s="167">
        <f t="shared" si="0"/>
        <v>231633.55212999991</v>
      </c>
      <c r="E16" s="6">
        <v>22327.626623187458</v>
      </c>
      <c r="F16" s="167">
        <v>209305.92550681246</v>
      </c>
      <c r="G16" s="4">
        <f t="shared" si="2"/>
        <v>6</v>
      </c>
    </row>
    <row r="17" spans="1:7" x14ac:dyDescent="0.3">
      <c r="A17" s="4">
        <f t="shared" si="1"/>
        <v>7</v>
      </c>
      <c r="B17" s="519" t="s">
        <v>1574</v>
      </c>
      <c r="D17" s="167">
        <f t="shared" si="0"/>
        <v>85088.203368248069</v>
      </c>
      <c r="E17" s="6">
        <v>28406.337630906688</v>
      </c>
      <c r="F17" s="167">
        <v>56681.865737341381</v>
      </c>
      <c r="G17" s="4">
        <f t="shared" si="2"/>
        <v>7</v>
      </c>
    </row>
    <row r="18" spans="1:7" x14ac:dyDescent="0.3">
      <c r="A18" s="4">
        <f t="shared" si="1"/>
        <v>8</v>
      </c>
      <c r="B18" s="519" t="s">
        <v>1575</v>
      </c>
      <c r="D18" s="167">
        <f t="shared" si="0"/>
        <v>22785.928099999997</v>
      </c>
      <c r="E18" s="6">
        <v>0</v>
      </c>
      <c r="F18" s="167">
        <v>22785.928099999997</v>
      </c>
      <c r="G18" s="4">
        <f t="shared" si="2"/>
        <v>8</v>
      </c>
    </row>
    <row r="19" spans="1:7" x14ac:dyDescent="0.3">
      <c r="A19" s="4">
        <f t="shared" ref="A19:A32" si="3">A18+1</f>
        <v>9</v>
      </c>
      <c r="B19" s="520" t="s">
        <v>1576</v>
      </c>
      <c r="C19" s="521"/>
      <c r="D19" s="167">
        <f>E19+F19</f>
        <v>12682.362810000001</v>
      </c>
      <c r="E19" s="6">
        <v>0</v>
      </c>
      <c r="F19" s="167">
        <v>12682.362810000001</v>
      </c>
      <c r="G19" s="4">
        <f t="shared" si="2"/>
        <v>9</v>
      </c>
    </row>
    <row r="20" spans="1:7" x14ac:dyDescent="0.3">
      <c r="A20" s="4">
        <f t="shared" si="3"/>
        <v>10</v>
      </c>
      <c r="B20" s="519" t="s">
        <v>1577</v>
      </c>
      <c r="D20" s="167">
        <f t="shared" si="0"/>
        <v>15205.503480000001</v>
      </c>
      <c r="E20" s="6">
        <v>0</v>
      </c>
      <c r="F20" s="167">
        <v>15205.503480000001</v>
      </c>
      <c r="G20" s="4">
        <f t="shared" ref="G20:G32" si="4">G19+1</f>
        <v>10</v>
      </c>
    </row>
    <row r="21" spans="1:7" x14ac:dyDescent="0.3">
      <c r="A21" s="4">
        <f t="shared" si="3"/>
        <v>11</v>
      </c>
      <c r="B21" s="520" t="s">
        <v>1578</v>
      </c>
      <c r="C21" s="521"/>
      <c r="D21" s="167">
        <f t="shared" si="0"/>
        <v>47103.941870000002</v>
      </c>
      <c r="E21" s="6">
        <v>0</v>
      </c>
      <c r="F21" s="167">
        <v>47103.941870000002</v>
      </c>
      <c r="G21" s="4">
        <f t="shared" si="4"/>
        <v>11</v>
      </c>
    </row>
    <row r="22" spans="1:7" x14ac:dyDescent="0.3">
      <c r="A22" s="4">
        <f t="shared" si="3"/>
        <v>12</v>
      </c>
      <c r="B22" s="520" t="s">
        <v>1579</v>
      </c>
      <c r="C22" s="521"/>
      <c r="D22" s="167">
        <f t="shared" si="0"/>
        <v>19571.430899999992</v>
      </c>
      <c r="E22" s="6">
        <v>12512.868015123528</v>
      </c>
      <c r="F22" s="167">
        <v>7058.5628848764636</v>
      </c>
      <c r="G22" s="4">
        <f t="shared" si="4"/>
        <v>12</v>
      </c>
    </row>
    <row r="23" spans="1:7" x14ac:dyDescent="0.3">
      <c r="A23" s="4">
        <f t="shared" si="3"/>
        <v>13</v>
      </c>
      <c r="B23" s="520" t="s">
        <v>1580</v>
      </c>
      <c r="C23" s="521"/>
      <c r="D23" s="167">
        <f t="shared" si="0"/>
        <v>23351.986460000007</v>
      </c>
      <c r="E23" s="6">
        <v>23.775786968979943</v>
      </c>
      <c r="F23" s="167">
        <v>23328.210673031026</v>
      </c>
      <c r="G23" s="4">
        <f t="shared" si="4"/>
        <v>13</v>
      </c>
    </row>
    <row r="24" spans="1:7" x14ac:dyDescent="0.3">
      <c r="A24" s="4">
        <f t="shared" si="3"/>
        <v>14</v>
      </c>
      <c r="B24" s="519" t="s">
        <v>1581</v>
      </c>
      <c r="D24" s="167">
        <f t="shared" si="0"/>
        <v>2822.3125149999996</v>
      </c>
      <c r="E24" s="6">
        <v>2269.0169849999997</v>
      </c>
      <c r="F24" s="167">
        <v>553.29552999999999</v>
      </c>
      <c r="G24" s="4">
        <f t="shared" si="4"/>
        <v>14</v>
      </c>
    </row>
    <row r="25" spans="1:7" x14ac:dyDescent="0.3">
      <c r="A25" s="4">
        <f t="shared" si="3"/>
        <v>15</v>
      </c>
      <c r="B25" s="520" t="s">
        <v>1582</v>
      </c>
      <c r="C25" s="521"/>
      <c r="D25" s="167">
        <f t="shared" si="0"/>
        <v>28950.187130000006</v>
      </c>
      <c r="E25" s="6">
        <v>0</v>
      </c>
      <c r="F25" s="167">
        <v>28950.187130000006</v>
      </c>
      <c r="G25" s="4">
        <f t="shared" si="4"/>
        <v>15</v>
      </c>
    </row>
    <row r="26" spans="1:7" x14ac:dyDescent="0.3">
      <c r="A26" s="4">
        <f t="shared" si="3"/>
        <v>16</v>
      </c>
      <c r="B26" s="519" t="s">
        <v>1583</v>
      </c>
      <c r="D26" s="167">
        <f t="shared" si="0"/>
        <v>11480.972740000003</v>
      </c>
      <c r="E26" s="6">
        <v>0</v>
      </c>
      <c r="F26" s="167">
        <v>11480.972740000003</v>
      </c>
      <c r="G26" s="4">
        <f t="shared" si="4"/>
        <v>16</v>
      </c>
    </row>
    <row r="27" spans="1:7" x14ac:dyDescent="0.3">
      <c r="A27" s="4">
        <f t="shared" si="3"/>
        <v>17</v>
      </c>
      <c r="B27" s="519" t="s">
        <v>1584</v>
      </c>
      <c r="D27" s="167">
        <f t="shared" si="0"/>
        <v>76076.578229999985</v>
      </c>
      <c r="E27" s="6">
        <v>26637.134499999989</v>
      </c>
      <c r="F27" s="167">
        <v>49439.443729999999</v>
      </c>
      <c r="G27" s="4">
        <f t="shared" si="4"/>
        <v>17</v>
      </c>
    </row>
    <row r="28" spans="1:7" x14ac:dyDescent="0.3">
      <c r="A28" s="4">
        <f t="shared" si="3"/>
        <v>18</v>
      </c>
      <c r="B28" s="520" t="s">
        <v>1585</v>
      </c>
      <c r="C28" s="521"/>
      <c r="D28" s="167">
        <f t="shared" si="0"/>
        <v>220661.06507499999</v>
      </c>
      <c r="E28" s="6">
        <v>64517.753202254804</v>
      </c>
      <c r="F28" s="167">
        <v>156143.31187274519</v>
      </c>
      <c r="G28" s="4">
        <f t="shared" si="4"/>
        <v>18</v>
      </c>
    </row>
    <row r="29" spans="1:7" x14ac:dyDescent="0.3">
      <c r="A29" s="4">
        <f t="shared" si="3"/>
        <v>19</v>
      </c>
      <c r="B29" s="520" t="s">
        <v>1586</v>
      </c>
      <c r="C29" s="521"/>
      <c r="D29" s="167">
        <f t="shared" si="0"/>
        <v>140844.42959999997</v>
      </c>
      <c r="E29" s="6">
        <v>766.50379582083656</v>
      </c>
      <c r="F29" s="167">
        <v>140077.92580417913</v>
      </c>
      <c r="G29" s="4">
        <f t="shared" si="4"/>
        <v>19</v>
      </c>
    </row>
    <row r="30" spans="1:7" x14ac:dyDescent="0.3">
      <c r="A30" s="4">
        <f t="shared" si="3"/>
        <v>20</v>
      </c>
      <c r="B30" s="522" t="s">
        <v>1587</v>
      </c>
      <c r="C30" s="343"/>
      <c r="D30" s="167">
        <f t="shared" si="0"/>
        <v>76558.115669999999</v>
      </c>
      <c r="E30" s="6">
        <v>37357.097153955736</v>
      </c>
      <c r="F30" s="167">
        <v>39201.018516044271</v>
      </c>
      <c r="G30" s="4">
        <f t="shared" si="4"/>
        <v>20</v>
      </c>
    </row>
    <row r="31" spans="1:7" x14ac:dyDescent="0.3">
      <c r="A31" s="4">
        <f t="shared" si="3"/>
        <v>21</v>
      </c>
      <c r="B31" s="522" t="s">
        <v>1588</v>
      </c>
      <c r="C31" s="343"/>
      <c r="D31" s="167">
        <f t="shared" si="0"/>
        <v>244337.97505999991</v>
      </c>
      <c r="E31" s="6">
        <v>0</v>
      </c>
      <c r="F31" s="167">
        <v>244337.97505999991</v>
      </c>
      <c r="G31" s="4">
        <f t="shared" si="4"/>
        <v>21</v>
      </c>
    </row>
    <row r="32" spans="1:7" x14ac:dyDescent="0.3">
      <c r="A32" s="4">
        <f t="shared" si="3"/>
        <v>22</v>
      </c>
      <c r="B32" s="522" t="s">
        <v>1589</v>
      </c>
      <c r="C32" s="343"/>
      <c r="D32" s="167">
        <f t="shared" si="0"/>
        <v>95570.578890000092</v>
      </c>
      <c r="E32" s="6">
        <v>47221.981492863059</v>
      </c>
      <c r="F32" s="167">
        <v>48348.597397137026</v>
      </c>
      <c r="G32" s="4">
        <f t="shared" si="4"/>
        <v>22</v>
      </c>
    </row>
    <row r="33" spans="1:11" x14ac:dyDescent="0.3">
      <c r="A33" s="4">
        <f>A32+1</f>
        <v>23</v>
      </c>
      <c r="B33" s="522" t="s">
        <v>1590</v>
      </c>
      <c r="C33" s="343"/>
      <c r="D33" s="167">
        <f>E33+F33</f>
        <v>142199.22138999996</v>
      </c>
      <c r="E33" s="6">
        <v>81199.647809775546</v>
      </c>
      <c r="F33" s="167">
        <v>60999.573580224423</v>
      </c>
      <c r="G33" s="4">
        <f>G32+1</f>
        <v>23</v>
      </c>
    </row>
    <row r="34" spans="1:11" x14ac:dyDescent="0.3">
      <c r="A34" s="4">
        <f t="shared" ref="A34:A47" si="5">A33+1</f>
        <v>24</v>
      </c>
      <c r="B34" s="522" t="s">
        <v>1591</v>
      </c>
      <c r="C34" s="343"/>
      <c r="D34" s="167">
        <f>E34+F34</f>
        <v>692441.70126647269</v>
      </c>
      <c r="E34" s="6">
        <v>692441.70126647269</v>
      </c>
      <c r="F34" s="167">
        <v>0</v>
      </c>
      <c r="G34" s="4">
        <f t="shared" ref="G34:G47" si="6">G33+1</f>
        <v>24</v>
      </c>
    </row>
    <row r="35" spans="1:11" ht="16.2" thickBot="1" x14ac:dyDescent="0.35">
      <c r="A35" s="4">
        <f t="shared" si="5"/>
        <v>25</v>
      </c>
      <c r="B35" s="518"/>
      <c r="D35" s="168"/>
      <c r="E35" s="1079"/>
      <c r="F35" s="168"/>
      <c r="G35" s="4">
        <f t="shared" si="6"/>
        <v>25</v>
      </c>
    </row>
    <row r="36" spans="1:11" x14ac:dyDescent="0.3">
      <c r="A36" s="4">
        <f t="shared" si="5"/>
        <v>26</v>
      </c>
      <c r="B36" s="518" t="s">
        <v>1442</v>
      </c>
      <c r="D36" s="169">
        <f>SUM(D11:D34)</f>
        <v>2906637.9566747206</v>
      </c>
      <c r="E36" s="44">
        <f>SUM(E11:E34)</f>
        <v>1331389.0189576419</v>
      </c>
      <c r="F36" s="169">
        <f>SUM(F11:F34)</f>
        <v>1575248.9377170785</v>
      </c>
      <c r="G36" s="4">
        <f t="shared" si="6"/>
        <v>26</v>
      </c>
    </row>
    <row r="37" spans="1:11" x14ac:dyDescent="0.3">
      <c r="A37" s="4">
        <f t="shared" si="5"/>
        <v>27</v>
      </c>
      <c r="B37" s="518"/>
      <c r="D37" s="170"/>
      <c r="F37" s="170"/>
      <c r="G37" s="4">
        <f t="shared" si="6"/>
        <v>27</v>
      </c>
    </row>
    <row r="38" spans="1:11" s="32" customFormat="1" ht="18" x14ac:dyDescent="0.3">
      <c r="A38" s="4">
        <f t="shared" si="5"/>
        <v>28</v>
      </c>
      <c r="B38" s="519" t="s">
        <v>1443</v>
      </c>
      <c r="D38" s="167">
        <f>SUM(E38:F38)</f>
        <v>4713989.7320100013</v>
      </c>
      <c r="E38" s="6">
        <v>2502420.1478883005</v>
      </c>
      <c r="F38" s="167">
        <v>2211569.5841217004</v>
      </c>
      <c r="G38" s="4">
        <f t="shared" si="6"/>
        <v>28</v>
      </c>
      <c r="I38" s="6"/>
    </row>
    <row r="39" spans="1:11" s="32" customFormat="1" x14ac:dyDescent="0.3">
      <c r="A39" s="4">
        <f t="shared" si="5"/>
        <v>29</v>
      </c>
      <c r="B39" s="519"/>
      <c r="D39" s="167"/>
      <c r="E39" s="6"/>
      <c r="F39" s="167"/>
      <c r="G39" s="4">
        <f t="shared" si="6"/>
        <v>29</v>
      </c>
    </row>
    <row r="40" spans="1:11" s="32" customFormat="1" x14ac:dyDescent="0.3">
      <c r="A40" s="4">
        <f t="shared" si="5"/>
        <v>30</v>
      </c>
      <c r="B40" s="519" t="s">
        <v>1444</v>
      </c>
      <c r="D40" s="167">
        <v>611771.96979999996</v>
      </c>
      <c r="E40" s="167">
        <f>D40*E44</f>
        <v>307772.15232823492</v>
      </c>
      <c r="F40" s="167">
        <f>D40*F44</f>
        <v>303999.81747176498</v>
      </c>
      <c r="G40" s="4">
        <f t="shared" si="6"/>
        <v>30</v>
      </c>
    </row>
    <row r="41" spans="1:11" ht="16.2" thickBot="1" x14ac:dyDescent="0.35">
      <c r="A41" s="4">
        <f t="shared" si="5"/>
        <v>31</v>
      </c>
      <c r="B41" s="518"/>
      <c r="D41" s="168"/>
      <c r="E41" s="168"/>
      <c r="F41" s="168"/>
      <c r="G41" s="4">
        <f t="shared" si="6"/>
        <v>31</v>
      </c>
    </row>
    <row r="42" spans="1:11" ht="18" x14ac:dyDescent="0.3">
      <c r="A42" s="4">
        <f t="shared" si="5"/>
        <v>32</v>
      </c>
      <c r="B42" s="518" t="s">
        <v>1445</v>
      </c>
      <c r="C42" s="269">
        <v>1</v>
      </c>
      <c r="D42" s="169">
        <f>SUM(D36:D40)</f>
        <v>8232399.6584847225</v>
      </c>
      <c r="E42" s="44">
        <f>SUM(E36:E40)</f>
        <v>4141581.3191741775</v>
      </c>
      <c r="F42" s="169">
        <f>SUM(F36:F40)</f>
        <v>4090818.3393105436</v>
      </c>
      <c r="G42" s="4">
        <f t="shared" si="6"/>
        <v>32</v>
      </c>
    </row>
    <row r="43" spans="1:11" x14ac:dyDescent="0.3">
      <c r="A43" s="4">
        <f t="shared" si="5"/>
        <v>33</v>
      </c>
      <c r="B43" s="518"/>
      <c r="D43" s="170"/>
      <c r="E43" s="170"/>
      <c r="F43" s="172"/>
      <c r="G43" s="4">
        <f t="shared" si="6"/>
        <v>33</v>
      </c>
    </row>
    <row r="44" spans="1:11" x14ac:dyDescent="0.3">
      <c r="A44" s="4">
        <f t="shared" si="5"/>
        <v>34</v>
      </c>
      <c r="B44" s="518" t="s">
        <v>1446</v>
      </c>
      <c r="D44" s="173">
        <f>+E44+F44</f>
        <v>0.99999999999999989</v>
      </c>
      <c r="E44" s="173">
        <f>IFERROR((E36+E38)/(D36+D38),0)</f>
        <v>0.50308312168805569</v>
      </c>
      <c r="F44" s="174">
        <f>IFERROR((F36+F38)/(D36+D38),0)</f>
        <v>0.4969168783119442</v>
      </c>
      <c r="G44" s="4">
        <f t="shared" si="6"/>
        <v>34</v>
      </c>
    </row>
    <row r="45" spans="1:11" x14ac:dyDescent="0.3">
      <c r="A45" s="4">
        <f t="shared" si="5"/>
        <v>35</v>
      </c>
      <c r="B45" s="518"/>
      <c r="D45" s="173"/>
      <c r="E45" s="173"/>
      <c r="F45" s="174"/>
      <c r="G45" s="4">
        <f t="shared" si="6"/>
        <v>35</v>
      </c>
    </row>
    <row r="46" spans="1:11" x14ac:dyDescent="0.3">
      <c r="A46" s="4">
        <f t="shared" si="5"/>
        <v>36</v>
      </c>
      <c r="B46" s="518"/>
      <c r="D46" s="173"/>
      <c r="E46" s="1105" t="s">
        <v>1558</v>
      </c>
      <c r="F46" s="1106" t="s">
        <v>1559</v>
      </c>
      <c r="G46" s="4">
        <f t="shared" si="6"/>
        <v>36</v>
      </c>
      <c r="I46"/>
      <c r="J46"/>
      <c r="K46"/>
    </row>
    <row r="47" spans="1:11" ht="16.2" thickBot="1" x14ac:dyDescent="0.35">
      <c r="A47" s="4">
        <f t="shared" si="5"/>
        <v>37</v>
      </c>
      <c r="B47" s="523"/>
      <c r="C47" s="1080"/>
      <c r="D47" s="524"/>
      <c r="E47" s="524"/>
      <c r="F47" s="525"/>
      <c r="G47" s="4">
        <f t="shared" si="6"/>
        <v>37</v>
      </c>
    </row>
    <row r="49" spans="1:5" x14ac:dyDescent="0.3">
      <c r="E49" s="526"/>
    </row>
    <row r="50" spans="1:5" ht="18" x14ac:dyDescent="0.3">
      <c r="A50" s="256">
        <v>1</v>
      </c>
      <c r="B50" s="32" t="s">
        <v>1557</v>
      </c>
      <c r="C50" s="32"/>
    </row>
    <row r="51" spans="1:5" ht="18" x14ac:dyDescent="0.3">
      <c r="A51" s="256">
        <v>2</v>
      </c>
      <c r="B51" s="32" t="s">
        <v>1447</v>
      </c>
    </row>
    <row r="52" spans="1:5" x14ac:dyDescent="0.3">
      <c r="B52" s="32" t="s">
        <v>1448</v>
      </c>
    </row>
  </sheetData>
  <mergeCells count="4">
    <mergeCell ref="B2:F2"/>
    <mergeCell ref="B3:F3"/>
    <mergeCell ref="B4:F4"/>
    <mergeCell ref="B5:F5"/>
  </mergeCells>
  <printOptions horizontalCentered="1"/>
  <pageMargins left="0.5" right="0.5" top="0.5" bottom="0.5" header="0.25" footer="0.25"/>
  <pageSetup scale="66" orientation="landscape" r:id="rId1"/>
  <headerFooter scaleWithDoc="0">
    <oddFooter>&amp;C&amp;"Times New Roman,Regular"&amp;10Summary of HV/LV Plant Allocation Study</oddFooter>
  </headerFooter>
  <customProperties>
    <customPr name="_pios_id" r:id="rId2"/>
  </customProperties>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pageSetUpPr fitToPage="1"/>
  </sheetPr>
  <dimension ref="A2:K40"/>
  <sheetViews>
    <sheetView zoomScale="80" zoomScaleNormal="80" workbookViewId="0"/>
  </sheetViews>
  <sheetFormatPr defaultColWidth="8.6640625" defaultRowHeight="15.6" x14ac:dyDescent="0.3"/>
  <cols>
    <col min="1" max="1" width="5.33203125" style="344" customWidth="1"/>
    <col min="2" max="2" width="82.5546875" style="5" customWidth="1"/>
    <col min="3" max="5" width="15.6640625" style="5" customWidth="1"/>
    <col min="6" max="6" width="3.33203125" style="5" customWidth="1"/>
    <col min="7" max="9" width="15.6640625" style="5" customWidth="1"/>
    <col min="10" max="10" width="34.6640625" style="5" customWidth="1"/>
    <col min="11" max="11" width="5.33203125" style="344" customWidth="1"/>
    <col min="12" max="16384" width="8.6640625" style="5"/>
  </cols>
  <sheetData>
    <row r="2" spans="1:11" ht="15.75" customHeight="1" x14ac:dyDescent="0.3">
      <c r="B2" s="1222" t="s">
        <v>0</v>
      </c>
      <c r="C2" s="1222"/>
      <c r="D2" s="1222"/>
      <c r="E2" s="1222"/>
      <c r="F2" s="1222"/>
      <c r="G2" s="1222"/>
      <c r="H2" s="1222"/>
      <c r="I2" s="1222"/>
      <c r="J2" s="1222"/>
      <c r="K2" s="221"/>
    </row>
    <row r="3" spans="1:11" ht="15.75" customHeight="1" x14ac:dyDescent="0.3">
      <c r="B3" s="1222" t="s">
        <v>1449</v>
      </c>
      <c r="C3" s="1222"/>
      <c r="D3" s="1222"/>
      <c r="E3" s="1222"/>
      <c r="F3" s="1222"/>
      <c r="G3" s="1222"/>
      <c r="H3" s="1222"/>
      <c r="I3" s="1222"/>
      <c r="J3" s="1222"/>
      <c r="K3" s="221"/>
    </row>
    <row r="4" spans="1:11" ht="15.75" customHeight="1" x14ac:dyDescent="0.3">
      <c r="B4" s="1225" t="s">
        <v>1534</v>
      </c>
      <c r="C4" s="1225"/>
      <c r="D4" s="1225"/>
      <c r="E4" s="1225"/>
      <c r="F4" s="1225"/>
      <c r="G4" s="1225"/>
      <c r="H4" s="1225"/>
      <c r="I4" s="1225"/>
      <c r="J4" s="1225"/>
      <c r="K4" s="221"/>
    </row>
    <row r="5" spans="1:11" x14ac:dyDescent="0.3">
      <c r="B5" s="1266">
        <v>-1000</v>
      </c>
      <c r="C5" s="1266"/>
      <c r="D5" s="1266"/>
      <c r="E5" s="1266"/>
      <c r="F5" s="1266"/>
      <c r="G5" s="1266"/>
      <c r="H5" s="1266"/>
      <c r="I5" s="1266"/>
      <c r="J5" s="1266"/>
      <c r="K5" s="580"/>
    </row>
    <row r="6" spans="1:11" x14ac:dyDescent="0.3">
      <c r="A6" s="4"/>
      <c r="B6" s="527"/>
      <c r="C6" s="32"/>
      <c r="D6" s="32"/>
      <c r="E6" s="32"/>
      <c r="F6" s="32"/>
      <c r="G6" s="32"/>
      <c r="H6" s="32"/>
      <c r="I6" s="32"/>
      <c r="J6" s="32"/>
      <c r="K6" s="4"/>
    </row>
    <row r="7" spans="1:11" x14ac:dyDescent="0.3">
      <c r="A7" s="221"/>
      <c r="B7" s="932"/>
      <c r="C7" s="933" t="s">
        <v>210</v>
      </c>
      <c r="D7" s="933" t="s">
        <v>211</v>
      </c>
      <c r="E7" s="933" t="s">
        <v>716</v>
      </c>
      <c r="F7" s="932"/>
      <c r="G7" s="933" t="s">
        <v>971</v>
      </c>
      <c r="H7" s="933" t="s">
        <v>972</v>
      </c>
      <c r="I7" s="933" t="s">
        <v>1450</v>
      </c>
      <c r="J7" s="932"/>
      <c r="K7" s="221"/>
    </row>
    <row r="8" spans="1:11" x14ac:dyDescent="0.3">
      <c r="A8" s="4" t="s">
        <v>5</v>
      </c>
      <c r="B8" s="1081"/>
      <c r="C8" s="1054" t="s">
        <v>1451</v>
      </c>
      <c r="D8" s="1054" t="s">
        <v>1451</v>
      </c>
      <c r="E8" s="951" t="s">
        <v>1452</v>
      </c>
      <c r="F8" s="932"/>
      <c r="G8" s="1054" t="s">
        <v>691</v>
      </c>
      <c r="H8" s="1054" t="s">
        <v>691</v>
      </c>
      <c r="I8" s="1054" t="s">
        <v>1069</v>
      </c>
      <c r="J8" s="298"/>
      <c r="K8" s="4" t="s">
        <v>5</v>
      </c>
    </row>
    <row r="9" spans="1:11" x14ac:dyDescent="0.3">
      <c r="A9" s="4" t="s">
        <v>6</v>
      </c>
      <c r="B9" s="528"/>
      <c r="C9" s="304" t="s">
        <v>1453</v>
      </c>
      <c r="D9" s="278" t="s">
        <v>1454</v>
      </c>
      <c r="E9" s="278" t="s">
        <v>200</v>
      </c>
      <c r="F9" s="120"/>
      <c r="G9" s="304" t="s">
        <v>1455</v>
      </c>
      <c r="H9" s="304" t="s">
        <v>1456</v>
      </c>
      <c r="I9" s="304" t="s">
        <v>200</v>
      </c>
      <c r="J9" s="304" t="s">
        <v>8</v>
      </c>
      <c r="K9" s="4" t="s">
        <v>6</v>
      </c>
    </row>
    <row r="10" spans="1:11" x14ac:dyDescent="0.3">
      <c r="A10" s="4"/>
      <c r="B10" s="529" t="s">
        <v>1457</v>
      </c>
      <c r="C10" s="941"/>
      <c r="D10" s="940"/>
      <c r="E10" s="940"/>
      <c r="F10" s="237"/>
      <c r="G10" s="941"/>
      <c r="H10" s="941"/>
      <c r="I10" s="66"/>
      <c r="J10" s="66"/>
      <c r="K10" s="4"/>
    </row>
    <row r="11" spans="1:11" x14ac:dyDescent="0.3">
      <c r="A11" s="4">
        <v>1</v>
      </c>
      <c r="B11" s="530" t="s">
        <v>1458</v>
      </c>
      <c r="C11" s="677">
        <f>'ET Forecast Capital Additions'!C35</f>
        <v>200090</v>
      </c>
      <c r="D11" s="677">
        <f>'ET Forecast Capital Additions'!D35</f>
        <v>511484</v>
      </c>
      <c r="E11" s="235">
        <f>C11+D11</f>
        <v>711574</v>
      </c>
      <c r="F11" s="4"/>
      <c r="G11" s="677">
        <f>'ET Forecast Capital Additions'!M35</f>
        <v>168252.5580042559</v>
      </c>
      <c r="H11" s="677">
        <f>'ET Forecast Capital Additions'!N35</f>
        <v>358424.29656862945</v>
      </c>
      <c r="I11" s="59">
        <f>G11+H11</f>
        <v>526676.85457288532</v>
      </c>
      <c r="J11" s="65" t="s">
        <v>1459</v>
      </c>
      <c r="K11" s="4">
        <f>A11</f>
        <v>1</v>
      </c>
    </row>
    <row r="12" spans="1:11" x14ac:dyDescent="0.3">
      <c r="A12" s="4">
        <f t="shared" ref="A12:A29" si="0">A11+1</f>
        <v>2</v>
      </c>
      <c r="B12" s="530"/>
      <c r="C12" s="235"/>
      <c r="D12" s="235"/>
      <c r="E12" s="235"/>
      <c r="F12" s="235"/>
      <c r="G12" s="235"/>
      <c r="H12" s="235"/>
      <c r="I12" s="59"/>
      <c r="J12" s="65"/>
      <c r="K12" s="4">
        <f t="shared" ref="K12:K29" si="1">K11+1</f>
        <v>2</v>
      </c>
    </row>
    <row r="13" spans="1:11" x14ac:dyDescent="0.3">
      <c r="A13" s="4">
        <f t="shared" si="0"/>
        <v>3</v>
      </c>
      <c r="B13" s="335" t="s">
        <v>1460</v>
      </c>
      <c r="C13" s="578">
        <f>'General &amp; Common Plant Addition'!C35</f>
        <v>7716</v>
      </c>
      <c r="D13" s="578">
        <f>'General &amp; Common Plant Addition'!D35</f>
        <v>8152</v>
      </c>
      <c r="E13" s="95">
        <f>C13+D13</f>
        <v>15868</v>
      </c>
      <c r="F13" s="4"/>
      <c r="G13" s="578">
        <f>'General &amp; Common Plant Addition'!M35</f>
        <v>5236.8538827496168</v>
      </c>
      <c r="H13" s="578">
        <f>'General &amp; Common Plant Addition'!N35</f>
        <v>5532.6409962681064</v>
      </c>
      <c r="I13" s="54">
        <f>G13+H13</f>
        <v>10769.494879017722</v>
      </c>
      <c r="J13" s="65" t="s">
        <v>1402</v>
      </c>
      <c r="K13" s="4">
        <f t="shared" si="1"/>
        <v>3</v>
      </c>
    </row>
    <row r="14" spans="1:11" x14ac:dyDescent="0.3">
      <c r="A14" s="4">
        <f t="shared" si="0"/>
        <v>4</v>
      </c>
      <c r="B14" s="530"/>
      <c r="C14" s="236"/>
      <c r="D14" s="236"/>
      <c r="E14" s="236"/>
      <c r="F14" s="235"/>
      <c r="G14" s="235"/>
      <c r="H14" s="235"/>
      <c r="I14" s="59"/>
      <c r="J14" s="65"/>
      <c r="K14" s="4">
        <f t="shared" si="1"/>
        <v>4</v>
      </c>
    </row>
    <row r="15" spans="1:11" x14ac:dyDescent="0.3">
      <c r="A15" s="4">
        <f t="shared" si="0"/>
        <v>5</v>
      </c>
      <c r="B15" s="530" t="s">
        <v>1461</v>
      </c>
      <c r="C15" s="235">
        <f>SUM(C11:C13)</f>
        <v>207806</v>
      </c>
      <c r="D15" s="235">
        <f>SUM(D11:D13)</f>
        <v>519636</v>
      </c>
      <c r="E15" s="235">
        <f>SUM(E11:E13)</f>
        <v>727442</v>
      </c>
      <c r="F15" s="4"/>
      <c r="G15" s="235">
        <f>SUM(G11:G13)</f>
        <v>173489.41188700552</v>
      </c>
      <c r="H15" s="235">
        <f>SUM(H11:H13)</f>
        <v>363956.93756489758</v>
      </c>
      <c r="I15" s="235">
        <f>SUM(I11:I13)</f>
        <v>537446.34945190302</v>
      </c>
      <c r="J15" s="65" t="s">
        <v>852</v>
      </c>
      <c r="K15" s="4">
        <f t="shared" si="1"/>
        <v>5</v>
      </c>
    </row>
    <row r="16" spans="1:11" x14ac:dyDescent="0.3">
      <c r="A16" s="4">
        <f t="shared" si="0"/>
        <v>6</v>
      </c>
      <c r="B16" s="530"/>
      <c r="C16" s="236"/>
      <c r="D16" s="236"/>
      <c r="E16" s="236"/>
      <c r="F16" s="235"/>
      <c r="G16" s="235"/>
      <c r="H16" s="235"/>
      <c r="I16" s="59"/>
      <c r="J16" s="65"/>
      <c r="K16" s="4">
        <f t="shared" si="1"/>
        <v>6</v>
      </c>
    </row>
    <row r="17" spans="1:11" x14ac:dyDescent="0.3">
      <c r="A17" s="4">
        <f t="shared" si="0"/>
        <v>7</v>
      </c>
      <c r="B17" s="529" t="s">
        <v>1462</v>
      </c>
      <c r="C17" s="236"/>
      <c r="D17" s="236"/>
      <c r="E17" s="236"/>
      <c r="F17" s="235"/>
      <c r="G17" s="235"/>
      <c r="H17" s="235"/>
      <c r="I17" s="59"/>
      <c r="J17" s="65"/>
      <c r="K17" s="4">
        <f t="shared" si="1"/>
        <v>7</v>
      </c>
    </row>
    <row r="18" spans="1:11" x14ac:dyDescent="0.3">
      <c r="A18" s="4">
        <f t="shared" si="0"/>
        <v>8</v>
      </c>
      <c r="B18" s="530" t="s">
        <v>1463</v>
      </c>
      <c r="C18" s="677">
        <f>'Incentive Transmission Plant'!C35</f>
        <v>0</v>
      </c>
      <c r="D18" s="677">
        <f>'Incentive Transmission Plant'!D35</f>
        <v>0</v>
      </c>
      <c r="E18" s="235">
        <f>C18+D18</f>
        <v>0</v>
      </c>
      <c r="F18" s="235"/>
      <c r="G18" s="677">
        <f>'Incentive Transmission Plant'!M35</f>
        <v>0</v>
      </c>
      <c r="H18" s="677">
        <f>'Incentive Transmission Plant'!N35</f>
        <v>0</v>
      </c>
      <c r="I18" s="59">
        <f>G18+H18</f>
        <v>0</v>
      </c>
      <c r="J18" s="65" t="s">
        <v>1403</v>
      </c>
      <c r="K18" s="4">
        <f t="shared" si="1"/>
        <v>8</v>
      </c>
    </row>
    <row r="19" spans="1:11" x14ac:dyDescent="0.3">
      <c r="A19" s="4">
        <f t="shared" si="0"/>
        <v>9</v>
      </c>
      <c r="B19" s="530"/>
      <c r="C19" s="236"/>
      <c r="D19" s="236"/>
      <c r="E19" s="236"/>
      <c r="F19" s="235"/>
      <c r="G19" s="235"/>
      <c r="H19" s="235"/>
      <c r="I19" s="59"/>
      <c r="J19" s="65"/>
      <c r="K19" s="4">
        <f t="shared" si="1"/>
        <v>9</v>
      </c>
    </row>
    <row r="20" spans="1:11" ht="31.2" x14ac:dyDescent="0.3">
      <c r="A20" s="4">
        <f t="shared" si="0"/>
        <v>10</v>
      </c>
      <c r="B20" s="530" t="s">
        <v>1464</v>
      </c>
      <c r="C20" s="678">
        <f>'Incentive CWIP-A'!C36</f>
        <v>0</v>
      </c>
      <c r="D20" s="678">
        <f>'Incentive CWIP-A'!D36</f>
        <v>0</v>
      </c>
      <c r="E20" s="236">
        <f>C20+D20</f>
        <v>0</v>
      </c>
      <c r="F20" s="235"/>
      <c r="G20" s="678">
        <f>'Incentive CWIP-A'!M36</f>
        <v>0</v>
      </c>
      <c r="H20" s="678">
        <f>'Incentive CWIP-A'!N36</f>
        <v>0</v>
      </c>
      <c r="I20" s="53">
        <f>G20+H20</f>
        <v>0</v>
      </c>
      <c r="J20" s="65" t="s">
        <v>1404</v>
      </c>
      <c r="K20" s="4">
        <f t="shared" si="1"/>
        <v>10</v>
      </c>
    </row>
    <row r="21" spans="1:11" x14ac:dyDescent="0.3">
      <c r="A21" s="4">
        <f t="shared" si="0"/>
        <v>11</v>
      </c>
      <c r="B21" s="530"/>
      <c r="C21" s="236"/>
      <c r="D21" s="236"/>
      <c r="E21" s="236"/>
      <c r="F21" s="235"/>
      <c r="G21" s="235"/>
      <c r="H21" s="235"/>
      <c r="I21" s="59"/>
      <c r="J21" s="65"/>
      <c r="K21" s="4">
        <f t="shared" si="1"/>
        <v>11</v>
      </c>
    </row>
    <row r="22" spans="1:11" ht="31.2" x14ac:dyDescent="0.3">
      <c r="A22" s="4">
        <f t="shared" si="0"/>
        <v>12</v>
      </c>
      <c r="B22" s="530" t="s">
        <v>1465</v>
      </c>
      <c r="C22" s="578">
        <f>'Incentive CWIP-B'!C36</f>
        <v>0</v>
      </c>
      <c r="D22" s="578">
        <f>'Incentive CWIP-B'!D36</f>
        <v>0</v>
      </c>
      <c r="E22" s="95">
        <f>C22+D22</f>
        <v>0</v>
      </c>
      <c r="F22" s="235"/>
      <c r="G22" s="578">
        <f>'Incentive CWIP-B'!M36</f>
        <v>0</v>
      </c>
      <c r="H22" s="578">
        <f>'Incentive CWIP-B'!N36</f>
        <v>0</v>
      </c>
      <c r="I22" s="54">
        <f>G22+H22</f>
        <v>0</v>
      </c>
      <c r="J22" s="65" t="s">
        <v>1466</v>
      </c>
      <c r="K22" s="4">
        <f t="shared" si="1"/>
        <v>12</v>
      </c>
    </row>
    <row r="23" spans="1:11" x14ac:dyDescent="0.3">
      <c r="A23" s="4">
        <f t="shared" si="0"/>
        <v>13</v>
      </c>
      <c r="B23" s="530"/>
      <c r="C23" s="236"/>
      <c r="D23" s="236"/>
      <c r="E23" s="236"/>
      <c r="F23" s="235"/>
      <c r="G23" s="235"/>
      <c r="H23" s="235"/>
      <c r="I23" s="59"/>
      <c r="J23" s="65"/>
      <c r="K23" s="4">
        <f t="shared" si="1"/>
        <v>13</v>
      </c>
    </row>
    <row r="24" spans="1:11" x14ac:dyDescent="0.3">
      <c r="A24" s="4">
        <f t="shared" si="0"/>
        <v>14</v>
      </c>
      <c r="B24" s="530" t="s">
        <v>1467</v>
      </c>
      <c r="C24" s="175">
        <f>SUM(C18:C22)</f>
        <v>0</v>
      </c>
      <c r="D24" s="175">
        <f>SUM(D18:D22)</f>
        <v>0</v>
      </c>
      <c r="E24" s="175">
        <f>SUM(E18:E22)</f>
        <v>0</v>
      </c>
      <c r="F24" s="235"/>
      <c r="G24" s="175">
        <f>SUM(G18:G22)</f>
        <v>0</v>
      </c>
      <c r="H24" s="175">
        <f>SUM(H18:H22)</f>
        <v>0</v>
      </c>
      <c r="I24" s="175">
        <f>SUM(I18:I22)</f>
        <v>0</v>
      </c>
      <c r="J24" s="65" t="s">
        <v>1468</v>
      </c>
      <c r="K24" s="4">
        <f t="shared" si="1"/>
        <v>14</v>
      </c>
    </row>
    <row r="25" spans="1:11" x14ac:dyDescent="0.3">
      <c r="A25" s="4">
        <f t="shared" si="0"/>
        <v>15</v>
      </c>
      <c r="B25" s="530"/>
      <c r="C25" s="236"/>
      <c r="D25" s="236"/>
      <c r="E25" s="236"/>
      <c r="F25" s="235"/>
      <c r="G25" s="235"/>
      <c r="H25" s="235"/>
      <c r="I25" s="59"/>
      <c r="J25" s="66"/>
      <c r="K25" s="4">
        <f t="shared" si="1"/>
        <v>15</v>
      </c>
    </row>
    <row r="26" spans="1:11" ht="16.2" thickBot="1" x14ac:dyDescent="0.35">
      <c r="A26" s="4">
        <f t="shared" si="0"/>
        <v>16</v>
      </c>
      <c r="B26" s="531" t="s">
        <v>200</v>
      </c>
      <c r="C26" s="176">
        <f>C15+C24</f>
        <v>207806</v>
      </c>
      <c r="D26" s="176">
        <f>D15+D24</f>
        <v>519636</v>
      </c>
      <c r="E26" s="176">
        <f>E15+E24</f>
        <v>727442</v>
      </c>
      <c r="F26" s="4"/>
      <c r="G26" s="176">
        <f>G15+G24</f>
        <v>173489.41188700552</v>
      </c>
      <c r="H26" s="176">
        <f>H15+H24</f>
        <v>363956.93756489758</v>
      </c>
      <c r="I26" s="176">
        <f>I15+I24</f>
        <v>537446.34945190302</v>
      </c>
      <c r="J26" s="65" t="s">
        <v>1469</v>
      </c>
      <c r="K26" s="4">
        <f t="shared" si="1"/>
        <v>16</v>
      </c>
    </row>
    <row r="27" spans="1:11" ht="16.2" thickTop="1" x14ac:dyDescent="0.3">
      <c r="A27" s="4">
        <f t="shared" si="0"/>
        <v>17</v>
      </c>
      <c r="B27" s="531"/>
      <c r="C27" s="236"/>
      <c r="D27" s="236"/>
      <c r="E27" s="236"/>
      <c r="F27" s="235"/>
      <c r="G27" s="235"/>
      <c r="H27" s="235"/>
      <c r="I27" s="59"/>
      <c r="J27" s="65"/>
      <c r="K27" s="4">
        <f t="shared" si="1"/>
        <v>17</v>
      </c>
    </row>
    <row r="28" spans="1:11" ht="31.2" x14ac:dyDescent="0.3">
      <c r="A28" s="4">
        <f t="shared" si="0"/>
        <v>18</v>
      </c>
      <c r="B28" s="530"/>
      <c r="C28" s="236"/>
      <c r="D28" s="236"/>
      <c r="E28" s="236"/>
      <c r="F28" s="235"/>
      <c r="G28" s="235"/>
      <c r="H28" s="235"/>
      <c r="I28" s="59"/>
      <c r="J28" s="1082" t="s">
        <v>1470</v>
      </c>
      <c r="K28" s="4">
        <f t="shared" si="1"/>
        <v>18</v>
      </c>
    </row>
    <row r="29" spans="1:11" ht="16.2" thickBot="1" x14ac:dyDescent="0.35">
      <c r="A29" s="4">
        <f t="shared" si="0"/>
        <v>19</v>
      </c>
      <c r="B29" s="531" t="s">
        <v>1471</v>
      </c>
      <c r="C29" s="236"/>
      <c r="D29" s="236"/>
      <c r="E29" s="236"/>
      <c r="F29" s="4"/>
      <c r="G29" s="177">
        <f>IFERROR(G26/I26,0)</f>
        <v>0.32280321945424506</v>
      </c>
      <c r="H29" s="177">
        <f>IFERROR(H26/I26,0)</f>
        <v>0.67719678054575516</v>
      </c>
      <c r="I29" s="177">
        <f>G29+H29</f>
        <v>1.0000000000000002</v>
      </c>
      <c r="J29" s="1082" t="s">
        <v>1472</v>
      </c>
      <c r="K29" s="4">
        <f t="shared" si="1"/>
        <v>19</v>
      </c>
    </row>
    <row r="30" spans="1:11" ht="16.2" thickTop="1" x14ac:dyDescent="0.3">
      <c r="A30" s="4">
        <v>20</v>
      </c>
      <c r="B30" s="532"/>
      <c r="C30" s="288"/>
      <c r="D30" s="288"/>
      <c r="E30" s="288"/>
      <c r="F30" s="288"/>
      <c r="G30" s="278"/>
      <c r="H30" s="278"/>
      <c r="I30" s="116"/>
      <c r="J30" s="116"/>
      <c r="K30" s="4">
        <v>20</v>
      </c>
    </row>
    <row r="31" spans="1:11" x14ac:dyDescent="0.3">
      <c r="A31" s="4"/>
      <c r="B31" s="32"/>
      <c r="C31" s="32"/>
      <c r="D31" s="32"/>
      <c r="E31" s="32"/>
      <c r="F31" s="32"/>
      <c r="G31" s="32"/>
      <c r="H31" s="32"/>
      <c r="I31" s="32"/>
      <c r="J31" s="32"/>
      <c r="K31" s="4"/>
    </row>
    <row r="32" spans="1:11" x14ac:dyDescent="0.3">
      <c r="A32" s="4"/>
      <c r="B32" s="32"/>
      <c r="C32" s="32"/>
      <c r="D32" s="32"/>
      <c r="E32" s="32"/>
      <c r="F32" s="32"/>
      <c r="G32" s="32"/>
      <c r="H32" s="32"/>
      <c r="I32" s="32"/>
      <c r="J32" s="32"/>
      <c r="K32" s="4"/>
    </row>
    <row r="33" spans="1:11" ht="18" x14ac:dyDescent="0.3">
      <c r="A33" s="269">
        <v>1</v>
      </c>
      <c r="B33" s="32" t="s">
        <v>1473</v>
      </c>
      <c r="C33" s="32"/>
      <c r="D33" s="32"/>
      <c r="E33" s="32"/>
      <c r="F33" s="32"/>
      <c r="G33" s="32"/>
      <c r="H33" s="32"/>
      <c r="I33" s="32"/>
      <c r="J33" s="32"/>
      <c r="K33" s="4"/>
    </row>
    <row r="34" spans="1:11" ht="18" x14ac:dyDescent="0.3">
      <c r="A34" s="269">
        <v>2</v>
      </c>
      <c r="B34" s="32" t="s">
        <v>1474</v>
      </c>
      <c r="C34" s="32"/>
      <c r="D34" s="32"/>
      <c r="E34" s="32"/>
      <c r="F34" s="32"/>
      <c r="G34" s="32"/>
      <c r="H34" s="32"/>
      <c r="I34" s="32"/>
      <c r="J34" s="32"/>
      <c r="K34" s="4"/>
    </row>
    <row r="35" spans="1:11" ht="18" x14ac:dyDescent="0.3">
      <c r="A35" s="269">
        <v>3</v>
      </c>
      <c r="B35" s="32" t="s">
        <v>1475</v>
      </c>
      <c r="C35" s="32"/>
      <c r="D35" s="32"/>
      <c r="E35" s="32"/>
      <c r="F35" s="32"/>
      <c r="G35" s="32"/>
      <c r="H35" s="32"/>
      <c r="I35" s="32"/>
      <c r="J35" s="32"/>
      <c r="K35" s="4"/>
    </row>
    <row r="36" spans="1:11" ht="18" x14ac:dyDescent="0.3">
      <c r="A36" s="269">
        <v>4</v>
      </c>
      <c r="B36" s="32" t="s">
        <v>1476</v>
      </c>
      <c r="C36" s="32"/>
      <c r="D36" s="32"/>
      <c r="E36" s="32"/>
      <c r="F36" s="32"/>
      <c r="G36" s="32"/>
      <c r="H36" s="32"/>
      <c r="I36" s="32"/>
      <c r="J36" s="32"/>
      <c r="K36" s="4"/>
    </row>
    <row r="37" spans="1:11" ht="18" x14ac:dyDescent="0.3">
      <c r="A37" s="269">
        <v>5</v>
      </c>
      <c r="B37" s="32" t="s">
        <v>1477</v>
      </c>
      <c r="C37" s="32"/>
      <c r="D37" s="32"/>
      <c r="E37" s="32"/>
      <c r="F37" s="32"/>
      <c r="G37" s="32"/>
      <c r="H37" s="32"/>
      <c r="I37" s="32"/>
      <c r="J37" s="32"/>
      <c r="K37" s="4"/>
    </row>
    <row r="38" spans="1:11" x14ac:dyDescent="0.3">
      <c r="A38" s="221"/>
      <c r="B38" s="1"/>
      <c r="C38" s="32"/>
      <c r="D38" s="32"/>
      <c r="E38" s="32"/>
      <c r="F38" s="32"/>
      <c r="G38" s="32"/>
      <c r="H38" s="32"/>
      <c r="I38" s="32"/>
      <c r="J38" s="32"/>
      <c r="K38" s="4"/>
    </row>
    <row r="39" spans="1:11" x14ac:dyDescent="0.3">
      <c r="A39" s="4"/>
      <c r="B39" s="32"/>
      <c r="C39" s="32"/>
      <c r="D39" s="32"/>
      <c r="E39" s="32"/>
      <c r="F39" s="32"/>
      <c r="G39" s="32"/>
      <c r="H39" s="32"/>
      <c r="I39" s="32"/>
      <c r="J39" s="32"/>
      <c r="K39" s="4"/>
    </row>
    <row r="40" spans="1:11" x14ac:dyDescent="0.3">
      <c r="A40" s="4"/>
      <c r="B40" s="32"/>
      <c r="C40" s="32"/>
      <c r="D40" s="32"/>
      <c r="E40" s="32"/>
      <c r="F40" s="32"/>
      <c r="G40" s="32"/>
      <c r="H40" s="32"/>
      <c r="I40" s="32"/>
      <c r="J40" s="32"/>
      <c r="K40" s="4"/>
    </row>
  </sheetData>
  <mergeCells count="4">
    <mergeCell ref="B2:J2"/>
    <mergeCell ref="B3:J3"/>
    <mergeCell ref="B4:J4"/>
    <mergeCell ref="B5:J5"/>
  </mergeCells>
  <printOptions horizontalCentered="1"/>
  <pageMargins left="0.5" right="0.5" top="0.5" bottom="0.5" header="0.25" footer="0.25"/>
  <pageSetup scale="56" orientation="landscape" r:id="rId1"/>
  <headerFooter scaleWithDoc="0">
    <oddFooter>&amp;C&amp;"Times New Roman,Regular"&amp;10Summary of HV/LV Splits for Forecast Plant Additions</oddFooter>
  </headerFooter>
  <customProperties>
    <customPr name="_pios_id" r:id="rId2"/>
  </customProperties>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pageSetUpPr fitToPage="1"/>
  </sheetPr>
  <dimension ref="A1:AC55"/>
  <sheetViews>
    <sheetView zoomScale="80" zoomScaleNormal="80" workbookViewId="0"/>
  </sheetViews>
  <sheetFormatPr defaultColWidth="8.6640625" defaultRowHeight="15.6" x14ac:dyDescent="0.3"/>
  <cols>
    <col min="1" max="1" width="5.33203125" style="4" customWidth="1"/>
    <col min="2" max="2" width="8.5546875" style="5" customWidth="1"/>
    <col min="3" max="5" width="15.6640625" style="5" customWidth="1"/>
    <col min="6" max="11" width="15.5546875" style="5" customWidth="1"/>
    <col min="12" max="12" width="11.33203125" style="5" customWidth="1"/>
    <col min="13" max="15" width="15.5546875" style="5" customWidth="1"/>
    <col min="16" max="16" width="5.33203125" style="4" customWidth="1"/>
    <col min="17" max="16384" width="8.6640625" style="5"/>
  </cols>
  <sheetData>
    <row r="1" spans="1:29" x14ac:dyDescent="0.3">
      <c r="B1" s="32"/>
      <c r="C1" s="258"/>
      <c r="D1" s="32"/>
      <c r="E1" s="32"/>
      <c r="F1" s="32"/>
      <c r="G1" s="32"/>
      <c r="H1" s="32"/>
      <c r="I1" s="32"/>
      <c r="J1" s="32"/>
      <c r="K1" s="32"/>
      <c r="L1" s="32"/>
      <c r="M1" s="32"/>
      <c r="N1" s="32"/>
      <c r="O1" s="32"/>
      <c r="Q1" s="32"/>
      <c r="R1" s="32"/>
      <c r="S1" s="32"/>
      <c r="T1" s="32"/>
      <c r="U1" s="32"/>
      <c r="V1" s="32"/>
      <c r="W1" s="32"/>
      <c r="X1" s="32"/>
      <c r="Y1" s="32"/>
      <c r="Z1" s="32"/>
      <c r="AA1" s="32"/>
      <c r="AB1" s="32"/>
      <c r="AC1" s="32"/>
    </row>
    <row r="2" spans="1:29" x14ac:dyDescent="0.3">
      <c r="B2" s="1222" t="s">
        <v>0</v>
      </c>
      <c r="C2" s="1222"/>
      <c r="D2" s="1222"/>
      <c r="E2" s="1222"/>
      <c r="F2" s="1222"/>
      <c r="G2" s="1222"/>
      <c r="H2" s="1222"/>
      <c r="I2" s="1222"/>
      <c r="J2" s="1222"/>
      <c r="K2" s="1222"/>
      <c r="L2" s="1222"/>
      <c r="M2" s="1222"/>
      <c r="N2" s="1222"/>
      <c r="O2" s="1222"/>
      <c r="Q2" s="32"/>
      <c r="R2" s="32"/>
      <c r="S2" s="32"/>
      <c r="T2" s="32"/>
      <c r="U2" s="32"/>
      <c r="V2" s="32"/>
      <c r="W2" s="32"/>
      <c r="X2" s="32"/>
      <c r="Y2" s="32"/>
      <c r="Z2" s="32"/>
      <c r="AA2" s="32"/>
      <c r="AB2" s="32"/>
      <c r="AC2" s="32"/>
    </row>
    <row r="3" spans="1:29" x14ac:dyDescent="0.3">
      <c r="B3" s="1222" t="s">
        <v>1478</v>
      </c>
      <c r="C3" s="1222"/>
      <c r="D3" s="1222"/>
      <c r="E3" s="1222"/>
      <c r="F3" s="1222"/>
      <c r="G3" s="1222"/>
      <c r="H3" s="1222"/>
      <c r="I3" s="1222"/>
      <c r="J3" s="1222"/>
      <c r="K3" s="1222"/>
      <c r="L3" s="1222"/>
      <c r="M3" s="1222"/>
      <c r="N3" s="1222"/>
      <c r="O3" s="1222"/>
      <c r="Q3" s="32"/>
      <c r="R3" s="32"/>
      <c r="S3" s="32"/>
      <c r="T3" s="32"/>
      <c r="U3" s="32"/>
      <c r="V3" s="32"/>
      <c r="W3" s="32"/>
      <c r="X3" s="32"/>
      <c r="Y3" s="32"/>
      <c r="Z3" s="32"/>
      <c r="AA3" s="32"/>
      <c r="AB3" s="32"/>
      <c r="AC3" s="32"/>
    </row>
    <row r="4" spans="1:29" x14ac:dyDescent="0.3">
      <c r="B4" s="1227" t="str">
        <f>'Summary of HV-LV Splits'!B4</f>
        <v>24-Month Forecast Period (January 1, 2024 - December 31, 2025)</v>
      </c>
      <c r="C4" s="1227"/>
      <c r="D4" s="1227"/>
      <c r="E4" s="1227"/>
      <c r="F4" s="1227"/>
      <c r="G4" s="1227"/>
      <c r="H4" s="1227"/>
      <c r="I4" s="1227"/>
      <c r="J4" s="1227"/>
      <c r="K4" s="1227"/>
      <c r="L4" s="1227"/>
      <c r="M4" s="1227"/>
      <c r="N4" s="1227"/>
      <c r="O4" s="1227"/>
      <c r="Q4" s="32"/>
      <c r="R4" s="32"/>
      <c r="S4" s="32"/>
      <c r="T4" s="32"/>
      <c r="U4" s="32"/>
      <c r="V4" s="32"/>
      <c r="W4" s="32"/>
      <c r="X4" s="32"/>
      <c r="Y4" s="32"/>
      <c r="Z4" s="32"/>
      <c r="AA4" s="32"/>
      <c r="AB4" s="32"/>
      <c r="AC4" s="32"/>
    </row>
    <row r="5" spans="1:29" x14ac:dyDescent="0.3">
      <c r="B5" s="1222" t="s">
        <v>1479</v>
      </c>
      <c r="C5" s="1222"/>
      <c r="D5" s="1222"/>
      <c r="E5" s="1222"/>
      <c r="F5" s="1222"/>
      <c r="G5" s="1222"/>
      <c r="H5" s="1222"/>
      <c r="I5" s="1222"/>
      <c r="J5" s="1222"/>
      <c r="K5" s="1222"/>
      <c r="L5" s="1222"/>
      <c r="M5" s="1222"/>
      <c r="N5" s="1222"/>
      <c r="O5" s="1222"/>
      <c r="Q5" s="32"/>
      <c r="R5" s="32"/>
      <c r="S5" s="32"/>
      <c r="T5" s="32"/>
      <c r="U5" s="32"/>
      <c r="V5" s="32"/>
      <c r="W5" s="32"/>
      <c r="X5" s="32"/>
      <c r="Y5" s="32"/>
      <c r="Z5" s="32"/>
      <c r="AA5" s="32"/>
      <c r="AB5" s="32"/>
      <c r="AC5" s="32"/>
    </row>
    <row r="6" spans="1:29" x14ac:dyDescent="0.3">
      <c r="B6" s="1251">
        <v>-1000</v>
      </c>
      <c r="C6" s="1251"/>
      <c r="D6" s="1251"/>
      <c r="E6" s="1251"/>
      <c r="F6" s="1251"/>
      <c r="G6" s="1251"/>
      <c r="H6" s="1251"/>
      <c r="I6" s="1251"/>
      <c r="J6" s="1251"/>
      <c r="K6" s="1251"/>
      <c r="L6" s="1251"/>
      <c r="M6" s="1251"/>
      <c r="N6" s="1251"/>
      <c r="O6" s="1251"/>
      <c r="Q6" s="32"/>
      <c r="R6" s="32"/>
      <c r="S6" s="32"/>
      <c r="T6" s="32"/>
      <c r="U6" s="32"/>
      <c r="V6" s="32"/>
      <c r="W6" s="32"/>
      <c r="X6" s="32"/>
      <c r="Y6" s="32"/>
      <c r="Z6" s="32"/>
      <c r="AA6" s="32"/>
      <c r="AB6" s="32"/>
      <c r="AC6" s="32"/>
    </row>
    <row r="7" spans="1:29" ht="16.2" thickBot="1" x14ac:dyDescent="0.35">
      <c r="B7" s="32"/>
      <c r="C7" s="32"/>
      <c r="D7" s="32"/>
      <c r="E7" s="32"/>
      <c r="F7" s="32"/>
      <c r="G7" s="32"/>
      <c r="H7" s="32"/>
      <c r="I7" s="32"/>
      <c r="J7" s="32"/>
      <c r="K7" s="32"/>
      <c r="L7" s="32"/>
      <c r="M7" s="32"/>
      <c r="N7" s="32"/>
      <c r="O7" s="32"/>
      <c r="Q7" s="32"/>
      <c r="R7" s="32"/>
      <c r="S7" s="32"/>
      <c r="T7" s="32"/>
      <c r="U7" s="32"/>
      <c r="V7" s="32"/>
      <c r="W7" s="32"/>
      <c r="X7" s="32"/>
      <c r="Y7" s="32"/>
      <c r="Z7" s="32"/>
      <c r="AA7" s="32"/>
      <c r="AB7" s="32"/>
      <c r="AC7" s="32"/>
    </row>
    <row r="8" spans="1:29" ht="18" x14ac:dyDescent="0.3">
      <c r="A8" s="4" t="s">
        <v>5</v>
      </c>
      <c r="B8" s="234"/>
      <c r="C8" s="1267" t="s">
        <v>1480</v>
      </c>
      <c r="D8" s="1268"/>
      <c r="E8" s="1269"/>
      <c r="F8" s="229" t="s">
        <v>1481</v>
      </c>
      <c r="G8" s="230"/>
      <c r="H8" s="231"/>
      <c r="I8" s="232" t="s">
        <v>1482</v>
      </c>
      <c r="J8" s="230"/>
      <c r="K8" s="233"/>
      <c r="L8" s="234" t="s">
        <v>1483</v>
      </c>
      <c r="M8" s="232" t="s">
        <v>1484</v>
      </c>
      <c r="N8" s="230"/>
      <c r="O8" s="231"/>
      <c r="P8" s="4" t="s">
        <v>5</v>
      </c>
      <c r="Q8" s="1"/>
      <c r="R8" s="1"/>
      <c r="S8" s="1"/>
      <c r="T8" s="1"/>
      <c r="U8" s="1"/>
      <c r="V8" s="1"/>
      <c r="W8" s="1"/>
      <c r="X8" s="1"/>
      <c r="Y8" s="1"/>
      <c r="Z8" s="1"/>
      <c r="AA8" s="1"/>
      <c r="AB8" s="1"/>
      <c r="AC8" s="1"/>
    </row>
    <row r="9" spans="1:29" ht="16.2" thickBot="1" x14ac:dyDescent="0.35">
      <c r="A9" s="4" t="s">
        <v>6</v>
      </c>
      <c r="B9" s="533" t="s">
        <v>1485</v>
      </c>
      <c r="C9" s="534" t="s">
        <v>1453</v>
      </c>
      <c r="D9" s="535" t="s">
        <v>1454</v>
      </c>
      <c r="E9" s="536" t="s">
        <v>200</v>
      </c>
      <c r="F9" s="534" t="s">
        <v>1453</v>
      </c>
      <c r="G9" s="535" t="s">
        <v>1454</v>
      </c>
      <c r="H9" s="537" t="s">
        <v>200</v>
      </c>
      <c r="I9" s="538" t="s">
        <v>1453</v>
      </c>
      <c r="J9" s="535" t="s">
        <v>1454</v>
      </c>
      <c r="K9" s="536" t="s">
        <v>200</v>
      </c>
      <c r="L9" s="533" t="s">
        <v>1486</v>
      </c>
      <c r="M9" s="538" t="s">
        <v>1453</v>
      </c>
      <c r="N9" s="535" t="s">
        <v>1454</v>
      </c>
      <c r="O9" s="537" t="s">
        <v>200</v>
      </c>
      <c r="P9" s="4" t="s">
        <v>6</v>
      </c>
      <c r="Q9" s="1"/>
      <c r="R9" s="1"/>
      <c r="S9" s="1"/>
      <c r="T9" s="1"/>
      <c r="U9" s="1"/>
      <c r="V9" s="1"/>
      <c r="W9" s="1"/>
      <c r="X9" s="1"/>
      <c r="Y9" s="1"/>
      <c r="Z9" s="1"/>
      <c r="AA9" s="1"/>
      <c r="AB9" s="1"/>
      <c r="AC9" s="1"/>
    </row>
    <row r="10" spans="1:29" x14ac:dyDescent="0.3">
      <c r="A10" s="221"/>
      <c r="B10" s="539"/>
      <c r="C10" s="540"/>
      <c r="D10" s="461"/>
      <c r="E10" s="221"/>
      <c r="F10" s="541"/>
      <c r="G10" s="461"/>
      <c r="H10" s="542"/>
      <c r="I10" s="221"/>
      <c r="J10" s="461"/>
      <c r="K10" s="221"/>
      <c r="L10" s="539"/>
      <c r="M10" s="221"/>
      <c r="N10" s="461"/>
      <c r="O10" s="542"/>
      <c r="P10" s="221"/>
      <c r="Q10" s="1"/>
      <c r="R10" s="1"/>
      <c r="S10" s="1"/>
      <c r="T10" s="1"/>
      <c r="U10" s="1"/>
      <c r="V10" s="1"/>
      <c r="W10" s="1"/>
      <c r="X10" s="1"/>
      <c r="Y10" s="1"/>
      <c r="Z10" s="1"/>
      <c r="AA10" s="1"/>
      <c r="AB10" s="1"/>
      <c r="AC10" s="1"/>
    </row>
    <row r="11" spans="1:29" x14ac:dyDescent="0.3">
      <c r="A11" s="4">
        <v>1</v>
      </c>
      <c r="B11" s="543">
        <v>45313</v>
      </c>
      <c r="C11" s="178">
        <v>3584</v>
      </c>
      <c r="D11" s="677">
        <v>18770</v>
      </c>
      <c r="E11" s="596">
        <f>C11+D11</f>
        <v>22354</v>
      </c>
      <c r="F11" s="59">
        <f>C11*$H$41</f>
        <v>7.611982512456307</v>
      </c>
      <c r="G11" s="235">
        <f t="shared" ref="G11:G34" si="0">D11*$H$41</f>
        <v>39.865209754130824</v>
      </c>
      <c r="H11" s="123">
        <f>F11+G11</f>
        <v>47.477192266587132</v>
      </c>
      <c r="I11" s="179">
        <f t="shared" ref="I11:I34" si="1">C11-F11</f>
        <v>3576.3880174875435</v>
      </c>
      <c r="J11" s="235">
        <f t="shared" ref="J11:J34" si="2">D11-G11</f>
        <v>18730.134790245869</v>
      </c>
      <c r="K11" s="123">
        <f t="shared" ref="K11:K34" si="3">I11+J11</f>
        <v>22306.522807733414</v>
      </c>
      <c r="L11" s="244">
        <v>1</v>
      </c>
      <c r="M11" s="59">
        <f t="shared" ref="M11:M34" si="4">I11*$L11</f>
        <v>3576.3880174875435</v>
      </c>
      <c r="N11" s="235">
        <f t="shared" ref="N11:N34" si="5">J11*$L11</f>
        <v>18730.134790245869</v>
      </c>
      <c r="O11" s="596">
        <f t="shared" ref="O11:O34" si="6">M11+N11</f>
        <v>22306.522807733414</v>
      </c>
      <c r="P11" s="4">
        <f>A11</f>
        <v>1</v>
      </c>
      <c r="Q11" s="1"/>
      <c r="R11" s="32"/>
      <c r="S11" s="32"/>
      <c r="T11" s="32"/>
      <c r="U11" s="32"/>
      <c r="V11" s="32"/>
      <c r="W11" s="32"/>
      <c r="X11" s="32"/>
      <c r="Y11" s="32"/>
      <c r="Z11" s="32"/>
      <c r="AA11" s="32"/>
      <c r="AB11" s="32"/>
      <c r="AC11" s="32"/>
    </row>
    <row r="12" spans="1:29" x14ac:dyDescent="0.3">
      <c r="A12" s="4">
        <f t="shared" ref="A12:A49" si="7">A11+1</f>
        <v>2</v>
      </c>
      <c r="B12" s="543">
        <v>45344</v>
      </c>
      <c r="C12" s="180">
        <v>12403</v>
      </c>
      <c r="D12" s="678">
        <v>6601</v>
      </c>
      <c r="E12" s="128">
        <f>C12+D12</f>
        <v>19004</v>
      </c>
      <c r="F12" s="181">
        <f t="shared" ref="F12:F34" si="8">C12*$H$41</f>
        <v>26.342471847655016</v>
      </c>
      <c r="G12" s="236">
        <f t="shared" si="0"/>
        <v>14.019725603996674</v>
      </c>
      <c r="H12" s="577">
        <f>F12+G12</f>
        <v>40.362197451651689</v>
      </c>
      <c r="I12" s="53">
        <f t="shared" si="1"/>
        <v>12376.657528152346</v>
      </c>
      <c r="J12" s="236">
        <f t="shared" si="2"/>
        <v>6586.9802743960036</v>
      </c>
      <c r="K12" s="128">
        <f t="shared" si="3"/>
        <v>18963.63780254835</v>
      </c>
      <c r="L12" s="244">
        <v>1</v>
      </c>
      <c r="M12" s="53">
        <f t="shared" si="4"/>
        <v>12376.657528152346</v>
      </c>
      <c r="N12" s="236">
        <f t="shared" si="5"/>
        <v>6586.9802743960036</v>
      </c>
      <c r="O12" s="577">
        <f t="shared" si="6"/>
        <v>18963.63780254835</v>
      </c>
      <c r="P12" s="4">
        <f t="shared" ref="P12:P49" si="9">P11+1</f>
        <v>2</v>
      </c>
      <c r="Q12" s="32"/>
      <c r="R12" s="32"/>
      <c r="S12" s="32"/>
      <c r="T12" s="32"/>
      <c r="U12" s="32"/>
      <c r="V12" s="32"/>
      <c r="W12" s="32"/>
      <c r="X12" s="32"/>
      <c r="Y12" s="32"/>
      <c r="Z12" s="32"/>
      <c r="AA12" s="32"/>
      <c r="AB12" s="32"/>
      <c r="AC12" s="32"/>
    </row>
    <row r="13" spans="1:29" x14ac:dyDescent="0.3">
      <c r="A13" s="4">
        <f t="shared" si="7"/>
        <v>3</v>
      </c>
      <c r="B13" s="543">
        <v>45373</v>
      </c>
      <c r="C13" s="180">
        <v>33931</v>
      </c>
      <c r="D13" s="678">
        <v>6191</v>
      </c>
      <c r="E13" s="128">
        <f t="shared" ref="E13:E33" si="10">C13+D13</f>
        <v>40122</v>
      </c>
      <c r="F13" s="181">
        <f t="shared" si="8"/>
        <v>72.065340019574478</v>
      </c>
      <c r="G13" s="236">
        <f>D13*$H$41</f>
        <v>13.148935193810546</v>
      </c>
      <c r="H13" s="577">
        <f t="shared" ref="H13:H34" si="11">F13+G13</f>
        <v>85.214275213385022</v>
      </c>
      <c r="I13" s="53">
        <f t="shared" si="1"/>
        <v>33858.934659980427</v>
      </c>
      <c r="J13" s="236">
        <f t="shared" si="2"/>
        <v>6177.8510648061892</v>
      </c>
      <c r="K13" s="128">
        <f t="shared" si="3"/>
        <v>40036.78572478662</v>
      </c>
      <c r="L13" s="244">
        <v>1</v>
      </c>
      <c r="M13" s="53">
        <f t="shared" si="4"/>
        <v>33858.934659980427</v>
      </c>
      <c r="N13" s="236">
        <f t="shared" si="5"/>
        <v>6177.8510648061892</v>
      </c>
      <c r="O13" s="577">
        <f t="shared" si="6"/>
        <v>40036.78572478662</v>
      </c>
      <c r="P13" s="4">
        <f t="shared" si="9"/>
        <v>3</v>
      </c>
      <c r="Q13" s="32"/>
      <c r="R13" s="32"/>
      <c r="S13" s="32"/>
      <c r="T13" s="32"/>
      <c r="U13" s="32"/>
      <c r="V13" s="32"/>
      <c r="W13" s="32"/>
      <c r="X13" s="32"/>
      <c r="Y13" s="32"/>
      <c r="Z13" s="32"/>
      <c r="AA13" s="32"/>
      <c r="AB13" s="32"/>
      <c r="AC13" s="32"/>
    </row>
    <row r="14" spans="1:29" ht="16.2" thickBot="1" x14ac:dyDescent="0.35">
      <c r="A14" s="4">
        <f t="shared" si="7"/>
        <v>4</v>
      </c>
      <c r="B14" s="544">
        <v>45404</v>
      </c>
      <c r="C14" s="182">
        <v>19231</v>
      </c>
      <c r="D14" s="678">
        <v>6456</v>
      </c>
      <c r="E14" s="183">
        <f t="shared" si="10"/>
        <v>25687</v>
      </c>
      <c r="F14" s="184">
        <f t="shared" si="8"/>
        <v>40.844317995827915</v>
      </c>
      <c r="G14" s="185">
        <f t="shared" si="0"/>
        <v>13.711763141857677</v>
      </c>
      <c r="H14" s="186">
        <f t="shared" si="11"/>
        <v>54.556081137685595</v>
      </c>
      <c r="I14" s="187">
        <f t="shared" si="1"/>
        <v>19190.155682004173</v>
      </c>
      <c r="J14" s="185">
        <f t="shared" si="2"/>
        <v>6442.2882368581422</v>
      </c>
      <c r="K14" s="183">
        <f t="shared" si="3"/>
        <v>25632.443918862315</v>
      </c>
      <c r="L14" s="248">
        <v>1</v>
      </c>
      <c r="M14" s="185">
        <f t="shared" si="4"/>
        <v>19190.155682004173</v>
      </c>
      <c r="N14" s="185">
        <f t="shared" si="5"/>
        <v>6442.2882368581422</v>
      </c>
      <c r="O14" s="186">
        <f t="shared" si="6"/>
        <v>25632.443918862315</v>
      </c>
      <c r="P14" s="4">
        <f t="shared" si="9"/>
        <v>4</v>
      </c>
      <c r="Q14" s="32"/>
      <c r="R14" s="32"/>
      <c r="S14" s="32"/>
      <c r="T14" s="32"/>
      <c r="U14" s="32"/>
      <c r="V14" s="32"/>
      <c r="W14" s="32"/>
      <c r="X14" s="32"/>
      <c r="Y14" s="32"/>
      <c r="Z14" s="32"/>
      <c r="AA14" s="32"/>
      <c r="AB14" s="32"/>
      <c r="AC14" s="32"/>
    </row>
    <row r="15" spans="1:29" x14ac:dyDescent="0.3">
      <c r="A15" s="4">
        <f t="shared" si="7"/>
        <v>5</v>
      </c>
      <c r="B15" s="543">
        <v>45434</v>
      </c>
      <c r="C15" s="180">
        <v>28862</v>
      </c>
      <c r="D15" s="188">
        <v>48291</v>
      </c>
      <c r="E15" s="126">
        <f t="shared" si="10"/>
        <v>77153</v>
      </c>
      <c r="F15" s="189">
        <f t="shared" si="8"/>
        <v>61.299397119005</v>
      </c>
      <c r="G15" s="132">
        <f t="shared" si="0"/>
        <v>102.56424316658133</v>
      </c>
      <c r="H15" s="127">
        <f t="shared" si="11"/>
        <v>163.86364028558634</v>
      </c>
      <c r="I15" s="190">
        <f t="shared" si="1"/>
        <v>28800.700602880996</v>
      </c>
      <c r="J15" s="132">
        <f t="shared" si="2"/>
        <v>48188.435756833416</v>
      </c>
      <c r="K15" s="126">
        <f t="shared" si="3"/>
        <v>76989.136359714408</v>
      </c>
      <c r="L15" s="249">
        <v>1</v>
      </c>
      <c r="M15" s="53">
        <f t="shared" si="4"/>
        <v>28800.700602880996</v>
      </c>
      <c r="N15" s="132">
        <f t="shared" si="5"/>
        <v>48188.435756833416</v>
      </c>
      <c r="O15" s="127">
        <f t="shared" si="6"/>
        <v>76989.136359714408</v>
      </c>
      <c r="P15" s="4">
        <f t="shared" si="9"/>
        <v>5</v>
      </c>
      <c r="Q15" s="32"/>
      <c r="R15" s="32"/>
      <c r="S15" s="32"/>
      <c r="T15" s="32"/>
      <c r="U15" s="32"/>
      <c r="V15" s="32"/>
      <c r="W15" s="32"/>
      <c r="X15" s="32"/>
      <c r="Y15" s="32"/>
      <c r="Z15" s="32"/>
      <c r="AA15" s="32"/>
      <c r="AB15" s="32"/>
      <c r="AC15" s="32"/>
    </row>
    <row r="16" spans="1:29" x14ac:dyDescent="0.3">
      <c r="A16" s="4">
        <f t="shared" si="7"/>
        <v>6</v>
      </c>
      <c r="B16" s="543">
        <v>45465</v>
      </c>
      <c r="C16" s="180">
        <v>7855</v>
      </c>
      <c r="D16" s="678">
        <v>18509</v>
      </c>
      <c r="E16" s="128">
        <f t="shared" si="10"/>
        <v>26364</v>
      </c>
      <c r="F16" s="181">
        <f t="shared" si="8"/>
        <v>16.683069931736689</v>
      </c>
      <c r="G16" s="236">
        <f t="shared" si="0"/>
        <v>39.310877322280632</v>
      </c>
      <c r="H16" s="577">
        <f t="shared" si="11"/>
        <v>55.993947254017321</v>
      </c>
      <c r="I16" s="53">
        <f t="shared" si="1"/>
        <v>7838.316930068263</v>
      </c>
      <c r="J16" s="236">
        <f t="shared" si="2"/>
        <v>18469.689122677719</v>
      </c>
      <c r="K16" s="128">
        <f t="shared" si="3"/>
        <v>26308.006052745983</v>
      </c>
      <c r="L16" s="244">
        <v>1</v>
      </c>
      <c r="M16" s="53">
        <f t="shared" si="4"/>
        <v>7838.316930068263</v>
      </c>
      <c r="N16" s="236">
        <f t="shared" si="5"/>
        <v>18469.689122677719</v>
      </c>
      <c r="O16" s="577">
        <f t="shared" si="6"/>
        <v>26308.006052745983</v>
      </c>
      <c r="P16" s="4">
        <f t="shared" si="9"/>
        <v>6</v>
      </c>
      <c r="Q16" s="32"/>
      <c r="R16" s="32"/>
      <c r="S16" s="32"/>
      <c r="T16" s="32"/>
      <c r="U16" s="32"/>
      <c r="V16" s="32"/>
      <c r="W16" s="32"/>
      <c r="X16" s="32"/>
      <c r="Y16" s="32"/>
      <c r="Z16" s="32"/>
      <c r="AA16" s="32"/>
      <c r="AB16" s="32"/>
      <c r="AC16" s="32"/>
    </row>
    <row r="17" spans="1:29" x14ac:dyDescent="0.3">
      <c r="A17" s="4">
        <f t="shared" si="7"/>
        <v>7</v>
      </c>
      <c r="B17" s="543">
        <v>45495</v>
      </c>
      <c r="C17" s="180">
        <v>2302</v>
      </c>
      <c r="D17" s="678">
        <v>11764</v>
      </c>
      <c r="E17" s="128">
        <f t="shared" si="10"/>
        <v>14066</v>
      </c>
      <c r="F17" s="181">
        <f t="shared" si="8"/>
        <v>4.8891695713377281</v>
      </c>
      <c r="G17" s="236">
        <f t="shared" si="0"/>
        <v>24.985313135194197</v>
      </c>
      <c r="H17" s="577">
        <f t="shared" si="11"/>
        <v>29.874482706531925</v>
      </c>
      <c r="I17" s="53">
        <f t="shared" si="1"/>
        <v>2297.1108304286622</v>
      </c>
      <c r="J17" s="236">
        <f t="shared" si="2"/>
        <v>11739.014686864806</v>
      </c>
      <c r="K17" s="128">
        <f t="shared" si="3"/>
        <v>14036.125517293469</v>
      </c>
      <c r="L17" s="244">
        <v>1</v>
      </c>
      <c r="M17" s="53">
        <f t="shared" si="4"/>
        <v>2297.1108304286622</v>
      </c>
      <c r="N17" s="236">
        <f t="shared" si="5"/>
        <v>11739.014686864806</v>
      </c>
      <c r="O17" s="577">
        <f t="shared" si="6"/>
        <v>14036.125517293469</v>
      </c>
      <c r="P17" s="4">
        <f t="shared" si="9"/>
        <v>7</v>
      </c>
      <c r="Q17" s="32"/>
      <c r="R17" s="32"/>
      <c r="S17" s="32"/>
      <c r="T17" s="32"/>
      <c r="U17" s="32"/>
      <c r="V17" s="32"/>
      <c r="W17" s="32"/>
      <c r="X17" s="32"/>
      <c r="Y17" s="32"/>
      <c r="Z17" s="32"/>
      <c r="AA17" s="32"/>
      <c r="AB17" s="32"/>
      <c r="AC17" s="32"/>
    </row>
    <row r="18" spans="1:29" ht="16.2" thickBot="1" x14ac:dyDescent="0.35">
      <c r="A18" s="4">
        <f t="shared" si="7"/>
        <v>8</v>
      </c>
      <c r="B18" s="544">
        <v>45526</v>
      </c>
      <c r="C18" s="182">
        <v>6231</v>
      </c>
      <c r="D18" s="678">
        <v>2926</v>
      </c>
      <c r="E18" s="183">
        <f t="shared" si="10"/>
        <v>9157</v>
      </c>
      <c r="F18" s="184">
        <f t="shared" si="8"/>
        <v>13.233890355779923</v>
      </c>
      <c r="G18" s="185">
        <f t="shared" si="0"/>
        <v>6.2144700980600316</v>
      </c>
      <c r="H18" s="186">
        <f t="shared" si="11"/>
        <v>19.448360453839953</v>
      </c>
      <c r="I18" s="187">
        <f t="shared" si="1"/>
        <v>6217.7661096442198</v>
      </c>
      <c r="J18" s="185">
        <f t="shared" si="2"/>
        <v>2919.7855299019398</v>
      </c>
      <c r="K18" s="183">
        <f t="shared" si="3"/>
        <v>9137.55163954616</v>
      </c>
      <c r="L18" s="248">
        <v>1</v>
      </c>
      <c r="M18" s="185">
        <f t="shared" si="4"/>
        <v>6217.7661096442198</v>
      </c>
      <c r="N18" s="185">
        <f t="shared" si="5"/>
        <v>2919.7855299019398</v>
      </c>
      <c r="O18" s="186">
        <f t="shared" si="6"/>
        <v>9137.55163954616</v>
      </c>
      <c r="P18" s="4">
        <f t="shared" si="9"/>
        <v>8</v>
      </c>
      <c r="Q18" s="32"/>
      <c r="R18" s="32"/>
      <c r="S18" s="32"/>
      <c r="T18" s="32"/>
      <c r="U18" s="32"/>
      <c r="V18" s="32"/>
      <c r="W18" s="32"/>
      <c r="X18" s="32"/>
      <c r="Y18" s="32"/>
      <c r="Z18" s="32"/>
      <c r="AA18" s="32"/>
      <c r="AB18" s="32"/>
      <c r="AC18" s="32"/>
    </row>
    <row r="19" spans="1:29" x14ac:dyDescent="0.3">
      <c r="A19" s="4">
        <f t="shared" si="7"/>
        <v>9</v>
      </c>
      <c r="B19" s="543">
        <v>45557</v>
      </c>
      <c r="C19" s="180">
        <v>2971</v>
      </c>
      <c r="D19" s="188">
        <v>10888</v>
      </c>
      <c r="E19" s="126">
        <f t="shared" si="10"/>
        <v>13859</v>
      </c>
      <c r="F19" s="189">
        <f t="shared" si="8"/>
        <v>6.3100446552755827</v>
      </c>
      <c r="G19" s="132">
        <f t="shared" si="0"/>
        <v>23.124795088064808</v>
      </c>
      <c r="H19" s="127">
        <f t="shared" si="11"/>
        <v>29.43483974334039</v>
      </c>
      <c r="I19" s="190">
        <f t="shared" si="1"/>
        <v>2964.6899553447242</v>
      </c>
      <c r="J19" s="132">
        <f t="shared" si="2"/>
        <v>10864.875204911936</v>
      </c>
      <c r="K19" s="126">
        <f t="shared" si="3"/>
        <v>13829.56516025666</v>
      </c>
      <c r="L19" s="249">
        <v>1</v>
      </c>
      <c r="M19" s="53">
        <f t="shared" si="4"/>
        <v>2964.6899553447242</v>
      </c>
      <c r="N19" s="132">
        <f t="shared" si="5"/>
        <v>10864.875204911936</v>
      </c>
      <c r="O19" s="127">
        <f t="shared" si="6"/>
        <v>13829.56516025666</v>
      </c>
      <c r="P19" s="4">
        <f t="shared" si="9"/>
        <v>9</v>
      </c>
      <c r="Q19" s="32"/>
      <c r="R19" s="32"/>
      <c r="S19" s="32"/>
      <c r="T19" s="32"/>
      <c r="U19" s="32"/>
      <c r="V19" s="32"/>
      <c r="W19" s="32"/>
      <c r="X19" s="32"/>
      <c r="Y19" s="32"/>
      <c r="Z19" s="32"/>
      <c r="AA19" s="32"/>
      <c r="AB19" s="32"/>
      <c r="AC19" s="32"/>
    </row>
    <row r="20" spans="1:29" x14ac:dyDescent="0.3">
      <c r="A20" s="4">
        <f t="shared" si="7"/>
        <v>10</v>
      </c>
      <c r="B20" s="543">
        <v>45587</v>
      </c>
      <c r="C20" s="180">
        <v>5283</v>
      </c>
      <c r="D20" s="678">
        <v>11128</v>
      </c>
      <c r="E20" s="128">
        <f t="shared" si="10"/>
        <v>16411</v>
      </c>
      <c r="F20" s="181">
        <f t="shared" si="8"/>
        <v>11.220453017105656</v>
      </c>
      <c r="G20" s="236">
        <f t="shared" si="0"/>
        <v>23.634526059881079</v>
      </c>
      <c r="H20" s="577">
        <f t="shared" si="11"/>
        <v>34.854979076986737</v>
      </c>
      <c r="I20" s="53">
        <f t="shared" si="1"/>
        <v>5271.7795469828943</v>
      </c>
      <c r="J20" s="236">
        <f t="shared" si="2"/>
        <v>11104.365473940119</v>
      </c>
      <c r="K20" s="128">
        <f t="shared" si="3"/>
        <v>16376.145020923013</v>
      </c>
      <c r="L20" s="244">
        <v>1</v>
      </c>
      <c r="M20" s="53">
        <f t="shared" si="4"/>
        <v>5271.7795469828943</v>
      </c>
      <c r="N20" s="236">
        <f t="shared" si="5"/>
        <v>11104.365473940119</v>
      </c>
      <c r="O20" s="577">
        <f t="shared" si="6"/>
        <v>16376.145020923013</v>
      </c>
      <c r="P20" s="4">
        <f t="shared" si="9"/>
        <v>10</v>
      </c>
      <c r="Q20" s="32"/>
      <c r="R20" s="32"/>
      <c r="S20" s="32"/>
      <c r="T20" s="32"/>
      <c r="U20" s="32"/>
      <c r="V20" s="32"/>
      <c r="W20" s="32"/>
      <c r="X20" s="32"/>
      <c r="Y20" s="32"/>
      <c r="Z20" s="32"/>
      <c r="AA20" s="32"/>
      <c r="AB20" s="32"/>
      <c r="AC20" s="32"/>
    </row>
    <row r="21" spans="1:29" x14ac:dyDescent="0.3">
      <c r="A21" s="4">
        <f t="shared" si="7"/>
        <v>11</v>
      </c>
      <c r="B21" s="543">
        <v>45618</v>
      </c>
      <c r="C21" s="180">
        <v>4675</v>
      </c>
      <c r="D21" s="678">
        <v>19626</v>
      </c>
      <c r="E21" s="6">
        <f t="shared" si="10"/>
        <v>24301</v>
      </c>
      <c r="F21" s="181">
        <f t="shared" si="8"/>
        <v>9.9291345551711032</v>
      </c>
      <c r="G21" s="236">
        <f t="shared" si="0"/>
        <v>41.683250220275525</v>
      </c>
      <c r="H21" s="131">
        <f t="shared" si="11"/>
        <v>51.612384775446628</v>
      </c>
      <c r="I21" s="53">
        <f t="shared" si="1"/>
        <v>4665.070865444829</v>
      </c>
      <c r="J21" s="236">
        <f t="shared" si="2"/>
        <v>19584.316749779726</v>
      </c>
      <c r="K21" s="6">
        <f t="shared" si="3"/>
        <v>24249.387615224554</v>
      </c>
      <c r="L21" s="244">
        <v>1</v>
      </c>
      <c r="M21" s="53">
        <f t="shared" si="4"/>
        <v>4665.070865444829</v>
      </c>
      <c r="N21" s="236">
        <f t="shared" si="5"/>
        <v>19584.316749779726</v>
      </c>
      <c r="O21" s="131">
        <f t="shared" si="6"/>
        <v>24249.387615224554</v>
      </c>
      <c r="P21" s="4">
        <f t="shared" si="9"/>
        <v>11</v>
      </c>
      <c r="Q21" s="32"/>
      <c r="R21" s="32"/>
      <c r="S21" s="32"/>
      <c r="T21" s="32"/>
      <c r="U21" s="32"/>
      <c r="V21" s="32"/>
      <c r="W21" s="32"/>
      <c r="X21" s="32"/>
      <c r="Y21" s="32"/>
      <c r="Z21" s="32"/>
      <c r="AA21" s="32"/>
      <c r="AB21" s="32"/>
      <c r="AC21" s="32"/>
    </row>
    <row r="22" spans="1:29" ht="16.2" thickBot="1" x14ac:dyDescent="0.35">
      <c r="A22" s="4">
        <f t="shared" si="7"/>
        <v>12</v>
      </c>
      <c r="B22" s="543">
        <v>45648</v>
      </c>
      <c r="C22" s="182">
        <v>7659</v>
      </c>
      <c r="D22" s="678">
        <v>58172</v>
      </c>
      <c r="E22" s="183">
        <f t="shared" si="10"/>
        <v>65831</v>
      </c>
      <c r="F22" s="184">
        <f t="shared" si="8"/>
        <v>16.266789638086735</v>
      </c>
      <c r="G22" s="185">
        <f t="shared" si="0"/>
        <v>123.55029205206705</v>
      </c>
      <c r="H22" s="186">
        <f t="shared" si="11"/>
        <v>139.81708169015377</v>
      </c>
      <c r="I22" s="187">
        <f t="shared" si="1"/>
        <v>7642.7332103619128</v>
      </c>
      <c r="J22" s="185">
        <f t="shared" si="2"/>
        <v>58048.449707947933</v>
      </c>
      <c r="K22" s="183">
        <f t="shared" si="3"/>
        <v>65691.182918309845</v>
      </c>
      <c r="L22" s="248">
        <v>1</v>
      </c>
      <c r="M22" s="185">
        <f t="shared" si="4"/>
        <v>7642.7332103619128</v>
      </c>
      <c r="N22" s="185">
        <f t="shared" si="5"/>
        <v>58048.449707947933</v>
      </c>
      <c r="O22" s="186">
        <f t="shared" si="6"/>
        <v>65691.182918309845</v>
      </c>
      <c r="P22" s="4">
        <f t="shared" si="9"/>
        <v>12</v>
      </c>
      <c r="Q22" s="32"/>
      <c r="R22" s="32"/>
      <c r="S22" s="32"/>
      <c r="T22" s="32"/>
      <c r="U22" s="32"/>
      <c r="V22" s="32"/>
      <c r="W22" s="32"/>
      <c r="X22" s="32"/>
      <c r="Y22" s="32"/>
      <c r="Z22" s="32"/>
      <c r="AA22" s="32"/>
      <c r="AB22" s="32"/>
      <c r="AC22" s="32"/>
    </row>
    <row r="23" spans="1:29" x14ac:dyDescent="0.3">
      <c r="A23" s="4">
        <f t="shared" si="7"/>
        <v>13</v>
      </c>
      <c r="B23" s="679">
        <v>45679</v>
      </c>
      <c r="C23" s="180">
        <v>5590</v>
      </c>
      <c r="D23" s="188">
        <v>13180</v>
      </c>
      <c r="E23" s="126">
        <f t="shared" si="10"/>
        <v>18770</v>
      </c>
      <c r="F23" s="189">
        <f t="shared" si="8"/>
        <v>11.872483885220635</v>
      </c>
      <c r="G23" s="132">
        <f t="shared" si="0"/>
        <v>27.992725868910192</v>
      </c>
      <c r="H23" s="127">
        <f t="shared" si="11"/>
        <v>39.865209754130831</v>
      </c>
      <c r="I23" s="190">
        <f t="shared" si="1"/>
        <v>5578.1275161147796</v>
      </c>
      <c r="J23" s="132">
        <f t="shared" si="2"/>
        <v>13152.007274131091</v>
      </c>
      <c r="K23" s="126">
        <f t="shared" si="3"/>
        <v>18730.134790245869</v>
      </c>
      <c r="L23" s="249">
        <v>1</v>
      </c>
      <c r="M23" s="53">
        <f t="shared" si="4"/>
        <v>5578.1275161147796</v>
      </c>
      <c r="N23" s="132">
        <f t="shared" si="5"/>
        <v>13152.007274131091</v>
      </c>
      <c r="O23" s="127">
        <f t="shared" si="6"/>
        <v>18730.134790245869</v>
      </c>
      <c r="P23" s="4">
        <f t="shared" si="9"/>
        <v>13</v>
      </c>
      <c r="Q23" s="32"/>
      <c r="R23" s="32"/>
      <c r="S23" s="32"/>
      <c r="T23" s="32"/>
      <c r="U23" s="32"/>
      <c r="V23" s="32"/>
      <c r="W23" s="32"/>
      <c r="X23" s="32"/>
      <c r="Y23" s="32"/>
      <c r="Z23" s="32"/>
      <c r="AA23" s="32"/>
      <c r="AB23" s="32"/>
      <c r="AC23" s="32"/>
    </row>
    <row r="24" spans="1:29" x14ac:dyDescent="0.3">
      <c r="A24" s="4">
        <f t="shared" si="7"/>
        <v>14</v>
      </c>
      <c r="B24" s="680">
        <v>45710</v>
      </c>
      <c r="C24" s="180">
        <v>4528</v>
      </c>
      <c r="D24" s="678">
        <v>23282</v>
      </c>
      <c r="E24" s="128">
        <f t="shared" si="10"/>
        <v>27810</v>
      </c>
      <c r="F24" s="181">
        <f t="shared" si="8"/>
        <v>9.6169243349336373</v>
      </c>
      <c r="G24" s="236">
        <f t="shared" si="0"/>
        <v>49.448152024276716</v>
      </c>
      <c r="H24" s="577">
        <f t="shared" si="11"/>
        <v>59.065076359210352</v>
      </c>
      <c r="I24" s="53">
        <f t="shared" si="1"/>
        <v>4518.3830756650659</v>
      </c>
      <c r="J24" s="236">
        <f t="shared" si="2"/>
        <v>23232.551847975723</v>
      </c>
      <c r="K24" s="128">
        <f t="shared" si="3"/>
        <v>27750.934923640787</v>
      </c>
      <c r="L24" s="244">
        <v>0.91666666666666663</v>
      </c>
      <c r="M24" s="53">
        <f t="shared" si="4"/>
        <v>4141.8511526929769</v>
      </c>
      <c r="N24" s="236">
        <f t="shared" si="5"/>
        <v>21296.505860644411</v>
      </c>
      <c r="O24" s="577">
        <f t="shared" si="6"/>
        <v>25438.357013337387</v>
      </c>
      <c r="P24" s="4">
        <f t="shared" si="9"/>
        <v>14</v>
      </c>
      <c r="Q24" s="32"/>
      <c r="R24" s="32"/>
      <c r="S24" s="32"/>
      <c r="T24" s="32"/>
      <c r="U24" s="32"/>
      <c r="V24" s="32"/>
      <c r="W24" s="32"/>
      <c r="X24" s="32"/>
      <c r="Y24" s="32"/>
      <c r="Z24" s="32"/>
      <c r="AA24" s="32"/>
      <c r="AB24" s="32"/>
      <c r="AC24" s="32"/>
    </row>
    <row r="25" spans="1:29" x14ac:dyDescent="0.3">
      <c r="A25" s="4">
        <f t="shared" si="7"/>
        <v>15</v>
      </c>
      <c r="B25" s="680">
        <v>45738</v>
      </c>
      <c r="C25" s="180">
        <v>11572</v>
      </c>
      <c r="D25" s="678">
        <v>15073</v>
      </c>
      <c r="E25" s="128">
        <f t="shared" si="10"/>
        <v>26645</v>
      </c>
      <c r="F25" s="181">
        <f t="shared" si="8"/>
        <v>24.57752835774118</v>
      </c>
      <c r="G25" s="236">
        <f t="shared" si="0"/>
        <v>32.013228909111028</v>
      </c>
      <c r="H25" s="577">
        <f t="shared" si="11"/>
        <v>56.590757266852208</v>
      </c>
      <c r="I25" s="53">
        <f t="shared" si="1"/>
        <v>11547.42247164226</v>
      </c>
      <c r="J25" s="236">
        <f t="shared" si="2"/>
        <v>15040.986771090889</v>
      </c>
      <c r="K25" s="128">
        <f t="shared" si="3"/>
        <v>26588.409242733149</v>
      </c>
      <c r="L25" s="244">
        <v>0.83333333333333337</v>
      </c>
      <c r="M25" s="53">
        <f t="shared" si="4"/>
        <v>9622.8520597018833</v>
      </c>
      <c r="N25" s="236">
        <f t="shared" si="5"/>
        <v>12534.155642575741</v>
      </c>
      <c r="O25" s="577">
        <f t="shared" si="6"/>
        <v>22157.007702277624</v>
      </c>
      <c r="P25" s="4">
        <f t="shared" si="9"/>
        <v>15</v>
      </c>
      <c r="Q25" s="32"/>
      <c r="R25" s="32"/>
      <c r="S25" s="32"/>
      <c r="T25" s="32"/>
      <c r="U25" s="32"/>
      <c r="V25" s="32"/>
      <c r="W25" s="32"/>
      <c r="X25" s="32"/>
      <c r="Y25" s="32"/>
      <c r="Z25" s="32"/>
      <c r="AA25" s="32"/>
      <c r="AB25" s="32"/>
      <c r="AC25" s="32"/>
    </row>
    <row r="26" spans="1:29" ht="16.2" thickBot="1" x14ac:dyDescent="0.35">
      <c r="A26" s="4">
        <f t="shared" si="7"/>
        <v>16</v>
      </c>
      <c r="B26" s="681">
        <v>45769</v>
      </c>
      <c r="C26" s="182">
        <v>2581</v>
      </c>
      <c r="D26" s="678">
        <v>24040</v>
      </c>
      <c r="E26" s="183">
        <f t="shared" si="10"/>
        <v>26621</v>
      </c>
      <c r="F26" s="184">
        <f t="shared" si="8"/>
        <v>5.4817318260741432</v>
      </c>
      <c r="G26" s="185">
        <f t="shared" si="0"/>
        <v>51.058052343596437</v>
      </c>
      <c r="H26" s="186">
        <f t="shared" si="11"/>
        <v>56.539784169670583</v>
      </c>
      <c r="I26" s="187">
        <f t="shared" si="1"/>
        <v>2575.5182681739257</v>
      </c>
      <c r="J26" s="185">
        <f t="shared" si="2"/>
        <v>23988.941947656403</v>
      </c>
      <c r="K26" s="183">
        <f t="shared" si="3"/>
        <v>26564.460215830328</v>
      </c>
      <c r="L26" s="248">
        <v>0.75</v>
      </c>
      <c r="M26" s="185">
        <f t="shared" si="4"/>
        <v>1931.6387011304441</v>
      </c>
      <c r="N26" s="185">
        <f t="shared" si="5"/>
        <v>17991.706460742302</v>
      </c>
      <c r="O26" s="186">
        <f t="shared" si="6"/>
        <v>19923.345161872745</v>
      </c>
      <c r="P26" s="4">
        <f t="shared" si="9"/>
        <v>16</v>
      </c>
      <c r="Q26" s="32"/>
      <c r="R26" s="32"/>
      <c r="S26" s="32"/>
      <c r="T26" s="32"/>
      <c r="U26" s="32"/>
      <c r="V26" s="32"/>
      <c r="W26" s="32"/>
      <c r="X26" s="32"/>
      <c r="Y26" s="32"/>
      <c r="Z26" s="32"/>
      <c r="AA26" s="32"/>
      <c r="AB26" s="32"/>
      <c r="AC26" s="32"/>
    </row>
    <row r="27" spans="1:29" x14ac:dyDescent="0.3">
      <c r="A27" s="4">
        <f t="shared" si="7"/>
        <v>17</v>
      </c>
      <c r="B27" s="680">
        <v>45799</v>
      </c>
      <c r="C27" s="180">
        <v>5996</v>
      </c>
      <c r="D27" s="188">
        <v>14817</v>
      </c>
      <c r="E27" s="6">
        <f t="shared" si="10"/>
        <v>20813</v>
      </c>
      <c r="F27" s="189">
        <f t="shared" si="8"/>
        <v>12.734778779209826</v>
      </c>
      <c r="G27" s="132">
        <f t="shared" si="0"/>
        <v>31.469515872507003</v>
      </c>
      <c r="H27" s="131">
        <f t="shared" si="11"/>
        <v>44.204294651716829</v>
      </c>
      <c r="I27" s="190">
        <f t="shared" si="1"/>
        <v>5983.2652212207904</v>
      </c>
      <c r="J27" s="132">
        <f t="shared" si="2"/>
        <v>14785.530484127494</v>
      </c>
      <c r="K27" s="6">
        <f t="shared" si="3"/>
        <v>20768.795705348282</v>
      </c>
      <c r="L27" s="249">
        <v>0.66666666666666663</v>
      </c>
      <c r="M27" s="53">
        <f t="shared" si="4"/>
        <v>3988.84348081386</v>
      </c>
      <c r="N27" s="132">
        <f t="shared" si="5"/>
        <v>9857.0203227516613</v>
      </c>
      <c r="O27" s="131">
        <f t="shared" si="6"/>
        <v>13845.86380356552</v>
      </c>
      <c r="P27" s="4">
        <f t="shared" si="9"/>
        <v>17</v>
      </c>
      <c r="Q27" s="32"/>
      <c r="R27" s="32"/>
      <c r="S27" s="32"/>
      <c r="T27" s="32"/>
      <c r="U27" s="32"/>
      <c r="V27" s="32"/>
      <c r="W27" s="32"/>
      <c r="X27" s="32"/>
      <c r="Y27" s="32"/>
      <c r="Z27" s="32"/>
      <c r="AA27" s="32"/>
      <c r="AB27" s="32"/>
      <c r="AC27" s="32"/>
    </row>
    <row r="28" spans="1:29" x14ac:dyDescent="0.3">
      <c r="A28" s="4">
        <f t="shared" si="7"/>
        <v>18</v>
      </c>
      <c r="B28" s="680">
        <v>45830</v>
      </c>
      <c r="C28" s="180">
        <v>3358</v>
      </c>
      <c r="D28" s="678">
        <v>11124</v>
      </c>
      <c r="E28" s="128">
        <f t="shared" si="10"/>
        <v>14482</v>
      </c>
      <c r="F28" s="181">
        <f t="shared" si="8"/>
        <v>7.131985847329319</v>
      </c>
      <c r="G28" s="236">
        <f t="shared" si="0"/>
        <v>23.626030543684141</v>
      </c>
      <c r="H28" s="577">
        <f t="shared" si="11"/>
        <v>30.758016391013459</v>
      </c>
      <c r="I28" s="53">
        <f t="shared" si="1"/>
        <v>3350.8680141526706</v>
      </c>
      <c r="J28" s="236">
        <f t="shared" si="2"/>
        <v>11100.373969456316</v>
      </c>
      <c r="K28" s="128">
        <f t="shared" si="3"/>
        <v>14451.241983608987</v>
      </c>
      <c r="L28" s="244">
        <v>0.58333333333333337</v>
      </c>
      <c r="M28" s="53">
        <f t="shared" si="4"/>
        <v>1954.6730082557247</v>
      </c>
      <c r="N28" s="236">
        <f t="shared" si="5"/>
        <v>6475.218148849518</v>
      </c>
      <c r="O28" s="577">
        <f t="shared" si="6"/>
        <v>8429.8911571052431</v>
      </c>
      <c r="P28" s="4">
        <f t="shared" si="9"/>
        <v>18</v>
      </c>
      <c r="Q28" s="32"/>
      <c r="R28" s="32"/>
      <c r="S28" s="32"/>
      <c r="T28" s="32"/>
      <c r="U28" s="32"/>
      <c r="V28" s="32"/>
      <c r="W28" s="32"/>
      <c r="X28" s="32"/>
      <c r="Y28" s="32"/>
      <c r="Z28" s="32"/>
      <c r="AA28" s="32"/>
      <c r="AB28" s="32"/>
      <c r="AC28" s="32"/>
    </row>
    <row r="29" spans="1:29" x14ac:dyDescent="0.3">
      <c r="A29" s="4">
        <f t="shared" si="7"/>
        <v>19</v>
      </c>
      <c r="B29" s="680">
        <v>45860</v>
      </c>
      <c r="C29" s="180">
        <v>3296</v>
      </c>
      <c r="D29" s="678">
        <v>63579</v>
      </c>
      <c r="E29" s="128">
        <f t="shared" si="10"/>
        <v>66875</v>
      </c>
      <c r="F29" s="181">
        <f t="shared" si="8"/>
        <v>7.0003053462767824</v>
      </c>
      <c r="G29" s="236">
        <f t="shared" si="0"/>
        <v>135.03410607127776</v>
      </c>
      <c r="H29" s="577">
        <f t="shared" si="11"/>
        <v>142.03441141755454</v>
      </c>
      <c r="I29" s="53">
        <f t="shared" si="1"/>
        <v>3288.9996946537231</v>
      </c>
      <c r="J29" s="236">
        <f t="shared" si="2"/>
        <v>63443.965893928726</v>
      </c>
      <c r="K29" s="128">
        <f t="shared" si="3"/>
        <v>66732.965588582447</v>
      </c>
      <c r="L29" s="244">
        <v>0.5</v>
      </c>
      <c r="M29" s="53">
        <f t="shared" si="4"/>
        <v>1644.4998473268615</v>
      </c>
      <c r="N29" s="236">
        <f t="shared" si="5"/>
        <v>31721.982946964363</v>
      </c>
      <c r="O29" s="577">
        <f t="shared" si="6"/>
        <v>33366.482794291223</v>
      </c>
      <c r="P29" s="4">
        <f t="shared" si="9"/>
        <v>19</v>
      </c>
      <c r="Q29" s="32"/>
      <c r="R29" s="32"/>
      <c r="S29" s="32"/>
      <c r="T29" s="32"/>
      <c r="U29" s="32"/>
      <c r="V29" s="32"/>
      <c r="W29" s="32"/>
      <c r="X29" s="32"/>
      <c r="Y29" s="32"/>
      <c r="Z29" s="32"/>
      <c r="AA29" s="32"/>
      <c r="AB29" s="32"/>
      <c r="AC29" s="32"/>
    </row>
    <row r="30" spans="1:29" ht="16.2" thickBot="1" x14ac:dyDescent="0.35">
      <c r="A30" s="4">
        <f t="shared" si="7"/>
        <v>20</v>
      </c>
      <c r="B30" s="681">
        <v>45891</v>
      </c>
      <c r="C30" s="182">
        <v>3293</v>
      </c>
      <c r="D30" s="678">
        <v>10435</v>
      </c>
      <c r="E30" s="183">
        <f t="shared" si="10"/>
        <v>13728</v>
      </c>
      <c r="F30" s="184">
        <f t="shared" si="8"/>
        <v>6.9939337091290792</v>
      </c>
      <c r="G30" s="185">
        <f t="shared" si="0"/>
        <v>22.162677878761595</v>
      </c>
      <c r="H30" s="186">
        <f t="shared" si="11"/>
        <v>29.156611587890673</v>
      </c>
      <c r="I30" s="187">
        <f t="shared" si="1"/>
        <v>3286.0060662908709</v>
      </c>
      <c r="J30" s="185">
        <f t="shared" si="2"/>
        <v>10412.837322121239</v>
      </c>
      <c r="K30" s="183">
        <f t="shared" si="3"/>
        <v>13698.84338841211</v>
      </c>
      <c r="L30" s="248">
        <v>0.41666666666666669</v>
      </c>
      <c r="M30" s="185">
        <f t="shared" si="4"/>
        <v>1369.1691942878629</v>
      </c>
      <c r="N30" s="185">
        <f t="shared" si="5"/>
        <v>4338.6822175505167</v>
      </c>
      <c r="O30" s="186">
        <f t="shared" si="6"/>
        <v>5707.8514118383791</v>
      </c>
      <c r="P30" s="4">
        <f t="shared" si="9"/>
        <v>20</v>
      </c>
      <c r="Q30" s="32"/>
      <c r="R30" s="32"/>
      <c r="S30" s="32"/>
      <c r="T30" s="32"/>
      <c r="U30" s="32"/>
      <c r="V30" s="32"/>
      <c r="W30" s="32"/>
      <c r="X30" s="32"/>
      <c r="Y30" s="32"/>
      <c r="Z30" s="32"/>
      <c r="AA30" s="32"/>
      <c r="AB30" s="32"/>
      <c r="AC30" s="32"/>
    </row>
    <row r="31" spans="1:29" x14ac:dyDescent="0.3">
      <c r="A31" s="4">
        <f t="shared" si="7"/>
        <v>21</v>
      </c>
      <c r="B31" s="680">
        <v>45922</v>
      </c>
      <c r="C31" s="180">
        <v>3516</v>
      </c>
      <c r="D31" s="188">
        <v>40118</v>
      </c>
      <c r="E31" s="128">
        <f t="shared" si="10"/>
        <v>43634</v>
      </c>
      <c r="F31" s="189">
        <f t="shared" si="8"/>
        <v>7.467558737108364</v>
      </c>
      <c r="G31" s="132">
        <f t="shared" si="0"/>
        <v>85.205779697188092</v>
      </c>
      <c r="H31" s="577">
        <f>F31+G31</f>
        <v>92.673338434296454</v>
      </c>
      <c r="I31" s="190">
        <f t="shared" si="1"/>
        <v>3508.5324412628916</v>
      </c>
      <c r="J31" s="132">
        <f t="shared" si="2"/>
        <v>40032.794220302814</v>
      </c>
      <c r="K31" s="128">
        <f t="shared" si="3"/>
        <v>43541.326661565705</v>
      </c>
      <c r="L31" s="249">
        <v>0.33333333333333331</v>
      </c>
      <c r="M31" s="53">
        <f t="shared" si="4"/>
        <v>1169.510813754297</v>
      </c>
      <c r="N31" s="132">
        <f t="shared" si="5"/>
        <v>13344.264740100938</v>
      </c>
      <c r="O31" s="577">
        <f t="shared" si="6"/>
        <v>14513.775553855236</v>
      </c>
      <c r="P31" s="4">
        <f t="shared" si="9"/>
        <v>21</v>
      </c>
      <c r="Q31" s="32"/>
      <c r="R31" s="32"/>
      <c r="S31" s="32"/>
      <c r="T31" s="32"/>
      <c r="U31" s="32"/>
      <c r="V31" s="32"/>
      <c r="W31" s="32"/>
      <c r="X31" s="32"/>
      <c r="Y31" s="32"/>
      <c r="Z31" s="32"/>
      <c r="AA31" s="32"/>
      <c r="AB31" s="32"/>
      <c r="AC31" s="32"/>
    </row>
    <row r="32" spans="1:29" x14ac:dyDescent="0.3">
      <c r="A32" s="4">
        <f t="shared" si="7"/>
        <v>22</v>
      </c>
      <c r="B32" s="680">
        <v>45952</v>
      </c>
      <c r="C32" s="180">
        <v>1217</v>
      </c>
      <c r="D32" s="678">
        <v>10984</v>
      </c>
      <c r="E32" s="6">
        <f t="shared" si="10"/>
        <v>12201</v>
      </c>
      <c r="F32" s="181">
        <f t="shared" si="8"/>
        <v>2.5847608029183387</v>
      </c>
      <c r="G32" s="236">
        <f t="shared" si="0"/>
        <v>23.328687476791316</v>
      </c>
      <c r="H32" s="131">
        <f t="shared" si="11"/>
        <v>25.913448279709655</v>
      </c>
      <c r="I32" s="53">
        <f t="shared" si="1"/>
        <v>1214.4152391970817</v>
      </c>
      <c r="J32" s="236">
        <f t="shared" si="2"/>
        <v>10960.671312523209</v>
      </c>
      <c r="K32" s="6">
        <f t="shared" si="3"/>
        <v>12175.086551720291</v>
      </c>
      <c r="L32" s="244">
        <v>0.25</v>
      </c>
      <c r="M32" s="53">
        <f t="shared" si="4"/>
        <v>303.60380979927044</v>
      </c>
      <c r="N32" s="236">
        <f t="shared" si="5"/>
        <v>2740.1678281308023</v>
      </c>
      <c r="O32" s="131">
        <f t="shared" si="6"/>
        <v>3043.7716379300728</v>
      </c>
      <c r="P32" s="4">
        <f t="shared" si="9"/>
        <v>22</v>
      </c>
      <c r="Q32" s="32"/>
      <c r="R32" s="32"/>
      <c r="S32" s="32"/>
      <c r="T32" s="32"/>
      <c r="U32" s="32"/>
      <c r="V32" s="32"/>
      <c r="W32" s="32"/>
      <c r="X32" s="32"/>
      <c r="Y32" s="32"/>
      <c r="Z32" s="32"/>
      <c r="AA32" s="32"/>
      <c r="AB32" s="32"/>
      <c r="AC32" s="32"/>
    </row>
    <row r="33" spans="1:29" x14ac:dyDescent="0.3">
      <c r="A33" s="4">
        <f t="shared" si="7"/>
        <v>23</v>
      </c>
      <c r="B33" s="680">
        <v>45983</v>
      </c>
      <c r="C33" s="180">
        <v>2061</v>
      </c>
      <c r="D33" s="678">
        <v>8023</v>
      </c>
      <c r="E33" s="128">
        <f t="shared" si="10"/>
        <v>10084</v>
      </c>
      <c r="F33" s="181">
        <f t="shared" si="8"/>
        <v>4.3773147204722234</v>
      </c>
      <c r="G33" s="236">
        <f t="shared" si="0"/>
        <v>17.039881612008077</v>
      </c>
      <c r="H33" s="577">
        <f t="shared" si="11"/>
        <v>21.417196332480302</v>
      </c>
      <c r="I33" s="53">
        <f t="shared" si="1"/>
        <v>2056.6226852795276</v>
      </c>
      <c r="J33" s="236">
        <f t="shared" si="2"/>
        <v>8005.9601183879922</v>
      </c>
      <c r="K33" s="128">
        <f t="shared" si="3"/>
        <v>10062.582803667519</v>
      </c>
      <c r="L33" s="244">
        <v>0.16666666666666666</v>
      </c>
      <c r="M33" s="53">
        <f t="shared" si="4"/>
        <v>342.77044754658789</v>
      </c>
      <c r="N33" s="236">
        <f t="shared" si="5"/>
        <v>1334.3266863979986</v>
      </c>
      <c r="O33" s="577">
        <f t="shared" si="6"/>
        <v>1677.0971339445864</v>
      </c>
      <c r="P33" s="4">
        <f t="shared" si="9"/>
        <v>23</v>
      </c>
      <c r="Q33" s="32"/>
      <c r="R33" s="32"/>
      <c r="S33" s="32"/>
      <c r="T33" s="32"/>
      <c r="U33" s="32"/>
      <c r="V33" s="32"/>
      <c r="W33" s="32"/>
      <c r="X33" s="32"/>
      <c r="Y33" s="32"/>
      <c r="Z33" s="32"/>
      <c r="AA33" s="32"/>
      <c r="AB33" s="32"/>
      <c r="AC33" s="32"/>
    </row>
    <row r="34" spans="1:29" ht="16.2" thickBot="1" x14ac:dyDescent="0.35">
      <c r="A34" s="4">
        <f t="shared" si="7"/>
        <v>24</v>
      </c>
      <c r="B34" s="680">
        <v>46013</v>
      </c>
      <c r="C34" s="180">
        <v>18095</v>
      </c>
      <c r="D34" s="678">
        <v>57507</v>
      </c>
      <c r="E34" s="128">
        <f>C34+D34</f>
        <v>75602</v>
      </c>
      <c r="F34" s="184">
        <f t="shared" si="8"/>
        <v>38.431591395897563</v>
      </c>
      <c r="G34" s="185">
        <f t="shared" si="0"/>
        <v>122.13791248432612</v>
      </c>
      <c r="H34" s="577">
        <f t="shared" si="11"/>
        <v>160.56950388022369</v>
      </c>
      <c r="I34" s="187">
        <f t="shared" si="1"/>
        <v>18056.568408604104</v>
      </c>
      <c r="J34" s="185">
        <f t="shared" si="2"/>
        <v>57384.86208751567</v>
      </c>
      <c r="K34" s="128">
        <f t="shared" si="3"/>
        <v>75441.430496119778</v>
      </c>
      <c r="L34" s="244">
        <v>8.3333333333333329E-2</v>
      </c>
      <c r="M34" s="53">
        <f t="shared" si="4"/>
        <v>1504.714034050342</v>
      </c>
      <c r="N34" s="185">
        <f t="shared" si="5"/>
        <v>4782.0718406263059</v>
      </c>
      <c r="O34" s="577">
        <f t="shared" si="6"/>
        <v>6286.7858746766478</v>
      </c>
      <c r="P34" s="4">
        <f t="shared" si="9"/>
        <v>24</v>
      </c>
      <c r="Q34" s="32"/>
      <c r="R34" s="431"/>
      <c r="S34" s="32"/>
      <c r="T34" s="32"/>
      <c r="U34" s="32"/>
      <c r="V34" s="32"/>
      <c r="W34" s="32"/>
      <c r="X34" s="32"/>
      <c r="Y34" s="32"/>
      <c r="Z34" s="32"/>
      <c r="AA34" s="32"/>
      <c r="AB34" s="32"/>
      <c r="AC34" s="32"/>
    </row>
    <row r="35" spans="1:29" ht="16.2" thickBot="1" x14ac:dyDescent="0.35">
      <c r="A35" s="4">
        <f t="shared" si="7"/>
        <v>25</v>
      </c>
      <c r="B35" s="545" t="s">
        <v>200</v>
      </c>
      <c r="C35" s="191">
        <f t="shared" ref="C35:K35" si="12">SUM(C11:C34)</f>
        <v>200090</v>
      </c>
      <c r="D35" s="192">
        <f t="shared" si="12"/>
        <v>511484</v>
      </c>
      <c r="E35" s="193">
        <f t="shared" si="12"/>
        <v>711574</v>
      </c>
      <c r="F35" s="191">
        <f t="shared" si="12"/>
        <v>424.9669589613232</v>
      </c>
      <c r="G35" s="192">
        <f t="shared" si="12"/>
        <v>1086.3301516186386</v>
      </c>
      <c r="H35" s="194">
        <f t="shared" si="12"/>
        <v>1511.297110579962</v>
      </c>
      <c r="I35" s="195">
        <f t="shared" si="12"/>
        <v>199665.0330410387</v>
      </c>
      <c r="J35" s="192">
        <f t="shared" si="12"/>
        <v>510397.66984838137</v>
      </c>
      <c r="K35" s="193">
        <f t="shared" si="12"/>
        <v>710062.70288942009</v>
      </c>
      <c r="L35" s="196"/>
      <c r="M35" s="195">
        <f>SUM(M11:M34)</f>
        <v>168252.5580042559</v>
      </c>
      <c r="N35" s="192">
        <f>SUM(N11:N34)</f>
        <v>358424.29656862945</v>
      </c>
      <c r="O35" s="194">
        <f>SUM(O11:O34)</f>
        <v>526676.8545728852</v>
      </c>
      <c r="P35" s="4">
        <f t="shared" si="9"/>
        <v>25</v>
      </c>
      <c r="Q35" s="32"/>
      <c r="R35" s="32"/>
      <c r="S35" s="32"/>
      <c r="T35" s="32"/>
      <c r="U35" s="32"/>
      <c r="V35" s="32"/>
      <c r="W35" s="32"/>
      <c r="X35" s="32"/>
      <c r="Y35" s="32"/>
      <c r="Z35" s="32"/>
      <c r="AA35" s="32"/>
      <c r="AB35" s="32"/>
      <c r="AC35" s="32"/>
    </row>
    <row r="36" spans="1:29" x14ac:dyDescent="0.3">
      <c r="A36" s="4">
        <f>A35+1</f>
        <v>26</v>
      </c>
      <c r="B36" s="519"/>
      <c r="C36" s="6"/>
      <c r="D36" s="6"/>
      <c r="E36" s="546"/>
      <c r="F36" s="32"/>
      <c r="G36" s="32"/>
      <c r="H36" s="6"/>
      <c r="I36" s="32"/>
      <c r="J36" s="32"/>
      <c r="K36" s="6"/>
      <c r="L36" s="32"/>
      <c r="M36" s="32"/>
      <c r="N36" s="32"/>
      <c r="O36" s="131"/>
      <c r="P36" s="4">
        <f>P35+1</f>
        <v>26</v>
      </c>
      <c r="Q36" s="32"/>
      <c r="R36" s="32"/>
      <c r="S36" s="32"/>
      <c r="T36" s="32"/>
      <c r="U36" s="32"/>
      <c r="V36" s="32"/>
      <c r="W36" s="32"/>
      <c r="X36" s="32"/>
      <c r="Y36" s="32"/>
      <c r="Z36" s="32"/>
      <c r="AA36" s="32"/>
      <c r="AB36" s="32"/>
      <c r="AC36" s="32"/>
    </row>
    <row r="37" spans="1:29" s="417" customFormat="1" x14ac:dyDescent="0.3">
      <c r="A37" s="4">
        <f>A36+1</f>
        <v>27</v>
      </c>
      <c r="B37" s="547"/>
      <c r="E37" s="32" t="s">
        <v>1487</v>
      </c>
      <c r="F37" s="548"/>
      <c r="G37" s="548"/>
      <c r="H37" s="84">
        <v>17819.405999999999</v>
      </c>
      <c r="I37" s="197"/>
      <c r="J37" s="32" t="s">
        <v>1488</v>
      </c>
      <c r="K37" s="197"/>
      <c r="L37" s="197"/>
      <c r="M37" s="197"/>
      <c r="O37" s="549"/>
      <c r="P37" s="4">
        <f t="shared" ref="P37:P42" si="13">P36+1</f>
        <v>27</v>
      </c>
      <c r="Q37" s="32"/>
    </row>
    <row r="38" spans="1:29" s="417" customFormat="1" x14ac:dyDescent="0.3">
      <c r="A38" s="4">
        <f>A37+1</f>
        <v>28</v>
      </c>
      <c r="B38" s="547"/>
      <c r="E38" s="32"/>
      <c r="F38" s="548"/>
      <c r="G38" s="548"/>
      <c r="H38" s="6"/>
      <c r="I38" s="197"/>
      <c r="J38" s="32"/>
      <c r="K38" s="197"/>
      <c r="L38" s="197"/>
      <c r="M38" s="197"/>
      <c r="O38" s="549"/>
      <c r="P38" s="4">
        <f t="shared" si="13"/>
        <v>28</v>
      </c>
      <c r="Q38" s="32"/>
    </row>
    <row r="39" spans="1:29" s="417" customFormat="1" x14ac:dyDescent="0.3">
      <c r="A39" s="4">
        <f t="shared" ref="A39:A40" si="14">A38+1</f>
        <v>29</v>
      </c>
      <c r="B39" s="547"/>
      <c r="E39" s="32" t="s">
        <v>1489</v>
      </c>
      <c r="F39" s="548"/>
      <c r="G39" s="44"/>
      <c r="H39" s="682">
        <v>8390028.6160000004</v>
      </c>
      <c r="I39" s="197"/>
      <c r="J39" s="32" t="s">
        <v>1490</v>
      </c>
      <c r="K39" s="197"/>
      <c r="L39" s="197"/>
      <c r="M39" s="197"/>
      <c r="O39" s="549"/>
      <c r="P39" s="4">
        <f t="shared" si="13"/>
        <v>29</v>
      </c>
      <c r="Q39" s="32"/>
    </row>
    <row r="40" spans="1:29" s="417" customFormat="1" ht="16.2" thickBot="1" x14ac:dyDescent="0.35">
      <c r="A40" s="4">
        <f t="shared" si="14"/>
        <v>30</v>
      </c>
      <c r="B40" s="547"/>
      <c r="E40" s="548"/>
      <c r="F40" s="548"/>
      <c r="G40" s="548"/>
      <c r="H40" s="197"/>
      <c r="I40" s="197"/>
      <c r="J40" s="197"/>
      <c r="K40" s="197"/>
      <c r="L40" s="197"/>
      <c r="M40" s="197"/>
      <c r="O40" s="549"/>
      <c r="P40" s="4">
        <f t="shared" si="13"/>
        <v>30</v>
      </c>
    </row>
    <row r="41" spans="1:29" ht="16.2" thickBot="1" x14ac:dyDescent="0.35">
      <c r="A41" s="4">
        <f>A40+1</f>
        <v>31</v>
      </c>
      <c r="B41" s="519"/>
      <c r="C41" s="32"/>
      <c r="D41" s="32"/>
      <c r="E41" s="1" t="s">
        <v>1491</v>
      </c>
      <c r="F41" s="32"/>
      <c r="G41" s="32"/>
      <c r="H41" s="198">
        <f>IFERROR(H37/H39,0)</f>
        <v>2.1238790492344607E-3</v>
      </c>
      <c r="I41" s="32"/>
      <c r="J41" s="32" t="s">
        <v>1492</v>
      </c>
      <c r="K41" s="48"/>
      <c r="L41" s="32"/>
      <c r="M41" s="32"/>
      <c r="N41" s="32"/>
      <c r="O41" s="384"/>
      <c r="P41" s="4">
        <f t="shared" si="13"/>
        <v>31</v>
      </c>
      <c r="Q41" s="32"/>
      <c r="R41" s="417"/>
      <c r="S41" s="32"/>
      <c r="T41" s="32"/>
      <c r="U41" s="32"/>
      <c r="V41" s="32"/>
      <c r="W41" s="32"/>
      <c r="X41" s="32"/>
      <c r="Y41" s="32"/>
      <c r="Z41" s="32"/>
      <c r="AA41" s="32"/>
      <c r="AB41" s="32"/>
      <c r="AC41" s="32"/>
    </row>
    <row r="42" spans="1:29" ht="16.2" thickBot="1" x14ac:dyDescent="0.35">
      <c r="A42" s="4">
        <f t="shared" si="7"/>
        <v>32</v>
      </c>
      <c r="B42" s="550"/>
      <c r="C42" s="866"/>
      <c r="D42" s="866"/>
      <c r="E42" s="898"/>
      <c r="F42" s="866"/>
      <c r="G42" s="866"/>
      <c r="H42" s="1083"/>
      <c r="I42" s="866"/>
      <c r="J42" s="866"/>
      <c r="K42" s="866"/>
      <c r="L42" s="866"/>
      <c r="M42" s="866"/>
      <c r="N42" s="866"/>
      <c r="O42" s="199"/>
      <c r="P42" s="4">
        <f t="shared" si="13"/>
        <v>32</v>
      </c>
      <c r="Q42" s="417"/>
      <c r="R42" s="32"/>
      <c r="S42" s="32"/>
      <c r="T42" s="32"/>
      <c r="U42" s="32"/>
      <c r="V42" s="32"/>
      <c r="W42" s="32"/>
      <c r="X42" s="32"/>
      <c r="Y42" s="32"/>
      <c r="Z42" s="32"/>
      <c r="AA42" s="32"/>
      <c r="AB42" s="32"/>
      <c r="AC42" s="32"/>
    </row>
    <row r="43" spans="1:29" ht="16.2" thickBot="1" x14ac:dyDescent="0.35">
      <c r="A43" s="4">
        <f t="shared" si="7"/>
        <v>33</v>
      </c>
      <c r="B43" s="519"/>
      <c r="C43" s="32"/>
      <c r="D43" s="32"/>
      <c r="E43" s="6"/>
      <c r="F43" s="32"/>
      <c r="G43" s="32"/>
      <c r="H43" s="32"/>
      <c r="I43" s="32"/>
      <c r="J43" s="32"/>
      <c r="K43" s="6" t="s">
        <v>1</v>
      </c>
      <c r="L43" s="32"/>
      <c r="M43" s="48"/>
      <c r="N43" s="48"/>
      <c r="O43" s="551"/>
      <c r="P43" s="4">
        <f t="shared" si="9"/>
        <v>33</v>
      </c>
      <c r="Q43" s="417"/>
      <c r="R43" s="32"/>
      <c r="S43" s="32"/>
      <c r="T43" s="32"/>
      <c r="U43" s="32"/>
      <c r="V43" s="32"/>
      <c r="W43" s="32"/>
      <c r="X43" s="32"/>
      <c r="Y43" s="32"/>
      <c r="Z43" s="32"/>
      <c r="AA43" s="32"/>
      <c r="AB43" s="32"/>
      <c r="AC43" s="32"/>
    </row>
    <row r="44" spans="1:29" ht="16.2" thickBot="1" x14ac:dyDescent="0.35">
      <c r="A44" s="4">
        <f t="shared" si="7"/>
        <v>34</v>
      </c>
      <c r="B44" s="552"/>
      <c r="C44" s="32"/>
      <c r="D44" s="254"/>
      <c r="E44" s="553"/>
      <c r="F44" s="1084"/>
      <c r="G44" s="1085"/>
      <c r="H44" s="1085" t="s">
        <v>1493</v>
      </c>
      <c r="I44" s="554" t="s">
        <v>1494</v>
      </c>
      <c r="J44" s="555" t="s">
        <v>1495</v>
      </c>
      <c r="K44" s="556" t="s">
        <v>1452</v>
      </c>
      <c r="L44" s="1"/>
      <c r="M44" s="557" t="s">
        <v>1455</v>
      </c>
      <c r="N44" s="558" t="s">
        <v>1456</v>
      </c>
      <c r="O44" s="559" t="s">
        <v>1496</v>
      </c>
      <c r="P44" s="4">
        <f t="shared" si="9"/>
        <v>34</v>
      </c>
      <c r="Q44" s="417"/>
      <c r="R44" s="32"/>
      <c r="S44" s="32"/>
      <c r="T44" s="32"/>
      <c r="U44" s="32"/>
      <c r="V44" s="32"/>
      <c r="W44" s="32"/>
      <c r="X44" s="32"/>
      <c r="Y44" s="32"/>
      <c r="Z44" s="32"/>
      <c r="AA44" s="32"/>
      <c r="AB44" s="32"/>
      <c r="AC44" s="32"/>
    </row>
    <row r="45" spans="1:29" ht="16.2" thickBot="1" x14ac:dyDescent="0.35">
      <c r="A45" s="4">
        <f t="shared" si="7"/>
        <v>35</v>
      </c>
      <c r="B45" s="519"/>
      <c r="C45" s="32"/>
      <c r="D45" s="32"/>
      <c r="E45" s="560"/>
      <c r="F45" s="367"/>
      <c r="G45" s="561"/>
      <c r="H45" s="561" t="s">
        <v>1497</v>
      </c>
      <c r="I45" s="200">
        <f>+I35</f>
        <v>199665.0330410387</v>
      </c>
      <c r="J45" s="200">
        <f>+J35</f>
        <v>510397.66984838137</v>
      </c>
      <c r="K45" s="201">
        <f>+K35</f>
        <v>710062.70288942009</v>
      </c>
      <c r="L45" s="44"/>
      <c r="M45" s="202">
        <f>+M35</f>
        <v>168252.5580042559</v>
      </c>
      <c r="N45" s="203">
        <f>+N35</f>
        <v>358424.29656862945</v>
      </c>
      <c r="O45" s="201">
        <f>+O35</f>
        <v>526676.8545728852</v>
      </c>
      <c r="P45" s="4">
        <f t="shared" si="9"/>
        <v>35</v>
      </c>
      <c r="Q45" s="32"/>
      <c r="R45" s="32"/>
      <c r="S45" s="32"/>
      <c r="T45" s="32"/>
      <c r="U45" s="32"/>
      <c r="V45" s="32"/>
      <c r="W45" s="32"/>
      <c r="X45" s="32"/>
      <c r="Y45" s="32"/>
      <c r="Z45" s="32"/>
      <c r="AA45" s="32"/>
      <c r="AB45" s="32"/>
      <c r="AC45" s="32"/>
    </row>
    <row r="46" spans="1:29" ht="16.2" thickTop="1" x14ac:dyDescent="0.3">
      <c r="A46" s="4">
        <f t="shared" si="7"/>
        <v>36</v>
      </c>
      <c r="B46" s="519"/>
      <c r="C46" s="32"/>
      <c r="D46" s="32"/>
      <c r="E46" s="519"/>
      <c r="F46" s="32"/>
      <c r="G46" s="29"/>
      <c r="H46" s="29"/>
      <c r="I46" s="167"/>
      <c r="J46" s="167"/>
      <c r="K46" s="131"/>
      <c r="L46" s="32"/>
      <c r="M46" s="181"/>
      <c r="N46" s="236"/>
      <c r="O46" s="131"/>
      <c r="P46" s="4">
        <f t="shared" si="9"/>
        <v>36</v>
      </c>
      <c r="Q46" s="32"/>
      <c r="R46" s="32"/>
      <c r="S46" s="32"/>
      <c r="T46" s="32"/>
      <c r="U46" s="32"/>
      <c r="V46" s="32"/>
      <c r="W46" s="32"/>
      <c r="X46" s="32"/>
      <c r="Y46" s="32"/>
      <c r="Z46" s="32"/>
      <c r="AA46" s="32"/>
      <c r="AB46" s="32"/>
      <c r="AC46" s="32"/>
    </row>
    <row r="47" spans="1:29" ht="16.2" thickBot="1" x14ac:dyDescent="0.35">
      <c r="A47" s="4">
        <f>A46+1</f>
        <v>37</v>
      </c>
      <c r="B47" s="519"/>
      <c r="C47" s="32"/>
      <c r="D47" s="32"/>
      <c r="E47" s="519"/>
      <c r="F47" s="32"/>
      <c r="G47" s="29"/>
      <c r="H47" s="475" t="s">
        <v>1498</v>
      </c>
      <c r="I47" s="204">
        <f>IFERROR(+I45/K45,0)</f>
        <v>0.28119352309106294</v>
      </c>
      <c r="J47" s="204">
        <f>IFERROR(+J45/K45,0)</f>
        <v>0.71880647690893706</v>
      </c>
      <c r="K47" s="205">
        <f>I47+J47</f>
        <v>1</v>
      </c>
      <c r="L47" s="1"/>
      <c r="M47" s="206">
        <f>IFERROR(+M45/O45,0)</f>
        <v>0.31946070259856452</v>
      </c>
      <c r="N47" s="207">
        <f>IFERROR(+N45/O45,0)</f>
        <v>0.68053929740143571</v>
      </c>
      <c r="O47" s="205">
        <f>M47+N47</f>
        <v>1.0000000000000002</v>
      </c>
      <c r="P47" s="4">
        <f>P46+1</f>
        <v>37</v>
      </c>
      <c r="Q47" s="32"/>
      <c r="R47" s="32"/>
      <c r="S47" s="32"/>
      <c r="T47" s="32"/>
      <c r="U47" s="32"/>
      <c r="V47" s="32"/>
      <c r="W47" s="32"/>
      <c r="X47" s="32"/>
      <c r="Y47" s="32"/>
      <c r="Z47" s="32"/>
      <c r="AA47" s="32"/>
      <c r="AB47" s="32"/>
      <c r="AC47" s="32"/>
    </row>
    <row r="48" spans="1:29" ht="16.8" thickTop="1" thickBot="1" x14ac:dyDescent="0.35">
      <c r="A48" s="4">
        <f t="shared" si="7"/>
        <v>38</v>
      </c>
      <c r="B48" s="518"/>
      <c r="C48" s="32"/>
      <c r="D48" s="32"/>
      <c r="E48" s="550"/>
      <c r="F48" s="866"/>
      <c r="G48" s="866"/>
      <c r="H48" s="866"/>
      <c r="I48" s="208"/>
      <c r="J48" s="208"/>
      <c r="K48" s="199"/>
      <c r="L48" s="32"/>
      <c r="M48" s="209"/>
      <c r="N48" s="210"/>
      <c r="O48" s="199"/>
      <c r="P48" s="4">
        <f t="shared" si="9"/>
        <v>38</v>
      </c>
      <c r="Q48" s="32"/>
      <c r="R48" s="32"/>
      <c r="S48" s="32"/>
      <c r="T48" s="32"/>
      <c r="U48" s="32"/>
      <c r="V48" s="32"/>
      <c r="W48" s="32"/>
      <c r="X48" s="32"/>
      <c r="Y48" s="32"/>
      <c r="Z48" s="32"/>
      <c r="AA48" s="32"/>
      <c r="AB48" s="32"/>
      <c r="AC48" s="32"/>
    </row>
    <row r="49" spans="1:29" ht="16.2" thickBot="1" x14ac:dyDescent="0.35">
      <c r="A49" s="4">
        <f t="shared" si="7"/>
        <v>39</v>
      </c>
      <c r="B49" s="523"/>
      <c r="C49" s="866"/>
      <c r="D49" s="866"/>
      <c r="E49" s="866"/>
      <c r="F49" s="866"/>
      <c r="G49" s="866"/>
      <c r="H49" s="866"/>
      <c r="I49" s="866"/>
      <c r="J49" s="866"/>
      <c r="K49" s="866"/>
      <c r="L49" s="866"/>
      <c r="M49" s="866"/>
      <c r="N49" s="866"/>
      <c r="O49" s="199"/>
      <c r="P49" s="4">
        <f t="shared" si="9"/>
        <v>39</v>
      </c>
      <c r="Q49" s="32"/>
      <c r="R49" s="32"/>
      <c r="S49" s="32"/>
      <c r="T49" s="32"/>
      <c r="U49" s="32"/>
      <c r="V49" s="32"/>
      <c r="W49" s="32"/>
      <c r="X49" s="32"/>
      <c r="Y49" s="32"/>
      <c r="Z49" s="32"/>
      <c r="AA49" s="32"/>
      <c r="AB49" s="32"/>
      <c r="AC49" s="32"/>
    </row>
    <row r="50" spans="1:29" x14ac:dyDescent="0.3">
      <c r="B50" s="1"/>
      <c r="C50" s="32"/>
      <c r="D50" s="32"/>
      <c r="E50" s="32"/>
      <c r="F50" s="32"/>
      <c r="G50" s="32"/>
      <c r="H50" s="32"/>
      <c r="I50" s="32"/>
      <c r="J50" s="32"/>
      <c r="K50" s="32"/>
      <c r="L50" s="32"/>
      <c r="M50" s="32"/>
      <c r="N50" s="32"/>
      <c r="O50" s="32"/>
      <c r="Q50" s="32"/>
      <c r="R50" s="32"/>
      <c r="S50" s="32"/>
      <c r="T50" s="32"/>
      <c r="U50" s="32"/>
      <c r="V50" s="32"/>
      <c r="W50" s="32"/>
      <c r="X50" s="32"/>
      <c r="Y50" s="32"/>
      <c r="Z50" s="32"/>
      <c r="AA50" s="32"/>
      <c r="AB50" s="32"/>
      <c r="AC50" s="32"/>
    </row>
    <row r="51" spans="1:29" x14ac:dyDescent="0.3">
      <c r="B51" s="1"/>
      <c r="C51" s="32"/>
      <c r="D51" s="32"/>
      <c r="E51" s="32"/>
      <c r="F51" s="32"/>
      <c r="G51" s="32"/>
      <c r="H51" s="32"/>
      <c r="I51" s="32"/>
      <c r="J51" s="32"/>
      <c r="K51" s="32"/>
      <c r="L51" s="32"/>
      <c r="M51" s="32"/>
      <c r="N51" s="32"/>
      <c r="O51" s="32"/>
      <c r="Q51" s="32"/>
      <c r="R51" s="32"/>
      <c r="S51" s="32"/>
      <c r="T51" s="32"/>
      <c r="U51" s="32"/>
      <c r="V51" s="32"/>
      <c r="W51" s="32"/>
      <c r="X51" s="32"/>
      <c r="Y51" s="32"/>
      <c r="Z51" s="32"/>
      <c r="AA51" s="32"/>
      <c r="AB51" s="32"/>
      <c r="AC51" s="32"/>
    </row>
    <row r="52" spans="1:29" ht="18" x14ac:dyDescent="0.3">
      <c r="A52" s="256">
        <v>1</v>
      </c>
      <c r="B52" s="32" t="s">
        <v>1738</v>
      </c>
      <c r="C52" s="32"/>
      <c r="D52" s="32"/>
      <c r="E52" s="32"/>
      <c r="F52" s="32"/>
      <c r="G52" s="32"/>
      <c r="H52" s="32"/>
      <c r="I52" s="32"/>
      <c r="J52" s="32"/>
      <c r="K52" s="32"/>
      <c r="L52" s="32"/>
      <c r="M52" s="32"/>
      <c r="N52" s="32"/>
      <c r="O52" s="32"/>
      <c r="Q52" s="32"/>
      <c r="R52" s="32"/>
      <c r="S52" s="32"/>
      <c r="T52" s="32"/>
      <c r="U52" s="32"/>
      <c r="V52" s="32"/>
      <c r="W52" s="32"/>
      <c r="X52" s="32"/>
      <c r="Y52" s="32"/>
      <c r="Z52" s="32"/>
      <c r="AA52" s="32"/>
      <c r="AB52" s="32"/>
      <c r="AC52" s="32"/>
    </row>
    <row r="53" spans="1:29" x14ac:dyDescent="0.3">
      <c r="B53" s="1"/>
      <c r="C53" s="32"/>
      <c r="D53" s="32"/>
      <c r="E53" s="32"/>
      <c r="F53" s="32"/>
      <c r="G53" s="32"/>
      <c r="H53" s="32"/>
      <c r="I53" s="32"/>
      <c r="J53" s="32"/>
      <c r="K53" s="32"/>
      <c r="L53" s="32"/>
      <c r="M53" s="32"/>
      <c r="N53" s="32"/>
      <c r="O53" s="32"/>
      <c r="Q53" s="32"/>
      <c r="R53" s="32"/>
      <c r="S53" s="32"/>
      <c r="T53" s="32"/>
      <c r="U53" s="32"/>
      <c r="V53" s="32"/>
      <c r="W53" s="32"/>
      <c r="X53" s="32"/>
      <c r="Y53" s="32"/>
      <c r="Z53" s="32"/>
      <c r="AA53" s="32"/>
      <c r="AB53" s="32"/>
      <c r="AC53" s="32"/>
    </row>
    <row r="54" spans="1:29" x14ac:dyDescent="0.3">
      <c r="B54" s="1"/>
      <c r="C54" s="258"/>
      <c r="D54" s="32"/>
      <c r="E54" s="32"/>
      <c r="F54" s="32"/>
      <c r="G54" s="32"/>
      <c r="H54" s="32"/>
      <c r="I54" s="32"/>
      <c r="J54" s="32"/>
      <c r="K54" s="32"/>
      <c r="L54" s="32"/>
      <c r="M54" s="32"/>
      <c r="N54" s="32"/>
      <c r="O54" s="32"/>
      <c r="Q54" s="32"/>
      <c r="R54" s="32"/>
      <c r="S54" s="32"/>
      <c r="T54" s="32"/>
      <c r="U54" s="32"/>
      <c r="V54" s="32"/>
      <c r="W54" s="32"/>
      <c r="X54" s="32"/>
      <c r="Y54" s="32"/>
      <c r="Z54" s="32"/>
      <c r="AA54" s="32"/>
      <c r="AB54" s="32"/>
      <c r="AC54" s="32"/>
    </row>
    <row r="55" spans="1:29" x14ac:dyDescent="0.3">
      <c r="B55" s="32"/>
      <c r="C55" s="32"/>
      <c r="D55" s="32"/>
      <c r="E55" s="32"/>
      <c r="F55" s="32"/>
      <c r="G55" s="32"/>
      <c r="H55" s="32"/>
      <c r="I55" s="32"/>
      <c r="J55" s="32"/>
      <c r="K55" s="32"/>
      <c r="L55" s="32"/>
      <c r="M55" s="32"/>
      <c r="N55" s="32"/>
      <c r="O55" s="32"/>
      <c r="Q55" s="32"/>
      <c r="R55" s="32"/>
      <c r="S55" s="32"/>
      <c r="T55" s="32"/>
      <c r="U55" s="32"/>
      <c r="V55" s="32"/>
      <c r="W55" s="32"/>
      <c r="X55" s="32"/>
      <c r="Y55" s="32"/>
      <c r="Z55" s="32"/>
      <c r="AA55" s="32"/>
      <c r="AB55" s="32"/>
      <c r="AC55" s="32"/>
    </row>
  </sheetData>
  <mergeCells count="6">
    <mergeCell ref="C8:E8"/>
    <mergeCell ref="B2:O2"/>
    <mergeCell ref="B3:O3"/>
    <mergeCell ref="B4:O4"/>
    <mergeCell ref="B5:O5"/>
    <mergeCell ref="B6:O6"/>
  </mergeCells>
  <printOptions horizontalCentered="1"/>
  <pageMargins left="0.5" right="0.5" top="0.5" bottom="0.5" header="0.25" footer="0.25"/>
  <pageSetup scale="58" orientation="landscape" r:id="rId1"/>
  <headerFooter scaleWithDoc="0">
    <oddFooter>&amp;C&amp;"Times New Roman,Regular"&amp;10Summary of Weighted Transmission Plant Additions</oddFooter>
  </headerFooter>
  <customProperties>
    <customPr name="_pios_id" r:id="rId2"/>
  </customProperties>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pageSetUpPr fitToPage="1"/>
  </sheetPr>
  <dimension ref="A1:R54"/>
  <sheetViews>
    <sheetView zoomScale="80" zoomScaleNormal="80" workbookViewId="0"/>
  </sheetViews>
  <sheetFormatPr defaultColWidth="8.6640625" defaultRowHeight="15.6" x14ac:dyDescent="0.3"/>
  <cols>
    <col min="1" max="1" width="5.33203125" style="4" customWidth="1"/>
    <col min="2" max="2" width="8.5546875" style="5" customWidth="1"/>
    <col min="3" max="11" width="15.5546875" style="5" customWidth="1"/>
    <col min="12" max="12" width="11.33203125" style="5" customWidth="1"/>
    <col min="13" max="15" width="15.5546875" style="5" customWidth="1"/>
    <col min="16" max="16" width="5.33203125" style="4" customWidth="1"/>
    <col min="17" max="16384" width="8.6640625" style="5"/>
  </cols>
  <sheetData>
    <row r="1" spans="1:18" x14ac:dyDescent="0.3">
      <c r="B1" s="32"/>
      <c r="C1" s="32"/>
      <c r="D1" s="258"/>
      <c r="E1" s="32"/>
      <c r="F1" s="32"/>
      <c r="G1" s="32"/>
      <c r="H1" s="32"/>
      <c r="I1" s="32"/>
      <c r="J1" s="32"/>
      <c r="K1" s="32"/>
      <c r="L1" s="4"/>
      <c r="M1" s="32"/>
      <c r="N1" s="32"/>
      <c r="O1" s="32"/>
      <c r="Q1" s="32"/>
      <c r="R1" s="32"/>
    </row>
    <row r="2" spans="1:18" ht="15.75" customHeight="1" x14ac:dyDescent="0.3">
      <c r="B2" s="1222" t="s">
        <v>0</v>
      </c>
      <c r="C2" s="1222"/>
      <c r="D2" s="1222"/>
      <c r="E2" s="1222"/>
      <c r="F2" s="1222"/>
      <c r="G2" s="1222"/>
      <c r="H2" s="1222"/>
      <c r="I2" s="1222"/>
      <c r="J2" s="1222"/>
      <c r="K2" s="1222"/>
      <c r="L2" s="1222"/>
      <c r="M2" s="1222"/>
      <c r="N2" s="1222"/>
      <c r="O2" s="1222"/>
      <c r="P2" s="221"/>
      <c r="Q2" s="32"/>
      <c r="R2" s="32"/>
    </row>
    <row r="3" spans="1:18" ht="15.75" customHeight="1" x14ac:dyDescent="0.3">
      <c r="B3" s="1222" t="s">
        <v>1478</v>
      </c>
      <c r="C3" s="1222"/>
      <c r="D3" s="1222"/>
      <c r="E3" s="1222"/>
      <c r="F3" s="1222"/>
      <c r="G3" s="1222"/>
      <c r="H3" s="1222"/>
      <c r="I3" s="1222"/>
      <c r="J3" s="1222"/>
      <c r="K3" s="1222"/>
      <c r="L3" s="1222"/>
      <c r="M3" s="1222"/>
      <c r="N3" s="1222"/>
      <c r="O3" s="1222"/>
      <c r="P3" s="221"/>
      <c r="Q3" s="32"/>
      <c r="R3" s="32"/>
    </row>
    <row r="4" spans="1:18" ht="15.75" customHeight="1" x14ac:dyDescent="0.3">
      <c r="B4" s="1227" t="str">
        <f>'Summary of HV-LV Splits'!B4</f>
        <v>24-Month Forecast Period (January 1, 2024 - December 31, 2025)</v>
      </c>
      <c r="C4" s="1227"/>
      <c r="D4" s="1227"/>
      <c r="E4" s="1227"/>
      <c r="F4" s="1227"/>
      <c r="G4" s="1227"/>
      <c r="H4" s="1227"/>
      <c r="I4" s="1227"/>
      <c r="J4" s="1227"/>
      <c r="K4" s="1227"/>
      <c r="L4" s="1227"/>
      <c r="M4" s="1227"/>
      <c r="N4" s="1227"/>
      <c r="O4" s="1227"/>
      <c r="P4" s="221"/>
      <c r="Q4" s="32"/>
      <c r="R4" s="32"/>
    </row>
    <row r="5" spans="1:18" ht="15.75" customHeight="1" x14ac:dyDescent="0.3">
      <c r="B5" s="1222" t="s">
        <v>1499</v>
      </c>
      <c r="C5" s="1222"/>
      <c r="D5" s="1222"/>
      <c r="E5" s="1222"/>
      <c r="F5" s="1222"/>
      <c r="G5" s="1222"/>
      <c r="H5" s="1222"/>
      <c r="I5" s="1222"/>
      <c r="J5" s="1222"/>
      <c r="K5" s="1222"/>
      <c r="L5" s="1222"/>
      <c r="M5" s="1222"/>
      <c r="N5" s="1222"/>
      <c r="O5" s="1222"/>
      <c r="P5" s="221"/>
      <c r="Q5" s="32"/>
      <c r="R5" s="32"/>
    </row>
    <row r="6" spans="1:18" x14ac:dyDescent="0.3">
      <c r="B6" s="1251">
        <v>-1000</v>
      </c>
      <c r="C6" s="1251"/>
      <c r="D6" s="1251"/>
      <c r="E6" s="1251"/>
      <c r="F6" s="1251"/>
      <c r="G6" s="1251"/>
      <c r="H6" s="1251"/>
      <c r="I6" s="1251"/>
      <c r="J6" s="1251"/>
      <c r="K6" s="1251"/>
      <c r="L6" s="1251"/>
      <c r="M6" s="1251"/>
      <c r="N6" s="1251"/>
      <c r="O6" s="1251"/>
      <c r="P6" s="420"/>
      <c r="Q6" s="32"/>
      <c r="R6" s="32"/>
    </row>
    <row r="7" spans="1:18" ht="16.2" thickBot="1" x14ac:dyDescent="0.35">
      <c r="B7" s="32"/>
      <c r="C7" s="32"/>
      <c r="D7" s="32"/>
      <c r="E7" s="32"/>
      <c r="F7" s="32"/>
      <c r="G7" s="32"/>
      <c r="H7" s="32"/>
      <c r="I7" s="32"/>
      <c r="J7" s="32"/>
      <c r="K7" s="32"/>
      <c r="L7" s="4"/>
      <c r="M7" s="32"/>
      <c r="N7" s="32"/>
      <c r="O7" s="32"/>
      <c r="Q7" s="32"/>
      <c r="R7" s="32"/>
    </row>
    <row r="8" spans="1:18" ht="18" x14ac:dyDescent="0.3">
      <c r="A8" s="4" t="s">
        <v>5</v>
      </c>
      <c r="B8" s="234"/>
      <c r="C8" s="1267" t="s">
        <v>1480</v>
      </c>
      <c r="D8" s="1268"/>
      <c r="E8" s="1269"/>
      <c r="F8" s="1267" t="s">
        <v>1481</v>
      </c>
      <c r="G8" s="1268"/>
      <c r="H8" s="1269"/>
      <c r="I8" s="1267" t="s">
        <v>1482</v>
      </c>
      <c r="J8" s="1268"/>
      <c r="K8" s="1269"/>
      <c r="L8" s="234" t="s">
        <v>1483</v>
      </c>
      <c r="M8" s="1267" t="s">
        <v>1484</v>
      </c>
      <c r="N8" s="1268"/>
      <c r="O8" s="1269"/>
      <c r="P8" s="4" t="s">
        <v>5</v>
      </c>
      <c r="Q8" s="1"/>
      <c r="R8" s="1"/>
    </row>
    <row r="9" spans="1:18" ht="16.2" thickBot="1" x14ac:dyDescent="0.35">
      <c r="A9" s="4" t="s">
        <v>6</v>
      </c>
      <c r="B9" s="533" t="s">
        <v>1485</v>
      </c>
      <c r="C9" s="534" t="s">
        <v>1453</v>
      </c>
      <c r="D9" s="535" t="s">
        <v>1454</v>
      </c>
      <c r="E9" s="537" t="s">
        <v>200</v>
      </c>
      <c r="F9" s="538" t="s">
        <v>1453</v>
      </c>
      <c r="G9" s="535" t="s">
        <v>1454</v>
      </c>
      <c r="H9" s="536" t="s">
        <v>200</v>
      </c>
      <c r="I9" s="534" t="s">
        <v>1453</v>
      </c>
      <c r="J9" s="535" t="s">
        <v>1454</v>
      </c>
      <c r="K9" s="536" t="s">
        <v>200</v>
      </c>
      <c r="L9" s="533" t="s">
        <v>1486</v>
      </c>
      <c r="M9" s="538" t="s">
        <v>1453</v>
      </c>
      <c r="N9" s="535" t="s">
        <v>1454</v>
      </c>
      <c r="O9" s="537" t="s">
        <v>200</v>
      </c>
      <c r="P9" s="4" t="s">
        <v>6</v>
      </c>
      <c r="Q9" s="1"/>
      <c r="R9" s="1"/>
    </row>
    <row r="10" spans="1:18" x14ac:dyDescent="0.3">
      <c r="A10" s="221"/>
      <c r="B10" s="539"/>
      <c r="C10" s="540"/>
      <c r="D10" s="273"/>
      <c r="E10" s="1086"/>
      <c r="F10" s="277"/>
      <c r="G10" s="273"/>
      <c r="H10" s="301"/>
      <c r="I10" s="540"/>
      <c r="J10" s="273"/>
      <c r="K10" s="301"/>
      <c r="L10" s="562"/>
      <c r="M10" s="277"/>
      <c r="N10" s="273"/>
      <c r="O10" s="1086"/>
      <c r="P10" s="221"/>
      <c r="Q10" s="1"/>
      <c r="R10" s="1"/>
    </row>
    <row r="11" spans="1:18" x14ac:dyDescent="0.3">
      <c r="A11" s="4">
        <v>1</v>
      </c>
      <c r="B11" s="543">
        <f>'ET Forecast Capital Additions'!B11</f>
        <v>45313</v>
      </c>
      <c r="C11" s="178">
        <v>237</v>
      </c>
      <c r="D11" s="677">
        <v>250</v>
      </c>
      <c r="E11" s="596">
        <f t="shared" ref="E11:E34" si="0">C11+D11</f>
        <v>487</v>
      </c>
      <c r="F11" s="59">
        <f>C11*$H$41</f>
        <v>0.50335933466856719</v>
      </c>
      <c r="G11" s="235">
        <f>D11*$H$41</f>
        <v>0.53096976230861515</v>
      </c>
      <c r="H11" s="123">
        <f t="shared" ref="H11:H25" si="1">F11+G11</f>
        <v>1.0343290969771823</v>
      </c>
      <c r="I11" s="179">
        <f t="shared" ref="I11:I34" si="2">C11-F11</f>
        <v>236.49664066533143</v>
      </c>
      <c r="J11" s="235">
        <f t="shared" ref="J11:J34" si="3">D11-G11</f>
        <v>249.46903023769138</v>
      </c>
      <c r="K11" s="123">
        <f t="shared" ref="K11:K34" si="4">I11+J11</f>
        <v>485.96567090302278</v>
      </c>
      <c r="L11" s="245">
        <f>'ET Forecast Capital Additions'!$L11</f>
        <v>1</v>
      </c>
      <c r="M11" s="59">
        <f t="shared" ref="M11:M34" si="5">I11*$L11</f>
        <v>236.49664066533143</v>
      </c>
      <c r="N11" s="235">
        <f t="shared" ref="N11:N34" si="6">J11*$L11</f>
        <v>249.46903023769138</v>
      </c>
      <c r="O11" s="596">
        <f t="shared" ref="O11:O34" si="7">M11+N11</f>
        <v>485.96567090302278</v>
      </c>
      <c r="P11" s="4">
        <f>A11</f>
        <v>1</v>
      </c>
      <c r="Q11" s="1"/>
      <c r="R11" s="32"/>
    </row>
    <row r="12" spans="1:18" x14ac:dyDescent="0.3">
      <c r="A12" s="4">
        <f t="shared" ref="A12:A49" si="8">A11+1</f>
        <v>2</v>
      </c>
      <c r="B12" s="543">
        <f>'ET Forecast Capital Additions'!B12</f>
        <v>45344</v>
      </c>
      <c r="C12" s="180">
        <v>71</v>
      </c>
      <c r="D12" s="678">
        <v>75</v>
      </c>
      <c r="E12" s="577">
        <f t="shared" si="0"/>
        <v>146</v>
      </c>
      <c r="F12" s="53">
        <f t="shared" ref="F12:F34" si="9">C12*$H$41</f>
        <v>0.15079541249564671</v>
      </c>
      <c r="G12" s="236">
        <f t="shared" ref="G12:G34" si="10">D12*$H$41</f>
        <v>0.15929092869258454</v>
      </c>
      <c r="H12" s="128">
        <f t="shared" si="1"/>
        <v>0.31008634118823125</v>
      </c>
      <c r="I12" s="181">
        <f t="shared" si="2"/>
        <v>70.84920458750436</v>
      </c>
      <c r="J12" s="236">
        <f t="shared" si="3"/>
        <v>74.840709071307415</v>
      </c>
      <c r="K12" s="128">
        <f t="shared" si="4"/>
        <v>145.68991365881178</v>
      </c>
      <c r="L12" s="245">
        <f>'ET Forecast Capital Additions'!$L12</f>
        <v>1</v>
      </c>
      <c r="M12" s="53">
        <f t="shared" si="5"/>
        <v>70.84920458750436</v>
      </c>
      <c r="N12" s="236">
        <f t="shared" si="6"/>
        <v>74.840709071307415</v>
      </c>
      <c r="O12" s="577">
        <f t="shared" si="7"/>
        <v>145.68991365881178</v>
      </c>
      <c r="P12" s="4">
        <f t="shared" ref="P12:P27" si="11">P11+1</f>
        <v>2</v>
      </c>
      <c r="Q12" s="32"/>
      <c r="R12" s="32"/>
    </row>
    <row r="13" spans="1:18" x14ac:dyDescent="0.3">
      <c r="A13" s="4">
        <f t="shared" si="8"/>
        <v>3</v>
      </c>
      <c r="B13" s="543">
        <f>'ET Forecast Capital Additions'!B13</f>
        <v>45373</v>
      </c>
      <c r="C13" s="180">
        <v>638</v>
      </c>
      <c r="D13" s="678">
        <v>674</v>
      </c>
      <c r="E13" s="577">
        <f t="shared" si="0"/>
        <v>1312</v>
      </c>
      <c r="F13" s="53">
        <f t="shared" si="9"/>
        <v>1.3550348334115858</v>
      </c>
      <c r="G13" s="236">
        <f t="shared" si="10"/>
        <v>1.4314944791840265</v>
      </c>
      <c r="H13" s="128">
        <f t="shared" si="1"/>
        <v>2.7865293125956123</v>
      </c>
      <c r="I13" s="181">
        <f t="shared" si="2"/>
        <v>636.64496516658846</v>
      </c>
      <c r="J13" s="236">
        <f t="shared" si="3"/>
        <v>672.56850552081596</v>
      </c>
      <c r="K13" s="128">
        <f t="shared" si="4"/>
        <v>1309.2134706874044</v>
      </c>
      <c r="L13" s="245">
        <f>'ET Forecast Capital Additions'!$L13</f>
        <v>1</v>
      </c>
      <c r="M13" s="53">
        <f t="shared" si="5"/>
        <v>636.64496516658846</v>
      </c>
      <c r="N13" s="236">
        <f t="shared" si="6"/>
        <v>672.56850552081596</v>
      </c>
      <c r="O13" s="577">
        <f t="shared" si="7"/>
        <v>1309.2134706874044</v>
      </c>
      <c r="P13" s="4">
        <f t="shared" si="11"/>
        <v>3</v>
      </c>
      <c r="Q13" s="32"/>
      <c r="R13" s="32"/>
    </row>
    <row r="14" spans="1:18" ht="16.2" thickBot="1" x14ac:dyDescent="0.35">
      <c r="A14" s="4">
        <f t="shared" si="8"/>
        <v>4</v>
      </c>
      <c r="B14" s="544">
        <f>'ET Forecast Capital Additions'!B14</f>
        <v>45404</v>
      </c>
      <c r="C14" s="182">
        <v>318</v>
      </c>
      <c r="D14" s="211">
        <v>336</v>
      </c>
      <c r="E14" s="186">
        <f t="shared" si="0"/>
        <v>654</v>
      </c>
      <c r="F14" s="187">
        <f t="shared" si="9"/>
        <v>0.67539353765655852</v>
      </c>
      <c r="G14" s="185">
        <f t="shared" si="10"/>
        <v>0.71362336054277875</v>
      </c>
      <c r="H14" s="183">
        <f t="shared" si="1"/>
        <v>1.3890168981993374</v>
      </c>
      <c r="I14" s="184">
        <f t="shared" si="2"/>
        <v>317.32460646234347</v>
      </c>
      <c r="J14" s="185">
        <f t="shared" si="3"/>
        <v>335.28637663945722</v>
      </c>
      <c r="K14" s="183">
        <f t="shared" si="4"/>
        <v>652.61098310180068</v>
      </c>
      <c r="L14" s="246">
        <f>'ET Forecast Capital Additions'!$L14</f>
        <v>1</v>
      </c>
      <c r="M14" s="187">
        <f t="shared" si="5"/>
        <v>317.32460646234347</v>
      </c>
      <c r="N14" s="185">
        <f t="shared" si="6"/>
        <v>335.28637663945722</v>
      </c>
      <c r="O14" s="186">
        <f t="shared" si="7"/>
        <v>652.61098310180068</v>
      </c>
      <c r="P14" s="4">
        <f t="shared" si="11"/>
        <v>4</v>
      </c>
      <c r="Q14" s="32"/>
      <c r="R14" s="32"/>
    </row>
    <row r="15" spans="1:18" x14ac:dyDescent="0.3">
      <c r="A15" s="4">
        <f t="shared" si="8"/>
        <v>5</v>
      </c>
      <c r="B15" s="543">
        <f>'ET Forecast Capital Additions'!B15</f>
        <v>45434</v>
      </c>
      <c r="C15" s="212">
        <v>343</v>
      </c>
      <c r="D15" s="188">
        <v>362</v>
      </c>
      <c r="E15" s="127">
        <f t="shared" si="0"/>
        <v>705</v>
      </c>
      <c r="F15" s="190">
        <f t="shared" si="9"/>
        <v>0.72849051388742003</v>
      </c>
      <c r="G15" s="132">
        <f t="shared" si="10"/>
        <v>0.76884421582287477</v>
      </c>
      <c r="H15" s="126">
        <f t="shared" si="1"/>
        <v>1.4973347297102948</v>
      </c>
      <c r="I15" s="189">
        <f t="shared" si="2"/>
        <v>342.27150948611256</v>
      </c>
      <c r="J15" s="132">
        <f t="shared" si="3"/>
        <v>361.23115578417713</v>
      </c>
      <c r="K15" s="126">
        <f t="shared" si="4"/>
        <v>703.50266527028975</v>
      </c>
      <c r="L15" s="247">
        <f>'ET Forecast Capital Additions'!$L15</f>
        <v>1</v>
      </c>
      <c r="M15" s="190">
        <f t="shared" si="5"/>
        <v>342.27150948611256</v>
      </c>
      <c r="N15" s="132">
        <f t="shared" si="6"/>
        <v>361.23115578417713</v>
      </c>
      <c r="O15" s="127">
        <f t="shared" si="7"/>
        <v>703.50266527028975</v>
      </c>
      <c r="P15" s="4">
        <f t="shared" si="11"/>
        <v>5</v>
      </c>
      <c r="Q15" s="32"/>
      <c r="R15" s="32"/>
    </row>
    <row r="16" spans="1:18" x14ac:dyDescent="0.3">
      <c r="A16" s="4">
        <f t="shared" si="8"/>
        <v>6</v>
      </c>
      <c r="B16" s="543">
        <f>'ET Forecast Capital Additions'!B16</f>
        <v>45465</v>
      </c>
      <c r="C16" s="213">
        <v>318</v>
      </c>
      <c r="D16" s="678">
        <v>336</v>
      </c>
      <c r="E16" s="131">
        <f t="shared" si="0"/>
        <v>654</v>
      </c>
      <c r="F16" s="6">
        <f t="shared" si="9"/>
        <v>0.67539353765655852</v>
      </c>
      <c r="G16" s="236">
        <f t="shared" si="10"/>
        <v>0.71362336054277875</v>
      </c>
      <c r="H16" s="6">
        <f t="shared" si="1"/>
        <v>1.3890168981993374</v>
      </c>
      <c r="I16" s="214">
        <f t="shared" si="2"/>
        <v>317.32460646234347</v>
      </c>
      <c r="J16" s="236">
        <f t="shared" si="3"/>
        <v>335.28637663945722</v>
      </c>
      <c r="K16" s="6">
        <f t="shared" si="4"/>
        <v>652.61098310180068</v>
      </c>
      <c r="L16" s="245">
        <f>'ET Forecast Capital Additions'!$L16</f>
        <v>1</v>
      </c>
      <c r="M16" s="6">
        <f t="shared" si="5"/>
        <v>317.32460646234347</v>
      </c>
      <c r="N16" s="236">
        <f t="shared" si="6"/>
        <v>335.28637663945722</v>
      </c>
      <c r="O16" s="131">
        <f t="shared" si="7"/>
        <v>652.61098310180068</v>
      </c>
      <c r="P16" s="4">
        <f t="shared" si="11"/>
        <v>6</v>
      </c>
      <c r="Q16" s="32"/>
      <c r="R16" s="32"/>
    </row>
    <row r="17" spans="1:18" x14ac:dyDescent="0.3">
      <c r="A17" s="4">
        <f t="shared" si="8"/>
        <v>7</v>
      </c>
      <c r="B17" s="543">
        <f>'ET Forecast Capital Additions'!B17</f>
        <v>45495</v>
      </c>
      <c r="C17" s="180">
        <v>226</v>
      </c>
      <c r="D17" s="678">
        <v>239</v>
      </c>
      <c r="E17" s="577">
        <f t="shared" si="0"/>
        <v>465</v>
      </c>
      <c r="F17" s="53">
        <f t="shared" si="9"/>
        <v>0.47999666512698813</v>
      </c>
      <c r="G17" s="236">
        <f t="shared" si="10"/>
        <v>0.50760709276703608</v>
      </c>
      <c r="H17" s="128">
        <f t="shared" si="1"/>
        <v>0.98760375789402421</v>
      </c>
      <c r="I17" s="181">
        <f t="shared" si="2"/>
        <v>225.52000333487302</v>
      </c>
      <c r="J17" s="236">
        <f t="shared" si="3"/>
        <v>238.49239290723295</v>
      </c>
      <c r="K17" s="128">
        <f t="shared" si="4"/>
        <v>464.01239624210598</v>
      </c>
      <c r="L17" s="245">
        <f>'ET Forecast Capital Additions'!$L17</f>
        <v>1</v>
      </c>
      <c r="M17" s="53">
        <f t="shared" si="5"/>
        <v>225.52000333487302</v>
      </c>
      <c r="N17" s="236">
        <f t="shared" si="6"/>
        <v>238.49239290723295</v>
      </c>
      <c r="O17" s="577">
        <f t="shared" si="7"/>
        <v>464.01239624210598</v>
      </c>
      <c r="P17" s="4">
        <f t="shared" si="11"/>
        <v>7</v>
      </c>
      <c r="Q17" s="32"/>
      <c r="R17" s="32"/>
    </row>
    <row r="18" spans="1:18" ht="16.2" thickBot="1" x14ac:dyDescent="0.35">
      <c r="A18" s="4">
        <f t="shared" si="8"/>
        <v>8</v>
      </c>
      <c r="B18" s="544">
        <f>'ET Forecast Capital Additions'!B18</f>
        <v>45526</v>
      </c>
      <c r="C18" s="182">
        <v>265</v>
      </c>
      <c r="D18" s="211">
        <v>280</v>
      </c>
      <c r="E18" s="186">
        <f t="shared" si="0"/>
        <v>545</v>
      </c>
      <c r="F18" s="187">
        <f t="shared" si="9"/>
        <v>0.5628279480471321</v>
      </c>
      <c r="G18" s="185">
        <f t="shared" si="10"/>
        <v>0.59468613378564894</v>
      </c>
      <c r="H18" s="183">
        <f t="shared" si="1"/>
        <v>1.1575140818327809</v>
      </c>
      <c r="I18" s="184">
        <f t="shared" si="2"/>
        <v>264.43717205195287</v>
      </c>
      <c r="J18" s="185">
        <f t="shared" si="3"/>
        <v>279.40531386621433</v>
      </c>
      <c r="K18" s="183">
        <f t="shared" si="4"/>
        <v>543.8424859181672</v>
      </c>
      <c r="L18" s="246">
        <f>'ET Forecast Capital Additions'!$L18</f>
        <v>1</v>
      </c>
      <c r="M18" s="187">
        <f t="shared" si="5"/>
        <v>264.43717205195287</v>
      </c>
      <c r="N18" s="185">
        <f t="shared" si="6"/>
        <v>279.40531386621433</v>
      </c>
      <c r="O18" s="186">
        <f t="shared" si="7"/>
        <v>543.8424859181672</v>
      </c>
      <c r="P18" s="4">
        <f t="shared" si="11"/>
        <v>8</v>
      </c>
      <c r="Q18" s="32"/>
      <c r="R18" s="32"/>
    </row>
    <row r="19" spans="1:18" x14ac:dyDescent="0.3">
      <c r="A19" s="4">
        <f t="shared" si="8"/>
        <v>9</v>
      </c>
      <c r="B19" s="543">
        <f>'ET Forecast Capital Additions'!B19</f>
        <v>45557</v>
      </c>
      <c r="C19" s="212">
        <v>170</v>
      </c>
      <c r="D19" s="188">
        <v>179</v>
      </c>
      <c r="E19" s="127">
        <f t="shared" si="0"/>
        <v>349</v>
      </c>
      <c r="F19" s="190">
        <f t="shared" si="9"/>
        <v>0.36105943836985832</v>
      </c>
      <c r="G19" s="132">
        <f t="shared" si="10"/>
        <v>0.38017434981296844</v>
      </c>
      <c r="H19" s="126">
        <f t="shared" si="1"/>
        <v>0.74123378818282681</v>
      </c>
      <c r="I19" s="189">
        <f t="shared" si="2"/>
        <v>169.63894056163014</v>
      </c>
      <c r="J19" s="132">
        <f t="shared" si="3"/>
        <v>178.61982565018704</v>
      </c>
      <c r="K19" s="126">
        <f t="shared" si="4"/>
        <v>348.25876621181715</v>
      </c>
      <c r="L19" s="247">
        <f>'ET Forecast Capital Additions'!$L19</f>
        <v>1</v>
      </c>
      <c r="M19" s="190">
        <f t="shared" si="5"/>
        <v>169.63894056163014</v>
      </c>
      <c r="N19" s="132">
        <f t="shared" si="6"/>
        <v>178.61982565018704</v>
      </c>
      <c r="O19" s="127">
        <f t="shared" si="7"/>
        <v>348.25876621181715</v>
      </c>
      <c r="P19" s="4">
        <f t="shared" si="11"/>
        <v>9</v>
      </c>
      <c r="Q19" s="32"/>
      <c r="R19" s="32"/>
    </row>
    <row r="20" spans="1:18" x14ac:dyDescent="0.3">
      <c r="A20" s="4">
        <f t="shared" si="8"/>
        <v>10</v>
      </c>
      <c r="B20" s="543">
        <f>'ET Forecast Capital Additions'!B20</f>
        <v>45587</v>
      </c>
      <c r="C20" s="180">
        <v>60</v>
      </c>
      <c r="D20" s="678">
        <v>64</v>
      </c>
      <c r="E20" s="577">
        <f t="shared" si="0"/>
        <v>124</v>
      </c>
      <c r="F20" s="53">
        <f t="shared" si="9"/>
        <v>0.12743274295406765</v>
      </c>
      <c r="G20" s="236">
        <f t="shared" si="10"/>
        <v>0.13592825915100548</v>
      </c>
      <c r="H20" s="128">
        <f t="shared" si="1"/>
        <v>0.26336100210507313</v>
      </c>
      <c r="I20" s="181">
        <f t="shared" si="2"/>
        <v>59.87256725704593</v>
      </c>
      <c r="J20" s="236">
        <f t="shared" si="3"/>
        <v>63.864071740848992</v>
      </c>
      <c r="K20" s="128">
        <f t="shared" si="4"/>
        <v>123.73663899789491</v>
      </c>
      <c r="L20" s="245">
        <f>'ET Forecast Capital Additions'!$L20</f>
        <v>1</v>
      </c>
      <c r="M20" s="53">
        <f t="shared" si="5"/>
        <v>59.87256725704593</v>
      </c>
      <c r="N20" s="236">
        <f t="shared" si="6"/>
        <v>63.864071740848992</v>
      </c>
      <c r="O20" s="577">
        <f t="shared" si="7"/>
        <v>123.73663899789491</v>
      </c>
      <c r="P20" s="4">
        <f t="shared" si="11"/>
        <v>10</v>
      </c>
      <c r="Q20" s="32"/>
      <c r="R20" s="32"/>
    </row>
    <row r="21" spans="1:18" x14ac:dyDescent="0.3">
      <c r="A21" s="4">
        <f t="shared" si="8"/>
        <v>11</v>
      </c>
      <c r="B21" s="543">
        <f>'ET Forecast Capital Additions'!B21</f>
        <v>45618</v>
      </c>
      <c r="C21" s="180">
        <v>86</v>
      </c>
      <c r="D21" s="678">
        <v>90</v>
      </c>
      <c r="E21" s="577">
        <f t="shared" si="0"/>
        <v>176</v>
      </c>
      <c r="F21" s="53">
        <f t="shared" si="9"/>
        <v>0.18265359823416361</v>
      </c>
      <c r="G21" s="236">
        <f t="shared" si="10"/>
        <v>0.19114911443110147</v>
      </c>
      <c r="H21" s="128">
        <f t="shared" si="1"/>
        <v>0.3738027126652651</v>
      </c>
      <c r="I21" s="181">
        <f t="shared" si="2"/>
        <v>85.817346401765832</v>
      </c>
      <c r="J21" s="236">
        <f t="shared" si="3"/>
        <v>89.808850885568901</v>
      </c>
      <c r="K21" s="128">
        <f t="shared" si="4"/>
        <v>175.62619728733472</v>
      </c>
      <c r="L21" s="245">
        <f>'ET Forecast Capital Additions'!$L21</f>
        <v>1</v>
      </c>
      <c r="M21" s="53">
        <f t="shared" si="5"/>
        <v>85.817346401765832</v>
      </c>
      <c r="N21" s="236">
        <f t="shared" si="6"/>
        <v>89.808850885568901</v>
      </c>
      <c r="O21" s="577">
        <f t="shared" si="7"/>
        <v>175.62619728733472</v>
      </c>
      <c r="P21" s="4">
        <f t="shared" si="11"/>
        <v>11</v>
      </c>
      <c r="Q21" s="32"/>
      <c r="R21" s="32"/>
    </row>
    <row r="22" spans="1:18" ht="16.2" thickBot="1" x14ac:dyDescent="0.35">
      <c r="A22" s="4">
        <f t="shared" si="8"/>
        <v>12</v>
      </c>
      <c r="B22" s="544">
        <f>'ET Forecast Capital Additions'!B22</f>
        <v>45648</v>
      </c>
      <c r="C22" s="215">
        <v>1092</v>
      </c>
      <c r="D22" s="211">
        <v>1154</v>
      </c>
      <c r="E22" s="216">
        <f t="shared" si="0"/>
        <v>2246</v>
      </c>
      <c r="F22" s="898">
        <f t="shared" si="9"/>
        <v>2.3192759217640311</v>
      </c>
      <c r="G22" s="185">
        <f t="shared" si="10"/>
        <v>2.4509564228165677</v>
      </c>
      <c r="H22" s="898">
        <f t="shared" si="1"/>
        <v>4.7702323445805987</v>
      </c>
      <c r="I22" s="217">
        <f t="shared" si="2"/>
        <v>1089.6807240782359</v>
      </c>
      <c r="J22" s="185">
        <f t="shared" si="3"/>
        <v>1151.5490435771835</v>
      </c>
      <c r="K22" s="898">
        <f t="shared" si="4"/>
        <v>2241.2297676554194</v>
      </c>
      <c r="L22" s="246">
        <f>'ET Forecast Capital Additions'!$L22</f>
        <v>1</v>
      </c>
      <c r="M22" s="898">
        <f t="shared" si="5"/>
        <v>1089.6807240782359</v>
      </c>
      <c r="N22" s="185">
        <f t="shared" si="6"/>
        <v>1151.5490435771835</v>
      </c>
      <c r="O22" s="216">
        <f t="shared" si="7"/>
        <v>2241.2297676554194</v>
      </c>
      <c r="P22" s="4">
        <f t="shared" si="11"/>
        <v>12</v>
      </c>
      <c r="Q22" s="32"/>
      <c r="R22" s="32"/>
    </row>
    <row r="23" spans="1:18" x14ac:dyDescent="0.3">
      <c r="A23" s="4">
        <f t="shared" si="8"/>
        <v>13</v>
      </c>
      <c r="B23" s="543">
        <f>'ET Forecast Capital Additions'!B23</f>
        <v>45679</v>
      </c>
      <c r="C23" s="212">
        <v>101</v>
      </c>
      <c r="D23" s="188">
        <v>107</v>
      </c>
      <c r="E23" s="127">
        <f t="shared" si="0"/>
        <v>208</v>
      </c>
      <c r="F23" s="190">
        <f t="shared" si="9"/>
        <v>0.21451178397268053</v>
      </c>
      <c r="G23" s="132">
        <f t="shared" si="10"/>
        <v>0.22725505826808728</v>
      </c>
      <c r="H23" s="126">
        <f t="shared" si="1"/>
        <v>0.44176684224076779</v>
      </c>
      <c r="I23" s="189">
        <f t="shared" si="2"/>
        <v>100.78548821602732</v>
      </c>
      <c r="J23" s="132">
        <f t="shared" si="3"/>
        <v>106.77274494173191</v>
      </c>
      <c r="K23" s="126">
        <f t="shared" si="4"/>
        <v>207.55823315775922</v>
      </c>
      <c r="L23" s="247">
        <f>'ET Forecast Capital Additions'!$L23</f>
        <v>1</v>
      </c>
      <c r="M23" s="190">
        <f t="shared" si="5"/>
        <v>100.78548821602732</v>
      </c>
      <c r="N23" s="132">
        <f t="shared" si="6"/>
        <v>106.77274494173191</v>
      </c>
      <c r="O23" s="127">
        <f t="shared" si="7"/>
        <v>207.55823315775922</v>
      </c>
      <c r="P23" s="4">
        <f t="shared" si="11"/>
        <v>13</v>
      </c>
      <c r="Q23" s="32"/>
      <c r="R23" s="32"/>
    </row>
    <row r="24" spans="1:18" x14ac:dyDescent="0.3">
      <c r="A24" s="4">
        <f t="shared" si="8"/>
        <v>14</v>
      </c>
      <c r="B24" s="543">
        <f>'ET Forecast Capital Additions'!B24</f>
        <v>45710</v>
      </c>
      <c r="C24" s="180">
        <v>101</v>
      </c>
      <c r="D24" s="678">
        <v>107</v>
      </c>
      <c r="E24" s="577">
        <f t="shared" si="0"/>
        <v>208</v>
      </c>
      <c r="F24" s="53">
        <f t="shared" si="9"/>
        <v>0.21451178397268053</v>
      </c>
      <c r="G24" s="236">
        <f t="shared" si="10"/>
        <v>0.22725505826808728</v>
      </c>
      <c r="H24" s="128">
        <f t="shared" si="1"/>
        <v>0.44176684224076779</v>
      </c>
      <c r="I24" s="181">
        <f t="shared" si="2"/>
        <v>100.78548821602732</v>
      </c>
      <c r="J24" s="236">
        <f t="shared" si="3"/>
        <v>106.77274494173191</v>
      </c>
      <c r="K24" s="128">
        <f t="shared" si="4"/>
        <v>207.55823315775922</v>
      </c>
      <c r="L24" s="245">
        <f>'ET Forecast Capital Additions'!$L24</f>
        <v>0.91666666666666663</v>
      </c>
      <c r="M24" s="53">
        <f t="shared" si="5"/>
        <v>92.386697531358365</v>
      </c>
      <c r="N24" s="236">
        <f t="shared" si="6"/>
        <v>97.87501619658758</v>
      </c>
      <c r="O24" s="577">
        <f t="shared" si="7"/>
        <v>190.26171372794596</v>
      </c>
      <c r="P24" s="4">
        <f t="shared" si="11"/>
        <v>14</v>
      </c>
      <c r="Q24" s="32"/>
      <c r="R24" s="431"/>
    </row>
    <row r="25" spans="1:18" x14ac:dyDescent="0.3">
      <c r="A25" s="4">
        <f t="shared" si="8"/>
        <v>15</v>
      </c>
      <c r="B25" s="543">
        <f>'ET Forecast Capital Additions'!B25</f>
        <v>45738</v>
      </c>
      <c r="C25" s="180">
        <v>547</v>
      </c>
      <c r="D25" s="678">
        <v>578</v>
      </c>
      <c r="E25" s="577">
        <f t="shared" si="0"/>
        <v>1125</v>
      </c>
      <c r="F25" s="53">
        <f t="shared" si="9"/>
        <v>1.1617618399312499</v>
      </c>
      <c r="G25" s="236">
        <f t="shared" si="10"/>
        <v>1.2276020904575182</v>
      </c>
      <c r="H25" s="128">
        <f t="shared" si="1"/>
        <v>2.3893639303887682</v>
      </c>
      <c r="I25" s="181">
        <f t="shared" si="2"/>
        <v>545.83823816006873</v>
      </c>
      <c r="J25" s="236">
        <f t="shared" si="3"/>
        <v>576.77239790954252</v>
      </c>
      <c r="K25" s="128">
        <f t="shared" si="4"/>
        <v>1122.6106360696112</v>
      </c>
      <c r="L25" s="245">
        <f>'ET Forecast Capital Additions'!$L25</f>
        <v>0.83333333333333337</v>
      </c>
      <c r="M25" s="53">
        <f t="shared" si="5"/>
        <v>454.86519846672394</v>
      </c>
      <c r="N25" s="236">
        <f t="shared" si="6"/>
        <v>480.6436649246188</v>
      </c>
      <c r="O25" s="577">
        <f t="shared" si="7"/>
        <v>935.50886339134274</v>
      </c>
      <c r="P25" s="4">
        <f t="shared" si="11"/>
        <v>15</v>
      </c>
      <c r="Q25" s="32"/>
      <c r="R25" s="431"/>
    </row>
    <row r="26" spans="1:18" ht="16.2" thickBot="1" x14ac:dyDescent="0.35">
      <c r="A26" s="4">
        <f t="shared" si="8"/>
        <v>16</v>
      </c>
      <c r="B26" s="544">
        <f>'ET Forecast Capital Additions'!B26</f>
        <v>45769</v>
      </c>
      <c r="C26" s="182">
        <v>143</v>
      </c>
      <c r="D26" s="211">
        <v>151</v>
      </c>
      <c r="E26" s="186">
        <f t="shared" si="0"/>
        <v>294</v>
      </c>
      <c r="F26" s="187">
        <f t="shared" si="9"/>
        <v>0.30371470404052786</v>
      </c>
      <c r="G26" s="185">
        <f t="shared" si="10"/>
        <v>0.32070573643440353</v>
      </c>
      <c r="H26" s="183">
        <f t="shared" ref="H26" si="12">F26+G26</f>
        <v>0.62442044047493139</v>
      </c>
      <c r="I26" s="184">
        <f t="shared" si="2"/>
        <v>142.69628529595948</v>
      </c>
      <c r="J26" s="185">
        <f t="shared" si="3"/>
        <v>150.67929426356559</v>
      </c>
      <c r="K26" s="183">
        <f t="shared" si="4"/>
        <v>293.37557955952508</v>
      </c>
      <c r="L26" s="246">
        <f>'ET Forecast Capital Additions'!$L26</f>
        <v>0.75</v>
      </c>
      <c r="M26" s="187">
        <f t="shared" si="5"/>
        <v>107.02221397196962</v>
      </c>
      <c r="N26" s="185">
        <f t="shared" si="6"/>
        <v>113.0094706976742</v>
      </c>
      <c r="O26" s="186">
        <f t="shared" si="7"/>
        <v>220.03168466964382</v>
      </c>
      <c r="P26" s="4">
        <f t="shared" si="11"/>
        <v>16</v>
      </c>
      <c r="Q26" s="32"/>
      <c r="R26" s="431"/>
    </row>
    <row r="27" spans="1:18" x14ac:dyDescent="0.3">
      <c r="A27" s="4">
        <f t="shared" si="8"/>
        <v>17</v>
      </c>
      <c r="B27" s="543">
        <f>'ET Forecast Capital Additions'!B27</f>
        <v>45799</v>
      </c>
      <c r="C27" s="212">
        <v>127</v>
      </c>
      <c r="D27" s="188">
        <v>135</v>
      </c>
      <c r="E27" s="127">
        <f t="shared" si="0"/>
        <v>262</v>
      </c>
      <c r="F27" s="190">
        <f t="shared" si="9"/>
        <v>0.26973263925277652</v>
      </c>
      <c r="G27" s="132">
        <f t="shared" si="10"/>
        <v>0.28672367164665219</v>
      </c>
      <c r="H27" s="126">
        <f t="shared" ref="H27:H34" si="13">F27+G27</f>
        <v>0.55645631089942871</v>
      </c>
      <c r="I27" s="189">
        <f t="shared" si="2"/>
        <v>126.73026736074722</v>
      </c>
      <c r="J27" s="132">
        <f t="shared" si="3"/>
        <v>134.71327632835334</v>
      </c>
      <c r="K27" s="126">
        <f t="shared" si="4"/>
        <v>261.44354368910058</v>
      </c>
      <c r="L27" s="247">
        <f>'ET Forecast Capital Additions'!$L27</f>
        <v>0.66666666666666663</v>
      </c>
      <c r="M27" s="190">
        <f t="shared" si="5"/>
        <v>84.486844907164809</v>
      </c>
      <c r="N27" s="132">
        <f t="shared" si="6"/>
        <v>89.808850885568887</v>
      </c>
      <c r="O27" s="127">
        <f t="shared" si="7"/>
        <v>174.29569579273368</v>
      </c>
      <c r="P27" s="4">
        <f t="shared" si="11"/>
        <v>17</v>
      </c>
      <c r="Q27" s="32"/>
      <c r="R27" s="431"/>
    </row>
    <row r="28" spans="1:18" x14ac:dyDescent="0.3">
      <c r="A28" s="4">
        <f t="shared" si="8"/>
        <v>18</v>
      </c>
      <c r="B28" s="543">
        <f>'ET Forecast Capital Additions'!B28</f>
        <v>45830</v>
      </c>
      <c r="C28" s="180">
        <v>104</v>
      </c>
      <c r="D28" s="678">
        <v>110</v>
      </c>
      <c r="E28" s="577">
        <f t="shared" si="0"/>
        <v>214</v>
      </c>
      <c r="F28" s="53">
        <f t="shared" si="9"/>
        <v>0.22088342112038389</v>
      </c>
      <c r="G28" s="236">
        <f t="shared" si="10"/>
        <v>0.23362669541579068</v>
      </c>
      <c r="H28" s="128">
        <f t="shared" si="13"/>
        <v>0.45451011653617457</v>
      </c>
      <c r="I28" s="181">
        <f t="shared" si="2"/>
        <v>103.77911657887961</v>
      </c>
      <c r="J28" s="236">
        <f t="shared" si="3"/>
        <v>109.76637330458421</v>
      </c>
      <c r="K28" s="128">
        <f t="shared" si="4"/>
        <v>213.5454898834638</v>
      </c>
      <c r="L28" s="245">
        <f>'ET Forecast Capital Additions'!$L28</f>
        <v>0.58333333333333337</v>
      </c>
      <c r="M28" s="53">
        <f t="shared" si="5"/>
        <v>60.537818004346441</v>
      </c>
      <c r="N28" s="236">
        <f t="shared" si="6"/>
        <v>64.030384427674122</v>
      </c>
      <c r="O28" s="577">
        <f t="shared" si="7"/>
        <v>124.56820243202057</v>
      </c>
      <c r="P28" s="4">
        <f t="shared" ref="P28:P35" si="14">P27+1</f>
        <v>18</v>
      </c>
      <c r="Q28" s="32"/>
      <c r="R28" s="431"/>
    </row>
    <row r="29" spans="1:18" x14ac:dyDescent="0.3">
      <c r="A29" s="4">
        <f t="shared" si="8"/>
        <v>19</v>
      </c>
      <c r="B29" s="543">
        <f>'ET Forecast Capital Additions'!B29</f>
        <v>45860</v>
      </c>
      <c r="C29" s="180">
        <v>173</v>
      </c>
      <c r="D29" s="678">
        <v>183</v>
      </c>
      <c r="E29" s="577">
        <f t="shared" si="0"/>
        <v>356</v>
      </c>
      <c r="F29" s="53">
        <f t="shared" si="9"/>
        <v>0.36743107551756171</v>
      </c>
      <c r="G29" s="236">
        <f t="shared" si="10"/>
        <v>0.38866986600990627</v>
      </c>
      <c r="H29" s="128">
        <f t="shared" si="13"/>
        <v>0.75610094152746798</v>
      </c>
      <c r="I29" s="181">
        <f t="shared" si="2"/>
        <v>172.63256892448243</v>
      </c>
      <c r="J29" s="236">
        <f t="shared" si="3"/>
        <v>182.61133013399009</v>
      </c>
      <c r="K29" s="128">
        <f t="shared" si="4"/>
        <v>355.24389905847249</v>
      </c>
      <c r="L29" s="245">
        <f>'ET Forecast Capital Additions'!$L29</f>
        <v>0.5</v>
      </c>
      <c r="M29" s="53">
        <f t="shared" si="5"/>
        <v>86.316284462241214</v>
      </c>
      <c r="N29" s="236">
        <f t="shared" si="6"/>
        <v>91.305665066995047</v>
      </c>
      <c r="O29" s="577">
        <f t="shared" si="7"/>
        <v>177.62194952923625</v>
      </c>
      <c r="P29" s="4">
        <f t="shared" si="14"/>
        <v>19</v>
      </c>
      <c r="Q29" s="32"/>
      <c r="R29" s="431"/>
    </row>
    <row r="30" spans="1:18" ht="16.2" thickBot="1" x14ac:dyDescent="0.35">
      <c r="A30" s="4">
        <f t="shared" si="8"/>
        <v>20</v>
      </c>
      <c r="B30" s="544">
        <f>'ET Forecast Capital Additions'!B30</f>
        <v>45891</v>
      </c>
      <c r="C30" s="182">
        <v>375</v>
      </c>
      <c r="D30" s="211">
        <v>396</v>
      </c>
      <c r="E30" s="186">
        <f t="shared" si="0"/>
        <v>771</v>
      </c>
      <c r="F30" s="187">
        <f t="shared" si="9"/>
        <v>0.79645464346292272</v>
      </c>
      <c r="G30" s="185">
        <f t="shared" si="10"/>
        <v>0.84105610349684645</v>
      </c>
      <c r="H30" s="183">
        <f t="shared" si="13"/>
        <v>1.6375107469597692</v>
      </c>
      <c r="I30" s="184">
        <f t="shared" si="2"/>
        <v>374.20354535653706</v>
      </c>
      <c r="J30" s="185">
        <f t="shared" si="3"/>
        <v>395.15894389650316</v>
      </c>
      <c r="K30" s="183">
        <f t="shared" si="4"/>
        <v>769.36248925304017</v>
      </c>
      <c r="L30" s="246">
        <f>'ET Forecast Capital Additions'!$L30</f>
        <v>0.41666666666666669</v>
      </c>
      <c r="M30" s="187">
        <f t="shared" si="5"/>
        <v>155.9181438985571</v>
      </c>
      <c r="N30" s="185">
        <f t="shared" si="6"/>
        <v>164.64955995687632</v>
      </c>
      <c r="O30" s="186">
        <f t="shared" si="7"/>
        <v>320.56770385543342</v>
      </c>
      <c r="P30" s="4">
        <f t="shared" si="14"/>
        <v>20</v>
      </c>
      <c r="Q30" s="32"/>
      <c r="R30" s="431"/>
    </row>
    <row r="31" spans="1:18" x14ac:dyDescent="0.3">
      <c r="A31" s="4">
        <f t="shared" si="8"/>
        <v>21</v>
      </c>
      <c r="B31" s="543">
        <f>'ET Forecast Capital Additions'!B31</f>
        <v>45922</v>
      </c>
      <c r="C31" s="180">
        <v>158</v>
      </c>
      <c r="D31" s="678">
        <v>166</v>
      </c>
      <c r="E31" s="577">
        <f t="shared" si="0"/>
        <v>324</v>
      </c>
      <c r="F31" s="53">
        <f t="shared" si="9"/>
        <v>0.33557288977904476</v>
      </c>
      <c r="G31" s="236">
        <f t="shared" si="10"/>
        <v>0.35256392217292049</v>
      </c>
      <c r="H31" s="128">
        <f t="shared" si="13"/>
        <v>0.6881368119519653</v>
      </c>
      <c r="I31" s="181">
        <f t="shared" si="2"/>
        <v>157.66442711022094</v>
      </c>
      <c r="J31" s="236">
        <f t="shared" si="3"/>
        <v>165.64743607782708</v>
      </c>
      <c r="K31" s="128">
        <f t="shared" si="4"/>
        <v>323.31186318804805</v>
      </c>
      <c r="L31" s="247">
        <f>'ET Forecast Capital Additions'!$L31</f>
        <v>0.33333333333333331</v>
      </c>
      <c r="M31" s="53">
        <f t="shared" si="5"/>
        <v>52.554809036740309</v>
      </c>
      <c r="N31" s="236">
        <f t="shared" si="6"/>
        <v>55.215812025942355</v>
      </c>
      <c r="O31" s="577">
        <f t="shared" si="7"/>
        <v>107.77062106268266</v>
      </c>
      <c r="P31" s="4">
        <f t="shared" si="14"/>
        <v>21</v>
      </c>
      <c r="Q31" s="32"/>
      <c r="R31" s="431"/>
    </row>
    <row r="32" spans="1:18" x14ac:dyDescent="0.3">
      <c r="A32" s="4">
        <f t="shared" si="8"/>
        <v>22</v>
      </c>
      <c r="B32" s="543">
        <f>'ET Forecast Capital Additions'!B32</f>
        <v>45952</v>
      </c>
      <c r="C32" s="180">
        <v>248</v>
      </c>
      <c r="D32" s="678">
        <v>262</v>
      </c>
      <c r="E32" s="577">
        <f t="shared" si="0"/>
        <v>510</v>
      </c>
      <c r="F32" s="53">
        <f t="shared" si="9"/>
        <v>0.52672200421014626</v>
      </c>
      <c r="G32" s="236">
        <f t="shared" si="10"/>
        <v>0.55645631089942871</v>
      </c>
      <c r="H32" s="128">
        <f t="shared" si="13"/>
        <v>1.0831783151095751</v>
      </c>
      <c r="I32" s="181">
        <f t="shared" si="2"/>
        <v>247.47327799578986</v>
      </c>
      <c r="J32" s="236">
        <f t="shared" si="3"/>
        <v>261.44354368910058</v>
      </c>
      <c r="K32" s="128">
        <f t="shared" si="4"/>
        <v>508.91682168489046</v>
      </c>
      <c r="L32" s="245">
        <f>'ET Forecast Capital Additions'!$L32</f>
        <v>0.25</v>
      </c>
      <c r="M32" s="53">
        <f t="shared" si="5"/>
        <v>61.868319498947464</v>
      </c>
      <c r="N32" s="236">
        <f t="shared" si="6"/>
        <v>65.360885922275145</v>
      </c>
      <c r="O32" s="577">
        <f t="shared" si="7"/>
        <v>127.22920542122262</v>
      </c>
      <c r="P32" s="4">
        <f t="shared" si="14"/>
        <v>22</v>
      </c>
      <c r="Q32" s="32"/>
      <c r="R32" s="431"/>
    </row>
    <row r="33" spans="1:18" x14ac:dyDescent="0.3">
      <c r="A33" s="4">
        <f t="shared" si="8"/>
        <v>23</v>
      </c>
      <c r="B33" s="543">
        <f>'ET Forecast Capital Additions'!B33</f>
        <v>45983</v>
      </c>
      <c r="C33" s="180">
        <v>160</v>
      </c>
      <c r="D33" s="678">
        <v>169</v>
      </c>
      <c r="E33" s="577">
        <f t="shared" si="0"/>
        <v>329</v>
      </c>
      <c r="F33" s="53">
        <f t="shared" si="9"/>
        <v>0.3398206478775137</v>
      </c>
      <c r="G33" s="236">
        <f t="shared" si="10"/>
        <v>0.35893555932062388</v>
      </c>
      <c r="H33" s="128">
        <f t="shared" si="13"/>
        <v>0.69875620719813758</v>
      </c>
      <c r="I33" s="181">
        <f t="shared" si="2"/>
        <v>159.6601793521225</v>
      </c>
      <c r="J33" s="236">
        <f t="shared" si="3"/>
        <v>168.64106444067937</v>
      </c>
      <c r="K33" s="128">
        <f t="shared" si="4"/>
        <v>328.30124379280187</v>
      </c>
      <c r="L33" s="245">
        <f>'ET Forecast Capital Additions'!$L33</f>
        <v>0.16666666666666666</v>
      </c>
      <c r="M33" s="53">
        <f t="shared" si="5"/>
        <v>26.610029892020414</v>
      </c>
      <c r="N33" s="236">
        <f t="shared" si="6"/>
        <v>28.10684407344656</v>
      </c>
      <c r="O33" s="577">
        <f t="shared" si="7"/>
        <v>54.716873965466974</v>
      </c>
      <c r="P33" s="4">
        <f t="shared" si="14"/>
        <v>23</v>
      </c>
      <c r="Q33" s="32"/>
      <c r="R33" s="431"/>
    </row>
    <row r="34" spans="1:18" ht="16.2" thickBot="1" x14ac:dyDescent="0.35">
      <c r="A34" s="4">
        <f t="shared" si="8"/>
        <v>24</v>
      </c>
      <c r="B34" s="543">
        <f>'ET Forecast Capital Additions'!B34</f>
        <v>46013</v>
      </c>
      <c r="C34" s="180">
        <v>1655</v>
      </c>
      <c r="D34" s="678">
        <v>1749</v>
      </c>
      <c r="E34" s="577">
        <f t="shared" si="0"/>
        <v>3404</v>
      </c>
      <c r="F34" s="53">
        <f t="shared" si="9"/>
        <v>3.5150198264830324</v>
      </c>
      <c r="G34" s="236">
        <f t="shared" si="10"/>
        <v>3.7146644571110716</v>
      </c>
      <c r="H34" s="128">
        <f t="shared" si="13"/>
        <v>7.2296842835941035</v>
      </c>
      <c r="I34" s="181">
        <f t="shared" si="2"/>
        <v>1651.484980173517</v>
      </c>
      <c r="J34" s="236">
        <f t="shared" si="3"/>
        <v>1745.285335542889</v>
      </c>
      <c r="K34" s="128">
        <f t="shared" si="4"/>
        <v>3396.770315716406</v>
      </c>
      <c r="L34" s="245">
        <f>'ET Forecast Capital Additions'!$L34</f>
        <v>8.3333333333333329E-2</v>
      </c>
      <c r="M34" s="53">
        <f t="shared" si="5"/>
        <v>137.62374834779308</v>
      </c>
      <c r="N34" s="236">
        <f t="shared" si="6"/>
        <v>145.44044462857408</v>
      </c>
      <c r="O34" s="577">
        <f t="shared" si="7"/>
        <v>283.06419297636717</v>
      </c>
      <c r="P34" s="4">
        <f t="shared" si="14"/>
        <v>24</v>
      </c>
      <c r="Q34" s="32"/>
      <c r="R34" s="431"/>
    </row>
    <row r="35" spans="1:18" ht="16.2" thickBot="1" x14ac:dyDescent="0.35">
      <c r="A35" s="4">
        <f t="shared" si="8"/>
        <v>25</v>
      </c>
      <c r="B35" s="545" t="s">
        <v>200</v>
      </c>
      <c r="C35" s="191">
        <f t="shared" ref="C35:K35" si="15">SUM(C11:C34)</f>
        <v>7716</v>
      </c>
      <c r="D35" s="192">
        <f t="shared" si="15"/>
        <v>8152</v>
      </c>
      <c r="E35" s="194">
        <f t="shared" si="15"/>
        <v>15868</v>
      </c>
      <c r="F35" s="195">
        <f t="shared" si="15"/>
        <v>16.387850743893097</v>
      </c>
      <c r="G35" s="192">
        <f t="shared" si="15"/>
        <v>17.313862009359319</v>
      </c>
      <c r="H35" s="193">
        <f t="shared" si="15"/>
        <v>33.701712753252423</v>
      </c>
      <c r="I35" s="191">
        <f t="shared" si="15"/>
        <v>7699.612149256106</v>
      </c>
      <c r="J35" s="192">
        <f t="shared" si="15"/>
        <v>8134.6861379906404</v>
      </c>
      <c r="K35" s="193">
        <f t="shared" si="15"/>
        <v>15834.298287246747</v>
      </c>
      <c r="L35" s="218"/>
      <c r="M35" s="195">
        <f>SUM(M11:M34)</f>
        <v>5236.8538827496168</v>
      </c>
      <c r="N35" s="192">
        <f>SUM(N11:N34)</f>
        <v>5532.6409962681064</v>
      </c>
      <c r="O35" s="194">
        <f>SUM(O11:O34)</f>
        <v>10769.494879017726</v>
      </c>
      <c r="P35" s="4">
        <f t="shared" si="14"/>
        <v>25</v>
      </c>
      <c r="Q35" s="32"/>
      <c r="R35" s="32"/>
    </row>
    <row r="36" spans="1:18" x14ac:dyDescent="0.3">
      <c r="A36" s="4">
        <f>A35+1</f>
        <v>26</v>
      </c>
      <c r="B36" s="519"/>
      <c r="C36" s="2"/>
      <c r="D36" s="2"/>
      <c r="E36" s="563"/>
      <c r="F36" s="32"/>
      <c r="G36" s="32"/>
      <c r="H36" s="88"/>
      <c r="I36" s="32"/>
      <c r="J36" s="32"/>
      <c r="K36" s="6"/>
      <c r="L36" s="4"/>
      <c r="M36" s="32"/>
      <c r="N36" s="32"/>
      <c r="O36" s="131"/>
      <c r="P36" s="4">
        <f>P35+1</f>
        <v>26</v>
      </c>
      <c r="Q36" s="32"/>
      <c r="R36" s="32"/>
    </row>
    <row r="37" spans="1:18" s="417" customFormat="1" x14ac:dyDescent="0.3">
      <c r="A37" s="4">
        <f>A36+1</f>
        <v>27</v>
      </c>
      <c r="B37" s="547"/>
      <c r="E37" s="32" t="s">
        <v>1487</v>
      </c>
      <c r="F37" s="548"/>
      <c r="G37" s="548"/>
      <c r="H37" s="28">
        <f>'ET Forecast Capital Additions'!H37</f>
        <v>17819.405999999999</v>
      </c>
      <c r="I37" s="197"/>
      <c r="J37" s="32" t="str">
        <f>'ET Forecast Capital Additions'!J37</f>
        <v>Form 1; Page 204-207; Line 58; Col. d</v>
      </c>
      <c r="K37" s="197"/>
      <c r="L37" s="341"/>
      <c r="O37" s="549"/>
      <c r="P37" s="4">
        <f t="shared" ref="P37:P42" si="16">P36+1</f>
        <v>27</v>
      </c>
      <c r="Q37" s="32"/>
    </row>
    <row r="38" spans="1:18" s="417" customFormat="1" x14ac:dyDescent="0.3">
      <c r="A38" s="4">
        <f>A37+1</f>
        <v>28</v>
      </c>
      <c r="B38" s="547"/>
      <c r="E38" s="32"/>
      <c r="F38" s="548"/>
      <c r="G38" s="548"/>
      <c r="H38" s="6"/>
      <c r="I38" s="197"/>
      <c r="J38" s="32"/>
      <c r="K38" s="197"/>
      <c r="L38" s="341"/>
      <c r="O38" s="549"/>
      <c r="P38" s="4">
        <f t="shared" si="16"/>
        <v>28</v>
      </c>
      <c r="Q38" s="32"/>
    </row>
    <row r="39" spans="1:18" s="417" customFormat="1" x14ac:dyDescent="0.3">
      <c r="A39" s="4">
        <f t="shared" ref="A39:A40" si="17">A38+1</f>
        <v>29</v>
      </c>
      <c r="B39" s="547"/>
      <c r="E39" s="32" t="s">
        <v>1489</v>
      </c>
      <c r="F39" s="548"/>
      <c r="G39" s="548"/>
      <c r="H39" s="919">
        <f>'ET Forecast Capital Additions'!H39</f>
        <v>8390028.6160000004</v>
      </c>
      <c r="I39" s="197"/>
      <c r="J39" s="32" t="str">
        <f>'ET Forecast Capital Additions'!J39</f>
        <v>Form 1; Page 204-207; Line 58; Col. g</v>
      </c>
      <c r="K39" s="197"/>
      <c r="L39" s="341"/>
      <c r="O39" s="549"/>
      <c r="P39" s="4">
        <f t="shared" si="16"/>
        <v>29</v>
      </c>
      <c r="Q39" s="32"/>
    </row>
    <row r="40" spans="1:18" s="417" customFormat="1" ht="16.2" thickBot="1" x14ac:dyDescent="0.35">
      <c r="A40" s="4">
        <f t="shared" si="17"/>
        <v>30</v>
      </c>
      <c r="B40" s="547"/>
      <c r="E40" s="548"/>
      <c r="F40" s="548"/>
      <c r="G40" s="548"/>
      <c r="H40" s="197"/>
      <c r="I40" s="197"/>
      <c r="J40" s="197"/>
      <c r="K40" s="197"/>
      <c r="L40" s="341"/>
      <c r="O40" s="549"/>
      <c r="P40" s="4">
        <f t="shared" si="16"/>
        <v>30</v>
      </c>
    </row>
    <row r="41" spans="1:18" ht="16.2" thickBot="1" x14ac:dyDescent="0.35">
      <c r="A41" s="4">
        <f>A40+1</f>
        <v>31</v>
      </c>
      <c r="B41" s="519"/>
      <c r="C41" s="32"/>
      <c r="D41" s="32"/>
      <c r="E41" s="1" t="s">
        <v>1491</v>
      </c>
      <c r="F41" s="32"/>
      <c r="G41" s="32"/>
      <c r="H41" s="198">
        <f>IFERROR(H37/H39,0)</f>
        <v>2.1238790492344607E-3</v>
      </c>
      <c r="I41" s="48"/>
      <c r="J41" s="32" t="s">
        <v>1492</v>
      </c>
      <c r="K41" s="48"/>
      <c r="L41" s="4"/>
      <c r="M41" s="32"/>
      <c r="N41" s="32"/>
      <c r="O41" s="384"/>
      <c r="P41" s="4">
        <f t="shared" si="16"/>
        <v>31</v>
      </c>
      <c r="Q41" s="32"/>
      <c r="R41" s="32"/>
    </row>
    <row r="42" spans="1:18" ht="16.2" thickBot="1" x14ac:dyDescent="0.35">
      <c r="A42" s="4">
        <f t="shared" si="8"/>
        <v>32</v>
      </c>
      <c r="B42" s="550"/>
      <c r="C42" s="866"/>
      <c r="D42" s="866"/>
      <c r="E42" s="866"/>
      <c r="F42" s="866"/>
      <c r="G42" s="866"/>
      <c r="H42" s="866"/>
      <c r="I42" s="866"/>
      <c r="J42" s="866"/>
      <c r="K42" s="866"/>
      <c r="L42" s="865"/>
      <c r="M42" s="866"/>
      <c r="N42" s="866"/>
      <c r="O42" s="199"/>
      <c r="P42" s="4">
        <f t="shared" si="16"/>
        <v>32</v>
      </c>
      <c r="Q42" s="417"/>
      <c r="R42" s="32"/>
    </row>
    <row r="43" spans="1:18" ht="16.2" thickBot="1" x14ac:dyDescent="0.35">
      <c r="A43" s="4">
        <f t="shared" si="8"/>
        <v>33</v>
      </c>
      <c r="B43" s="564"/>
      <c r="C43" s="565"/>
      <c r="D43" s="565"/>
      <c r="E43" s="565"/>
      <c r="F43" s="565"/>
      <c r="G43" s="565"/>
      <c r="H43" s="565"/>
      <c r="I43" s="565"/>
      <c r="J43" s="565"/>
      <c r="K43" s="565"/>
      <c r="L43" s="566"/>
      <c r="M43" s="565"/>
      <c r="N43" s="565"/>
      <c r="O43" s="567"/>
      <c r="P43" s="4">
        <f t="shared" ref="P43:P49" si="18">P42+1</f>
        <v>33</v>
      </c>
      <c r="Q43" s="417"/>
      <c r="R43" s="32"/>
    </row>
    <row r="44" spans="1:18" ht="16.2" thickBot="1" x14ac:dyDescent="0.35">
      <c r="A44" s="4">
        <f t="shared" si="8"/>
        <v>34</v>
      </c>
      <c r="B44" s="552"/>
      <c r="C44" s="32"/>
      <c r="D44" s="254"/>
      <c r="E44" s="32"/>
      <c r="F44" s="32"/>
      <c r="G44" s="29"/>
      <c r="H44" s="475" t="s">
        <v>1500</v>
      </c>
      <c r="I44" s="554" t="s">
        <v>1494</v>
      </c>
      <c r="J44" s="555" t="s">
        <v>1495</v>
      </c>
      <c r="K44" s="555" t="s">
        <v>1452</v>
      </c>
      <c r="L44" s="221"/>
      <c r="M44" s="554" t="s">
        <v>1455</v>
      </c>
      <c r="N44" s="554" t="s">
        <v>1456</v>
      </c>
      <c r="O44" s="554" t="s">
        <v>1496</v>
      </c>
      <c r="P44" s="4">
        <f t="shared" si="18"/>
        <v>34</v>
      </c>
      <c r="Q44" s="417"/>
      <c r="R44" s="32"/>
    </row>
    <row r="45" spans="1:18" ht="16.2" thickBot="1" x14ac:dyDescent="0.35">
      <c r="A45" s="4">
        <f t="shared" si="8"/>
        <v>35</v>
      </c>
      <c r="B45" s="519"/>
      <c r="C45" s="32"/>
      <c r="D45" s="32"/>
      <c r="E45" s="32"/>
      <c r="F45" s="32"/>
      <c r="G45" s="29"/>
      <c r="H45" s="475" t="s">
        <v>1501</v>
      </c>
      <c r="I45" s="200">
        <f>+I35</f>
        <v>7699.612149256106</v>
      </c>
      <c r="J45" s="200">
        <f>+J35</f>
        <v>8134.6861379906404</v>
      </c>
      <c r="K45" s="200">
        <f>+K35</f>
        <v>15834.298287246747</v>
      </c>
      <c r="L45" s="219"/>
      <c r="M45" s="200">
        <f>+M35</f>
        <v>5236.8538827496168</v>
      </c>
      <c r="N45" s="200">
        <f>+N35</f>
        <v>5532.6409962681064</v>
      </c>
      <c r="O45" s="200">
        <f>+O35</f>
        <v>10769.494879017726</v>
      </c>
      <c r="P45" s="4">
        <f t="shared" si="18"/>
        <v>35</v>
      </c>
      <c r="Q45" s="32"/>
      <c r="R45" s="32"/>
    </row>
    <row r="46" spans="1:18" ht="16.2" thickTop="1" x14ac:dyDescent="0.3">
      <c r="A46" s="4">
        <f t="shared" si="8"/>
        <v>36</v>
      </c>
      <c r="B46" s="519"/>
      <c r="C46" s="32"/>
      <c r="D46" s="32"/>
      <c r="E46" s="32"/>
      <c r="F46" s="32"/>
      <c r="G46" s="29"/>
      <c r="H46" s="29"/>
      <c r="I46" s="220">
        <v>0</v>
      </c>
      <c r="J46" s="220">
        <v>0</v>
      </c>
      <c r="K46" s="220">
        <v>0</v>
      </c>
      <c r="L46" s="221"/>
      <c r="M46" s="220">
        <v>0</v>
      </c>
      <c r="N46" s="220">
        <v>0</v>
      </c>
      <c r="O46" s="220">
        <v>0</v>
      </c>
      <c r="P46" s="4">
        <f t="shared" si="18"/>
        <v>36</v>
      </c>
      <c r="Q46" s="32"/>
      <c r="R46" s="32"/>
    </row>
    <row r="47" spans="1:18" ht="16.2" thickBot="1" x14ac:dyDescent="0.35">
      <c r="A47" s="4">
        <f>A46+1</f>
        <v>37</v>
      </c>
      <c r="B47" s="519"/>
      <c r="C47" s="32"/>
      <c r="D47" s="32"/>
      <c r="E47" s="32"/>
      <c r="F47" s="32"/>
      <c r="G47" s="29"/>
      <c r="H47" s="475" t="s">
        <v>1498</v>
      </c>
      <c r="I47" s="204">
        <f>IFERROR(+I45/K45,0)</f>
        <v>0.48626165868414412</v>
      </c>
      <c r="J47" s="204">
        <f>IFERROR(+J45/K45,0)</f>
        <v>0.51373834131585583</v>
      </c>
      <c r="K47" s="204">
        <f>I47+J47</f>
        <v>1</v>
      </c>
      <c r="L47" s="221"/>
      <c r="M47" s="204">
        <f>IFERROR(+M45/O45,0)</f>
        <v>0.48626736365812401</v>
      </c>
      <c r="N47" s="204">
        <f>IFERROR(+N45/O45,0)</f>
        <v>0.51373263634187571</v>
      </c>
      <c r="O47" s="204">
        <f>M47+N47</f>
        <v>0.99999999999999978</v>
      </c>
      <c r="P47" s="4">
        <f>P46+1</f>
        <v>37</v>
      </c>
      <c r="Q47" s="32"/>
      <c r="R47" s="32"/>
    </row>
    <row r="48" spans="1:18" ht="16.8" thickTop="1" thickBot="1" x14ac:dyDescent="0.35">
      <c r="A48" s="4">
        <f t="shared" si="8"/>
        <v>38</v>
      </c>
      <c r="B48" s="518"/>
      <c r="C48" s="32"/>
      <c r="D48" s="32"/>
      <c r="E48" s="32"/>
      <c r="F48" s="32"/>
      <c r="G48" s="32"/>
      <c r="H48" s="32"/>
      <c r="I48" s="208"/>
      <c r="J48" s="208"/>
      <c r="K48" s="208"/>
      <c r="L48" s="4"/>
      <c r="M48" s="568"/>
      <c r="N48" s="568"/>
      <c r="O48" s="568"/>
      <c r="P48" s="4">
        <f t="shared" si="18"/>
        <v>38</v>
      </c>
      <c r="Q48" s="32"/>
      <c r="R48" s="32"/>
    </row>
    <row r="49" spans="1:18" ht="16.2" thickBot="1" x14ac:dyDescent="0.35">
      <c r="A49" s="4">
        <f t="shared" si="8"/>
        <v>39</v>
      </c>
      <c r="B49" s="523"/>
      <c r="C49" s="866"/>
      <c r="D49" s="866"/>
      <c r="E49" s="866"/>
      <c r="F49" s="866"/>
      <c r="G49" s="866"/>
      <c r="H49" s="866"/>
      <c r="I49" s="866"/>
      <c r="J49" s="866"/>
      <c r="K49" s="866"/>
      <c r="L49" s="865"/>
      <c r="M49" s="866"/>
      <c r="N49" s="866"/>
      <c r="O49" s="199"/>
      <c r="P49" s="4">
        <f t="shared" si="18"/>
        <v>39</v>
      </c>
      <c r="Q49" s="32"/>
      <c r="R49" s="32"/>
    </row>
    <row r="50" spans="1:18" x14ac:dyDescent="0.3">
      <c r="B50" s="1"/>
      <c r="C50" s="32"/>
      <c r="D50" s="32"/>
      <c r="E50" s="32"/>
      <c r="F50" s="32"/>
      <c r="G50" s="32"/>
      <c r="H50" s="32"/>
      <c r="I50" s="32"/>
      <c r="J50" s="32"/>
      <c r="K50" s="32"/>
      <c r="L50" s="4"/>
      <c r="M50" s="32"/>
      <c r="N50" s="32"/>
      <c r="O50" s="32"/>
      <c r="Q50" s="32"/>
      <c r="R50" s="32"/>
    </row>
    <row r="51" spans="1:18" x14ac:dyDescent="0.3">
      <c r="B51" s="1"/>
      <c r="C51" s="32"/>
      <c r="D51" s="32"/>
      <c r="E51" s="32"/>
      <c r="F51" s="32"/>
      <c r="G51" s="32"/>
      <c r="H51" s="32"/>
      <c r="I51" s="32"/>
      <c r="J51" s="32"/>
      <c r="K51" s="32"/>
      <c r="L51" s="4"/>
      <c r="M51" s="32"/>
      <c r="N51" s="32"/>
      <c r="O51" s="32"/>
      <c r="Q51" s="32"/>
      <c r="R51" s="32"/>
    </row>
    <row r="52" spans="1:18" ht="18" x14ac:dyDescent="0.3">
      <c r="A52" s="256">
        <v>1</v>
      </c>
      <c r="B52" s="32" t="s">
        <v>1739</v>
      </c>
      <c r="C52" s="32"/>
      <c r="D52" s="32"/>
      <c r="E52" s="32"/>
      <c r="F52" s="32"/>
      <c r="G52" s="32"/>
      <c r="H52" s="32"/>
      <c r="I52" s="32"/>
      <c r="J52" s="32"/>
      <c r="K52" s="32"/>
      <c r="L52" s="4"/>
      <c r="M52" s="32"/>
      <c r="N52" s="32"/>
      <c r="O52" s="32"/>
      <c r="Q52" s="32"/>
      <c r="R52" s="32"/>
    </row>
    <row r="53" spans="1:18" x14ac:dyDescent="0.3">
      <c r="B53" s="32"/>
      <c r="C53" s="32"/>
      <c r="D53" s="32"/>
      <c r="E53" s="32"/>
      <c r="F53" s="32"/>
      <c r="G53" s="32"/>
      <c r="H53" s="32"/>
      <c r="I53" s="32"/>
      <c r="J53" s="32"/>
      <c r="K53" s="32"/>
      <c r="L53" s="4"/>
      <c r="M53" s="32"/>
      <c r="N53" s="32"/>
      <c r="O53" s="32"/>
      <c r="Q53" s="32"/>
      <c r="R53" s="32"/>
    </row>
    <row r="54" spans="1:18" x14ac:dyDescent="0.3">
      <c r="B54" s="1"/>
      <c r="C54" s="32"/>
      <c r="D54" s="32"/>
      <c r="E54" s="32"/>
      <c r="F54" s="32"/>
      <c r="G54" s="32"/>
      <c r="H54" s="32"/>
      <c r="I54" s="32"/>
      <c r="J54" s="32"/>
      <c r="K54" s="32"/>
      <c r="L54" s="4"/>
      <c r="M54" s="32"/>
      <c r="N54" s="32"/>
      <c r="O54" s="32"/>
      <c r="Q54" s="32"/>
      <c r="R54" s="32"/>
    </row>
  </sheetData>
  <mergeCells count="9">
    <mergeCell ref="C8:E8"/>
    <mergeCell ref="F8:H8"/>
    <mergeCell ref="I8:K8"/>
    <mergeCell ref="M8:O8"/>
    <mergeCell ref="B2:O2"/>
    <mergeCell ref="B3:O3"/>
    <mergeCell ref="B4:O4"/>
    <mergeCell ref="B5:O5"/>
    <mergeCell ref="B6:O6"/>
  </mergeCells>
  <printOptions horizontalCentered="1"/>
  <pageMargins left="0.5" right="0.5" top="0.5" bottom="0.5" header="0.25" footer="0.25"/>
  <pageSetup scale="58" orientation="landscape" r:id="rId1"/>
  <headerFooter scaleWithDoc="0">
    <oddFooter>&amp;C&amp;"Times New Roman,Regular"&amp;10Summary of Weighted Transmission Related Common, General, and Electric Miscellaneous Intangible Plant Additions</oddFooter>
  </headerFooter>
  <customProperties>
    <customPr name="_pios_id" r:id="rId2"/>
  </customProperties>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pageSetUpPr fitToPage="1"/>
  </sheetPr>
  <dimension ref="A1:R58"/>
  <sheetViews>
    <sheetView zoomScale="80" zoomScaleNormal="80" workbookViewId="0"/>
  </sheetViews>
  <sheetFormatPr defaultColWidth="8.6640625" defaultRowHeight="15.6" x14ac:dyDescent="0.3"/>
  <cols>
    <col min="1" max="1" width="5.33203125" style="4" customWidth="1"/>
    <col min="2" max="2" width="8.5546875" style="5" customWidth="1"/>
    <col min="3" max="11" width="15.6640625" style="5" customWidth="1"/>
    <col min="12" max="12" width="11.33203125" style="5" customWidth="1"/>
    <col min="13" max="15" width="15.6640625" style="5" customWidth="1"/>
    <col min="16" max="16" width="5.33203125" style="4" customWidth="1"/>
    <col min="17" max="16384" width="8.6640625" style="5"/>
  </cols>
  <sheetData>
    <row r="1" spans="1:18" x14ac:dyDescent="0.3">
      <c r="B1" s="32"/>
      <c r="C1" s="258"/>
      <c r="D1" s="32"/>
      <c r="E1" s="32"/>
      <c r="F1" s="32"/>
      <c r="G1" s="32"/>
      <c r="H1" s="32"/>
      <c r="I1" s="32"/>
      <c r="J1" s="32"/>
      <c r="K1" s="32"/>
      <c r="L1" s="32"/>
      <c r="M1" s="32"/>
      <c r="N1" s="32"/>
      <c r="O1" s="32"/>
      <c r="Q1" s="32"/>
      <c r="R1" s="32"/>
    </row>
    <row r="2" spans="1:18" x14ac:dyDescent="0.3">
      <c r="B2" s="1222" t="s">
        <v>0</v>
      </c>
      <c r="C2" s="1222"/>
      <c r="D2" s="1222"/>
      <c r="E2" s="1222"/>
      <c r="F2" s="1222"/>
      <c r="G2" s="1222"/>
      <c r="H2" s="1222"/>
      <c r="I2" s="1222"/>
      <c r="J2" s="1222"/>
      <c r="K2" s="1222"/>
      <c r="L2" s="1222"/>
      <c r="M2" s="1222"/>
      <c r="N2" s="1222"/>
      <c r="O2" s="1222"/>
      <c r="Q2" s="32"/>
      <c r="R2" s="32"/>
    </row>
    <row r="3" spans="1:18" x14ac:dyDescent="0.3">
      <c r="B3" s="1222" t="s">
        <v>1478</v>
      </c>
      <c r="C3" s="1222"/>
      <c r="D3" s="1222"/>
      <c r="E3" s="1222"/>
      <c r="F3" s="1222"/>
      <c r="G3" s="1222"/>
      <c r="H3" s="1222"/>
      <c r="I3" s="1222"/>
      <c r="J3" s="1222"/>
      <c r="K3" s="1222"/>
      <c r="L3" s="1222"/>
      <c r="M3" s="1222"/>
      <c r="N3" s="1222"/>
      <c r="O3" s="1222"/>
      <c r="Q3" s="32"/>
      <c r="R3" s="32"/>
    </row>
    <row r="4" spans="1:18" x14ac:dyDescent="0.3">
      <c r="B4" s="1227" t="str">
        <f>'Summary of HV-LV Splits'!B4</f>
        <v>24-Month Forecast Period (January 1, 2024 - December 31, 2025)</v>
      </c>
      <c r="C4" s="1227"/>
      <c r="D4" s="1227"/>
      <c r="E4" s="1227"/>
      <c r="F4" s="1227"/>
      <c r="G4" s="1227"/>
      <c r="H4" s="1227"/>
      <c r="I4" s="1227"/>
      <c r="J4" s="1227"/>
      <c r="K4" s="1227"/>
      <c r="L4" s="1227"/>
      <c r="M4" s="1227"/>
      <c r="N4" s="1227"/>
      <c r="O4" s="1227"/>
      <c r="Q4" s="32"/>
      <c r="R4" s="32"/>
    </row>
    <row r="5" spans="1:18" x14ac:dyDescent="0.3">
      <c r="B5" s="1222" t="s">
        <v>1502</v>
      </c>
      <c r="C5" s="1222"/>
      <c r="D5" s="1222"/>
      <c r="E5" s="1222"/>
      <c r="F5" s="1222"/>
      <c r="G5" s="1222"/>
      <c r="H5" s="1222"/>
      <c r="I5" s="1222"/>
      <c r="J5" s="1222"/>
      <c r="K5" s="1222"/>
      <c r="L5" s="1222"/>
      <c r="M5" s="1222"/>
      <c r="N5" s="1222"/>
      <c r="O5" s="1222"/>
      <c r="Q5" s="32"/>
      <c r="R5" s="32"/>
    </row>
    <row r="6" spans="1:18" x14ac:dyDescent="0.3">
      <c r="B6" s="1251">
        <v>-1000</v>
      </c>
      <c r="C6" s="1251"/>
      <c r="D6" s="1251"/>
      <c r="E6" s="1251"/>
      <c r="F6" s="1251"/>
      <c r="G6" s="1251"/>
      <c r="H6" s="1251"/>
      <c r="I6" s="1251"/>
      <c r="J6" s="1251"/>
      <c r="K6" s="1251"/>
      <c r="L6" s="1251"/>
      <c r="M6" s="1251"/>
      <c r="N6" s="1251"/>
      <c r="O6" s="1251"/>
      <c r="Q6" s="32"/>
      <c r="R6" s="32"/>
    </row>
    <row r="7" spans="1:18" ht="16.2" thickBot="1" x14ac:dyDescent="0.35">
      <c r="B7" s="32"/>
      <c r="C7" s="32"/>
      <c r="D7" s="32"/>
      <c r="E7" s="32"/>
      <c r="F7" s="32"/>
      <c r="G7" s="32"/>
      <c r="H7" s="32"/>
      <c r="I7" s="32"/>
      <c r="J7" s="32"/>
      <c r="K7" s="32"/>
      <c r="L7" s="32"/>
      <c r="M7" s="32"/>
      <c r="N7" s="32"/>
      <c r="O7" s="32"/>
      <c r="Q7" s="32"/>
      <c r="R7" s="32"/>
    </row>
    <row r="8" spans="1:18" x14ac:dyDescent="0.3">
      <c r="A8" s="4" t="s">
        <v>5</v>
      </c>
      <c r="B8" s="234"/>
      <c r="C8" s="232" t="s">
        <v>1503</v>
      </c>
      <c r="D8" s="230"/>
      <c r="E8" s="233"/>
      <c r="F8" s="229" t="s">
        <v>1481</v>
      </c>
      <c r="G8" s="230"/>
      <c r="H8" s="231"/>
      <c r="I8" s="232" t="s">
        <v>1482</v>
      </c>
      <c r="J8" s="230"/>
      <c r="K8" s="233"/>
      <c r="L8" s="234" t="s">
        <v>1483</v>
      </c>
      <c r="M8" s="232" t="s">
        <v>1484</v>
      </c>
      <c r="N8" s="230"/>
      <c r="O8" s="231"/>
      <c r="P8" s="4" t="s">
        <v>5</v>
      </c>
      <c r="Q8" s="1"/>
      <c r="R8" s="1"/>
    </row>
    <row r="9" spans="1:18" ht="16.2" thickBot="1" x14ac:dyDescent="0.35">
      <c r="A9" s="4" t="s">
        <v>6</v>
      </c>
      <c r="B9" s="533" t="s">
        <v>1485</v>
      </c>
      <c r="C9" s="538" t="s">
        <v>1453</v>
      </c>
      <c r="D9" s="535" t="s">
        <v>1454</v>
      </c>
      <c r="E9" s="536" t="s">
        <v>200</v>
      </c>
      <c r="F9" s="534" t="s">
        <v>1453</v>
      </c>
      <c r="G9" s="535" t="s">
        <v>1454</v>
      </c>
      <c r="H9" s="537" t="s">
        <v>200</v>
      </c>
      <c r="I9" s="538" t="s">
        <v>1453</v>
      </c>
      <c r="J9" s="535" t="s">
        <v>1454</v>
      </c>
      <c r="K9" s="536" t="s">
        <v>200</v>
      </c>
      <c r="L9" s="533" t="s">
        <v>1486</v>
      </c>
      <c r="M9" s="538" t="s">
        <v>1453</v>
      </c>
      <c r="N9" s="535" t="s">
        <v>1454</v>
      </c>
      <c r="O9" s="537" t="s">
        <v>200</v>
      </c>
      <c r="P9" s="4" t="s">
        <v>6</v>
      </c>
      <c r="Q9" s="1"/>
      <c r="R9" s="1"/>
    </row>
    <row r="10" spans="1:18" x14ac:dyDescent="0.3">
      <c r="A10" s="221"/>
      <c r="B10" s="234"/>
      <c r="C10" s="221"/>
      <c r="D10" s="461"/>
      <c r="E10" s="221"/>
      <c r="F10" s="511"/>
      <c r="G10" s="462"/>
      <c r="H10" s="542"/>
      <c r="I10" s="221"/>
      <c r="J10" s="461"/>
      <c r="K10" s="221"/>
      <c r="L10" s="539"/>
      <c r="M10" s="221"/>
      <c r="N10" s="461"/>
      <c r="O10" s="542"/>
      <c r="P10" s="221"/>
      <c r="Q10" s="1"/>
      <c r="R10" s="1"/>
    </row>
    <row r="11" spans="1:18" x14ac:dyDescent="0.3">
      <c r="A11" s="4">
        <v>1</v>
      </c>
      <c r="B11" s="543">
        <f>'ET Forecast Capital Additions'!B11</f>
        <v>45313</v>
      </c>
      <c r="C11" s="222">
        <v>0</v>
      </c>
      <c r="D11" s="677">
        <v>0</v>
      </c>
      <c r="E11" s="123">
        <f t="shared" ref="E11:E34" si="0">C11+D11</f>
        <v>0</v>
      </c>
      <c r="F11" s="179">
        <f>C11*$H$41</f>
        <v>0</v>
      </c>
      <c r="G11" s="596">
        <f t="shared" ref="G11:G34" si="1">D11*$H$41</f>
        <v>0</v>
      </c>
      <c r="H11" s="223">
        <f t="shared" ref="H11:H34" si="2">F11+G11</f>
        <v>0</v>
      </c>
      <c r="I11" s="59">
        <f>C11-F11</f>
        <v>0</v>
      </c>
      <c r="J11" s="235">
        <f>D11-G11</f>
        <v>0</v>
      </c>
      <c r="K11" s="123">
        <f t="shared" ref="K11:K34" si="3">I11+J11</f>
        <v>0</v>
      </c>
      <c r="L11" s="245">
        <f>'ET Forecast Capital Additions'!$L11</f>
        <v>1</v>
      </c>
      <c r="M11" s="59">
        <f>I11*L11</f>
        <v>0</v>
      </c>
      <c r="N11" s="235">
        <f t="shared" ref="N11:N34" si="4">J11*L11</f>
        <v>0</v>
      </c>
      <c r="O11" s="596">
        <f t="shared" ref="O11:O34" si="5">M11+N11</f>
        <v>0</v>
      </c>
      <c r="P11" s="4">
        <f>A11</f>
        <v>1</v>
      </c>
      <c r="Q11" s="32"/>
      <c r="R11" s="32"/>
    </row>
    <row r="12" spans="1:18" x14ac:dyDescent="0.3">
      <c r="A12" s="4">
        <f t="shared" ref="A12:A49" si="6">A11+1</f>
        <v>2</v>
      </c>
      <c r="B12" s="543">
        <f>'ET Forecast Capital Additions'!B12</f>
        <v>45344</v>
      </c>
      <c r="C12" s="224">
        <v>0</v>
      </c>
      <c r="D12" s="678">
        <v>0</v>
      </c>
      <c r="E12" s="128">
        <f t="shared" si="0"/>
        <v>0</v>
      </c>
      <c r="F12" s="181">
        <f t="shared" ref="F12:F34" si="7">C12*$H$41</f>
        <v>0</v>
      </c>
      <c r="G12" s="577">
        <f t="shared" si="1"/>
        <v>0</v>
      </c>
      <c r="H12" s="131">
        <f t="shared" si="2"/>
        <v>0</v>
      </c>
      <c r="I12" s="53">
        <f t="shared" ref="I12:J34" si="8">C12-F12</f>
        <v>0</v>
      </c>
      <c r="J12" s="236">
        <f t="shared" si="8"/>
        <v>0</v>
      </c>
      <c r="K12" s="128">
        <f t="shared" si="3"/>
        <v>0</v>
      </c>
      <c r="L12" s="245">
        <f>'ET Forecast Capital Additions'!$L12</f>
        <v>1</v>
      </c>
      <c r="M12" s="53">
        <f t="shared" ref="M12:M34" si="9">I12*L12</f>
        <v>0</v>
      </c>
      <c r="N12" s="236">
        <f t="shared" si="4"/>
        <v>0</v>
      </c>
      <c r="O12" s="577">
        <f t="shared" si="5"/>
        <v>0</v>
      </c>
      <c r="P12" s="4">
        <f t="shared" ref="P12:P49" si="10">P11+1</f>
        <v>2</v>
      </c>
      <c r="Q12" s="32"/>
      <c r="R12" s="32"/>
    </row>
    <row r="13" spans="1:18" x14ac:dyDescent="0.3">
      <c r="A13" s="4">
        <f t="shared" si="6"/>
        <v>3</v>
      </c>
      <c r="B13" s="543">
        <f>'ET Forecast Capital Additions'!B13</f>
        <v>45373</v>
      </c>
      <c r="C13" s="224">
        <v>0</v>
      </c>
      <c r="D13" s="678">
        <v>0</v>
      </c>
      <c r="E13" s="128">
        <f t="shared" si="0"/>
        <v>0</v>
      </c>
      <c r="F13" s="181">
        <f t="shared" si="7"/>
        <v>0</v>
      </c>
      <c r="G13" s="577">
        <f t="shared" si="1"/>
        <v>0</v>
      </c>
      <c r="H13" s="131">
        <f t="shared" si="2"/>
        <v>0</v>
      </c>
      <c r="I13" s="53">
        <f t="shared" si="8"/>
        <v>0</v>
      </c>
      <c r="J13" s="236">
        <f t="shared" si="8"/>
        <v>0</v>
      </c>
      <c r="K13" s="128">
        <f t="shared" si="3"/>
        <v>0</v>
      </c>
      <c r="L13" s="245">
        <f>'ET Forecast Capital Additions'!$L13</f>
        <v>1</v>
      </c>
      <c r="M13" s="53">
        <f t="shared" si="9"/>
        <v>0</v>
      </c>
      <c r="N13" s="236">
        <f t="shared" si="4"/>
        <v>0</v>
      </c>
      <c r="O13" s="577">
        <f t="shared" si="5"/>
        <v>0</v>
      </c>
      <c r="P13" s="4">
        <f t="shared" si="10"/>
        <v>3</v>
      </c>
      <c r="Q13" s="32"/>
      <c r="R13" s="32"/>
    </row>
    <row r="14" spans="1:18" ht="16.2" thickBot="1" x14ac:dyDescent="0.35">
      <c r="A14" s="4">
        <f t="shared" si="6"/>
        <v>4</v>
      </c>
      <c r="B14" s="544">
        <f>'ET Forecast Capital Additions'!B14</f>
        <v>45404</v>
      </c>
      <c r="C14" s="225">
        <v>0</v>
      </c>
      <c r="D14" s="211">
        <v>0</v>
      </c>
      <c r="E14" s="183">
        <f t="shared" si="0"/>
        <v>0</v>
      </c>
      <c r="F14" s="184">
        <f t="shared" si="7"/>
        <v>0</v>
      </c>
      <c r="G14" s="186">
        <f t="shared" si="1"/>
        <v>0</v>
      </c>
      <c r="H14" s="216">
        <f t="shared" si="2"/>
        <v>0</v>
      </c>
      <c r="I14" s="187">
        <f t="shared" si="8"/>
        <v>0</v>
      </c>
      <c r="J14" s="185">
        <f t="shared" si="8"/>
        <v>0</v>
      </c>
      <c r="K14" s="183">
        <f t="shared" si="3"/>
        <v>0</v>
      </c>
      <c r="L14" s="246">
        <f>'ET Forecast Capital Additions'!$L14</f>
        <v>1</v>
      </c>
      <c r="M14" s="187">
        <f t="shared" si="9"/>
        <v>0</v>
      </c>
      <c r="N14" s="185">
        <f t="shared" si="4"/>
        <v>0</v>
      </c>
      <c r="O14" s="186">
        <f t="shared" si="5"/>
        <v>0</v>
      </c>
      <c r="P14" s="4">
        <f t="shared" si="10"/>
        <v>4</v>
      </c>
      <c r="Q14" s="32"/>
      <c r="R14" s="32"/>
    </row>
    <row r="15" spans="1:18" x14ac:dyDescent="0.3">
      <c r="A15" s="4">
        <f t="shared" si="6"/>
        <v>5</v>
      </c>
      <c r="B15" s="543">
        <f>'ET Forecast Capital Additions'!B15</f>
        <v>45434</v>
      </c>
      <c r="C15" s="226">
        <v>0</v>
      </c>
      <c r="D15" s="188">
        <v>0</v>
      </c>
      <c r="E15" s="126">
        <f t="shared" si="0"/>
        <v>0</v>
      </c>
      <c r="F15" s="189">
        <f t="shared" si="7"/>
        <v>0</v>
      </c>
      <c r="G15" s="127">
        <f t="shared" si="1"/>
        <v>0</v>
      </c>
      <c r="H15" s="227">
        <f t="shared" si="2"/>
        <v>0</v>
      </c>
      <c r="I15" s="53">
        <f t="shared" si="8"/>
        <v>0</v>
      </c>
      <c r="J15" s="236">
        <f t="shared" si="8"/>
        <v>0</v>
      </c>
      <c r="K15" s="126">
        <f t="shared" si="3"/>
        <v>0</v>
      </c>
      <c r="L15" s="247">
        <f>'ET Forecast Capital Additions'!$L15</f>
        <v>1</v>
      </c>
      <c r="M15" s="53">
        <f t="shared" si="9"/>
        <v>0</v>
      </c>
      <c r="N15" s="236">
        <f t="shared" si="4"/>
        <v>0</v>
      </c>
      <c r="O15" s="127">
        <f t="shared" si="5"/>
        <v>0</v>
      </c>
      <c r="P15" s="4">
        <f t="shared" si="10"/>
        <v>5</v>
      </c>
      <c r="Q15" s="32"/>
      <c r="R15" s="32"/>
    </row>
    <row r="16" spans="1:18" x14ac:dyDescent="0.3">
      <c r="A16" s="4">
        <f t="shared" si="6"/>
        <v>6</v>
      </c>
      <c r="B16" s="543">
        <f>'ET Forecast Capital Additions'!B16</f>
        <v>45465</v>
      </c>
      <c r="C16" s="224">
        <v>0</v>
      </c>
      <c r="D16" s="678">
        <v>0</v>
      </c>
      <c r="E16" s="128">
        <f t="shared" si="0"/>
        <v>0</v>
      </c>
      <c r="F16" s="181">
        <f t="shared" si="7"/>
        <v>0</v>
      </c>
      <c r="G16" s="577">
        <f t="shared" si="1"/>
        <v>0</v>
      </c>
      <c r="H16" s="131">
        <f t="shared" si="2"/>
        <v>0</v>
      </c>
      <c r="I16" s="53">
        <f t="shared" si="8"/>
        <v>0</v>
      </c>
      <c r="J16" s="236">
        <f t="shared" si="8"/>
        <v>0</v>
      </c>
      <c r="K16" s="128">
        <f t="shared" si="3"/>
        <v>0</v>
      </c>
      <c r="L16" s="245">
        <f>'ET Forecast Capital Additions'!$L16</f>
        <v>1</v>
      </c>
      <c r="M16" s="53">
        <f t="shared" si="9"/>
        <v>0</v>
      </c>
      <c r="N16" s="236">
        <f t="shared" si="4"/>
        <v>0</v>
      </c>
      <c r="O16" s="577">
        <f t="shared" si="5"/>
        <v>0</v>
      </c>
      <c r="P16" s="4">
        <f t="shared" si="10"/>
        <v>6</v>
      </c>
      <c r="Q16" s="32"/>
      <c r="R16" s="32"/>
    </row>
    <row r="17" spans="1:18" x14ac:dyDescent="0.3">
      <c r="A17" s="4">
        <f t="shared" si="6"/>
        <v>7</v>
      </c>
      <c r="B17" s="543">
        <f>'ET Forecast Capital Additions'!B17</f>
        <v>45495</v>
      </c>
      <c r="C17" s="224">
        <v>0</v>
      </c>
      <c r="D17" s="678">
        <v>0</v>
      </c>
      <c r="E17" s="128">
        <f t="shared" si="0"/>
        <v>0</v>
      </c>
      <c r="F17" s="181">
        <f t="shared" si="7"/>
        <v>0</v>
      </c>
      <c r="G17" s="577">
        <f t="shared" si="1"/>
        <v>0</v>
      </c>
      <c r="H17" s="131">
        <f t="shared" si="2"/>
        <v>0</v>
      </c>
      <c r="I17" s="53">
        <f t="shared" si="8"/>
        <v>0</v>
      </c>
      <c r="J17" s="236">
        <f t="shared" si="8"/>
        <v>0</v>
      </c>
      <c r="K17" s="128">
        <f t="shared" si="3"/>
        <v>0</v>
      </c>
      <c r="L17" s="245">
        <f>'ET Forecast Capital Additions'!$L17</f>
        <v>1</v>
      </c>
      <c r="M17" s="53">
        <f t="shared" si="9"/>
        <v>0</v>
      </c>
      <c r="N17" s="236">
        <f t="shared" si="4"/>
        <v>0</v>
      </c>
      <c r="O17" s="577">
        <f t="shared" si="5"/>
        <v>0</v>
      </c>
      <c r="P17" s="4">
        <f t="shared" si="10"/>
        <v>7</v>
      </c>
      <c r="Q17" s="32"/>
      <c r="R17" s="32"/>
    </row>
    <row r="18" spans="1:18" ht="16.2" thickBot="1" x14ac:dyDescent="0.35">
      <c r="A18" s="4">
        <f t="shared" si="6"/>
        <v>8</v>
      </c>
      <c r="B18" s="544">
        <f>'ET Forecast Capital Additions'!B18</f>
        <v>45526</v>
      </c>
      <c r="C18" s="225">
        <v>0</v>
      </c>
      <c r="D18" s="211">
        <v>0</v>
      </c>
      <c r="E18" s="183">
        <f t="shared" si="0"/>
        <v>0</v>
      </c>
      <c r="F18" s="184">
        <f t="shared" si="7"/>
        <v>0</v>
      </c>
      <c r="G18" s="186">
        <f t="shared" si="1"/>
        <v>0</v>
      </c>
      <c r="H18" s="216">
        <f t="shared" si="2"/>
        <v>0</v>
      </c>
      <c r="I18" s="187">
        <f t="shared" si="8"/>
        <v>0</v>
      </c>
      <c r="J18" s="185">
        <f t="shared" si="8"/>
        <v>0</v>
      </c>
      <c r="K18" s="183">
        <f t="shared" si="3"/>
        <v>0</v>
      </c>
      <c r="L18" s="246">
        <f>'ET Forecast Capital Additions'!$L18</f>
        <v>1</v>
      </c>
      <c r="M18" s="187">
        <f t="shared" si="9"/>
        <v>0</v>
      </c>
      <c r="N18" s="185">
        <f t="shared" si="4"/>
        <v>0</v>
      </c>
      <c r="O18" s="186">
        <f t="shared" si="5"/>
        <v>0</v>
      </c>
      <c r="P18" s="4">
        <f t="shared" si="10"/>
        <v>8</v>
      </c>
      <c r="Q18" s="32"/>
      <c r="R18" s="32"/>
    </row>
    <row r="19" spans="1:18" x14ac:dyDescent="0.3">
      <c r="A19" s="4">
        <f t="shared" si="6"/>
        <v>9</v>
      </c>
      <c r="B19" s="543">
        <f>'ET Forecast Capital Additions'!B19</f>
        <v>45557</v>
      </c>
      <c r="C19" s="226">
        <v>0</v>
      </c>
      <c r="D19" s="188">
        <v>0</v>
      </c>
      <c r="E19" s="126">
        <f t="shared" si="0"/>
        <v>0</v>
      </c>
      <c r="F19" s="189">
        <f t="shared" si="7"/>
        <v>0</v>
      </c>
      <c r="G19" s="127">
        <f t="shared" si="1"/>
        <v>0</v>
      </c>
      <c r="H19" s="227">
        <f t="shared" si="2"/>
        <v>0</v>
      </c>
      <c r="I19" s="53">
        <f t="shared" si="8"/>
        <v>0</v>
      </c>
      <c r="J19" s="236">
        <f t="shared" si="8"/>
        <v>0</v>
      </c>
      <c r="K19" s="126">
        <f t="shared" si="3"/>
        <v>0</v>
      </c>
      <c r="L19" s="247">
        <f>'ET Forecast Capital Additions'!$L19</f>
        <v>1</v>
      </c>
      <c r="M19" s="53">
        <f t="shared" si="9"/>
        <v>0</v>
      </c>
      <c r="N19" s="236">
        <f t="shared" si="4"/>
        <v>0</v>
      </c>
      <c r="O19" s="127">
        <f t="shared" si="5"/>
        <v>0</v>
      </c>
      <c r="P19" s="4">
        <f t="shared" si="10"/>
        <v>9</v>
      </c>
      <c r="Q19" s="32"/>
      <c r="R19" s="32"/>
    </row>
    <row r="20" spans="1:18" x14ac:dyDescent="0.3">
      <c r="A20" s="4">
        <f t="shared" si="6"/>
        <v>10</v>
      </c>
      <c r="B20" s="543">
        <f>'ET Forecast Capital Additions'!B20</f>
        <v>45587</v>
      </c>
      <c r="C20" s="224">
        <v>0</v>
      </c>
      <c r="D20" s="678">
        <v>0</v>
      </c>
      <c r="E20" s="128">
        <f t="shared" si="0"/>
        <v>0</v>
      </c>
      <c r="F20" s="181">
        <f t="shared" si="7"/>
        <v>0</v>
      </c>
      <c r="G20" s="577">
        <f t="shared" si="1"/>
        <v>0</v>
      </c>
      <c r="H20" s="131">
        <f t="shared" si="2"/>
        <v>0</v>
      </c>
      <c r="I20" s="53">
        <f t="shared" si="8"/>
        <v>0</v>
      </c>
      <c r="J20" s="236">
        <f t="shared" si="8"/>
        <v>0</v>
      </c>
      <c r="K20" s="128">
        <f t="shared" si="3"/>
        <v>0</v>
      </c>
      <c r="L20" s="245">
        <f>'ET Forecast Capital Additions'!$L20</f>
        <v>1</v>
      </c>
      <c r="M20" s="53">
        <f t="shared" si="9"/>
        <v>0</v>
      </c>
      <c r="N20" s="236">
        <f t="shared" si="4"/>
        <v>0</v>
      </c>
      <c r="O20" s="577">
        <f t="shared" si="5"/>
        <v>0</v>
      </c>
      <c r="P20" s="4">
        <f t="shared" si="10"/>
        <v>10</v>
      </c>
      <c r="Q20" s="32"/>
      <c r="R20" s="32"/>
    </row>
    <row r="21" spans="1:18" x14ac:dyDescent="0.3">
      <c r="A21" s="4">
        <f t="shared" si="6"/>
        <v>11</v>
      </c>
      <c r="B21" s="543">
        <f>'ET Forecast Capital Additions'!B21</f>
        <v>45618</v>
      </c>
      <c r="C21" s="113">
        <v>0</v>
      </c>
      <c r="D21" s="678">
        <v>0</v>
      </c>
      <c r="E21" s="6">
        <f t="shared" si="0"/>
        <v>0</v>
      </c>
      <c r="F21" s="181">
        <f t="shared" si="7"/>
        <v>0</v>
      </c>
      <c r="G21" s="577">
        <f t="shared" si="1"/>
        <v>0</v>
      </c>
      <c r="H21" s="131">
        <f t="shared" si="2"/>
        <v>0</v>
      </c>
      <c r="I21" s="53">
        <f t="shared" si="8"/>
        <v>0</v>
      </c>
      <c r="J21" s="236">
        <f t="shared" si="8"/>
        <v>0</v>
      </c>
      <c r="K21" s="6">
        <f t="shared" si="3"/>
        <v>0</v>
      </c>
      <c r="L21" s="245">
        <f>'ET Forecast Capital Additions'!$L21</f>
        <v>1</v>
      </c>
      <c r="M21" s="53">
        <f t="shared" si="9"/>
        <v>0</v>
      </c>
      <c r="N21" s="236">
        <f t="shared" si="4"/>
        <v>0</v>
      </c>
      <c r="O21" s="131">
        <f t="shared" si="5"/>
        <v>0</v>
      </c>
      <c r="P21" s="4">
        <f t="shared" si="10"/>
        <v>11</v>
      </c>
      <c r="Q21" s="32"/>
      <c r="R21" s="32"/>
    </row>
    <row r="22" spans="1:18" ht="16.2" thickBot="1" x14ac:dyDescent="0.35">
      <c r="A22" s="4">
        <f t="shared" si="6"/>
        <v>12</v>
      </c>
      <c r="B22" s="544">
        <f>'ET Forecast Capital Additions'!B22</f>
        <v>45648</v>
      </c>
      <c r="C22" s="225">
        <v>0</v>
      </c>
      <c r="D22" s="211">
        <v>0</v>
      </c>
      <c r="E22" s="183">
        <f t="shared" si="0"/>
        <v>0</v>
      </c>
      <c r="F22" s="184">
        <f t="shared" si="7"/>
        <v>0</v>
      </c>
      <c r="G22" s="186">
        <f t="shared" si="1"/>
        <v>0</v>
      </c>
      <c r="H22" s="216">
        <f t="shared" si="2"/>
        <v>0</v>
      </c>
      <c r="I22" s="187">
        <f t="shared" si="8"/>
        <v>0</v>
      </c>
      <c r="J22" s="185">
        <f t="shared" si="8"/>
        <v>0</v>
      </c>
      <c r="K22" s="183">
        <f t="shared" si="3"/>
        <v>0</v>
      </c>
      <c r="L22" s="246">
        <f>'ET Forecast Capital Additions'!$L22</f>
        <v>1</v>
      </c>
      <c r="M22" s="187">
        <f t="shared" si="9"/>
        <v>0</v>
      </c>
      <c r="N22" s="185">
        <f t="shared" si="4"/>
        <v>0</v>
      </c>
      <c r="O22" s="186">
        <f t="shared" si="5"/>
        <v>0</v>
      </c>
      <c r="P22" s="4">
        <f t="shared" si="10"/>
        <v>12</v>
      </c>
      <c r="Q22" s="32"/>
      <c r="R22" s="32"/>
    </row>
    <row r="23" spans="1:18" x14ac:dyDescent="0.3">
      <c r="A23" s="4">
        <f t="shared" si="6"/>
        <v>13</v>
      </c>
      <c r="B23" s="543">
        <f>'ET Forecast Capital Additions'!B23</f>
        <v>45679</v>
      </c>
      <c r="C23" s="226">
        <v>0</v>
      </c>
      <c r="D23" s="188">
        <v>0</v>
      </c>
      <c r="E23" s="126">
        <f t="shared" si="0"/>
        <v>0</v>
      </c>
      <c r="F23" s="189">
        <f t="shared" si="7"/>
        <v>0</v>
      </c>
      <c r="G23" s="127">
        <f t="shared" si="1"/>
        <v>0</v>
      </c>
      <c r="H23" s="227">
        <f t="shared" si="2"/>
        <v>0</v>
      </c>
      <c r="I23" s="53">
        <f t="shared" si="8"/>
        <v>0</v>
      </c>
      <c r="J23" s="236">
        <f t="shared" si="8"/>
        <v>0</v>
      </c>
      <c r="K23" s="126">
        <f t="shared" si="3"/>
        <v>0</v>
      </c>
      <c r="L23" s="247">
        <f>'ET Forecast Capital Additions'!$L23</f>
        <v>1</v>
      </c>
      <c r="M23" s="53">
        <f t="shared" si="9"/>
        <v>0</v>
      </c>
      <c r="N23" s="236">
        <f t="shared" si="4"/>
        <v>0</v>
      </c>
      <c r="O23" s="127">
        <f t="shared" si="5"/>
        <v>0</v>
      </c>
      <c r="P23" s="4">
        <f t="shared" si="10"/>
        <v>13</v>
      </c>
      <c r="Q23" s="32"/>
      <c r="R23" s="32"/>
    </row>
    <row r="24" spans="1:18" x14ac:dyDescent="0.3">
      <c r="A24" s="4">
        <f t="shared" si="6"/>
        <v>14</v>
      </c>
      <c r="B24" s="543">
        <f>'ET Forecast Capital Additions'!B24</f>
        <v>45710</v>
      </c>
      <c r="C24" s="224">
        <v>0</v>
      </c>
      <c r="D24" s="678">
        <v>0</v>
      </c>
      <c r="E24" s="128">
        <f t="shared" si="0"/>
        <v>0</v>
      </c>
      <c r="F24" s="181">
        <f t="shared" si="7"/>
        <v>0</v>
      </c>
      <c r="G24" s="577">
        <f t="shared" si="1"/>
        <v>0</v>
      </c>
      <c r="H24" s="131">
        <f t="shared" si="2"/>
        <v>0</v>
      </c>
      <c r="I24" s="53">
        <f t="shared" si="8"/>
        <v>0</v>
      </c>
      <c r="J24" s="236">
        <f t="shared" si="8"/>
        <v>0</v>
      </c>
      <c r="K24" s="128">
        <f t="shared" si="3"/>
        <v>0</v>
      </c>
      <c r="L24" s="245">
        <f>'ET Forecast Capital Additions'!$L24</f>
        <v>0.91666666666666663</v>
      </c>
      <c r="M24" s="53">
        <f t="shared" si="9"/>
        <v>0</v>
      </c>
      <c r="N24" s="236">
        <f t="shared" si="4"/>
        <v>0</v>
      </c>
      <c r="O24" s="577">
        <f t="shared" si="5"/>
        <v>0</v>
      </c>
      <c r="P24" s="4">
        <f t="shared" si="10"/>
        <v>14</v>
      </c>
      <c r="Q24" s="32"/>
      <c r="R24" s="32"/>
    </row>
    <row r="25" spans="1:18" x14ac:dyDescent="0.3">
      <c r="A25" s="4">
        <f t="shared" si="6"/>
        <v>15</v>
      </c>
      <c r="B25" s="543">
        <f>'ET Forecast Capital Additions'!B25</f>
        <v>45738</v>
      </c>
      <c r="C25" s="224">
        <v>0</v>
      </c>
      <c r="D25" s="678">
        <v>0</v>
      </c>
      <c r="E25" s="128">
        <f t="shared" si="0"/>
        <v>0</v>
      </c>
      <c r="F25" s="181">
        <f t="shared" si="7"/>
        <v>0</v>
      </c>
      <c r="G25" s="577">
        <f t="shared" si="1"/>
        <v>0</v>
      </c>
      <c r="H25" s="131">
        <f t="shared" si="2"/>
        <v>0</v>
      </c>
      <c r="I25" s="53">
        <f t="shared" si="8"/>
        <v>0</v>
      </c>
      <c r="J25" s="236">
        <f t="shared" si="8"/>
        <v>0</v>
      </c>
      <c r="K25" s="128">
        <f t="shared" si="3"/>
        <v>0</v>
      </c>
      <c r="L25" s="245">
        <f>'ET Forecast Capital Additions'!$L25</f>
        <v>0.83333333333333337</v>
      </c>
      <c r="M25" s="53">
        <f t="shared" si="9"/>
        <v>0</v>
      </c>
      <c r="N25" s="236">
        <f t="shared" si="4"/>
        <v>0</v>
      </c>
      <c r="O25" s="577">
        <f t="shared" si="5"/>
        <v>0</v>
      </c>
      <c r="P25" s="4">
        <f t="shared" si="10"/>
        <v>15</v>
      </c>
      <c r="Q25" s="32"/>
      <c r="R25" s="32"/>
    </row>
    <row r="26" spans="1:18" ht="16.2" thickBot="1" x14ac:dyDescent="0.35">
      <c r="A26" s="4">
        <f t="shared" si="6"/>
        <v>16</v>
      </c>
      <c r="B26" s="544">
        <f>'ET Forecast Capital Additions'!B26</f>
        <v>45769</v>
      </c>
      <c r="C26" s="225">
        <v>0</v>
      </c>
      <c r="D26" s="211">
        <v>0</v>
      </c>
      <c r="E26" s="183">
        <f t="shared" si="0"/>
        <v>0</v>
      </c>
      <c r="F26" s="184">
        <f t="shared" si="7"/>
        <v>0</v>
      </c>
      <c r="G26" s="186">
        <f t="shared" si="1"/>
        <v>0</v>
      </c>
      <c r="H26" s="216">
        <f t="shared" si="2"/>
        <v>0</v>
      </c>
      <c r="I26" s="187">
        <f t="shared" si="8"/>
        <v>0</v>
      </c>
      <c r="J26" s="185">
        <f t="shared" si="8"/>
        <v>0</v>
      </c>
      <c r="K26" s="183">
        <f t="shared" si="3"/>
        <v>0</v>
      </c>
      <c r="L26" s="246">
        <f>'ET Forecast Capital Additions'!$L26</f>
        <v>0.75</v>
      </c>
      <c r="M26" s="187">
        <f t="shared" si="9"/>
        <v>0</v>
      </c>
      <c r="N26" s="185">
        <f t="shared" si="4"/>
        <v>0</v>
      </c>
      <c r="O26" s="186">
        <f t="shared" si="5"/>
        <v>0</v>
      </c>
      <c r="P26" s="4">
        <f t="shared" si="10"/>
        <v>16</v>
      </c>
      <c r="Q26" s="32"/>
      <c r="R26" s="32"/>
    </row>
    <row r="27" spans="1:18" x14ac:dyDescent="0.3">
      <c r="A27" s="4">
        <f t="shared" si="6"/>
        <v>17</v>
      </c>
      <c r="B27" s="543">
        <f>'ET Forecast Capital Additions'!B27</f>
        <v>45799</v>
      </c>
      <c r="C27" s="113">
        <v>0</v>
      </c>
      <c r="D27" s="678">
        <v>0</v>
      </c>
      <c r="E27" s="6">
        <f t="shared" si="0"/>
        <v>0</v>
      </c>
      <c r="F27" s="189">
        <f t="shared" si="7"/>
        <v>0</v>
      </c>
      <c r="G27" s="127">
        <f t="shared" si="1"/>
        <v>0</v>
      </c>
      <c r="H27" s="131">
        <f t="shared" si="2"/>
        <v>0</v>
      </c>
      <c r="I27" s="53">
        <f t="shared" si="8"/>
        <v>0</v>
      </c>
      <c r="J27" s="236">
        <f t="shared" si="8"/>
        <v>0</v>
      </c>
      <c r="K27" s="6">
        <f t="shared" si="3"/>
        <v>0</v>
      </c>
      <c r="L27" s="247">
        <f>'ET Forecast Capital Additions'!$L27</f>
        <v>0.66666666666666663</v>
      </c>
      <c r="M27" s="53">
        <f t="shared" si="9"/>
        <v>0</v>
      </c>
      <c r="N27" s="236">
        <f t="shared" si="4"/>
        <v>0</v>
      </c>
      <c r="O27" s="131">
        <f t="shared" si="5"/>
        <v>0</v>
      </c>
      <c r="P27" s="4">
        <f t="shared" si="10"/>
        <v>17</v>
      </c>
      <c r="Q27" s="32"/>
      <c r="R27" s="32"/>
    </row>
    <row r="28" spans="1:18" x14ac:dyDescent="0.3">
      <c r="A28" s="4">
        <f t="shared" si="6"/>
        <v>18</v>
      </c>
      <c r="B28" s="543">
        <f>'ET Forecast Capital Additions'!B28</f>
        <v>45830</v>
      </c>
      <c r="C28" s="224">
        <v>0</v>
      </c>
      <c r="D28" s="678">
        <v>0</v>
      </c>
      <c r="E28" s="128">
        <f t="shared" si="0"/>
        <v>0</v>
      </c>
      <c r="F28" s="181">
        <f t="shared" si="7"/>
        <v>0</v>
      </c>
      <c r="G28" s="577">
        <f t="shared" si="1"/>
        <v>0</v>
      </c>
      <c r="H28" s="131">
        <f t="shared" si="2"/>
        <v>0</v>
      </c>
      <c r="I28" s="53">
        <f t="shared" si="8"/>
        <v>0</v>
      </c>
      <c r="J28" s="236">
        <f t="shared" si="8"/>
        <v>0</v>
      </c>
      <c r="K28" s="128">
        <f t="shared" si="3"/>
        <v>0</v>
      </c>
      <c r="L28" s="245">
        <f>'ET Forecast Capital Additions'!$L28</f>
        <v>0.58333333333333337</v>
      </c>
      <c r="M28" s="53">
        <f t="shared" si="9"/>
        <v>0</v>
      </c>
      <c r="N28" s="236">
        <f t="shared" si="4"/>
        <v>0</v>
      </c>
      <c r="O28" s="577">
        <f t="shared" si="5"/>
        <v>0</v>
      </c>
      <c r="P28" s="4">
        <f t="shared" si="10"/>
        <v>18</v>
      </c>
      <c r="Q28" s="32"/>
      <c r="R28" s="32"/>
    </row>
    <row r="29" spans="1:18" x14ac:dyDescent="0.3">
      <c r="A29" s="4">
        <f t="shared" si="6"/>
        <v>19</v>
      </c>
      <c r="B29" s="543">
        <f>'ET Forecast Capital Additions'!B29</f>
        <v>45860</v>
      </c>
      <c r="C29" s="224">
        <v>0</v>
      </c>
      <c r="D29" s="678">
        <v>0</v>
      </c>
      <c r="E29" s="128">
        <f t="shared" si="0"/>
        <v>0</v>
      </c>
      <c r="F29" s="181">
        <f t="shared" si="7"/>
        <v>0</v>
      </c>
      <c r="G29" s="577">
        <f t="shared" si="1"/>
        <v>0</v>
      </c>
      <c r="H29" s="131">
        <f t="shared" si="2"/>
        <v>0</v>
      </c>
      <c r="I29" s="53">
        <f t="shared" si="8"/>
        <v>0</v>
      </c>
      <c r="J29" s="236">
        <f t="shared" si="8"/>
        <v>0</v>
      </c>
      <c r="K29" s="128">
        <f t="shared" si="3"/>
        <v>0</v>
      </c>
      <c r="L29" s="245">
        <f>'ET Forecast Capital Additions'!$L29</f>
        <v>0.5</v>
      </c>
      <c r="M29" s="53">
        <f t="shared" si="9"/>
        <v>0</v>
      </c>
      <c r="N29" s="236">
        <f t="shared" si="4"/>
        <v>0</v>
      </c>
      <c r="O29" s="577">
        <f t="shared" si="5"/>
        <v>0</v>
      </c>
      <c r="P29" s="4">
        <f t="shared" si="10"/>
        <v>19</v>
      </c>
      <c r="Q29" s="32"/>
      <c r="R29" s="32"/>
    </row>
    <row r="30" spans="1:18" ht="16.2" thickBot="1" x14ac:dyDescent="0.35">
      <c r="A30" s="4">
        <f t="shared" si="6"/>
        <v>20</v>
      </c>
      <c r="B30" s="544">
        <f>'ET Forecast Capital Additions'!B30</f>
        <v>45891</v>
      </c>
      <c r="C30" s="225">
        <v>0</v>
      </c>
      <c r="D30" s="211">
        <v>0</v>
      </c>
      <c r="E30" s="183">
        <f t="shared" si="0"/>
        <v>0</v>
      </c>
      <c r="F30" s="184">
        <f t="shared" si="7"/>
        <v>0</v>
      </c>
      <c r="G30" s="186">
        <f t="shared" si="1"/>
        <v>0</v>
      </c>
      <c r="H30" s="216">
        <f t="shared" si="2"/>
        <v>0</v>
      </c>
      <c r="I30" s="187">
        <f t="shared" si="8"/>
        <v>0</v>
      </c>
      <c r="J30" s="185">
        <f t="shared" si="8"/>
        <v>0</v>
      </c>
      <c r="K30" s="183">
        <f t="shared" si="3"/>
        <v>0</v>
      </c>
      <c r="L30" s="246">
        <f>'ET Forecast Capital Additions'!$L30</f>
        <v>0.41666666666666669</v>
      </c>
      <c r="M30" s="187">
        <f t="shared" si="9"/>
        <v>0</v>
      </c>
      <c r="N30" s="185">
        <f t="shared" si="4"/>
        <v>0</v>
      </c>
      <c r="O30" s="186">
        <f t="shared" si="5"/>
        <v>0</v>
      </c>
      <c r="P30" s="4">
        <f t="shared" si="10"/>
        <v>20</v>
      </c>
      <c r="Q30" s="32"/>
      <c r="R30" s="32"/>
    </row>
    <row r="31" spans="1:18" x14ac:dyDescent="0.3">
      <c r="A31" s="4">
        <f t="shared" si="6"/>
        <v>21</v>
      </c>
      <c r="B31" s="543">
        <f>'ET Forecast Capital Additions'!B31</f>
        <v>45922</v>
      </c>
      <c r="C31" s="224">
        <v>0</v>
      </c>
      <c r="D31" s="678">
        <v>0</v>
      </c>
      <c r="E31" s="128">
        <f t="shared" si="0"/>
        <v>0</v>
      </c>
      <c r="F31" s="189">
        <f t="shared" si="7"/>
        <v>0</v>
      </c>
      <c r="G31" s="127">
        <f t="shared" si="1"/>
        <v>0</v>
      </c>
      <c r="H31" s="131">
        <f t="shared" si="2"/>
        <v>0</v>
      </c>
      <c r="I31" s="53">
        <f t="shared" si="8"/>
        <v>0</v>
      </c>
      <c r="J31" s="236">
        <f t="shared" si="8"/>
        <v>0</v>
      </c>
      <c r="K31" s="128">
        <f t="shared" si="3"/>
        <v>0</v>
      </c>
      <c r="L31" s="247">
        <f>'ET Forecast Capital Additions'!$L31</f>
        <v>0.33333333333333331</v>
      </c>
      <c r="M31" s="53">
        <f t="shared" si="9"/>
        <v>0</v>
      </c>
      <c r="N31" s="236">
        <f t="shared" si="4"/>
        <v>0</v>
      </c>
      <c r="O31" s="577">
        <f t="shared" si="5"/>
        <v>0</v>
      </c>
      <c r="P31" s="4">
        <f t="shared" si="10"/>
        <v>21</v>
      </c>
      <c r="Q31" s="32"/>
      <c r="R31" s="32"/>
    </row>
    <row r="32" spans="1:18" x14ac:dyDescent="0.3">
      <c r="A32" s="4">
        <f t="shared" si="6"/>
        <v>22</v>
      </c>
      <c r="B32" s="543">
        <f>'ET Forecast Capital Additions'!B32</f>
        <v>45952</v>
      </c>
      <c r="C32" s="113">
        <v>0</v>
      </c>
      <c r="D32" s="678">
        <v>0</v>
      </c>
      <c r="E32" s="6">
        <f t="shared" si="0"/>
        <v>0</v>
      </c>
      <c r="F32" s="181">
        <f t="shared" si="7"/>
        <v>0</v>
      </c>
      <c r="G32" s="577">
        <f t="shared" si="1"/>
        <v>0</v>
      </c>
      <c r="H32" s="131">
        <f t="shared" si="2"/>
        <v>0</v>
      </c>
      <c r="I32" s="53">
        <f t="shared" si="8"/>
        <v>0</v>
      </c>
      <c r="J32" s="236">
        <f t="shared" si="8"/>
        <v>0</v>
      </c>
      <c r="K32" s="6">
        <f t="shared" si="3"/>
        <v>0</v>
      </c>
      <c r="L32" s="245">
        <f>'ET Forecast Capital Additions'!$L32</f>
        <v>0.25</v>
      </c>
      <c r="M32" s="53">
        <f t="shared" si="9"/>
        <v>0</v>
      </c>
      <c r="N32" s="236">
        <f t="shared" si="4"/>
        <v>0</v>
      </c>
      <c r="O32" s="131">
        <f t="shared" si="5"/>
        <v>0</v>
      </c>
      <c r="P32" s="4">
        <f t="shared" si="10"/>
        <v>22</v>
      </c>
      <c r="Q32" s="32"/>
      <c r="R32" s="32"/>
    </row>
    <row r="33" spans="1:18" x14ac:dyDescent="0.3">
      <c r="A33" s="4">
        <f t="shared" si="6"/>
        <v>23</v>
      </c>
      <c r="B33" s="543">
        <f>'ET Forecast Capital Additions'!B33</f>
        <v>45983</v>
      </c>
      <c r="C33" s="224">
        <v>0</v>
      </c>
      <c r="D33" s="678">
        <v>0</v>
      </c>
      <c r="E33" s="128">
        <f t="shared" si="0"/>
        <v>0</v>
      </c>
      <c r="F33" s="181">
        <f t="shared" si="7"/>
        <v>0</v>
      </c>
      <c r="G33" s="577">
        <f t="shared" si="1"/>
        <v>0</v>
      </c>
      <c r="H33" s="131">
        <f t="shared" si="2"/>
        <v>0</v>
      </c>
      <c r="I33" s="53">
        <f t="shared" si="8"/>
        <v>0</v>
      </c>
      <c r="J33" s="236">
        <f t="shared" si="8"/>
        <v>0</v>
      </c>
      <c r="K33" s="128">
        <f t="shared" si="3"/>
        <v>0</v>
      </c>
      <c r="L33" s="245">
        <f>'ET Forecast Capital Additions'!$L33</f>
        <v>0.16666666666666666</v>
      </c>
      <c r="M33" s="53">
        <f t="shared" si="9"/>
        <v>0</v>
      </c>
      <c r="N33" s="236">
        <f t="shared" si="4"/>
        <v>0</v>
      </c>
      <c r="O33" s="577">
        <f t="shared" si="5"/>
        <v>0</v>
      </c>
      <c r="P33" s="4">
        <f t="shared" si="10"/>
        <v>23</v>
      </c>
      <c r="Q33" s="32"/>
      <c r="R33" s="32"/>
    </row>
    <row r="34" spans="1:18" ht="16.2" thickBot="1" x14ac:dyDescent="0.35">
      <c r="A34" s="4">
        <f t="shared" si="6"/>
        <v>24</v>
      </c>
      <c r="B34" s="543">
        <f>'ET Forecast Capital Additions'!B34</f>
        <v>46013</v>
      </c>
      <c r="C34" s="224">
        <v>0</v>
      </c>
      <c r="D34" s="678">
        <v>0</v>
      </c>
      <c r="E34" s="128">
        <f t="shared" si="0"/>
        <v>0</v>
      </c>
      <c r="F34" s="184">
        <f t="shared" si="7"/>
        <v>0</v>
      </c>
      <c r="G34" s="186">
        <f t="shared" si="1"/>
        <v>0</v>
      </c>
      <c r="H34" s="131">
        <f t="shared" si="2"/>
        <v>0</v>
      </c>
      <c r="I34" s="187">
        <f t="shared" si="8"/>
        <v>0</v>
      </c>
      <c r="J34" s="185">
        <f t="shared" si="8"/>
        <v>0</v>
      </c>
      <c r="K34" s="128">
        <f t="shared" si="3"/>
        <v>0</v>
      </c>
      <c r="L34" s="245">
        <f>'ET Forecast Capital Additions'!$L34</f>
        <v>8.3333333333333329E-2</v>
      </c>
      <c r="M34" s="187">
        <f t="shared" si="9"/>
        <v>0</v>
      </c>
      <c r="N34" s="185">
        <f t="shared" si="4"/>
        <v>0</v>
      </c>
      <c r="O34" s="577">
        <f t="shared" si="5"/>
        <v>0</v>
      </c>
      <c r="P34" s="4">
        <f t="shared" si="10"/>
        <v>24</v>
      </c>
      <c r="Q34" s="32"/>
      <c r="R34" s="431"/>
    </row>
    <row r="35" spans="1:18" ht="16.2" thickBot="1" x14ac:dyDescent="0.35">
      <c r="A35" s="4">
        <f t="shared" si="6"/>
        <v>25</v>
      </c>
      <c r="B35" s="545" t="s">
        <v>200</v>
      </c>
      <c r="C35" s="195">
        <f t="shared" ref="C35:K35" si="11">SUM(C11:C34)</f>
        <v>0</v>
      </c>
      <c r="D35" s="192">
        <f t="shared" si="11"/>
        <v>0</v>
      </c>
      <c r="E35" s="193">
        <f t="shared" si="11"/>
        <v>0</v>
      </c>
      <c r="F35" s="191">
        <f t="shared" si="11"/>
        <v>0</v>
      </c>
      <c r="G35" s="192">
        <f t="shared" si="11"/>
        <v>0</v>
      </c>
      <c r="H35" s="194">
        <f t="shared" si="11"/>
        <v>0</v>
      </c>
      <c r="I35" s="195">
        <f t="shared" si="11"/>
        <v>0</v>
      </c>
      <c r="J35" s="192">
        <f t="shared" si="11"/>
        <v>0</v>
      </c>
      <c r="K35" s="193">
        <f t="shared" si="11"/>
        <v>0</v>
      </c>
      <c r="L35" s="196"/>
      <c r="M35" s="195">
        <f>SUM(M11:M34)</f>
        <v>0</v>
      </c>
      <c r="N35" s="192">
        <f>SUM(N11:N34)</f>
        <v>0</v>
      </c>
      <c r="O35" s="194">
        <f>SUM(O11:O34)</f>
        <v>0</v>
      </c>
      <c r="P35" s="4">
        <f t="shared" si="10"/>
        <v>25</v>
      </c>
      <c r="Q35" s="32"/>
      <c r="R35" s="32"/>
    </row>
    <row r="36" spans="1:18" x14ac:dyDescent="0.3">
      <c r="A36" s="4">
        <f>A35+1</f>
        <v>26</v>
      </c>
      <c r="B36" s="519"/>
      <c r="C36" s="6"/>
      <c r="D36" s="6"/>
      <c r="E36" s="546"/>
      <c r="F36" s="32"/>
      <c r="G36" s="32"/>
      <c r="H36" s="6"/>
      <c r="I36" s="32"/>
      <c r="J36" s="32"/>
      <c r="K36" s="6"/>
      <c r="L36" s="32"/>
      <c r="M36" s="32"/>
      <c r="N36" s="32"/>
      <c r="O36" s="131"/>
      <c r="P36" s="4">
        <f>P35+1</f>
        <v>26</v>
      </c>
      <c r="Q36" s="32"/>
      <c r="R36" s="32"/>
    </row>
    <row r="37" spans="1:18" s="417" customFormat="1" x14ac:dyDescent="0.3">
      <c r="A37" s="4">
        <f>A36+1</f>
        <v>27</v>
      </c>
      <c r="B37" s="547"/>
      <c r="E37" s="32" t="s">
        <v>1487</v>
      </c>
      <c r="F37" s="548"/>
      <c r="G37" s="548"/>
      <c r="H37" s="28">
        <f>'ET Forecast Capital Additions'!H37</f>
        <v>17819.405999999999</v>
      </c>
      <c r="I37" s="197"/>
      <c r="J37" s="32" t="str">
        <f>'ET Forecast Capital Additions'!J37</f>
        <v>Form 1; Page 204-207; Line 58; Col. d</v>
      </c>
      <c r="K37" s="197"/>
      <c r="O37" s="549"/>
      <c r="P37" s="4">
        <f>P36+1</f>
        <v>27</v>
      </c>
      <c r="Q37" s="32"/>
    </row>
    <row r="38" spans="1:18" s="417" customFormat="1" x14ac:dyDescent="0.3">
      <c r="A38" s="4">
        <f>A37+1</f>
        <v>28</v>
      </c>
      <c r="B38" s="547"/>
      <c r="E38" s="32"/>
      <c r="F38" s="548"/>
      <c r="G38" s="548"/>
      <c r="H38" s="6"/>
      <c r="I38" s="197"/>
      <c r="J38" s="32"/>
      <c r="K38" s="197"/>
      <c r="O38" s="549"/>
      <c r="P38" s="4">
        <f>P37+1</f>
        <v>28</v>
      </c>
    </row>
    <row r="39" spans="1:18" s="417" customFormat="1" x14ac:dyDescent="0.3">
      <c r="A39" s="4">
        <f t="shared" ref="A39:A41" si="12">A38+1</f>
        <v>29</v>
      </c>
      <c r="B39" s="547"/>
      <c r="E39" s="32" t="s">
        <v>1489</v>
      </c>
      <c r="F39" s="548"/>
      <c r="G39" s="548"/>
      <c r="H39" s="919">
        <f>'ET Forecast Capital Additions'!H39</f>
        <v>8390028.6160000004</v>
      </c>
      <c r="I39" s="197"/>
      <c r="J39" s="32" t="str">
        <f>'ET Forecast Capital Additions'!J39</f>
        <v>Form 1; Page 204-207; Line 58; Col. g</v>
      </c>
      <c r="K39" s="197"/>
      <c r="O39" s="549"/>
      <c r="P39" s="4">
        <f t="shared" ref="P39:P48" si="13">P38+1</f>
        <v>29</v>
      </c>
    </row>
    <row r="40" spans="1:18" s="417" customFormat="1" ht="16.2" thickBot="1" x14ac:dyDescent="0.35">
      <c r="A40" s="4">
        <f t="shared" si="12"/>
        <v>30</v>
      </c>
      <c r="B40" s="547"/>
      <c r="E40" s="548"/>
      <c r="F40" s="548"/>
      <c r="G40" s="548"/>
      <c r="H40" s="197"/>
      <c r="I40" s="197"/>
      <c r="J40" s="197"/>
      <c r="K40" s="197"/>
      <c r="O40" s="549"/>
      <c r="P40" s="4">
        <f t="shared" si="13"/>
        <v>30</v>
      </c>
    </row>
    <row r="41" spans="1:18" ht="16.2" thickBot="1" x14ac:dyDescent="0.35">
      <c r="A41" s="4">
        <f t="shared" si="12"/>
        <v>31</v>
      </c>
      <c r="B41" s="519"/>
      <c r="C41" s="32"/>
      <c r="D41" s="32"/>
      <c r="E41" s="1" t="s">
        <v>1491</v>
      </c>
      <c r="F41" s="32"/>
      <c r="G41" s="32"/>
      <c r="H41" s="198">
        <f>IFERROR(H37/H39,0)</f>
        <v>2.1238790492344607E-3</v>
      </c>
      <c r="I41" s="32"/>
      <c r="J41" s="32" t="s">
        <v>1492</v>
      </c>
      <c r="K41" s="48"/>
      <c r="L41" s="32"/>
      <c r="M41" s="32"/>
      <c r="N41" s="32"/>
      <c r="O41" s="384"/>
      <c r="P41" s="4">
        <f t="shared" si="13"/>
        <v>31</v>
      </c>
      <c r="Q41" s="32"/>
      <c r="R41" s="32"/>
    </row>
    <row r="42" spans="1:18" ht="16.2" thickBot="1" x14ac:dyDescent="0.35">
      <c r="A42" s="4">
        <f t="shared" si="6"/>
        <v>32</v>
      </c>
      <c r="B42" s="550"/>
      <c r="C42" s="866"/>
      <c r="D42" s="866"/>
      <c r="E42" s="898"/>
      <c r="F42" s="866"/>
      <c r="G42" s="866"/>
      <c r="H42" s="1083"/>
      <c r="I42" s="866"/>
      <c r="J42" s="866"/>
      <c r="K42" s="866"/>
      <c r="L42" s="866"/>
      <c r="M42" s="866"/>
      <c r="N42" s="866"/>
      <c r="O42" s="199"/>
      <c r="P42" s="4">
        <f t="shared" si="13"/>
        <v>32</v>
      </c>
      <c r="Q42" s="417"/>
      <c r="R42" s="32"/>
    </row>
    <row r="43" spans="1:18" ht="16.2" thickBot="1" x14ac:dyDescent="0.35">
      <c r="A43" s="4">
        <f t="shared" si="6"/>
        <v>33</v>
      </c>
      <c r="B43" s="519"/>
      <c r="C43" s="32"/>
      <c r="D43" s="32"/>
      <c r="E43" s="6"/>
      <c r="F43" s="32"/>
      <c r="G43" s="32"/>
      <c r="H43" s="32"/>
      <c r="I43" s="32"/>
      <c r="J43" s="32"/>
      <c r="K43" s="6" t="s">
        <v>1</v>
      </c>
      <c r="L43" s="32"/>
      <c r="M43" s="48"/>
      <c r="N43" s="48"/>
      <c r="O43" s="551"/>
      <c r="P43" s="4">
        <f t="shared" si="13"/>
        <v>33</v>
      </c>
      <c r="Q43" s="417"/>
      <c r="R43" s="32"/>
    </row>
    <row r="44" spans="1:18" ht="16.2" thickBot="1" x14ac:dyDescent="0.35">
      <c r="A44" s="4">
        <f t="shared" si="6"/>
        <v>34</v>
      </c>
      <c r="B44" s="552"/>
      <c r="C44" s="32"/>
      <c r="D44" s="254"/>
      <c r="E44" s="553"/>
      <c r="F44" s="1084"/>
      <c r="G44" s="1085"/>
      <c r="H44" s="1085" t="s">
        <v>1493</v>
      </c>
      <c r="I44" s="554" t="s">
        <v>1494</v>
      </c>
      <c r="J44" s="555" t="s">
        <v>1495</v>
      </c>
      <c r="K44" s="556" t="s">
        <v>1452</v>
      </c>
      <c r="L44" s="1"/>
      <c r="M44" s="557" t="s">
        <v>1455</v>
      </c>
      <c r="N44" s="558" t="s">
        <v>1456</v>
      </c>
      <c r="O44" s="559" t="s">
        <v>1496</v>
      </c>
      <c r="P44" s="4">
        <f t="shared" si="13"/>
        <v>34</v>
      </c>
      <c r="Q44" s="417"/>
      <c r="R44" s="32"/>
    </row>
    <row r="45" spans="1:18" ht="16.2" thickBot="1" x14ac:dyDescent="0.35">
      <c r="A45" s="4">
        <f t="shared" si="6"/>
        <v>35</v>
      </c>
      <c r="B45" s="519"/>
      <c r="C45" s="32"/>
      <c r="D45" s="32"/>
      <c r="E45" s="560"/>
      <c r="F45" s="367"/>
      <c r="G45" s="561"/>
      <c r="H45" s="561" t="s">
        <v>1497</v>
      </c>
      <c r="I45" s="200">
        <f>+I35</f>
        <v>0</v>
      </c>
      <c r="J45" s="200">
        <f>+J35</f>
        <v>0</v>
      </c>
      <c r="K45" s="200">
        <f>+K35</f>
        <v>0</v>
      </c>
      <c r="L45" s="44"/>
      <c r="M45" s="200">
        <f>+M35</f>
        <v>0</v>
      </c>
      <c r="N45" s="200">
        <f>+N35</f>
        <v>0</v>
      </c>
      <c r="O45" s="200">
        <f>+O35</f>
        <v>0</v>
      </c>
      <c r="P45" s="4">
        <f t="shared" si="13"/>
        <v>35</v>
      </c>
      <c r="Q45" s="32"/>
      <c r="R45" s="32"/>
    </row>
    <row r="46" spans="1:18" ht="16.2" thickTop="1" x14ac:dyDescent="0.3">
      <c r="A46" s="4">
        <f t="shared" si="6"/>
        <v>36</v>
      </c>
      <c r="B46" s="519"/>
      <c r="C46" s="32"/>
      <c r="D46" s="32"/>
      <c r="E46" s="519"/>
      <c r="F46" s="32"/>
      <c r="G46" s="29"/>
      <c r="H46" s="29"/>
      <c r="I46" s="220"/>
      <c r="J46" s="220"/>
      <c r="K46" s="220"/>
      <c r="L46" s="32"/>
      <c r="M46" s="220"/>
      <c r="N46" s="220"/>
      <c r="O46" s="220"/>
      <c r="P46" s="4">
        <f t="shared" si="13"/>
        <v>36</v>
      </c>
      <c r="Q46" s="32"/>
      <c r="R46" s="32"/>
    </row>
    <row r="47" spans="1:18" ht="16.2" thickBot="1" x14ac:dyDescent="0.35">
      <c r="A47" s="4">
        <f>A46+1</f>
        <v>37</v>
      </c>
      <c r="B47" s="519"/>
      <c r="C47" s="32"/>
      <c r="D47" s="32"/>
      <c r="E47" s="519"/>
      <c r="F47" s="32"/>
      <c r="G47" s="29"/>
      <c r="H47" s="475" t="s">
        <v>1498</v>
      </c>
      <c r="I47" s="204">
        <f>IFERROR((+I45/K45),0)</f>
        <v>0</v>
      </c>
      <c r="J47" s="204">
        <f>IFERROR((+J45/K45),0)</f>
        <v>0</v>
      </c>
      <c r="K47" s="204">
        <f>I47+J47</f>
        <v>0</v>
      </c>
      <c r="L47" s="1"/>
      <c r="M47" s="204">
        <f>IFERROR((+M45/O45),0)</f>
        <v>0</v>
      </c>
      <c r="N47" s="204">
        <f>IFERROR((+N45/O45),0)</f>
        <v>0</v>
      </c>
      <c r="O47" s="204">
        <f>M47+N47</f>
        <v>0</v>
      </c>
      <c r="P47" s="4">
        <f>P46+1</f>
        <v>37</v>
      </c>
      <c r="Q47" s="32"/>
      <c r="R47" s="32"/>
    </row>
    <row r="48" spans="1:18" ht="16.8" thickTop="1" thickBot="1" x14ac:dyDescent="0.35">
      <c r="A48" s="4">
        <f t="shared" si="6"/>
        <v>38</v>
      </c>
      <c r="B48" s="518"/>
      <c r="C48" s="32"/>
      <c r="D48" s="32"/>
      <c r="E48" s="550"/>
      <c r="F48" s="866"/>
      <c r="G48" s="866"/>
      <c r="H48" s="866"/>
      <c r="I48" s="208"/>
      <c r="J48" s="208"/>
      <c r="K48" s="199"/>
      <c r="L48" s="32"/>
      <c r="M48" s="209"/>
      <c r="N48" s="210"/>
      <c r="O48" s="199"/>
      <c r="P48" s="4">
        <f t="shared" si="13"/>
        <v>38</v>
      </c>
      <c r="Q48" s="32"/>
      <c r="R48" s="32"/>
    </row>
    <row r="49" spans="1:18" ht="16.2" thickBot="1" x14ac:dyDescent="0.35">
      <c r="A49" s="4">
        <f t="shared" si="6"/>
        <v>39</v>
      </c>
      <c r="B49" s="523"/>
      <c r="C49" s="866"/>
      <c r="D49" s="866"/>
      <c r="E49" s="866"/>
      <c r="F49" s="866"/>
      <c r="G49" s="866"/>
      <c r="H49" s="866"/>
      <c r="I49" s="866"/>
      <c r="J49" s="866"/>
      <c r="K49" s="866"/>
      <c r="L49" s="866"/>
      <c r="M49" s="866"/>
      <c r="N49" s="866"/>
      <c r="O49" s="199"/>
      <c r="P49" s="4">
        <f t="shared" si="10"/>
        <v>39</v>
      </c>
      <c r="Q49" s="32"/>
      <c r="R49" s="32"/>
    </row>
    <row r="50" spans="1:18" x14ac:dyDescent="0.3">
      <c r="B50" s="1"/>
      <c r="C50" s="32"/>
      <c r="D50" s="32"/>
      <c r="E50" s="32"/>
      <c r="F50" s="32"/>
      <c r="G50" s="32"/>
      <c r="H50" s="32"/>
      <c r="I50" s="32"/>
      <c r="J50" s="32"/>
      <c r="K50" s="32"/>
      <c r="L50" s="32"/>
      <c r="M50" s="32"/>
      <c r="N50" s="32"/>
      <c r="O50" s="32"/>
      <c r="Q50" s="32"/>
      <c r="R50" s="32"/>
    </row>
    <row r="51" spans="1:18" x14ac:dyDescent="0.3">
      <c r="B51" s="1"/>
      <c r="C51" s="32"/>
      <c r="D51" s="32"/>
      <c r="E51" s="32"/>
      <c r="F51" s="32"/>
      <c r="G51" s="32"/>
      <c r="H51" s="32"/>
      <c r="I51" s="32"/>
      <c r="J51" s="32"/>
      <c r="K51" s="32"/>
      <c r="L51" s="32"/>
      <c r="M51" s="32"/>
      <c r="N51" s="32"/>
      <c r="O51" s="32"/>
      <c r="Q51" s="32"/>
      <c r="R51" s="32"/>
    </row>
    <row r="52" spans="1:18" x14ac:dyDescent="0.3">
      <c r="B52" s="1"/>
      <c r="C52" s="32"/>
      <c r="D52" s="32"/>
      <c r="E52" s="32"/>
      <c r="F52" s="32"/>
      <c r="G52" s="32"/>
      <c r="H52" s="32"/>
      <c r="I52" s="32"/>
      <c r="J52" s="32"/>
      <c r="K52" s="32"/>
      <c r="L52" s="32"/>
      <c r="M52" s="32"/>
      <c r="N52" s="32"/>
      <c r="O52" s="32"/>
      <c r="Q52" s="32"/>
      <c r="R52" s="32"/>
    </row>
    <row r="53" spans="1:18" x14ac:dyDescent="0.3">
      <c r="B53" s="569"/>
      <c r="C53" s="6"/>
      <c r="D53" s="6"/>
      <c r="E53" s="6"/>
      <c r="F53" s="6"/>
      <c r="G53" s="6"/>
      <c r="H53" s="6"/>
      <c r="I53" s="6"/>
      <c r="J53" s="6"/>
      <c r="K53" s="6"/>
      <c r="L53" s="431"/>
      <c r="M53" s="6"/>
      <c r="N53" s="6"/>
      <c r="O53" s="6"/>
      <c r="Q53" s="32"/>
      <c r="R53" s="32"/>
    </row>
    <row r="54" spans="1:18" x14ac:dyDescent="0.3">
      <c r="B54" s="569"/>
      <c r="C54" s="6"/>
      <c r="D54" s="6"/>
      <c r="E54" s="6"/>
      <c r="F54" s="6"/>
      <c r="G54" s="6"/>
      <c r="H54" s="6"/>
      <c r="I54" s="6"/>
      <c r="J54" s="6"/>
      <c r="K54" s="6"/>
      <c r="L54" s="431"/>
      <c r="M54" s="6"/>
      <c r="N54" s="6"/>
      <c r="O54" s="6"/>
      <c r="Q54" s="32"/>
      <c r="R54" s="32"/>
    </row>
    <row r="55" spans="1:18" x14ac:dyDescent="0.3">
      <c r="B55" s="569"/>
      <c r="C55" s="6"/>
      <c r="D55" s="6"/>
      <c r="E55" s="6"/>
      <c r="F55" s="6"/>
      <c r="G55" s="6"/>
      <c r="H55" s="6"/>
      <c r="I55" s="6"/>
      <c r="J55" s="6"/>
      <c r="K55" s="6"/>
      <c r="L55" s="431"/>
      <c r="M55" s="6"/>
      <c r="N55" s="6"/>
      <c r="O55" s="6"/>
      <c r="Q55" s="32"/>
      <c r="R55" s="32"/>
    </row>
    <row r="56" spans="1:18" x14ac:dyDescent="0.3">
      <c r="B56" s="569"/>
      <c r="C56" s="6"/>
      <c r="D56" s="6"/>
      <c r="E56" s="6"/>
      <c r="F56" s="6"/>
      <c r="G56" s="6"/>
      <c r="H56" s="6"/>
      <c r="I56" s="6"/>
      <c r="J56" s="6"/>
      <c r="K56" s="6"/>
      <c r="L56" s="431"/>
      <c r="M56" s="6"/>
      <c r="N56" s="6"/>
      <c r="O56" s="6"/>
      <c r="Q56" s="32"/>
      <c r="R56" s="32"/>
    </row>
    <row r="57" spans="1:18" x14ac:dyDescent="0.3">
      <c r="B57" s="569"/>
      <c r="C57" s="6"/>
      <c r="D57" s="6"/>
      <c r="E57" s="6"/>
      <c r="F57" s="6"/>
      <c r="G57" s="6"/>
      <c r="H57" s="6"/>
      <c r="I57" s="6"/>
      <c r="J57" s="6"/>
      <c r="K57" s="6"/>
      <c r="L57" s="431"/>
      <c r="M57" s="6"/>
      <c r="N57" s="6"/>
      <c r="O57" s="6"/>
      <c r="Q57" s="32"/>
      <c r="R57" s="32"/>
    </row>
    <row r="58" spans="1:18" x14ac:dyDescent="0.3">
      <c r="B58" s="569"/>
      <c r="C58" s="32"/>
      <c r="D58" s="32"/>
      <c r="E58" s="32"/>
      <c r="F58" s="32"/>
      <c r="G58" s="32"/>
      <c r="H58" s="32"/>
      <c r="I58" s="32"/>
      <c r="J58" s="32"/>
      <c r="K58" s="32"/>
      <c r="L58" s="32"/>
      <c r="M58" s="32"/>
      <c r="N58" s="32"/>
      <c r="O58" s="32"/>
      <c r="Q58" s="32"/>
      <c r="R58" s="32"/>
    </row>
  </sheetData>
  <mergeCells count="5">
    <mergeCell ref="B2:O2"/>
    <mergeCell ref="B3:O3"/>
    <mergeCell ref="B4:O4"/>
    <mergeCell ref="B5:O5"/>
    <mergeCell ref="B6:O6"/>
  </mergeCells>
  <printOptions horizontalCentered="1"/>
  <pageMargins left="0.5" right="0.5" top="0.5" bottom="0.5" header="0.25" footer="0.25"/>
  <pageSetup scale="57" orientation="landscape" r:id="rId1"/>
  <headerFooter scaleWithDoc="0">
    <oddFooter>&amp;C&amp;"Times New Roman,Regular"&amp;10Summary of Weighted Incentive Transmission Plant Additions</oddFooter>
  </headerFooter>
  <customProperties>
    <customPr name="_pios_id" r:id="rId2"/>
  </customProperties>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pageSetUpPr fitToPage="1"/>
  </sheetPr>
  <dimension ref="A1:R59"/>
  <sheetViews>
    <sheetView zoomScale="80" zoomScaleNormal="80" workbookViewId="0"/>
  </sheetViews>
  <sheetFormatPr defaultColWidth="9.33203125" defaultRowHeight="15.6" x14ac:dyDescent="0.3"/>
  <cols>
    <col min="1" max="1" width="5.33203125" style="4" customWidth="1"/>
    <col min="2" max="2" width="8.5546875" style="32" customWidth="1"/>
    <col min="3" max="11" width="15.6640625" style="32" customWidth="1"/>
    <col min="12" max="12" width="11.33203125" style="32" customWidth="1"/>
    <col min="13" max="15" width="15.6640625" style="32" customWidth="1"/>
    <col min="16" max="16" width="5.33203125" style="4" customWidth="1"/>
    <col min="17" max="17" width="9.33203125" style="32"/>
    <col min="18" max="18" width="9.5546875" style="32" bestFit="1" customWidth="1"/>
    <col min="19" max="16384" width="9.33203125" style="32"/>
  </cols>
  <sheetData>
    <row r="1" spans="1:16" x14ac:dyDescent="0.3">
      <c r="C1" s="258"/>
    </row>
    <row r="2" spans="1:16" x14ac:dyDescent="0.3">
      <c r="B2" s="1222" t="s">
        <v>0</v>
      </c>
      <c r="C2" s="1222"/>
      <c r="D2" s="1222"/>
      <c r="E2" s="1222"/>
      <c r="F2" s="1222"/>
      <c r="G2" s="1222"/>
      <c r="H2" s="1222"/>
      <c r="I2" s="1222"/>
      <c r="J2" s="1222"/>
      <c r="K2" s="1222"/>
      <c r="L2" s="1222"/>
      <c r="M2" s="1222"/>
      <c r="N2" s="1222"/>
      <c r="O2" s="1222"/>
    </row>
    <row r="3" spans="1:16" x14ac:dyDescent="0.3">
      <c r="B3" s="1222" t="s">
        <v>1478</v>
      </c>
      <c r="C3" s="1222"/>
      <c r="D3" s="1222"/>
      <c r="E3" s="1222"/>
      <c r="F3" s="1222"/>
      <c r="G3" s="1222"/>
      <c r="H3" s="1222"/>
      <c r="I3" s="1222"/>
      <c r="J3" s="1222"/>
      <c r="K3" s="1222"/>
      <c r="L3" s="1222"/>
      <c r="M3" s="1222"/>
      <c r="N3" s="1222"/>
      <c r="O3" s="1222"/>
    </row>
    <row r="4" spans="1:16" x14ac:dyDescent="0.3">
      <c r="B4" s="1227" t="str">
        <f>'Summary of HV-LV Splits'!B4</f>
        <v>24-Month Forecast Period (January 1, 2024 - December 31, 2025)</v>
      </c>
      <c r="C4" s="1227"/>
      <c r="D4" s="1227"/>
      <c r="E4" s="1227"/>
      <c r="F4" s="1227"/>
      <c r="G4" s="1227"/>
      <c r="H4" s="1227"/>
      <c r="I4" s="1227"/>
      <c r="J4" s="1227"/>
      <c r="K4" s="1227"/>
      <c r="L4" s="1227"/>
      <c r="M4" s="1227"/>
      <c r="N4" s="1227"/>
      <c r="O4" s="1227"/>
    </row>
    <row r="5" spans="1:16" x14ac:dyDescent="0.3">
      <c r="B5" s="1222" t="s">
        <v>1504</v>
      </c>
      <c r="C5" s="1222"/>
      <c r="D5" s="1222"/>
      <c r="E5" s="1222"/>
      <c r="F5" s="1222"/>
      <c r="G5" s="1222"/>
      <c r="H5" s="1222"/>
      <c r="I5" s="1222"/>
      <c r="J5" s="1222"/>
      <c r="K5" s="1222"/>
      <c r="L5" s="1222"/>
      <c r="M5" s="1222"/>
      <c r="N5" s="1222"/>
      <c r="O5" s="1222"/>
    </row>
    <row r="6" spans="1:16" x14ac:dyDescent="0.3">
      <c r="B6" s="1222" t="s">
        <v>1505</v>
      </c>
      <c r="C6" s="1222"/>
      <c r="D6" s="1222"/>
      <c r="E6" s="1222"/>
      <c r="F6" s="1222"/>
      <c r="G6" s="1222"/>
      <c r="H6" s="1222"/>
      <c r="I6" s="1222"/>
      <c r="J6" s="1222"/>
      <c r="K6" s="1222"/>
      <c r="L6" s="1222"/>
      <c r="M6" s="1222"/>
      <c r="N6" s="1222"/>
      <c r="O6" s="1222"/>
    </row>
    <row r="7" spans="1:16" x14ac:dyDescent="0.3">
      <c r="B7" s="1251">
        <v>-1000</v>
      </c>
      <c r="C7" s="1251"/>
      <c r="D7" s="1251"/>
      <c r="E7" s="1251"/>
      <c r="F7" s="1251"/>
      <c r="G7" s="1251"/>
      <c r="H7" s="1251"/>
      <c r="I7" s="1251"/>
      <c r="J7" s="1251"/>
      <c r="K7" s="1251"/>
      <c r="L7" s="1251"/>
      <c r="M7" s="1251"/>
      <c r="N7" s="1251"/>
      <c r="O7" s="1251"/>
    </row>
    <row r="8" spans="1:16" ht="16.2" thickBot="1" x14ac:dyDescent="0.35"/>
    <row r="9" spans="1:16" s="1" customFormat="1" x14ac:dyDescent="0.3">
      <c r="A9" s="4" t="s">
        <v>5</v>
      </c>
      <c r="B9" s="234"/>
      <c r="C9" s="232" t="s">
        <v>1503</v>
      </c>
      <c r="D9" s="230"/>
      <c r="E9" s="233"/>
      <c r="F9" s="229" t="s">
        <v>1481</v>
      </c>
      <c r="G9" s="230"/>
      <c r="H9" s="231"/>
      <c r="I9" s="232" t="s">
        <v>1482</v>
      </c>
      <c r="J9" s="230"/>
      <c r="K9" s="233"/>
      <c r="L9" s="234" t="s">
        <v>1483</v>
      </c>
      <c r="M9" s="232" t="s">
        <v>1484</v>
      </c>
      <c r="N9" s="230"/>
      <c r="O9" s="231"/>
      <c r="P9" s="4" t="s">
        <v>5</v>
      </c>
    </row>
    <row r="10" spans="1:16" s="1" customFormat="1" ht="16.2" thickBot="1" x14ac:dyDescent="0.35">
      <c r="A10" s="4" t="s">
        <v>6</v>
      </c>
      <c r="B10" s="533" t="s">
        <v>1485</v>
      </c>
      <c r="C10" s="538" t="s">
        <v>1453</v>
      </c>
      <c r="D10" s="535" t="s">
        <v>1454</v>
      </c>
      <c r="E10" s="536" t="s">
        <v>200</v>
      </c>
      <c r="F10" s="534" t="s">
        <v>1453</v>
      </c>
      <c r="G10" s="535" t="s">
        <v>1454</v>
      </c>
      <c r="H10" s="537" t="s">
        <v>200</v>
      </c>
      <c r="I10" s="538" t="s">
        <v>1453</v>
      </c>
      <c r="J10" s="535" t="s">
        <v>1454</v>
      </c>
      <c r="K10" s="536" t="s">
        <v>200</v>
      </c>
      <c r="L10" s="533" t="s">
        <v>1486</v>
      </c>
      <c r="M10" s="538" t="s">
        <v>1453</v>
      </c>
      <c r="N10" s="535" t="s">
        <v>1454</v>
      </c>
      <c r="O10" s="537" t="s">
        <v>200</v>
      </c>
      <c r="P10" s="4" t="s">
        <v>6</v>
      </c>
    </row>
    <row r="11" spans="1:16" s="1" customFormat="1" x14ac:dyDescent="0.3">
      <c r="A11" s="221"/>
      <c r="B11" s="234"/>
      <c r="C11" s="221"/>
      <c r="D11" s="461"/>
      <c r="E11" s="221"/>
      <c r="F11" s="511"/>
      <c r="G11" s="462"/>
      <c r="H11" s="542"/>
      <c r="I11" s="221"/>
      <c r="J11" s="461"/>
      <c r="K11" s="221"/>
      <c r="L11" s="539"/>
      <c r="M11" s="221"/>
      <c r="N11" s="461"/>
      <c r="O11" s="542"/>
      <c r="P11" s="221"/>
    </row>
    <row r="12" spans="1:16" x14ac:dyDescent="0.3">
      <c r="A12" s="4">
        <v>1</v>
      </c>
      <c r="B12" s="543">
        <f>'ET Forecast Capital Additions'!B11</f>
        <v>45313</v>
      </c>
      <c r="C12" s="222">
        <v>0</v>
      </c>
      <c r="D12" s="677">
        <v>0</v>
      </c>
      <c r="E12" s="123">
        <f t="shared" ref="E12:E35" si="0">C12+D12</f>
        <v>0</v>
      </c>
      <c r="F12" s="179">
        <f>C12*$H$42</f>
        <v>0</v>
      </c>
      <c r="G12" s="596">
        <f>D12*$H$42</f>
        <v>0</v>
      </c>
      <c r="H12" s="223">
        <f t="shared" ref="H12:H35" si="1">F12+G12</f>
        <v>0</v>
      </c>
      <c r="I12" s="59">
        <f>C12-F12</f>
        <v>0</v>
      </c>
      <c r="J12" s="235">
        <f>D12-G12</f>
        <v>0</v>
      </c>
      <c r="K12" s="123">
        <f t="shared" ref="K12:K35" si="2">I12+J12</f>
        <v>0</v>
      </c>
      <c r="L12" s="245">
        <f>'ET Forecast Capital Additions'!$L11</f>
        <v>1</v>
      </c>
      <c r="M12" s="59">
        <f t="shared" ref="M12:M35" si="3">I12*L12</f>
        <v>0</v>
      </c>
      <c r="N12" s="235">
        <f t="shared" ref="N12:N35" si="4">J12*L12</f>
        <v>0</v>
      </c>
      <c r="O12" s="596">
        <f t="shared" ref="O12:O35" si="5">M12+N12</f>
        <v>0</v>
      </c>
      <c r="P12" s="4">
        <f>A12</f>
        <v>1</v>
      </c>
    </row>
    <row r="13" spans="1:16" x14ac:dyDescent="0.3">
      <c r="A13" s="4">
        <f t="shared" ref="A13:A50" si="6">A12+1</f>
        <v>2</v>
      </c>
      <c r="B13" s="543">
        <f>'ET Forecast Capital Additions'!B12</f>
        <v>45344</v>
      </c>
      <c r="C13" s="224">
        <v>0</v>
      </c>
      <c r="D13" s="678">
        <v>0</v>
      </c>
      <c r="E13" s="128">
        <f t="shared" si="0"/>
        <v>0</v>
      </c>
      <c r="F13" s="181">
        <f t="shared" ref="F13:G35" si="7">C13*$H$42</f>
        <v>0</v>
      </c>
      <c r="G13" s="577">
        <f t="shared" si="7"/>
        <v>0</v>
      </c>
      <c r="H13" s="131">
        <f t="shared" si="1"/>
        <v>0</v>
      </c>
      <c r="I13" s="53">
        <f t="shared" ref="I13:J35" si="8">C13-F13</f>
        <v>0</v>
      </c>
      <c r="J13" s="236">
        <f t="shared" si="8"/>
        <v>0</v>
      </c>
      <c r="K13" s="128">
        <f t="shared" si="2"/>
        <v>0</v>
      </c>
      <c r="L13" s="245">
        <f>'ET Forecast Capital Additions'!$L12</f>
        <v>1</v>
      </c>
      <c r="M13" s="53">
        <f t="shared" si="3"/>
        <v>0</v>
      </c>
      <c r="N13" s="236">
        <f t="shared" si="4"/>
        <v>0</v>
      </c>
      <c r="O13" s="577">
        <f t="shared" si="5"/>
        <v>0</v>
      </c>
      <c r="P13" s="4">
        <f t="shared" ref="P13:P50" si="9">P12+1</f>
        <v>2</v>
      </c>
    </row>
    <row r="14" spans="1:16" x14ac:dyDescent="0.3">
      <c r="A14" s="4">
        <f t="shared" si="6"/>
        <v>3</v>
      </c>
      <c r="B14" s="543">
        <f>'ET Forecast Capital Additions'!B13</f>
        <v>45373</v>
      </c>
      <c r="C14" s="224">
        <v>0</v>
      </c>
      <c r="D14" s="678">
        <v>0</v>
      </c>
      <c r="E14" s="128">
        <f t="shared" si="0"/>
        <v>0</v>
      </c>
      <c r="F14" s="181">
        <f t="shared" si="7"/>
        <v>0</v>
      </c>
      <c r="G14" s="577">
        <f t="shared" si="7"/>
        <v>0</v>
      </c>
      <c r="H14" s="131">
        <f t="shared" si="1"/>
        <v>0</v>
      </c>
      <c r="I14" s="53">
        <f t="shared" si="8"/>
        <v>0</v>
      </c>
      <c r="J14" s="236">
        <f t="shared" si="8"/>
        <v>0</v>
      </c>
      <c r="K14" s="128">
        <f t="shared" si="2"/>
        <v>0</v>
      </c>
      <c r="L14" s="245">
        <f>'ET Forecast Capital Additions'!$L13</f>
        <v>1</v>
      </c>
      <c r="M14" s="53">
        <f t="shared" si="3"/>
        <v>0</v>
      </c>
      <c r="N14" s="236">
        <f t="shared" si="4"/>
        <v>0</v>
      </c>
      <c r="O14" s="577">
        <f t="shared" si="5"/>
        <v>0</v>
      </c>
      <c r="P14" s="4">
        <f t="shared" si="9"/>
        <v>3</v>
      </c>
    </row>
    <row r="15" spans="1:16" ht="16.2" thickBot="1" x14ac:dyDescent="0.35">
      <c r="A15" s="4">
        <f t="shared" si="6"/>
        <v>4</v>
      </c>
      <c r="B15" s="544">
        <f>'ET Forecast Capital Additions'!B14</f>
        <v>45404</v>
      </c>
      <c r="C15" s="225">
        <v>0</v>
      </c>
      <c r="D15" s="211">
        <v>0</v>
      </c>
      <c r="E15" s="183">
        <f t="shared" si="0"/>
        <v>0</v>
      </c>
      <c r="F15" s="184">
        <f t="shared" si="7"/>
        <v>0</v>
      </c>
      <c r="G15" s="186">
        <f t="shared" si="7"/>
        <v>0</v>
      </c>
      <c r="H15" s="216">
        <f t="shared" si="1"/>
        <v>0</v>
      </c>
      <c r="I15" s="187">
        <f t="shared" si="8"/>
        <v>0</v>
      </c>
      <c r="J15" s="185">
        <f t="shared" si="8"/>
        <v>0</v>
      </c>
      <c r="K15" s="183">
        <f t="shared" si="2"/>
        <v>0</v>
      </c>
      <c r="L15" s="246">
        <f>'ET Forecast Capital Additions'!$L14</f>
        <v>1</v>
      </c>
      <c r="M15" s="187">
        <f t="shared" si="3"/>
        <v>0</v>
      </c>
      <c r="N15" s="185">
        <f t="shared" si="4"/>
        <v>0</v>
      </c>
      <c r="O15" s="186">
        <f t="shared" si="5"/>
        <v>0</v>
      </c>
      <c r="P15" s="4">
        <f t="shared" si="9"/>
        <v>4</v>
      </c>
    </row>
    <row r="16" spans="1:16" x14ac:dyDescent="0.3">
      <c r="A16" s="4">
        <f t="shared" si="6"/>
        <v>5</v>
      </c>
      <c r="B16" s="543">
        <f>'ET Forecast Capital Additions'!B15</f>
        <v>45434</v>
      </c>
      <c r="C16" s="226">
        <v>0</v>
      </c>
      <c r="D16" s="188">
        <v>0</v>
      </c>
      <c r="E16" s="126">
        <f t="shared" si="0"/>
        <v>0</v>
      </c>
      <c r="F16" s="189">
        <f t="shared" si="7"/>
        <v>0</v>
      </c>
      <c r="G16" s="127">
        <f t="shared" si="7"/>
        <v>0</v>
      </c>
      <c r="H16" s="227">
        <f t="shared" si="1"/>
        <v>0</v>
      </c>
      <c r="I16" s="53">
        <f t="shared" si="8"/>
        <v>0</v>
      </c>
      <c r="J16" s="236">
        <f t="shared" si="8"/>
        <v>0</v>
      </c>
      <c r="K16" s="126">
        <f t="shared" si="2"/>
        <v>0</v>
      </c>
      <c r="L16" s="247">
        <f>'ET Forecast Capital Additions'!$L15</f>
        <v>1</v>
      </c>
      <c r="M16" s="53">
        <f t="shared" si="3"/>
        <v>0</v>
      </c>
      <c r="N16" s="236">
        <f t="shared" si="4"/>
        <v>0</v>
      </c>
      <c r="O16" s="127">
        <f t="shared" si="5"/>
        <v>0</v>
      </c>
      <c r="P16" s="4">
        <f t="shared" si="9"/>
        <v>5</v>
      </c>
    </row>
    <row r="17" spans="1:16" x14ac:dyDescent="0.3">
      <c r="A17" s="4">
        <f t="shared" si="6"/>
        <v>6</v>
      </c>
      <c r="B17" s="543">
        <f>'ET Forecast Capital Additions'!B16</f>
        <v>45465</v>
      </c>
      <c r="C17" s="224">
        <v>0</v>
      </c>
      <c r="D17" s="678">
        <v>0</v>
      </c>
      <c r="E17" s="128">
        <f t="shared" si="0"/>
        <v>0</v>
      </c>
      <c r="F17" s="181">
        <f t="shared" si="7"/>
        <v>0</v>
      </c>
      <c r="G17" s="577">
        <f t="shared" si="7"/>
        <v>0</v>
      </c>
      <c r="H17" s="131">
        <f t="shared" si="1"/>
        <v>0</v>
      </c>
      <c r="I17" s="53">
        <f t="shared" si="8"/>
        <v>0</v>
      </c>
      <c r="J17" s="236">
        <f t="shared" si="8"/>
        <v>0</v>
      </c>
      <c r="K17" s="128">
        <f t="shared" si="2"/>
        <v>0</v>
      </c>
      <c r="L17" s="245">
        <f>'ET Forecast Capital Additions'!$L16</f>
        <v>1</v>
      </c>
      <c r="M17" s="53">
        <f t="shared" si="3"/>
        <v>0</v>
      </c>
      <c r="N17" s="236">
        <f t="shared" si="4"/>
        <v>0</v>
      </c>
      <c r="O17" s="577">
        <f t="shared" si="5"/>
        <v>0</v>
      </c>
      <c r="P17" s="4">
        <f t="shared" si="9"/>
        <v>6</v>
      </c>
    </row>
    <row r="18" spans="1:16" x14ac:dyDescent="0.3">
      <c r="A18" s="4">
        <f t="shared" si="6"/>
        <v>7</v>
      </c>
      <c r="B18" s="543">
        <f>'ET Forecast Capital Additions'!B17</f>
        <v>45495</v>
      </c>
      <c r="C18" s="224">
        <v>0</v>
      </c>
      <c r="D18" s="678">
        <v>0</v>
      </c>
      <c r="E18" s="128">
        <f t="shared" si="0"/>
        <v>0</v>
      </c>
      <c r="F18" s="181">
        <f t="shared" si="7"/>
        <v>0</v>
      </c>
      <c r="G18" s="577">
        <f t="shared" si="7"/>
        <v>0</v>
      </c>
      <c r="H18" s="131">
        <f t="shared" si="1"/>
        <v>0</v>
      </c>
      <c r="I18" s="53">
        <f t="shared" si="8"/>
        <v>0</v>
      </c>
      <c r="J18" s="236">
        <f t="shared" si="8"/>
        <v>0</v>
      </c>
      <c r="K18" s="128">
        <f t="shared" si="2"/>
        <v>0</v>
      </c>
      <c r="L18" s="245">
        <f>'ET Forecast Capital Additions'!$L17</f>
        <v>1</v>
      </c>
      <c r="M18" s="53">
        <f t="shared" si="3"/>
        <v>0</v>
      </c>
      <c r="N18" s="236">
        <f t="shared" si="4"/>
        <v>0</v>
      </c>
      <c r="O18" s="577">
        <f t="shared" si="5"/>
        <v>0</v>
      </c>
      <c r="P18" s="4">
        <f t="shared" si="9"/>
        <v>7</v>
      </c>
    </row>
    <row r="19" spans="1:16" ht="16.2" thickBot="1" x14ac:dyDescent="0.35">
      <c r="A19" s="4">
        <f t="shared" si="6"/>
        <v>8</v>
      </c>
      <c r="B19" s="544">
        <f>'ET Forecast Capital Additions'!B18</f>
        <v>45526</v>
      </c>
      <c r="C19" s="225">
        <v>0</v>
      </c>
      <c r="D19" s="211">
        <v>0</v>
      </c>
      <c r="E19" s="183">
        <f t="shared" si="0"/>
        <v>0</v>
      </c>
      <c r="F19" s="184">
        <f t="shared" si="7"/>
        <v>0</v>
      </c>
      <c r="G19" s="186">
        <f t="shared" si="7"/>
        <v>0</v>
      </c>
      <c r="H19" s="216">
        <f t="shared" si="1"/>
        <v>0</v>
      </c>
      <c r="I19" s="187">
        <f t="shared" si="8"/>
        <v>0</v>
      </c>
      <c r="J19" s="185">
        <f t="shared" si="8"/>
        <v>0</v>
      </c>
      <c r="K19" s="183">
        <f t="shared" si="2"/>
        <v>0</v>
      </c>
      <c r="L19" s="246">
        <f>'ET Forecast Capital Additions'!$L18</f>
        <v>1</v>
      </c>
      <c r="M19" s="187">
        <f t="shared" si="3"/>
        <v>0</v>
      </c>
      <c r="N19" s="185">
        <f t="shared" si="4"/>
        <v>0</v>
      </c>
      <c r="O19" s="186">
        <f t="shared" si="5"/>
        <v>0</v>
      </c>
      <c r="P19" s="4">
        <f t="shared" si="9"/>
        <v>8</v>
      </c>
    </row>
    <row r="20" spans="1:16" x14ac:dyDescent="0.3">
      <c r="A20" s="4">
        <f t="shared" si="6"/>
        <v>9</v>
      </c>
      <c r="B20" s="543">
        <f>'ET Forecast Capital Additions'!B19</f>
        <v>45557</v>
      </c>
      <c r="C20" s="226">
        <v>0</v>
      </c>
      <c r="D20" s="188">
        <v>0</v>
      </c>
      <c r="E20" s="126">
        <f t="shared" si="0"/>
        <v>0</v>
      </c>
      <c r="F20" s="189">
        <f t="shared" si="7"/>
        <v>0</v>
      </c>
      <c r="G20" s="127">
        <f t="shared" si="7"/>
        <v>0</v>
      </c>
      <c r="H20" s="227">
        <f t="shared" si="1"/>
        <v>0</v>
      </c>
      <c r="I20" s="53">
        <f t="shared" si="8"/>
        <v>0</v>
      </c>
      <c r="J20" s="236">
        <f t="shared" si="8"/>
        <v>0</v>
      </c>
      <c r="K20" s="126">
        <f t="shared" si="2"/>
        <v>0</v>
      </c>
      <c r="L20" s="247">
        <f>'ET Forecast Capital Additions'!$L19</f>
        <v>1</v>
      </c>
      <c r="M20" s="53">
        <f t="shared" si="3"/>
        <v>0</v>
      </c>
      <c r="N20" s="236">
        <f t="shared" si="4"/>
        <v>0</v>
      </c>
      <c r="O20" s="127">
        <f t="shared" si="5"/>
        <v>0</v>
      </c>
      <c r="P20" s="4">
        <f t="shared" si="9"/>
        <v>9</v>
      </c>
    </row>
    <row r="21" spans="1:16" x14ac:dyDescent="0.3">
      <c r="A21" s="4">
        <f t="shared" si="6"/>
        <v>10</v>
      </c>
      <c r="B21" s="543">
        <f>'ET Forecast Capital Additions'!B20</f>
        <v>45587</v>
      </c>
      <c r="C21" s="224">
        <v>0</v>
      </c>
      <c r="D21" s="678">
        <v>0</v>
      </c>
      <c r="E21" s="128">
        <f t="shared" si="0"/>
        <v>0</v>
      </c>
      <c r="F21" s="181">
        <f t="shared" si="7"/>
        <v>0</v>
      </c>
      <c r="G21" s="577">
        <f t="shared" si="7"/>
        <v>0</v>
      </c>
      <c r="H21" s="131">
        <f t="shared" si="1"/>
        <v>0</v>
      </c>
      <c r="I21" s="53">
        <f t="shared" si="8"/>
        <v>0</v>
      </c>
      <c r="J21" s="236">
        <f t="shared" si="8"/>
        <v>0</v>
      </c>
      <c r="K21" s="128">
        <f t="shared" si="2"/>
        <v>0</v>
      </c>
      <c r="L21" s="245">
        <f>'ET Forecast Capital Additions'!$L20</f>
        <v>1</v>
      </c>
      <c r="M21" s="53">
        <f t="shared" si="3"/>
        <v>0</v>
      </c>
      <c r="N21" s="236">
        <f t="shared" si="4"/>
        <v>0</v>
      </c>
      <c r="O21" s="577">
        <f t="shared" si="5"/>
        <v>0</v>
      </c>
      <c r="P21" s="4">
        <f t="shared" si="9"/>
        <v>10</v>
      </c>
    </row>
    <row r="22" spans="1:16" x14ac:dyDescent="0.3">
      <c r="A22" s="4">
        <f t="shared" si="6"/>
        <v>11</v>
      </c>
      <c r="B22" s="543">
        <f>'ET Forecast Capital Additions'!B21</f>
        <v>45618</v>
      </c>
      <c r="C22" s="113">
        <v>0</v>
      </c>
      <c r="D22" s="678">
        <v>0</v>
      </c>
      <c r="E22" s="6">
        <f t="shared" si="0"/>
        <v>0</v>
      </c>
      <c r="F22" s="181">
        <f t="shared" si="7"/>
        <v>0</v>
      </c>
      <c r="G22" s="577">
        <f t="shared" si="7"/>
        <v>0</v>
      </c>
      <c r="H22" s="131">
        <f t="shared" si="1"/>
        <v>0</v>
      </c>
      <c r="I22" s="53">
        <f t="shared" si="8"/>
        <v>0</v>
      </c>
      <c r="J22" s="236">
        <f t="shared" si="8"/>
        <v>0</v>
      </c>
      <c r="K22" s="6">
        <f t="shared" si="2"/>
        <v>0</v>
      </c>
      <c r="L22" s="245">
        <f>'ET Forecast Capital Additions'!$L21</f>
        <v>1</v>
      </c>
      <c r="M22" s="53">
        <f t="shared" si="3"/>
        <v>0</v>
      </c>
      <c r="N22" s="236">
        <f t="shared" si="4"/>
        <v>0</v>
      </c>
      <c r="O22" s="131">
        <f t="shared" si="5"/>
        <v>0</v>
      </c>
      <c r="P22" s="4">
        <f t="shared" si="9"/>
        <v>11</v>
      </c>
    </row>
    <row r="23" spans="1:16" ht="16.2" thickBot="1" x14ac:dyDescent="0.35">
      <c r="A23" s="4">
        <f t="shared" si="6"/>
        <v>12</v>
      </c>
      <c r="B23" s="544">
        <f>'ET Forecast Capital Additions'!B22</f>
        <v>45648</v>
      </c>
      <c r="C23" s="225">
        <v>0</v>
      </c>
      <c r="D23" s="211">
        <v>0</v>
      </c>
      <c r="E23" s="183">
        <f t="shared" si="0"/>
        <v>0</v>
      </c>
      <c r="F23" s="184">
        <f t="shared" si="7"/>
        <v>0</v>
      </c>
      <c r="G23" s="186">
        <f t="shared" si="7"/>
        <v>0</v>
      </c>
      <c r="H23" s="216">
        <f t="shared" si="1"/>
        <v>0</v>
      </c>
      <c r="I23" s="187">
        <f t="shared" si="8"/>
        <v>0</v>
      </c>
      <c r="J23" s="185">
        <f t="shared" si="8"/>
        <v>0</v>
      </c>
      <c r="K23" s="183">
        <f t="shared" si="2"/>
        <v>0</v>
      </c>
      <c r="L23" s="246">
        <f>'ET Forecast Capital Additions'!$L22</f>
        <v>1</v>
      </c>
      <c r="M23" s="187">
        <f t="shared" si="3"/>
        <v>0</v>
      </c>
      <c r="N23" s="185">
        <f t="shared" si="4"/>
        <v>0</v>
      </c>
      <c r="O23" s="186">
        <f t="shared" si="5"/>
        <v>0</v>
      </c>
      <c r="P23" s="4">
        <f t="shared" si="9"/>
        <v>12</v>
      </c>
    </row>
    <row r="24" spans="1:16" x14ac:dyDescent="0.3">
      <c r="A24" s="4">
        <f t="shared" si="6"/>
        <v>13</v>
      </c>
      <c r="B24" s="543">
        <f>'ET Forecast Capital Additions'!B23</f>
        <v>45679</v>
      </c>
      <c r="C24" s="226">
        <v>0</v>
      </c>
      <c r="D24" s="188">
        <v>0</v>
      </c>
      <c r="E24" s="126">
        <f t="shared" si="0"/>
        <v>0</v>
      </c>
      <c r="F24" s="189">
        <f t="shared" si="7"/>
        <v>0</v>
      </c>
      <c r="G24" s="127">
        <f t="shared" si="7"/>
        <v>0</v>
      </c>
      <c r="H24" s="227">
        <f t="shared" si="1"/>
        <v>0</v>
      </c>
      <c r="I24" s="53">
        <f t="shared" si="8"/>
        <v>0</v>
      </c>
      <c r="J24" s="236">
        <f t="shared" si="8"/>
        <v>0</v>
      </c>
      <c r="K24" s="126">
        <f t="shared" si="2"/>
        <v>0</v>
      </c>
      <c r="L24" s="247">
        <f>'ET Forecast Capital Additions'!$L23</f>
        <v>1</v>
      </c>
      <c r="M24" s="53">
        <f t="shared" si="3"/>
        <v>0</v>
      </c>
      <c r="N24" s="236">
        <f t="shared" si="4"/>
        <v>0</v>
      </c>
      <c r="O24" s="127">
        <f t="shared" si="5"/>
        <v>0</v>
      </c>
      <c r="P24" s="4">
        <f t="shared" si="9"/>
        <v>13</v>
      </c>
    </row>
    <row r="25" spans="1:16" x14ac:dyDescent="0.3">
      <c r="A25" s="4">
        <f t="shared" si="6"/>
        <v>14</v>
      </c>
      <c r="B25" s="543">
        <f>'ET Forecast Capital Additions'!B24</f>
        <v>45710</v>
      </c>
      <c r="C25" s="224">
        <v>0</v>
      </c>
      <c r="D25" s="678">
        <v>0</v>
      </c>
      <c r="E25" s="128">
        <f t="shared" si="0"/>
        <v>0</v>
      </c>
      <c r="F25" s="181">
        <f t="shared" si="7"/>
        <v>0</v>
      </c>
      <c r="G25" s="577">
        <f t="shared" si="7"/>
        <v>0</v>
      </c>
      <c r="H25" s="131">
        <f t="shared" si="1"/>
        <v>0</v>
      </c>
      <c r="I25" s="53">
        <f t="shared" si="8"/>
        <v>0</v>
      </c>
      <c r="J25" s="236">
        <f t="shared" si="8"/>
        <v>0</v>
      </c>
      <c r="K25" s="128">
        <f t="shared" si="2"/>
        <v>0</v>
      </c>
      <c r="L25" s="245">
        <f>'ET Forecast Capital Additions'!$L24</f>
        <v>0.91666666666666663</v>
      </c>
      <c r="M25" s="53">
        <f t="shared" si="3"/>
        <v>0</v>
      </c>
      <c r="N25" s="236">
        <f t="shared" si="4"/>
        <v>0</v>
      </c>
      <c r="O25" s="577">
        <f t="shared" si="5"/>
        <v>0</v>
      </c>
      <c r="P25" s="4">
        <f t="shared" si="9"/>
        <v>14</v>
      </c>
    </row>
    <row r="26" spans="1:16" x14ac:dyDescent="0.3">
      <c r="A26" s="4">
        <f t="shared" si="6"/>
        <v>15</v>
      </c>
      <c r="B26" s="543">
        <f>'ET Forecast Capital Additions'!B25</f>
        <v>45738</v>
      </c>
      <c r="C26" s="224">
        <v>0</v>
      </c>
      <c r="D26" s="678">
        <v>0</v>
      </c>
      <c r="E26" s="128">
        <f t="shared" si="0"/>
        <v>0</v>
      </c>
      <c r="F26" s="181">
        <f t="shared" si="7"/>
        <v>0</v>
      </c>
      <c r="G26" s="577">
        <f t="shared" si="7"/>
        <v>0</v>
      </c>
      <c r="H26" s="131">
        <f t="shared" si="1"/>
        <v>0</v>
      </c>
      <c r="I26" s="53">
        <f t="shared" si="8"/>
        <v>0</v>
      </c>
      <c r="J26" s="236">
        <f t="shared" si="8"/>
        <v>0</v>
      </c>
      <c r="K26" s="128">
        <f t="shared" si="2"/>
        <v>0</v>
      </c>
      <c r="L26" s="245">
        <f>'ET Forecast Capital Additions'!$L25</f>
        <v>0.83333333333333337</v>
      </c>
      <c r="M26" s="53">
        <f t="shared" si="3"/>
        <v>0</v>
      </c>
      <c r="N26" s="236">
        <f t="shared" si="4"/>
        <v>0</v>
      </c>
      <c r="O26" s="577">
        <f t="shared" si="5"/>
        <v>0</v>
      </c>
      <c r="P26" s="4">
        <f t="shared" si="9"/>
        <v>15</v>
      </c>
    </row>
    <row r="27" spans="1:16" ht="16.2" thickBot="1" x14ac:dyDescent="0.35">
      <c r="A27" s="4">
        <f t="shared" si="6"/>
        <v>16</v>
      </c>
      <c r="B27" s="544">
        <f>'ET Forecast Capital Additions'!B26</f>
        <v>45769</v>
      </c>
      <c r="C27" s="225">
        <v>0</v>
      </c>
      <c r="D27" s="211">
        <v>0</v>
      </c>
      <c r="E27" s="183">
        <f t="shared" si="0"/>
        <v>0</v>
      </c>
      <c r="F27" s="184">
        <f t="shared" si="7"/>
        <v>0</v>
      </c>
      <c r="G27" s="186">
        <f t="shared" si="7"/>
        <v>0</v>
      </c>
      <c r="H27" s="216">
        <f t="shared" si="1"/>
        <v>0</v>
      </c>
      <c r="I27" s="187">
        <f t="shared" si="8"/>
        <v>0</v>
      </c>
      <c r="J27" s="185">
        <f t="shared" si="8"/>
        <v>0</v>
      </c>
      <c r="K27" s="183">
        <f t="shared" si="2"/>
        <v>0</v>
      </c>
      <c r="L27" s="246">
        <f>'ET Forecast Capital Additions'!$L26</f>
        <v>0.75</v>
      </c>
      <c r="M27" s="187">
        <f t="shared" si="3"/>
        <v>0</v>
      </c>
      <c r="N27" s="185">
        <f t="shared" si="4"/>
        <v>0</v>
      </c>
      <c r="O27" s="186">
        <f t="shared" si="5"/>
        <v>0</v>
      </c>
      <c r="P27" s="4">
        <f t="shared" si="9"/>
        <v>16</v>
      </c>
    </row>
    <row r="28" spans="1:16" x14ac:dyDescent="0.3">
      <c r="A28" s="4">
        <f t="shared" si="6"/>
        <v>17</v>
      </c>
      <c r="B28" s="543">
        <f>'ET Forecast Capital Additions'!B27</f>
        <v>45799</v>
      </c>
      <c r="C28" s="113">
        <v>0</v>
      </c>
      <c r="D28" s="678">
        <v>0</v>
      </c>
      <c r="E28" s="6">
        <f t="shared" si="0"/>
        <v>0</v>
      </c>
      <c r="F28" s="189">
        <f t="shared" si="7"/>
        <v>0</v>
      </c>
      <c r="G28" s="127">
        <f t="shared" si="7"/>
        <v>0</v>
      </c>
      <c r="H28" s="131">
        <f t="shared" si="1"/>
        <v>0</v>
      </c>
      <c r="I28" s="53">
        <f t="shared" si="8"/>
        <v>0</v>
      </c>
      <c r="J28" s="236">
        <f t="shared" si="8"/>
        <v>0</v>
      </c>
      <c r="K28" s="6">
        <f t="shared" si="2"/>
        <v>0</v>
      </c>
      <c r="L28" s="247">
        <f>'ET Forecast Capital Additions'!$L27</f>
        <v>0.66666666666666663</v>
      </c>
      <c r="M28" s="53">
        <f t="shared" si="3"/>
        <v>0</v>
      </c>
      <c r="N28" s="236">
        <f t="shared" si="4"/>
        <v>0</v>
      </c>
      <c r="O28" s="131">
        <f t="shared" si="5"/>
        <v>0</v>
      </c>
      <c r="P28" s="4">
        <f t="shared" si="9"/>
        <v>17</v>
      </c>
    </row>
    <row r="29" spans="1:16" x14ac:dyDescent="0.3">
      <c r="A29" s="4">
        <f t="shared" si="6"/>
        <v>18</v>
      </c>
      <c r="B29" s="543">
        <f>'ET Forecast Capital Additions'!B28</f>
        <v>45830</v>
      </c>
      <c r="C29" s="224">
        <v>0</v>
      </c>
      <c r="D29" s="678">
        <v>0</v>
      </c>
      <c r="E29" s="128">
        <f t="shared" si="0"/>
        <v>0</v>
      </c>
      <c r="F29" s="181">
        <f t="shared" si="7"/>
        <v>0</v>
      </c>
      <c r="G29" s="577">
        <f t="shared" si="7"/>
        <v>0</v>
      </c>
      <c r="H29" s="131">
        <f t="shared" si="1"/>
        <v>0</v>
      </c>
      <c r="I29" s="53">
        <f t="shared" si="8"/>
        <v>0</v>
      </c>
      <c r="J29" s="236">
        <f t="shared" si="8"/>
        <v>0</v>
      </c>
      <c r="K29" s="128">
        <f t="shared" si="2"/>
        <v>0</v>
      </c>
      <c r="L29" s="245">
        <f>'ET Forecast Capital Additions'!$L28</f>
        <v>0.58333333333333337</v>
      </c>
      <c r="M29" s="53">
        <f t="shared" si="3"/>
        <v>0</v>
      </c>
      <c r="N29" s="236">
        <f t="shared" si="4"/>
        <v>0</v>
      </c>
      <c r="O29" s="577">
        <f t="shared" si="5"/>
        <v>0</v>
      </c>
      <c r="P29" s="4">
        <f t="shared" si="9"/>
        <v>18</v>
      </c>
    </row>
    <row r="30" spans="1:16" x14ac:dyDescent="0.3">
      <c r="A30" s="4">
        <f t="shared" si="6"/>
        <v>19</v>
      </c>
      <c r="B30" s="543">
        <f>'ET Forecast Capital Additions'!B29</f>
        <v>45860</v>
      </c>
      <c r="C30" s="224">
        <v>0</v>
      </c>
      <c r="D30" s="678">
        <v>0</v>
      </c>
      <c r="E30" s="128">
        <f t="shared" si="0"/>
        <v>0</v>
      </c>
      <c r="F30" s="181">
        <f t="shared" si="7"/>
        <v>0</v>
      </c>
      <c r="G30" s="577">
        <f t="shared" si="7"/>
        <v>0</v>
      </c>
      <c r="H30" s="131">
        <f t="shared" si="1"/>
        <v>0</v>
      </c>
      <c r="I30" s="53">
        <f t="shared" si="8"/>
        <v>0</v>
      </c>
      <c r="J30" s="236">
        <f t="shared" si="8"/>
        <v>0</v>
      </c>
      <c r="K30" s="128">
        <f t="shared" si="2"/>
        <v>0</v>
      </c>
      <c r="L30" s="245">
        <f>'ET Forecast Capital Additions'!$L29</f>
        <v>0.5</v>
      </c>
      <c r="M30" s="53">
        <f t="shared" si="3"/>
        <v>0</v>
      </c>
      <c r="N30" s="236">
        <f t="shared" si="4"/>
        <v>0</v>
      </c>
      <c r="O30" s="577">
        <f t="shared" si="5"/>
        <v>0</v>
      </c>
      <c r="P30" s="4">
        <f t="shared" si="9"/>
        <v>19</v>
      </c>
    </row>
    <row r="31" spans="1:16" ht="16.2" thickBot="1" x14ac:dyDescent="0.35">
      <c r="A31" s="4">
        <f t="shared" si="6"/>
        <v>20</v>
      </c>
      <c r="B31" s="544">
        <f>'ET Forecast Capital Additions'!B30</f>
        <v>45891</v>
      </c>
      <c r="C31" s="225">
        <v>0</v>
      </c>
      <c r="D31" s="211">
        <v>0</v>
      </c>
      <c r="E31" s="183">
        <f t="shared" si="0"/>
        <v>0</v>
      </c>
      <c r="F31" s="184">
        <f t="shared" si="7"/>
        <v>0</v>
      </c>
      <c r="G31" s="186">
        <f t="shared" si="7"/>
        <v>0</v>
      </c>
      <c r="H31" s="216">
        <f t="shared" si="1"/>
        <v>0</v>
      </c>
      <c r="I31" s="187">
        <f t="shared" si="8"/>
        <v>0</v>
      </c>
      <c r="J31" s="185">
        <f t="shared" si="8"/>
        <v>0</v>
      </c>
      <c r="K31" s="183">
        <f t="shared" si="2"/>
        <v>0</v>
      </c>
      <c r="L31" s="246">
        <f>'ET Forecast Capital Additions'!$L30</f>
        <v>0.41666666666666669</v>
      </c>
      <c r="M31" s="187">
        <f t="shared" si="3"/>
        <v>0</v>
      </c>
      <c r="N31" s="185">
        <f t="shared" si="4"/>
        <v>0</v>
      </c>
      <c r="O31" s="186">
        <f t="shared" si="5"/>
        <v>0</v>
      </c>
      <c r="P31" s="4">
        <f t="shared" si="9"/>
        <v>20</v>
      </c>
    </row>
    <row r="32" spans="1:16" x14ac:dyDescent="0.3">
      <c r="A32" s="4">
        <f t="shared" si="6"/>
        <v>21</v>
      </c>
      <c r="B32" s="543">
        <f>'ET Forecast Capital Additions'!B31</f>
        <v>45922</v>
      </c>
      <c r="C32" s="224">
        <v>0</v>
      </c>
      <c r="D32" s="678">
        <v>0</v>
      </c>
      <c r="E32" s="128">
        <f t="shared" si="0"/>
        <v>0</v>
      </c>
      <c r="F32" s="181">
        <f t="shared" si="7"/>
        <v>0</v>
      </c>
      <c r="G32" s="236">
        <f t="shared" si="7"/>
        <v>0</v>
      </c>
      <c r="H32" s="577">
        <f t="shared" si="1"/>
        <v>0</v>
      </c>
      <c r="I32" s="53">
        <f t="shared" si="8"/>
        <v>0</v>
      </c>
      <c r="J32" s="236">
        <f t="shared" si="8"/>
        <v>0</v>
      </c>
      <c r="K32" s="128">
        <f t="shared" si="2"/>
        <v>0</v>
      </c>
      <c r="L32" s="247">
        <f>'ET Forecast Capital Additions'!$L31</f>
        <v>0.33333333333333331</v>
      </c>
      <c r="M32" s="53">
        <f t="shared" si="3"/>
        <v>0</v>
      </c>
      <c r="N32" s="236">
        <f t="shared" si="4"/>
        <v>0</v>
      </c>
      <c r="O32" s="577">
        <f t="shared" si="5"/>
        <v>0</v>
      </c>
      <c r="P32" s="4">
        <f t="shared" si="9"/>
        <v>21</v>
      </c>
    </row>
    <row r="33" spans="1:18" x14ac:dyDescent="0.3">
      <c r="A33" s="4">
        <f t="shared" si="6"/>
        <v>22</v>
      </c>
      <c r="B33" s="543">
        <f>'ET Forecast Capital Additions'!B32</f>
        <v>45952</v>
      </c>
      <c r="C33" s="113">
        <v>0</v>
      </c>
      <c r="D33" s="678">
        <v>0</v>
      </c>
      <c r="E33" s="6">
        <f t="shared" si="0"/>
        <v>0</v>
      </c>
      <c r="F33" s="181">
        <f t="shared" si="7"/>
        <v>0</v>
      </c>
      <c r="G33" s="236">
        <f t="shared" si="7"/>
        <v>0</v>
      </c>
      <c r="H33" s="131">
        <f t="shared" si="1"/>
        <v>0</v>
      </c>
      <c r="I33" s="53">
        <f t="shared" si="8"/>
        <v>0</v>
      </c>
      <c r="J33" s="236">
        <f t="shared" si="8"/>
        <v>0</v>
      </c>
      <c r="K33" s="6">
        <f t="shared" si="2"/>
        <v>0</v>
      </c>
      <c r="L33" s="245">
        <f>'ET Forecast Capital Additions'!$L32</f>
        <v>0.25</v>
      </c>
      <c r="M33" s="53">
        <f t="shared" si="3"/>
        <v>0</v>
      </c>
      <c r="N33" s="236">
        <f t="shared" si="4"/>
        <v>0</v>
      </c>
      <c r="O33" s="131">
        <f t="shared" si="5"/>
        <v>0</v>
      </c>
      <c r="P33" s="4">
        <f t="shared" si="9"/>
        <v>22</v>
      </c>
    </row>
    <row r="34" spans="1:18" x14ac:dyDescent="0.3">
      <c r="A34" s="4">
        <f t="shared" si="6"/>
        <v>23</v>
      </c>
      <c r="B34" s="543">
        <f>'ET Forecast Capital Additions'!B33</f>
        <v>45983</v>
      </c>
      <c r="C34" s="224">
        <v>0</v>
      </c>
      <c r="D34" s="678">
        <v>0</v>
      </c>
      <c r="E34" s="128">
        <f t="shared" si="0"/>
        <v>0</v>
      </c>
      <c r="F34" s="181">
        <f t="shared" si="7"/>
        <v>0</v>
      </c>
      <c r="G34" s="236">
        <f t="shared" si="7"/>
        <v>0</v>
      </c>
      <c r="H34" s="577">
        <f t="shared" si="1"/>
        <v>0</v>
      </c>
      <c r="I34" s="53">
        <f t="shared" si="8"/>
        <v>0</v>
      </c>
      <c r="J34" s="236">
        <f t="shared" si="8"/>
        <v>0</v>
      </c>
      <c r="K34" s="128">
        <f t="shared" si="2"/>
        <v>0</v>
      </c>
      <c r="L34" s="245">
        <f>'ET Forecast Capital Additions'!$L33</f>
        <v>0.16666666666666666</v>
      </c>
      <c r="M34" s="53">
        <f t="shared" si="3"/>
        <v>0</v>
      </c>
      <c r="N34" s="236">
        <f t="shared" si="4"/>
        <v>0</v>
      </c>
      <c r="O34" s="577">
        <f t="shared" si="5"/>
        <v>0</v>
      </c>
      <c r="P34" s="4">
        <f t="shared" si="9"/>
        <v>23</v>
      </c>
    </row>
    <row r="35" spans="1:18" ht="16.2" thickBot="1" x14ac:dyDescent="0.35">
      <c r="A35" s="4">
        <f t="shared" si="6"/>
        <v>24</v>
      </c>
      <c r="B35" s="543">
        <f>'ET Forecast Capital Additions'!B34</f>
        <v>46013</v>
      </c>
      <c r="C35" s="224">
        <v>0</v>
      </c>
      <c r="D35" s="678">
        <v>0</v>
      </c>
      <c r="E35" s="128">
        <f t="shared" si="0"/>
        <v>0</v>
      </c>
      <c r="F35" s="181">
        <f t="shared" si="7"/>
        <v>0</v>
      </c>
      <c r="G35" s="236">
        <f t="shared" si="7"/>
        <v>0</v>
      </c>
      <c r="H35" s="577">
        <f t="shared" si="1"/>
        <v>0</v>
      </c>
      <c r="I35" s="187">
        <f t="shared" si="8"/>
        <v>0</v>
      </c>
      <c r="J35" s="185">
        <f t="shared" si="8"/>
        <v>0</v>
      </c>
      <c r="K35" s="128">
        <f t="shared" si="2"/>
        <v>0</v>
      </c>
      <c r="L35" s="245">
        <f>'ET Forecast Capital Additions'!$L34</f>
        <v>8.3333333333333329E-2</v>
      </c>
      <c r="M35" s="187">
        <f t="shared" si="3"/>
        <v>0</v>
      </c>
      <c r="N35" s="185">
        <f t="shared" si="4"/>
        <v>0</v>
      </c>
      <c r="O35" s="577">
        <f t="shared" si="5"/>
        <v>0</v>
      </c>
      <c r="P35" s="4">
        <f t="shared" si="9"/>
        <v>24</v>
      </c>
      <c r="R35" s="431"/>
    </row>
    <row r="36" spans="1:18" ht="16.2" thickBot="1" x14ac:dyDescent="0.35">
      <c r="A36" s="4">
        <f t="shared" si="6"/>
        <v>25</v>
      </c>
      <c r="B36" s="545" t="s">
        <v>200</v>
      </c>
      <c r="C36" s="195">
        <f t="shared" ref="C36:K36" si="10">SUM(C12:C35)</f>
        <v>0</v>
      </c>
      <c r="D36" s="192">
        <f t="shared" si="10"/>
        <v>0</v>
      </c>
      <c r="E36" s="193">
        <f t="shared" si="10"/>
        <v>0</v>
      </c>
      <c r="F36" s="191">
        <f t="shared" si="10"/>
        <v>0</v>
      </c>
      <c r="G36" s="192">
        <f t="shared" si="10"/>
        <v>0</v>
      </c>
      <c r="H36" s="194">
        <f t="shared" si="10"/>
        <v>0</v>
      </c>
      <c r="I36" s="195">
        <f t="shared" si="10"/>
        <v>0</v>
      </c>
      <c r="J36" s="192">
        <f t="shared" si="10"/>
        <v>0</v>
      </c>
      <c r="K36" s="193">
        <f t="shared" si="10"/>
        <v>0</v>
      </c>
      <c r="L36" s="196"/>
      <c r="M36" s="195">
        <f>SUM(M12:M35)</f>
        <v>0</v>
      </c>
      <c r="N36" s="192">
        <f>SUM(N12:N35)</f>
        <v>0</v>
      </c>
      <c r="O36" s="194">
        <f>SUM(O12:O35)</f>
        <v>0</v>
      </c>
      <c r="P36" s="4">
        <f t="shared" si="9"/>
        <v>25</v>
      </c>
    </row>
    <row r="37" spans="1:18" x14ac:dyDescent="0.3">
      <c r="A37" s="4">
        <f>A36+1</f>
        <v>26</v>
      </c>
      <c r="B37" s="519"/>
      <c r="C37" s="6"/>
      <c r="D37" s="6"/>
      <c r="E37" s="546"/>
      <c r="H37" s="6"/>
      <c r="K37" s="6"/>
      <c r="O37" s="131"/>
      <c r="P37" s="4">
        <f>P36+1</f>
        <v>26</v>
      </c>
    </row>
    <row r="38" spans="1:18" s="417" customFormat="1" x14ac:dyDescent="0.3">
      <c r="A38" s="4">
        <f>A37+1</f>
        <v>27</v>
      </c>
      <c r="B38" s="547"/>
      <c r="E38" s="32" t="s">
        <v>1487</v>
      </c>
      <c r="F38" s="548"/>
      <c r="G38" s="548"/>
      <c r="H38" s="28">
        <f>'ET Forecast Capital Additions'!H37</f>
        <v>17819.405999999999</v>
      </c>
      <c r="I38" s="197"/>
      <c r="J38" s="32" t="str">
        <f>'ET Forecast Capital Additions'!J37</f>
        <v>Form 1; Page 204-207; Line 58; Col. d</v>
      </c>
      <c r="K38" s="197"/>
      <c r="O38" s="549"/>
      <c r="P38" s="4">
        <f>P37+1</f>
        <v>27</v>
      </c>
      <c r="Q38" s="32"/>
    </row>
    <row r="39" spans="1:18" s="417" customFormat="1" x14ac:dyDescent="0.3">
      <c r="A39" s="4">
        <f>A38+1</f>
        <v>28</v>
      </c>
      <c r="B39" s="547"/>
      <c r="E39" s="32"/>
      <c r="F39" s="548"/>
      <c r="G39" s="548"/>
      <c r="H39" s="6"/>
      <c r="I39" s="197"/>
      <c r="J39" s="32"/>
      <c r="K39" s="197"/>
      <c r="O39" s="549"/>
      <c r="P39" s="4">
        <f>P38+1</f>
        <v>28</v>
      </c>
    </row>
    <row r="40" spans="1:18" s="417" customFormat="1" x14ac:dyDescent="0.3">
      <c r="A40" s="4">
        <f t="shared" ref="A40:A47" si="11">A39+1</f>
        <v>29</v>
      </c>
      <c r="B40" s="547"/>
      <c r="E40" s="32" t="s">
        <v>1489</v>
      </c>
      <c r="F40" s="548"/>
      <c r="G40" s="548"/>
      <c r="H40" s="919">
        <f>'ET Forecast Capital Additions'!H39</f>
        <v>8390028.6160000004</v>
      </c>
      <c r="I40" s="197"/>
      <c r="J40" s="32" t="str">
        <f>'ET Forecast Capital Additions'!J39</f>
        <v>Form 1; Page 204-207; Line 58; Col. g</v>
      </c>
      <c r="K40" s="197"/>
      <c r="O40" s="549"/>
      <c r="P40" s="4">
        <f t="shared" ref="P40:P42" si="12">P39+1</f>
        <v>29</v>
      </c>
    </row>
    <row r="41" spans="1:18" ht="16.2" thickBot="1" x14ac:dyDescent="0.35">
      <c r="A41" s="4">
        <f t="shared" si="11"/>
        <v>30</v>
      </c>
      <c r="B41" s="519"/>
      <c r="E41" s="1"/>
      <c r="F41" s="1"/>
      <c r="G41" s="1"/>
      <c r="O41" s="384"/>
      <c r="P41" s="4">
        <f t="shared" si="12"/>
        <v>30</v>
      </c>
      <c r="Q41" s="417"/>
      <c r="R41" s="417"/>
    </row>
    <row r="42" spans="1:18" ht="16.2" thickBot="1" x14ac:dyDescent="0.35">
      <c r="A42" s="4">
        <f t="shared" si="11"/>
        <v>31</v>
      </c>
      <c r="B42" s="519"/>
      <c r="E42" s="1" t="s">
        <v>1491</v>
      </c>
      <c r="H42" s="198">
        <f>IFERROR(H38/H40,0)</f>
        <v>2.1238790492344607E-3</v>
      </c>
      <c r="J42" s="32" t="s">
        <v>1492</v>
      </c>
      <c r="K42" s="48"/>
      <c r="O42" s="384"/>
      <c r="P42" s="4">
        <f t="shared" si="12"/>
        <v>31</v>
      </c>
    </row>
    <row r="43" spans="1:18" ht="16.2" thickBot="1" x14ac:dyDescent="0.35">
      <c r="A43" s="4">
        <f t="shared" si="11"/>
        <v>32</v>
      </c>
      <c r="B43" s="550"/>
      <c r="C43" s="866"/>
      <c r="D43" s="866"/>
      <c r="E43" s="898"/>
      <c r="F43" s="866"/>
      <c r="G43" s="866"/>
      <c r="H43" s="1083"/>
      <c r="I43" s="866"/>
      <c r="J43" s="866"/>
      <c r="K43" s="866"/>
      <c r="L43" s="866"/>
      <c r="M43" s="866"/>
      <c r="N43" s="866"/>
      <c r="O43" s="199"/>
      <c r="P43" s="4">
        <f t="shared" si="9"/>
        <v>32</v>
      </c>
      <c r="Q43" s="417"/>
    </row>
    <row r="44" spans="1:18" ht="16.2" thickBot="1" x14ac:dyDescent="0.35">
      <c r="A44" s="4">
        <f t="shared" si="11"/>
        <v>33</v>
      </c>
      <c r="B44" s="519"/>
      <c r="E44" s="6"/>
      <c r="K44" s="6" t="s">
        <v>1</v>
      </c>
      <c r="M44" s="48"/>
      <c r="N44" s="48"/>
      <c r="O44" s="551"/>
      <c r="P44" s="4">
        <f t="shared" si="9"/>
        <v>33</v>
      </c>
      <c r="Q44" s="417"/>
    </row>
    <row r="45" spans="1:18" ht="16.2" thickBot="1" x14ac:dyDescent="0.35">
      <c r="A45" s="4">
        <f t="shared" si="11"/>
        <v>34</v>
      </c>
      <c r="B45" s="552"/>
      <c r="D45" s="254"/>
      <c r="E45" s="553"/>
      <c r="F45" s="1084"/>
      <c r="G45" s="1085"/>
      <c r="H45" s="1085" t="s">
        <v>1493</v>
      </c>
      <c r="I45" s="554" t="s">
        <v>1494</v>
      </c>
      <c r="J45" s="555" t="s">
        <v>1495</v>
      </c>
      <c r="K45" s="556" t="s">
        <v>1452</v>
      </c>
      <c r="L45" s="1"/>
      <c r="M45" s="557" t="s">
        <v>1455</v>
      </c>
      <c r="N45" s="558" t="s">
        <v>1456</v>
      </c>
      <c r="O45" s="559" t="s">
        <v>1496</v>
      </c>
      <c r="P45" s="4">
        <f t="shared" si="9"/>
        <v>34</v>
      </c>
      <c r="Q45" s="417"/>
    </row>
    <row r="46" spans="1:18" ht="16.2" thickBot="1" x14ac:dyDescent="0.35">
      <c r="A46" s="4">
        <f t="shared" si="11"/>
        <v>35</v>
      </c>
      <c r="B46" s="519"/>
      <c r="E46" s="560"/>
      <c r="F46" s="367"/>
      <c r="G46" s="561"/>
      <c r="H46" s="561" t="s">
        <v>1497</v>
      </c>
      <c r="I46" s="200">
        <f>+I36</f>
        <v>0</v>
      </c>
      <c r="J46" s="200">
        <f>+J36</f>
        <v>0</v>
      </c>
      <c r="K46" s="200">
        <f>+K36</f>
        <v>0</v>
      </c>
      <c r="L46" s="44"/>
      <c r="M46" s="200">
        <f>+M36</f>
        <v>0</v>
      </c>
      <c r="N46" s="200">
        <f>+N36</f>
        <v>0</v>
      </c>
      <c r="O46" s="200">
        <f>+O36</f>
        <v>0</v>
      </c>
      <c r="P46" s="4">
        <f t="shared" si="9"/>
        <v>35</v>
      </c>
    </row>
    <row r="47" spans="1:18" ht="16.2" thickTop="1" x14ac:dyDescent="0.3">
      <c r="A47" s="4">
        <f t="shared" si="11"/>
        <v>36</v>
      </c>
      <c r="B47" s="519"/>
      <c r="E47" s="519"/>
      <c r="G47" s="29"/>
      <c r="H47" s="29"/>
      <c r="I47" s="220"/>
      <c r="J47" s="220"/>
      <c r="K47" s="220"/>
      <c r="M47" s="220"/>
      <c r="N47" s="220"/>
      <c r="O47" s="220"/>
      <c r="P47" s="4">
        <f t="shared" si="9"/>
        <v>36</v>
      </c>
    </row>
    <row r="48" spans="1:18" ht="16.2" thickBot="1" x14ac:dyDescent="0.35">
      <c r="A48" s="4">
        <f>A47+1</f>
        <v>37</v>
      </c>
      <c r="B48" s="519"/>
      <c r="E48" s="519"/>
      <c r="G48" s="29"/>
      <c r="H48" s="475" t="s">
        <v>1498</v>
      </c>
      <c r="I48" s="204">
        <f>IFERROR((+I46/K46),0)</f>
        <v>0</v>
      </c>
      <c r="J48" s="204">
        <f>IFERROR((+J46/K46),0)</f>
        <v>0</v>
      </c>
      <c r="K48" s="204">
        <f>I48+J48</f>
        <v>0</v>
      </c>
      <c r="L48" s="1"/>
      <c r="M48" s="204">
        <f>IFERROR((+M46/O46),0)</f>
        <v>0</v>
      </c>
      <c r="N48" s="204">
        <f>IFERROR((+N46/O46),0)</f>
        <v>0</v>
      </c>
      <c r="O48" s="204">
        <f>M48+N48</f>
        <v>0</v>
      </c>
      <c r="P48" s="4">
        <f>P47+1</f>
        <v>37</v>
      </c>
    </row>
    <row r="49" spans="1:16" ht="16.8" thickTop="1" thickBot="1" x14ac:dyDescent="0.35">
      <c r="A49" s="4">
        <f t="shared" si="6"/>
        <v>38</v>
      </c>
      <c r="B49" s="518"/>
      <c r="E49" s="550"/>
      <c r="F49" s="866"/>
      <c r="G49" s="866"/>
      <c r="H49" s="866"/>
      <c r="I49" s="208"/>
      <c r="J49" s="208"/>
      <c r="K49" s="199"/>
      <c r="M49" s="209"/>
      <c r="N49" s="210"/>
      <c r="O49" s="199"/>
      <c r="P49" s="4">
        <f t="shared" si="9"/>
        <v>38</v>
      </c>
    </row>
    <row r="50" spans="1:16" ht="16.2" thickBot="1" x14ac:dyDescent="0.35">
      <c r="A50" s="4">
        <f t="shared" si="6"/>
        <v>39</v>
      </c>
      <c r="B50" s="523"/>
      <c r="C50" s="866"/>
      <c r="D50" s="866"/>
      <c r="E50" s="866"/>
      <c r="F50" s="866"/>
      <c r="G50" s="866"/>
      <c r="H50" s="866"/>
      <c r="I50" s="866"/>
      <c r="J50" s="866"/>
      <c r="K50" s="866"/>
      <c r="L50" s="866"/>
      <c r="M50" s="866"/>
      <c r="N50" s="866"/>
      <c r="O50" s="199"/>
      <c r="P50" s="4">
        <f t="shared" si="9"/>
        <v>39</v>
      </c>
    </row>
    <row r="51" spans="1:16" x14ac:dyDescent="0.3">
      <c r="B51" s="1"/>
    </row>
    <row r="52" spans="1:16" x14ac:dyDescent="0.3">
      <c r="B52" s="1"/>
    </row>
    <row r="53" spans="1:16" x14ac:dyDescent="0.3">
      <c r="B53" s="1"/>
    </row>
    <row r="54" spans="1:16" x14ac:dyDescent="0.3">
      <c r="B54" s="569"/>
      <c r="C54" s="6"/>
      <c r="D54" s="6"/>
      <c r="E54" s="6"/>
      <c r="F54" s="6"/>
      <c r="G54" s="6"/>
      <c r="H54" s="6"/>
      <c r="I54" s="6"/>
      <c r="J54" s="6"/>
      <c r="K54" s="6"/>
      <c r="L54" s="431"/>
      <c r="M54" s="6"/>
      <c r="N54" s="6"/>
      <c r="O54" s="6"/>
    </row>
    <row r="55" spans="1:16" x14ac:dyDescent="0.3">
      <c r="B55" s="569"/>
      <c r="C55" s="6"/>
      <c r="D55" s="6"/>
      <c r="E55" s="6"/>
      <c r="F55" s="6"/>
      <c r="G55" s="6"/>
      <c r="H55" s="6"/>
      <c r="I55" s="6"/>
      <c r="J55" s="6"/>
      <c r="K55" s="6"/>
      <c r="L55" s="431"/>
      <c r="M55" s="6"/>
      <c r="N55" s="6"/>
      <c r="O55" s="6"/>
    </row>
    <row r="56" spans="1:16" x14ac:dyDescent="0.3">
      <c r="B56" s="569"/>
      <c r="C56" s="6"/>
      <c r="D56" s="6"/>
      <c r="E56" s="6"/>
      <c r="F56" s="6"/>
      <c r="G56" s="6"/>
      <c r="H56" s="6"/>
      <c r="I56" s="6"/>
      <c r="J56" s="6"/>
      <c r="K56" s="6"/>
      <c r="L56" s="431"/>
      <c r="M56" s="6"/>
      <c r="N56" s="6"/>
      <c r="O56" s="6"/>
    </row>
    <row r="57" spans="1:16" x14ac:dyDescent="0.3">
      <c r="B57" s="569"/>
      <c r="C57" s="6"/>
      <c r="D57" s="6"/>
      <c r="E57" s="6"/>
      <c r="F57" s="6"/>
      <c r="G57" s="6"/>
      <c r="H57" s="6"/>
      <c r="I57" s="6"/>
      <c r="J57" s="6"/>
      <c r="K57" s="6"/>
      <c r="L57" s="431"/>
      <c r="M57" s="6"/>
      <c r="N57" s="6"/>
      <c r="O57" s="6"/>
    </row>
    <row r="58" spans="1:16" x14ac:dyDescent="0.3">
      <c r="B58" s="569"/>
      <c r="C58" s="6"/>
      <c r="D58" s="6"/>
      <c r="E58" s="6"/>
      <c r="F58" s="6"/>
      <c r="G58" s="6"/>
      <c r="H58" s="6"/>
      <c r="I58" s="6"/>
      <c r="J58" s="6"/>
      <c r="K58" s="6"/>
      <c r="L58" s="431"/>
      <c r="M58" s="6"/>
      <c r="N58" s="6"/>
      <c r="O58" s="6"/>
    </row>
    <row r="59" spans="1:16" x14ac:dyDescent="0.3">
      <c r="B59" s="569"/>
    </row>
  </sheetData>
  <mergeCells count="6">
    <mergeCell ref="B7:O7"/>
    <mergeCell ref="B2:O2"/>
    <mergeCell ref="B3:O3"/>
    <mergeCell ref="B4:O4"/>
    <mergeCell ref="B5:O5"/>
    <mergeCell ref="B6:O6"/>
  </mergeCells>
  <printOptions horizontalCentered="1"/>
  <pageMargins left="0.5" right="0.5" top="0.5" bottom="0.5" header="0.25" footer="0.25"/>
  <pageSetup scale="57" orientation="landscape" r:id="rId1"/>
  <headerFooter scaleWithDoc="0">
    <oddFooter>&amp;C&amp;"Times New Roman,Regular"&amp;10Summary of Weighted Incentive Transmission CWIP - A</oddFooter>
  </headerFooter>
  <customProperties>
    <customPr name="_pios_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M42"/>
  <sheetViews>
    <sheetView zoomScale="80" zoomScaleNormal="80" workbookViewId="0"/>
  </sheetViews>
  <sheetFormatPr defaultColWidth="9.33203125" defaultRowHeight="15.6" x14ac:dyDescent="0.3"/>
  <cols>
    <col min="1" max="1" width="5.33203125" style="221" customWidth="1"/>
    <col min="2" max="2" width="35.33203125" style="1" customWidth="1"/>
    <col min="3" max="3" width="18.5546875" style="88" customWidth="1"/>
    <col min="4" max="4" width="2.44140625" style="88" customWidth="1"/>
    <col min="5" max="5" width="25.33203125" style="88" customWidth="1"/>
    <col min="6" max="6" width="18.5546875" style="1" customWidth="1"/>
    <col min="7" max="7" width="3" style="1" bestFit="1" customWidth="1"/>
    <col min="8" max="8" width="62.5546875" style="1" customWidth="1"/>
    <col min="9" max="9" width="5.33203125" style="221" customWidth="1"/>
    <col min="10" max="10" width="24" style="1" customWidth="1"/>
    <col min="11" max="11" width="11" style="1" customWidth="1"/>
    <col min="12" max="12" width="9.6640625" style="1" customWidth="1"/>
    <col min="13" max="13" width="9.33203125" style="1" customWidth="1"/>
    <col min="14" max="14" width="14" style="1" customWidth="1"/>
    <col min="15" max="15" width="13.44140625" style="1" customWidth="1"/>
    <col min="16" max="16384" width="9.33203125" style="1"/>
  </cols>
  <sheetData>
    <row r="2" spans="1:13" x14ac:dyDescent="0.3">
      <c r="B2" s="1222" t="s">
        <v>0</v>
      </c>
      <c r="C2" s="1222"/>
      <c r="D2" s="1222"/>
      <c r="E2" s="1222"/>
      <c r="F2" s="1222"/>
      <c r="G2" s="1222"/>
      <c r="H2" s="1222"/>
    </row>
    <row r="3" spans="1:13" x14ac:dyDescent="0.3">
      <c r="B3" s="1222" t="s">
        <v>281</v>
      </c>
      <c r="C3" s="1222"/>
      <c r="D3" s="1222"/>
      <c r="E3" s="1222"/>
      <c r="F3" s="1222"/>
      <c r="G3" s="1222"/>
      <c r="H3" s="1222"/>
    </row>
    <row r="4" spans="1:13" x14ac:dyDescent="0.3">
      <c r="B4" s="1222" t="s">
        <v>282</v>
      </c>
      <c r="C4" s="1222"/>
      <c r="D4" s="1222"/>
      <c r="E4" s="1222"/>
      <c r="F4" s="1222"/>
      <c r="G4" s="1222"/>
      <c r="H4" s="1222"/>
    </row>
    <row r="5" spans="1:13" x14ac:dyDescent="0.3">
      <c r="B5" s="1222" t="str">
        <f>'AD-1'!B5</f>
        <v>BASE PERIOD / TRUE UP PERIOD - 12/31/2023 PER BOOK</v>
      </c>
      <c r="C5" s="1222"/>
      <c r="D5" s="1222"/>
      <c r="E5" s="1222"/>
      <c r="F5" s="1222"/>
      <c r="G5" s="1222"/>
      <c r="H5" s="1222"/>
    </row>
    <row r="6" spans="1:13" x14ac:dyDescent="0.3">
      <c r="B6" s="1226" t="s">
        <v>4</v>
      </c>
      <c r="C6" s="1226"/>
      <c r="D6" s="1226"/>
      <c r="E6" s="1226"/>
      <c r="F6" s="1226"/>
      <c r="G6" s="1226"/>
      <c r="H6" s="1226"/>
    </row>
    <row r="7" spans="1:13" x14ac:dyDescent="0.3">
      <c r="B7" s="270"/>
      <c r="C7" s="271"/>
      <c r="D7" s="271"/>
      <c r="E7" s="271"/>
      <c r="F7" s="270"/>
      <c r="G7" s="270"/>
      <c r="H7" s="270"/>
    </row>
    <row r="8" spans="1:13" x14ac:dyDescent="0.3">
      <c r="B8" s="1222" t="s">
        <v>320</v>
      </c>
      <c r="C8" s="1222"/>
      <c r="D8" s="1222"/>
      <c r="E8" s="1222"/>
      <c r="F8" s="1222"/>
      <c r="G8" s="1222"/>
      <c r="H8" s="1222"/>
    </row>
    <row r="9" spans="1:13" x14ac:dyDescent="0.3">
      <c r="C9" s="1050"/>
      <c r="F9" s="974"/>
    </row>
    <row r="10" spans="1:13" x14ac:dyDescent="0.3">
      <c r="B10" s="932"/>
      <c r="C10" s="265" t="s">
        <v>200</v>
      </c>
      <c r="D10" s="1088"/>
      <c r="E10" s="933"/>
      <c r="F10" s="265"/>
      <c r="G10" s="272"/>
      <c r="H10" s="933"/>
    </row>
    <row r="11" spans="1:13" x14ac:dyDescent="0.3">
      <c r="B11" s="273"/>
      <c r="C11" s="221" t="s">
        <v>321</v>
      </c>
      <c r="D11" s="221"/>
      <c r="E11" s="273"/>
      <c r="F11" s="221" t="s">
        <v>321</v>
      </c>
      <c r="G11" s="277"/>
      <c r="H11" s="273"/>
      <c r="I11" s="4"/>
    </row>
    <row r="12" spans="1:13" x14ac:dyDescent="0.3">
      <c r="A12" s="4" t="s">
        <v>5</v>
      </c>
      <c r="B12" s="276"/>
      <c r="C12" s="221" t="s">
        <v>317</v>
      </c>
      <c r="D12" s="221"/>
      <c r="E12" s="273"/>
      <c r="F12" s="221" t="s">
        <v>317</v>
      </c>
      <c r="G12" s="277"/>
      <c r="H12" s="273"/>
      <c r="I12" s="4" t="s">
        <v>5</v>
      </c>
    </row>
    <row r="13" spans="1:13" ht="18" x14ac:dyDescent="0.3">
      <c r="A13" s="4" t="s">
        <v>6</v>
      </c>
      <c r="B13" s="278" t="s">
        <v>286</v>
      </c>
      <c r="C13" s="935" t="s">
        <v>287</v>
      </c>
      <c r="D13" s="935"/>
      <c r="E13" s="278" t="s">
        <v>8</v>
      </c>
      <c r="F13" s="935" t="s">
        <v>288</v>
      </c>
      <c r="G13" s="279"/>
      <c r="H13" s="278" t="s">
        <v>8</v>
      </c>
      <c r="I13" s="4" t="s">
        <v>6</v>
      </c>
    </row>
    <row r="14" spans="1:13" ht="18" x14ac:dyDescent="0.3">
      <c r="A14" s="4">
        <v>1</v>
      </c>
      <c r="B14" s="936" t="str">
        <f>'AD-1'!B14</f>
        <v>Dec-22</v>
      </c>
      <c r="C14" s="36">
        <v>7943479.0554299969</v>
      </c>
      <c r="D14" s="1094"/>
      <c r="E14" s="946" t="s">
        <v>289</v>
      </c>
      <c r="F14" s="45">
        <v>7802920.2436010288</v>
      </c>
      <c r="G14" s="1094"/>
      <c r="H14" s="946" t="s">
        <v>290</v>
      </c>
      <c r="I14" s="4">
        <f>A14</f>
        <v>1</v>
      </c>
      <c r="J14" s="280"/>
      <c r="M14" s="88"/>
    </row>
    <row r="15" spans="1:13" x14ac:dyDescent="0.3">
      <c r="A15" s="4">
        <f>A14+1</f>
        <v>2</v>
      </c>
      <c r="B15" s="936" t="str">
        <f>'AD-1'!B15</f>
        <v>Jan-23</v>
      </c>
      <c r="C15" s="6">
        <v>7956130.8900799956</v>
      </c>
      <c r="D15" s="6"/>
      <c r="E15" s="948"/>
      <c r="F15" s="11">
        <v>7815790.0957797151</v>
      </c>
      <c r="G15" s="66"/>
      <c r="H15" s="948"/>
      <c r="I15" s="4">
        <f>I14+1</f>
        <v>2</v>
      </c>
      <c r="J15" s="88"/>
      <c r="M15" s="88"/>
    </row>
    <row r="16" spans="1:13" x14ac:dyDescent="0.3">
      <c r="A16" s="4">
        <f t="shared" ref="A16:A32" si="0">A15+1</f>
        <v>3</v>
      </c>
      <c r="B16" s="939" t="s">
        <v>291</v>
      </c>
      <c r="C16" s="6">
        <v>8022829.9579400066</v>
      </c>
      <c r="D16" s="6"/>
      <c r="E16" s="948"/>
      <c r="F16" s="11">
        <v>7881802.3241647268</v>
      </c>
      <c r="G16" s="66"/>
      <c r="H16" s="948"/>
      <c r="I16" s="4">
        <f t="shared" ref="I16:I26" si="1">I15+1</f>
        <v>3</v>
      </c>
      <c r="J16" s="88"/>
      <c r="M16" s="88"/>
    </row>
    <row r="17" spans="1:13" x14ac:dyDescent="0.3">
      <c r="A17" s="4">
        <f t="shared" si="0"/>
        <v>4</v>
      </c>
      <c r="B17" s="939" t="s">
        <v>292</v>
      </c>
      <c r="C17" s="6">
        <v>8027621.0841199923</v>
      </c>
      <c r="D17" s="6"/>
      <c r="E17" s="948"/>
      <c r="F17" s="11">
        <v>7886593.2150647119</v>
      </c>
      <c r="G17" s="66"/>
      <c r="H17" s="948"/>
      <c r="I17" s="4">
        <f t="shared" si="1"/>
        <v>4</v>
      </c>
      <c r="J17" s="88"/>
      <c r="M17" s="88"/>
    </row>
    <row r="18" spans="1:13" x14ac:dyDescent="0.3">
      <c r="A18" s="4">
        <f t="shared" si="0"/>
        <v>5</v>
      </c>
      <c r="B18" s="939" t="s">
        <v>293</v>
      </c>
      <c r="C18" s="6">
        <v>8041118.9653499983</v>
      </c>
      <c r="D18" s="6"/>
      <c r="E18" s="948"/>
      <c r="F18" s="11">
        <v>7899925.8367047179</v>
      </c>
      <c r="G18" s="66"/>
      <c r="H18" s="948"/>
      <c r="I18" s="4">
        <f t="shared" si="1"/>
        <v>5</v>
      </c>
      <c r="J18" s="88"/>
      <c r="M18" s="88"/>
    </row>
    <row r="19" spans="1:13" x14ac:dyDescent="0.3">
      <c r="A19" s="4">
        <f t="shared" si="0"/>
        <v>6</v>
      </c>
      <c r="B19" s="939" t="s">
        <v>294</v>
      </c>
      <c r="C19" s="6">
        <v>8070243.0638700007</v>
      </c>
      <c r="D19" s="6"/>
      <c r="E19" s="948"/>
      <c r="F19" s="11">
        <v>7928091.1333247209</v>
      </c>
      <c r="G19" s="66"/>
      <c r="H19" s="948"/>
      <c r="I19" s="4">
        <f t="shared" si="1"/>
        <v>6</v>
      </c>
      <c r="J19" s="88"/>
      <c r="M19" s="88"/>
    </row>
    <row r="20" spans="1:13" x14ac:dyDescent="0.3">
      <c r="A20" s="4">
        <f>A19+1</f>
        <v>7</v>
      </c>
      <c r="B20" s="939" t="s">
        <v>295</v>
      </c>
      <c r="C20" s="6">
        <v>8078004.5011799885</v>
      </c>
      <c r="D20" s="6"/>
      <c r="E20" s="948"/>
      <c r="F20" s="11">
        <v>7935884.1512597082</v>
      </c>
      <c r="G20" s="66"/>
      <c r="H20" s="948"/>
      <c r="I20" s="4">
        <f>I19+1</f>
        <v>7</v>
      </c>
      <c r="J20" s="88"/>
      <c r="M20" s="88"/>
    </row>
    <row r="21" spans="1:13" x14ac:dyDescent="0.3">
      <c r="A21" s="4">
        <f t="shared" si="0"/>
        <v>8</v>
      </c>
      <c r="B21" s="939" t="s">
        <v>296</v>
      </c>
      <c r="C21" s="6">
        <v>8169864.5123599991</v>
      </c>
      <c r="D21" s="6"/>
      <c r="E21" s="948"/>
      <c r="F21" s="11">
        <v>8027538.3665547194</v>
      </c>
      <c r="G21" s="66"/>
      <c r="H21" s="948"/>
      <c r="I21" s="4">
        <f t="shared" si="1"/>
        <v>8</v>
      </c>
      <c r="J21" s="88"/>
      <c r="M21" s="88"/>
    </row>
    <row r="22" spans="1:13" x14ac:dyDescent="0.3">
      <c r="A22" s="4">
        <f t="shared" si="0"/>
        <v>9</v>
      </c>
      <c r="B22" s="939" t="s">
        <v>297</v>
      </c>
      <c r="C22" s="6">
        <v>8195642.7234300077</v>
      </c>
      <c r="D22" s="6"/>
      <c r="E22" s="948"/>
      <c r="F22" s="11">
        <v>8053308.8792897277</v>
      </c>
      <c r="G22" s="66"/>
      <c r="H22" s="948"/>
      <c r="I22" s="4">
        <f t="shared" si="1"/>
        <v>9</v>
      </c>
      <c r="J22" s="88"/>
      <c r="M22" s="88"/>
    </row>
    <row r="23" spans="1:13" x14ac:dyDescent="0.3">
      <c r="A23" s="4">
        <f t="shared" si="0"/>
        <v>10</v>
      </c>
      <c r="B23" s="939" t="s">
        <v>298</v>
      </c>
      <c r="C23" s="6">
        <v>8207793.0239600008</v>
      </c>
      <c r="D23" s="6"/>
      <c r="E23" s="948"/>
      <c r="F23" s="11">
        <v>8065459.1798197208</v>
      </c>
      <c r="G23" s="66"/>
      <c r="H23" s="948"/>
      <c r="I23" s="4">
        <f t="shared" si="1"/>
        <v>10</v>
      </c>
      <c r="J23" s="88"/>
      <c r="M23" s="88"/>
    </row>
    <row r="24" spans="1:13" x14ac:dyDescent="0.3">
      <c r="A24" s="4">
        <f t="shared" si="0"/>
        <v>11</v>
      </c>
      <c r="B24" s="939" t="s">
        <v>299</v>
      </c>
      <c r="C24" s="6">
        <v>8312297.9447500026</v>
      </c>
      <c r="D24" s="6"/>
      <c r="E24" s="948"/>
      <c r="F24" s="11">
        <v>8169556.7994497223</v>
      </c>
      <c r="G24" s="66"/>
      <c r="H24" s="948"/>
      <c r="I24" s="4">
        <f t="shared" si="1"/>
        <v>11</v>
      </c>
      <c r="J24" s="88"/>
      <c r="M24" s="88"/>
    </row>
    <row r="25" spans="1:13" x14ac:dyDescent="0.3">
      <c r="A25" s="4">
        <f t="shared" si="0"/>
        <v>12</v>
      </c>
      <c r="B25" s="939" t="s">
        <v>300</v>
      </c>
      <c r="C25" s="6">
        <v>8313513.5381199969</v>
      </c>
      <c r="D25" s="6"/>
      <c r="E25" s="948"/>
      <c r="F25" s="11">
        <v>8171476.2753647165</v>
      </c>
      <c r="G25" s="66"/>
      <c r="H25" s="948"/>
      <c r="I25" s="4">
        <f t="shared" si="1"/>
        <v>12</v>
      </c>
      <c r="J25" s="88"/>
      <c r="M25" s="88"/>
    </row>
    <row r="26" spans="1:13" x14ac:dyDescent="0.3">
      <c r="A26" s="4">
        <f t="shared" si="0"/>
        <v>13</v>
      </c>
      <c r="B26" s="633" t="str">
        <f>'AD-1'!B26</f>
        <v>Dec-23</v>
      </c>
      <c r="C26" s="881">
        <v>8381786.0543000083</v>
      </c>
      <c r="D26" s="881"/>
      <c r="E26" s="294" t="s">
        <v>289</v>
      </c>
      <c r="F26" s="1093">
        <v>8232399.6584847281</v>
      </c>
      <c r="G26" s="631"/>
      <c r="H26" s="946" t="s">
        <v>301</v>
      </c>
      <c r="I26" s="4">
        <f t="shared" si="1"/>
        <v>13</v>
      </c>
      <c r="J26" s="280"/>
      <c r="M26" s="88"/>
    </row>
    <row r="27" spans="1:13" x14ac:dyDescent="0.3">
      <c r="A27" s="4">
        <f t="shared" si="0"/>
        <v>14</v>
      </c>
      <c r="B27" s="281"/>
      <c r="D27" s="1089"/>
      <c r="E27" s="949"/>
      <c r="F27" s="88"/>
      <c r="G27" s="61"/>
      <c r="H27" s="932"/>
      <c r="I27" s="4">
        <f t="shared" ref="I27:I32" si="2">I26+1</f>
        <v>14</v>
      </c>
    </row>
    <row r="28" spans="1:13" x14ac:dyDescent="0.3">
      <c r="A28" s="4">
        <f t="shared" si="0"/>
        <v>15</v>
      </c>
      <c r="B28" s="281" t="s">
        <v>302</v>
      </c>
      <c r="C28" s="44">
        <f>SUM(C14:C26)</f>
        <v>105720325.31488998</v>
      </c>
      <c r="D28" s="44"/>
      <c r="E28" s="947" t="s">
        <v>303</v>
      </c>
      <c r="F28" s="44">
        <f>SUM(F14:F26)</f>
        <v>103870746.15886267</v>
      </c>
      <c r="G28" s="56"/>
      <c r="H28" s="947" t="s">
        <v>303</v>
      </c>
      <c r="I28" s="4">
        <f t="shared" si="2"/>
        <v>15</v>
      </c>
    </row>
    <row r="29" spans="1:13" x14ac:dyDescent="0.3">
      <c r="A29" s="4">
        <f t="shared" si="0"/>
        <v>16</v>
      </c>
      <c r="B29" s="120"/>
      <c r="C29" s="1090"/>
      <c r="D29" s="1090"/>
      <c r="E29" s="82"/>
      <c r="F29" s="1090"/>
      <c r="G29" s="57"/>
      <c r="H29" s="82"/>
      <c r="I29" s="4">
        <f t="shared" si="2"/>
        <v>16</v>
      </c>
    </row>
    <row r="30" spans="1:13" x14ac:dyDescent="0.3">
      <c r="A30" s="4">
        <f t="shared" si="0"/>
        <v>17</v>
      </c>
      <c r="B30" s="281"/>
      <c r="E30" s="950"/>
      <c r="F30" s="88"/>
      <c r="G30" s="61"/>
      <c r="H30" s="950"/>
      <c r="I30" s="4">
        <f t="shared" si="2"/>
        <v>17</v>
      </c>
    </row>
    <row r="31" spans="1:13" x14ac:dyDescent="0.3">
      <c r="A31" s="4">
        <f t="shared" si="0"/>
        <v>18</v>
      </c>
      <c r="B31" s="281" t="s">
        <v>304</v>
      </c>
      <c r="C31" s="44">
        <f>C28/13</f>
        <v>8132332.7165299989</v>
      </c>
      <c r="D31" s="44"/>
      <c r="E31" s="947" t="s">
        <v>305</v>
      </c>
      <c r="F31" s="44">
        <f>F28/13</f>
        <v>7990057.3968355898</v>
      </c>
      <c r="G31" s="56"/>
      <c r="H31" s="946" t="s">
        <v>306</v>
      </c>
      <c r="I31" s="4">
        <f t="shared" si="2"/>
        <v>18</v>
      </c>
      <c r="J31" s="280"/>
    </row>
    <row r="32" spans="1:13" x14ac:dyDescent="0.3">
      <c r="A32" s="4">
        <f t="shared" si="0"/>
        <v>19</v>
      </c>
      <c r="B32" s="120"/>
      <c r="C32" s="1091"/>
      <c r="D32" s="1091"/>
      <c r="E32" s="295"/>
      <c r="F32" s="1091"/>
      <c r="G32" s="282"/>
      <c r="H32" s="295"/>
      <c r="I32" s="4">
        <f t="shared" si="2"/>
        <v>19</v>
      </c>
    </row>
    <row r="33" spans="1:8" x14ac:dyDescent="0.3">
      <c r="A33" s="4"/>
      <c r="B33" s="32"/>
      <c r="C33" s="32"/>
      <c r="D33" s="32"/>
      <c r="E33" s="32"/>
      <c r="F33" s="32"/>
      <c r="G33" s="32"/>
      <c r="H33" s="32"/>
    </row>
    <row r="34" spans="1:8" x14ac:dyDescent="0.3">
      <c r="E34" s="32"/>
      <c r="F34" s="107"/>
      <c r="G34" s="107"/>
      <c r="H34" s="32"/>
    </row>
    <row r="35" spans="1:8" ht="18" x14ac:dyDescent="0.3">
      <c r="A35" s="269">
        <v>1</v>
      </c>
      <c r="B35" s="32" t="s">
        <v>307</v>
      </c>
      <c r="C35" s="32"/>
      <c r="D35" s="32"/>
      <c r="E35" s="32"/>
      <c r="F35" s="32"/>
      <c r="G35" s="32"/>
      <c r="H35" s="32"/>
    </row>
    <row r="36" spans="1:8" x14ac:dyDescent="0.3">
      <c r="B36" s="32" t="s">
        <v>308</v>
      </c>
      <c r="C36" s="296"/>
      <c r="D36" s="296"/>
      <c r="E36" s="32"/>
      <c r="F36" s="32"/>
      <c r="G36" s="32"/>
      <c r="H36" s="32"/>
    </row>
    <row r="37" spans="1:8" ht="18" x14ac:dyDescent="0.3">
      <c r="A37" s="269"/>
      <c r="B37" s="32"/>
      <c r="C37" s="32"/>
      <c r="D37" s="32"/>
      <c r="E37" s="32"/>
      <c r="F37" s="32"/>
      <c r="G37" s="32"/>
      <c r="H37" s="32"/>
    </row>
    <row r="38" spans="1:8" x14ac:dyDescent="0.3">
      <c r="B38" s="32"/>
      <c r="C38" s="32"/>
      <c r="D38" s="32"/>
      <c r="E38" s="32"/>
      <c r="F38" s="32"/>
      <c r="G38" s="32"/>
      <c r="H38" s="32"/>
    </row>
    <row r="39" spans="1:8" x14ac:dyDescent="0.3">
      <c r="A39" s="265"/>
      <c r="C39" s="32"/>
      <c r="D39" s="32"/>
      <c r="E39" s="1"/>
    </row>
    <row r="42" spans="1:8" x14ac:dyDescent="0.3">
      <c r="A42" s="265"/>
    </row>
  </sheetData>
  <mergeCells count="6">
    <mergeCell ref="B8:H8"/>
    <mergeCell ref="B2:H2"/>
    <mergeCell ref="B3:H3"/>
    <mergeCell ref="B4:H4"/>
    <mergeCell ref="B5:H5"/>
    <mergeCell ref="B6:H6"/>
  </mergeCells>
  <printOptions horizontalCentered="1"/>
  <pageMargins left="0.25" right="0.25" top="0.5" bottom="0.5" header="0.25" footer="0.25"/>
  <pageSetup scale="76" orientation="landscape" r:id="rId1"/>
  <headerFooter scaleWithDoc="0">
    <oddFooter>&amp;C&amp;"Times New Roman,Regular"&amp;10&amp;A</oddFooter>
  </headerFooter>
  <customProperties>
    <customPr name="_pios_id" r:id="rId2"/>
  </customProperties>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pageSetUpPr fitToPage="1"/>
  </sheetPr>
  <dimension ref="A1:R59"/>
  <sheetViews>
    <sheetView zoomScale="80" zoomScaleNormal="80" workbookViewId="0"/>
  </sheetViews>
  <sheetFormatPr defaultColWidth="8.6640625" defaultRowHeight="15.6" x14ac:dyDescent="0.3"/>
  <cols>
    <col min="1" max="1" width="5.33203125" style="4" customWidth="1"/>
    <col min="2" max="2" width="8.5546875" style="5" customWidth="1"/>
    <col min="3" max="11" width="15.6640625" style="5" customWidth="1"/>
    <col min="12" max="12" width="11.33203125" style="5" customWidth="1"/>
    <col min="13" max="15" width="15.6640625" style="5" customWidth="1"/>
    <col min="16" max="16" width="5.33203125" style="4" customWidth="1"/>
    <col min="17" max="16384" width="8.6640625" style="5"/>
  </cols>
  <sheetData>
    <row r="1" spans="1:16" x14ac:dyDescent="0.3">
      <c r="B1" s="32"/>
      <c r="C1" s="258"/>
      <c r="D1" s="32"/>
      <c r="E1" s="32"/>
      <c r="F1" s="32"/>
      <c r="G1" s="32"/>
      <c r="H1" s="32"/>
      <c r="I1" s="32"/>
      <c r="J1" s="32"/>
      <c r="K1" s="32"/>
      <c r="L1" s="32"/>
      <c r="M1" s="32"/>
      <c r="N1" s="32"/>
      <c r="O1" s="32"/>
    </row>
    <row r="2" spans="1:16" x14ac:dyDescent="0.3">
      <c r="B2" s="1222" t="s">
        <v>0</v>
      </c>
      <c r="C2" s="1222"/>
      <c r="D2" s="1222"/>
      <c r="E2" s="1222"/>
      <c r="F2" s="1222"/>
      <c r="G2" s="1222"/>
      <c r="H2" s="1222"/>
      <c r="I2" s="1222"/>
      <c r="J2" s="1222"/>
      <c r="K2" s="1222"/>
      <c r="L2" s="1222"/>
      <c r="M2" s="1222"/>
      <c r="N2" s="1222"/>
      <c r="O2" s="1222"/>
    </row>
    <row r="3" spans="1:16" x14ac:dyDescent="0.3">
      <c r="B3" s="1222" t="s">
        <v>1478</v>
      </c>
      <c r="C3" s="1222"/>
      <c r="D3" s="1222"/>
      <c r="E3" s="1222"/>
      <c r="F3" s="1222"/>
      <c r="G3" s="1222"/>
      <c r="H3" s="1222"/>
      <c r="I3" s="1222"/>
      <c r="J3" s="1222"/>
      <c r="K3" s="1222"/>
      <c r="L3" s="1222"/>
      <c r="M3" s="1222"/>
      <c r="N3" s="1222"/>
      <c r="O3" s="1222"/>
    </row>
    <row r="4" spans="1:16" x14ac:dyDescent="0.3">
      <c r="B4" s="1227" t="str">
        <f>'Summary of HV-LV Splits'!B4</f>
        <v>24-Month Forecast Period (January 1, 2024 - December 31, 2025)</v>
      </c>
      <c r="C4" s="1227"/>
      <c r="D4" s="1227"/>
      <c r="E4" s="1227"/>
      <c r="F4" s="1227"/>
      <c r="G4" s="1227"/>
      <c r="H4" s="1227"/>
      <c r="I4" s="1227"/>
      <c r="J4" s="1227"/>
      <c r="K4" s="1227"/>
      <c r="L4" s="1227"/>
      <c r="M4" s="1227"/>
      <c r="N4" s="1227"/>
      <c r="O4" s="1227"/>
    </row>
    <row r="5" spans="1:16" x14ac:dyDescent="0.3">
      <c r="B5" s="1222" t="s">
        <v>1504</v>
      </c>
      <c r="C5" s="1222"/>
      <c r="D5" s="1222"/>
      <c r="E5" s="1222"/>
      <c r="F5" s="1222"/>
      <c r="G5" s="1222"/>
      <c r="H5" s="1222"/>
      <c r="I5" s="1222"/>
      <c r="J5" s="1222"/>
      <c r="K5" s="1222"/>
      <c r="L5" s="1222"/>
      <c r="M5" s="1222"/>
      <c r="N5" s="1222"/>
      <c r="O5" s="1222"/>
    </row>
    <row r="6" spans="1:16" x14ac:dyDescent="0.3">
      <c r="B6" s="1222" t="s">
        <v>1506</v>
      </c>
      <c r="C6" s="1222"/>
      <c r="D6" s="1222"/>
      <c r="E6" s="1222"/>
      <c r="F6" s="1222"/>
      <c r="G6" s="1222"/>
      <c r="H6" s="1222"/>
      <c r="I6" s="1222"/>
      <c r="J6" s="1222"/>
      <c r="K6" s="1222"/>
      <c r="L6" s="1222"/>
      <c r="M6" s="1222"/>
      <c r="N6" s="1222"/>
      <c r="O6" s="1222"/>
    </row>
    <row r="7" spans="1:16" x14ac:dyDescent="0.3">
      <c r="B7" s="1251">
        <v>-1000</v>
      </c>
      <c r="C7" s="1251"/>
      <c r="D7" s="1251"/>
      <c r="E7" s="1251"/>
      <c r="F7" s="1251"/>
      <c r="G7" s="1251"/>
      <c r="H7" s="1251"/>
      <c r="I7" s="1251"/>
      <c r="J7" s="1251"/>
      <c r="K7" s="1251"/>
      <c r="L7" s="1251"/>
      <c r="M7" s="1251"/>
      <c r="N7" s="1251"/>
      <c r="O7" s="1251"/>
    </row>
    <row r="8" spans="1:16" ht="16.2" thickBot="1" x14ac:dyDescent="0.35">
      <c r="B8" s="32"/>
      <c r="C8" s="32"/>
      <c r="D8" s="32"/>
      <c r="E8" s="32"/>
      <c r="F8" s="32"/>
      <c r="G8" s="32"/>
      <c r="H8" s="32"/>
      <c r="I8" s="32"/>
      <c r="J8" s="32"/>
      <c r="K8" s="32"/>
      <c r="L8" s="32"/>
      <c r="M8" s="32"/>
      <c r="N8" s="32"/>
      <c r="O8" s="32"/>
    </row>
    <row r="9" spans="1:16" x14ac:dyDescent="0.3">
      <c r="A9" s="4" t="s">
        <v>5</v>
      </c>
      <c r="B9" s="234"/>
      <c r="C9" s="232" t="s">
        <v>1503</v>
      </c>
      <c r="D9" s="230"/>
      <c r="E9" s="233"/>
      <c r="F9" s="229" t="s">
        <v>1481</v>
      </c>
      <c r="G9" s="230"/>
      <c r="H9" s="231"/>
      <c r="I9" s="232" t="s">
        <v>1482</v>
      </c>
      <c r="J9" s="233"/>
      <c r="K9" s="570"/>
      <c r="L9" s="234" t="s">
        <v>1483</v>
      </c>
      <c r="M9" s="232" t="s">
        <v>1484</v>
      </c>
      <c r="N9" s="230"/>
      <c r="O9" s="231"/>
      <c r="P9" s="4" t="s">
        <v>5</v>
      </c>
    </row>
    <row r="10" spans="1:16" ht="16.2" thickBot="1" x14ac:dyDescent="0.35">
      <c r="A10" s="4" t="s">
        <v>6</v>
      </c>
      <c r="B10" s="533" t="s">
        <v>1485</v>
      </c>
      <c r="C10" s="538" t="s">
        <v>1453</v>
      </c>
      <c r="D10" s="535" t="s">
        <v>1454</v>
      </c>
      <c r="E10" s="536" t="s">
        <v>200</v>
      </c>
      <c r="F10" s="534" t="s">
        <v>1453</v>
      </c>
      <c r="G10" s="535" t="s">
        <v>1454</v>
      </c>
      <c r="H10" s="537" t="s">
        <v>200</v>
      </c>
      <c r="I10" s="538" t="s">
        <v>1453</v>
      </c>
      <c r="J10" s="535" t="s">
        <v>1454</v>
      </c>
      <c r="K10" s="536" t="s">
        <v>200</v>
      </c>
      <c r="L10" s="533" t="s">
        <v>1486</v>
      </c>
      <c r="M10" s="538" t="s">
        <v>1453</v>
      </c>
      <c r="N10" s="535" t="s">
        <v>1454</v>
      </c>
      <c r="O10" s="537" t="s">
        <v>200</v>
      </c>
      <c r="P10" s="4" t="s">
        <v>6</v>
      </c>
    </row>
    <row r="11" spans="1:16" x14ac:dyDescent="0.3">
      <c r="A11" s="221"/>
      <c r="B11" s="234"/>
      <c r="C11" s="221"/>
      <c r="D11" s="461"/>
      <c r="E11" s="221"/>
      <c r="F11" s="511"/>
      <c r="G11" s="461"/>
      <c r="H11" s="542"/>
      <c r="I11" s="221"/>
      <c r="J11" s="461"/>
      <c r="K11" s="221"/>
      <c r="L11" s="539"/>
      <c r="M11" s="221"/>
      <c r="N11" s="461"/>
      <c r="O11" s="542"/>
      <c r="P11" s="221"/>
    </row>
    <row r="12" spans="1:16" x14ac:dyDescent="0.3">
      <c r="A12" s="4">
        <v>1</v>
      </c>
      <c r="B12" s="543">
        <f>'ET Forecast Capital Additions'!B11</f>
        <v>45313</v>
      </c>
      <c r="C12" s="222">
        <v>0</v>
      </c>
      <c r="D12" s="677">
        <v>0</v>
      </c>
      <c r="E12" s="123">
        <f t="shared" ref="E12:E35" si="0">C12+D12</f>
        <v>0</v>
      </c>
      <c r="F12" s="179">
        <f>C12*$H$42</f>
        <v>0</v>
      </c>
      <c r="G12" s="235">
        <f>D12*$H$42</f>
        <v>0</v>
      </c>
      <c r="H12" s="223">
        <f t="shared" ref="H12:H35" si="1">F12+G12</f>
        <v>0</v>
      </c>
      <c r="I12" s="59">
        <f>C12-F12</f>
        <v>0</v>
      </c>
      <c r="J12" s="235">
        <f>D12-G12</f>
        <v>0</v>
      </c>
      <c r="K12" s="123">
        <f t="shared" ref="K12:K35" si="2">I12+J12</f>
        <v>0</v>
      </c>
      <c r="L12" s="245">
        <f>'ET Forecast Capital Additions'!$L11</f>
        <v>1</v>
      </c>
      <c r="M12" s="59">
        <f t="shared" ref="M12:M35" si="3">I12*L12</f>
        <v>0</v>
      </c>
      <c r="N12" s="235">
        <f t="shared" ref="N12:N35" si="4">J12*L12</f>
        <v>0</v>
      </c>
      <c r="O12" s="596">
        <f t="shared" ref="O12:O35" si="5">M12+N12</f>
        <v>0</v>
      </c>
      <c r="P12" s="4">
        <f>A12</f>
        <v>1</v>
      </c>
    </row>
    <row r="13" spans="1:16" x14ac:dyDescent="0.3">
      <c r="A13" s="4">
        <f t="shared" ref="A13:A50" si="6">A12+1</f>
        <v>2</v>
      </c>
      <c r="B13" s="543">
        <f>'ET Forecast Capital Additions'!B12</f>
        <v>45344</v>
      </c>
      <c r="C13" s="224">
        <v>0</v>
      </c>
      <c r="D13" s="678">
        <v>0</v>
      </c>
      <c r="E13" s="128">
        <f t="shared" si="0"/>
        <v>0</v>
      </c>
      <c r="F13" s="181">
        <f t="shared" ref="F13:G35" si="7">C13*$H$42</f>
        <v>0</v>
      </c>
      <c r="G13" s="236">
        <f t="shared" si="7"/>
        <v>0</v>
      </c>
      <c r="H13" s="131">
        <f t="shared" si="1"/>
        <v>0</v>
      </c>
      <c r="I13" s="53">
        <f t="shared" ref="I13:J35" si="8">C13-F13</f>
        <v>0</v>
      </c>
      <c r="J13" s="236">
        <f t="shared" si="8"/>
        <v>0</v>
      </c>
      <c r="K13" s="128">
        <f t="shared" si="2"/>
        <v>0</v>
      </c>
      <c r="L13" s="245">
        <f>'ET Forecast Capital Additions'!$L12</f>
        <v>1</v>
      </c>
      <c r="M13" s="53">
        <f t="shared" si="3"/>
        <v>0</v>
      </c>
      <c r="N13" s="236">
        <f t="shared" si="4"/>
        <v>0</v>
      </c>
      <c r="O13" s="577">
        <f t="shared" si="5"/>
        <v>0</v>
      </c>
      <c r="P13" s="4">
        <f t="shared" ref="P13:P50" si="9">P12+1</f>
        <v>2</v>
      </c>
    </row>
    <row r="14" spans="1:16" x14ac:dyDescent="0.3">
      <c r="A14" s="4">
        <f t="shared" si="6"/>
        <v>3</v>
      </c>
      <c r="B14" s="543">
        <f>'ET Forecast Capital Additions'!B13</f>
        <v>45373</v>
      </c>
      <c r="C14" s="224">
        <v>0</v>
      </c>
      <c r="D14" s="678">
        <v>0</v>
      </c>
      <c r="E14" s="128">
        <f t="shared" si="0"/>
        <v>0</v>
      </c>
      <c r="F14" s="181">
        <f t="shared" si="7"/>
        <v>0</v>
      </c>
      <c r="G14" s="236">
        <f t="shared" si="7"/>
        <v>0</v>
      </c>
      <c r="H14" s="131">
        <f t="shared" si="1"/>
        <v>0</v>
      </c>
      <c r="I14" s="53">
        <f t="shared" si="8"/>
        <v>0</v>
      </c>
      <c r="J14" s="236">
        <f t="shared" si="8"/>
        <v>0</v>
      </c>
      <c r="K14" s="128">
        <f t="shared" si="2"/>
        <v>0</v>
      </c>
      <c r="L14" s="245">
        <f>'ET Forecast Capital Additions'!$L13</f>
        <v>1</v>
      </c>
      <c r="M14" s="53">
        <f t="shared" si="3"/>
        <v>0</v>
      </c>
      <c r="N14" s="236">
        <f t="shared" si="4"/>
        <v>0</v>
      </c>
      <c r="O14" s="577">
        <f t="shared" si="5"/>
        <v>0</v>
      </c>
      <c r="P14" s="4">
        <f t="shared" si="9"/>
        <v>3</v>
      </c>
    </row>
    <row r="15" spans="1:16" ht="16.2" thickBot="1" x14ac:dyDescent="0.35">
      <c r="A15" s="4">
        <f t="shared" si="6"/>
        <v>4</v>
      </c>
      <c r="B15" s="544">
        <f>'ET Forecast Capital Additions'!B14</f>
        <v>45404</v>
      </c>
      <c r="C15" s="225">
        <v>0</v>
      </c>
      <c r="D15" s="211">
        <v>0</v>
      </c>
      <c r="E15" s="183">
        <f t="shared" si="0"/>
        <v>0</v>
      </c>
      <c r="F15" s="184">
        <f t="shared" si="7"/>
        <v>0</v>
      </c>
      <c r="G15" s="185">
        <f t="shared" si="7"/>
        <v>0</v>
      </c>
      <c r="H15" s="216">
        <f t="shared" si="1"/>
        <v>0</v>
      </c>
      <c r="I15" s="187">
        <f t="shared" si="8"/>
        <v>0</v>
      </c>
      <c r="J15" s="185">
        <f t="shared" si="8"/>
        <v>0</v>
      </c>
      <c r="K15" s="183">
        <f t="shared" si="2"/>
        <v>0</v>
      </c>
      <c r="L15" s="246">
        <f>'ET Forecast Capital Additions'!$L14</f>
        <v>1</v>
      </c>
      <c r="M15" s="187">
        <f t="shared" si="3"/>
        <v>0</v>
      </c>
      <c r="N15" s="185">
        <f t="shared" si="4"/>
        <v>0</v>
      </c>
      <c r="O15" s="186">
        <f t="shared" si="5"/>
        <v>0</v>
      </c>
      <c r="P15" s="4">
        <f t="shared" si="9"/>
        <v>4</v>
      </c>
    </row>
    <row r="16" spans="1:16" x14ac:dyDescent="0.3">
      <c r="A16" s="4">
        <f t="shared" si="6"/>
        <v>5</v>
      </c>
      <c r="B16" s="543">
        <f>'ET Forecast Capital Additions'!B15</f>
        <v>45434</v>
      </c>
      <c r="C16" s="226">
        <v>0</v>
      </c>
      <c r="D16" s="188">
        <v>0</v>
      </c>
      <c r="E16" s="126">
        <f t="shared" si="0"/>
        <v>0</v>
      </c>
      <c r="F16" s="189">
        <f t="shared" si="7"/>
        <v>0</v>
      </c>
      <c r="G16" s="132">
        <f t="shared" si="7"/>
        <v>0</v>
      </c>
      <c r="H16" s="227">
        <f t="shared" si="1"/>
        <v>0</v>
      </c>
      <c r="I16" s="53">
        <f t="shared" si="8"/>
        <v>0</v>
      </c>
      <c r="J16" s="236">
        <f t="shared" si="8"/>
        <v>0</v>
      </c>
      <c r="K16" s="126">
        <f t="shared" si="2"/>
        <v>0</v>
      </c>
      <c r="L16" s="247">
        <f>'ET Forecast Capital Additions'!$L15</f>
        <v>1</v>
      </c>
      <c r="M16" s="53">
        <f t="shared" si="3"/>
        <v>0</v>
      </c>
      <c r="N16" s="236">
        <f t="shared" si="4"/>
        <v>0</v>
      </c>
      <c r="O16" s="127">
        <f t="shared" si="5"/>
        <v>0</v>
      </c>
      <c r="P16" s="4">
        <f t="shared" si="9"/>
        <v>5</v>
      </c>
    </row>
    <row r="17" spans="1:16" x14ac:dyDescent="0.3">
      <c r="A17" s="4">
        <f t="shared" si="6"/>
        <v>6</v>
      </c>
      <c r="B17" s="543">
        <f>'ET Forecast Capital Additions'!B16</f>
        <v>45465</v>
      </c>
      <c r="C17" s="224">
        <v>0</v>
      </c>
      <c r="D17" s="678">
        <v>0</v>
      </c>
      <c r="E17" s="128">
        <f t="shared" si="0"/>
        <v>0</v>
      </c>
      <c r="F17" s="181">
        <f t="shared" si="7"/>
        <v>0</v>
      </c>
      <c r="G17" s="236">
        <f t="shared" si="7"/>
        <v>0</v>
      </c>
      <c r="H17" s="131">
        <f t="shared" si="1"/>
        <v>0</v>
      </c>
      <c r="I17" s="53">
        <f t="shared" si="8"/>
        <v>0</v>
      </c>
      <c r="J17" s="236">
        <f t="shared" si="8"/>
        <v>0</v>
      </c>
      <c r="K17" s="128">
        <f t="shared" si="2"/>
        <v>0</v>
      </c>
      <c r="L17" s="245">
        <f>'ET Forecast Capital Additions'!$L16</f>
        <v>1</v>
      </c>
      <c r="M17" s="53">
        <f t="shared" si="3"/>
        <v>0</v>
      </c>
      <c r="N17" s="236">
        <f t="shared" si="4"/>
        <v>0</v>
      </c>
      <c r="O17" s="577">
        <f t="shared" si="5"/>
        <v>0</v>
      </c>
      <c r="P17" s="4">
        <f t="shared" si="9"/>
        <v>6</v>
      </c>
    </row>
    <row r="18" spans="1:16" x14ac:dyDescent="0.3">
      <c r="A18" s="4">
        <f t="shared" si="6"/>
        <v>7</v>
      </c>
      <c r="B18" s="543">
        <f>'ET Forecast Capital Additions'!B17</f>
        <v>45495</v>
      </c>
      <c r="C18" s="224">
        <v>0</v>
      </c>
      <c r="D18" s="678">
        <v>0</v>
      </c>
      <c r="E18" s="128">
        <f t="shared" si="0"/>
        <v>0</v>
      </c>
      <c r="F18" s="181">
        <f t="shared" si="7"/>
        <v>0</v>
      </c>
      <c r="G18" s="236">
        <f t="shared" si="7"/>
        <v>0</v>
      </c>
      <c r="H18" s="131">
        <f t="shared" si="1"/>
        <v>0</v>
      </c>
      <c r="I18" s="53">
        <f t="shared" si="8"/>
        <v>0</v>
      </c>
      <c r="J18" s="236">
        <f t="shared" si="8"/>
        <v>0</v>
      </c>
      <c r="K18" s="128">
        <f t="shared" si="2"/>
        <v>0</v>
      </c>
      <c r="L18" s="245">
        <f>'ET Forecast Capital Additions'!$L17</f>
        <v>1</v>
      </c>
      <c r="M18" s="53">
        <f t="shared" si="3"/>
        <v>0</v>
      </c>
      <c r="N18" s="236">
        <f t="shared" si="4"/>
        <v>0</v>
      </c>
      <c r="O18" s="577">
        <f t="shared" si="5"/>
        <v>0</v>
      </c>
      <c r="P18" s="4">
        <f t="shared" si="9"/>
        <v>7</v>
      </c>
    </row>
    <row r="19" spans="1:16" ht="16.2" thickBot="1" x14ac:dyDescent="0.35">
      <c r="A19" s="4">
        <f t="shared" si="6"/>
        <v>8</v>
      </c>
      <c r="B19" s="544">
        <f>'ET Forecast Capital Additions'!B18</f>
        <v>45526</v>
      </c>
      <c r="C19" s="225">
        <v>0</v>
      </c>
      <c r="D19" s="211">
        <v>0</v>
      </c>
      <c r="E19" s="183">
        <f t="shared" si="0"/>
        <v>0</v>
      </c>
      <c r="F19" s="184">
        <f t="shared" si="7"/>
        <v>0</v>
      </c>
      <c r="G19" s="185">
        <f t="shared" si="7"/>
        <v>0</v>
      </c>
      <c r="H19" s="216">
        <f t="shared" si="1"/>
        <v>0</v>
      </c>
      <c r="I19" s="187">
        <f t="shared" si="8"/>
        <v>0</v>
      </c>
      <c r="J19" s="185">
        <f t="shared" si="8"/>
        <v>0</v>
      </c>
      <c r="K19" s="183">
        <f t="shared" si="2"/>
        <v>0</v>
      </c>
      <c r="L19" s="246">
        <f>'ET Forecast Capital Additions'!$L18</f>
        <v>1</v>
      </c>
      <c r="M19" s="187">
        <f t="shared" si="3"/>
        <v>0</v>
      </c>
      <c r="N19" s="185">
        <f t="shared" si="4"/>
        <v>0</v>
      </c>
      <c r="O19" s="186">
        <f t="shared" si="5"/>
        <v>0</v>
      </c>
      <c r="P19" s="4">
        <f t="shared" si="9"/>
        <v>8</v>
      </c>
    </row>
    <row r="20" spans="1:16" x14ac:dyDescent="0.3">
      <c r="A20" s="4">
        <f t="shared" si="6"/>
        <v>9</v>
      </c>
      <c r="B20" s="543">
        <f>'ET Forecast Capital Additions'!B19</f>
        <v>45557</v>
      </c>
      <c r="C20" s="226">
        <v>0</v>
      </c>
      <c r="D20" s="188">
        <v>0</v>
      </c>
      <c r="E20" s="126">
        <f t="shared" si="0"/>
        <v>0</v>
      </c>
      <c r="F20" s="189">
        <f t="shared" si="7"/>
        <v>0</v>
      </c>
      <c r="G20" s="132">
        <f t="shared" si="7"/>
        <v>0</v>
      </c>
      <c r="H20" s="227">
        <f t="shared" si="1"/>
        <v>0</v>
      </c>
      <c r="I20" s="53">
        <f t="shared" si="8"/>
        <v>0</v>
      </c>
      <c r="J20" s="236">
        <f t="shared" si="8"/>
        <v>0</v>
      </c>
      <c r="K20" s="126">
        <f t="shared" si="2"/>
        <v>0</v>
      </c>
      <c r="L20" s="247">
        <f>'ET Forecast Capital Additions'!$L19</f>
        <v>1</v>
      </c>
      <c r="M20" s="53">
        <f t="shared" si="3"/>
        <v>0</v>
      </c>
      <c r="N20" s="236">
        <f t="shared" si="4"/>
        <v>0</v>
      </c>
      <c r="O20" s="127">
        <f t="shared" si="5"/>
        <v>0</v>
      </c>
      <c r="P20" s="4">
        <f t="shared" si="9"/>
        <v>9</v>
      </c>
    </row>
    <row r="21" spans="1:16" x14ac:dyDescent="0.3">
      <c r="A21" s="4">
        <f t="shared" si="6"/>
        <v>10</v>
      </c>
      <c r="B21" s="543">
        <f>'ET Forecast Capital Additions'!B20</f>
        <v>45587</v>
      </c>
      <c r="C21" s="224">
        <v>0</v>
      </c>
      <c r="D21" s="678">
        <v>0</v>
      </c>
      <c r="E21" s="128">
        <f t="shared" si="0"/>
        <v>0</v>
      </c>
      <c r="F21" s="181">
        <f t="shared" si="7"/>
        <v>0</v>
      </c>
      <c r="G21" s="236">
        <f t="shared" si="7"/>
        <v>0</v>
      </c>
      <c r="H21" s="131">
        <f t="shared" si="1"/>
        <v>0</v>
      </c>
      <c r="I21" s="53">
        <f t="shared" si="8"/>
        <v>0</v>
      </c>
      <c r="J21" s="236">
        <f t="shared" si="8"/>
        <v>0</v>
      </c>
      <c r="K21" s="128">
        <f t="shared" si="2"/>
        <v>0</v>
      </c>
      <c r="L21" s="245">
        <f>'ET Forecast Capital Additions'!$L20</f>
        <v>1</v>
      </c>
      <c r="M21" s="53">
        <f t="shared" si="3"/>
        <v>0</v>
      </c>
      <c r="N21" s="236">
        <f t="shared" si="4"/>
        <v>0</v>
      </c>
      <c r="O21" s="577">
        <f t="shared" si="5"/>
        <v>0</v>
      </c>
      <c r="P21" s="4">
        <f t="shared" si="9"/>
        <v>10</v>
      </c>
    </row>
    <row r="22" spans="1:16" x14ac:dyDescent="0.3">
      <c r="A22" s="4">
        <f t="shared" si="6"/>
        <v>11</v>
      </c>
      <c r="B22" s="543">
        <f>'ET Forecast Capital Additions'!B21</f>
        <v>45618</v>
      </c>
      <c r="C22" s="113">
        <v>0</v>
      </c>
      <c r="D22" s="678">
        <v>0</v>
      </c>
      <c r="E22" s="6">
        <f t="shared" si="0"/>
        <v>0</v>
      </c>
      <c r="F22" s="181">
        <f t="shared" si="7"/>
        <v>0</v>
      </c>
      <c r="G22" s="236">
        <f t="shared" si="7"/>
        <v>0</v>
      </c>
      <c r="H22" s="131">
        <f t="shared" si="1"/>
        <v>0</v>
      </c>
      <c r="I22" s="53">
        <f t="shared" si="8"/>
        <v>0</v>
      </c>
      <c r="J22" s="236">
        <f t="shared" si="8"/>
        <v>0</v>
      </c>
      <c r="K22" s="6">
        <f t="shared" si="2"/>
        <v>0</v>
      </c>
      <c r="L22" s="245">
        <f>'ET Forecast Capital Additions'!$L21</f>
        <v>1</v>
      </c>
      <c r="M22" s="53">
        <f t="shared" si="3"/>
        <v>0</v>
      </c>
      <c r="N22" s="236">
        <f t="shared" si="4"/>
        <v>0</v>
      </c>
      <c r="O22" s="131">
        <f t="shared" si="5"/>
        <v>0</v>
      </c>
      <c r="P22" s="4">
        <f t="shared" si="9"/>
        <v>11</v>
      </c>
    </row>
    <row r="23" spans="1:16" ht="16.2" thickBot="1" x14ac:dyDescent="0.35">
      <c r="A23" s="4">
        <f t="shared" si="6"/>
        <v>12</v>
      </c>
      <c r="B23" s="544">
        <f>'ET Forecast Capital Additions'!B22</f>
        <v>45648</v>
      </c>
      <c r="C23" s="225">
        <v>0</v>
      </c>
      <c r="D23" s="211">
        <v>0</v>
      </c>
      <c r="E23" s="183">
        <f t="shared" si="0"/>
        <v>0</v>
      </c>
      <c r="F23" s="184">
        <f t="shared" si="7"/>
        <v>0</v>
      </c>
      <c r="G23" s="185">
        <f t="shared" si="7"/>
        <v>0</v>
      </c>
      <c r="H23" s="216">
        <f t="shared" si="1"/>
        <v>0</v>
      </c>
      <c r="I23" s="187">
        <f t="shared" si="8"/>
        <v>0</v>
      </c>
      <c r="J23" s="185">
        <f t="shared" si="8"/>
        <v>0</v>
      </c>
      <c r="K23" s="183">
        <f t="shared" si="2"/>
        <v>0</v>
      </c>
      <c r="L23" s="246">
        <f>'ET Forecast Capital Additions'!$L22</f>
        <v>1</v>
      </c>
      <c r="M23" s="187">
        <f t="shared" si="3"/>
        <v>0</v>
      </c>
      <c r="N23" s="185">
        <f t="shared" si="4"/>
        <v>0</v>
      </c>
      <c r="O23" s="186">
        <f t="shared" si="5"/>
        <v>0</v>
      </c>
      <c r="P23" s="4">
        <f t="shared" si="9"/>
        <v>12</v>
      </c>
    </row>
    <row r="24" spans="1:16" x14ac:dyDescent="0.3">
      <c r="A24" s="4">
        <f t="shared" si="6"/>
        <v>13</v>
      </c>
      <c r="B24" s="543">
        <f>'ET Forecast Capital Additions'!B23</f>
        <v>45679</v>
      </c>
      <c r="C24" s="226">
        <v>0</v>
      </c>
      <c r="D24" s="188">
        <v>0</v>
      </c>
      <c r="E24" s="126">
        <f t="shared" si="0"/>
        <v>0</v>
      </c>
      <c r="F24" s="181">
        <f t="shared" si="7"/>
        <v>0</v>
      </c>
      <c r="G24" s="236">
        <f t="shared" si="7"/>
        <v>0</v>
      </c>
      <c r="H24" s="227">
        <f t="shared" si="1"/>
        <v>0</v>
      </c>
      <c r="I24" s="53">
        <f t="shared" si="8"/>
        <v>0</v>
      </c>
      <c r="J24" s="236">
        <f t="shared" si="8"/>
        <v>0</v>
      </c>
      <c r="K24" s="126">
        <f t="shared" si="2"/>
        <v>0</v>
      </c>
      <c r="L24" s="247">
        <f>'ET Forecast Capital Additions'!$L23</f>
        <v>1</v>
      </c>
      <c r="M24" s="53">
        <f t="shared" si="3"/>
        <v>0</v>
      </c>
      <c r="N24" s="236">
        <f t="shared" si="4"/>
        <v>0</v>
      </c>
      <c r="O24" s="127">
        <f t="shared" si="5"/>
        <v>0</v>
      </c>
      <c r="P24" s="4">
        <f t="shared" si="9"/>
        <v>13</v>
      </c>
    </row>
    <row r="25" spans="1:16" x14ac:dyDescent="0.3">
      <c r="A25" s="4">
        <f t="shared" si="6"/>
        <v>14</v>
      </c>
      <c r="B25" s="543">
        <f>'ET Forecast Capital Additions'!B24</f>
        <v>45710</v>
      </c>
      <c r="C25" s="224">
        <v>0</v>
      </c>
      <c r="D25" s="678">
        <v>0</v>
      </c>
      <c r="E25" s="128">
        <f t="shared" si="0"/>
        <v>0</v>
      </c>
      <c r="F25" s="181">
        <f t="shared" si="7"/>
        <v>0</v>
      </c>
      <c r="G25" s="236">
        <f t="shared" si="7"/>
        <v>0</v>
      </c>
      <c r="H25" s="131">
        <f t="shared" si="1"/>
        <v>0</v>
      </c>
      <c r="I25" s="53">
        <f t="shared" si="8"/>
        <v>0</v>
      </c>
      <c r="J25" s="236">
        <f t="shared" si="8"/>
        <v>0</v>
      </c>
      <c r="K25" s="128">
        <f t="shared" si="2"/>
        <v>0</v>
      </c>
      <c r="L25" s="245">
        <f>'ET Forecast Capital Additions'!$L24</f>
        <v>0.91666666666666663</v>
      </c>
      <c r="M25" s="53">
        <f t="shared" si="3"/>
        <v>0</v>
      </c>
      <c r="N25" s="236">
        <f t="shared" si="4"/>
        <v>0</v>
      </c>
      <c r="O25" s="577">
        <f t="shared" si="5"/>
        <v>0</v>
      </c>
      <c r="P25" s="4">
        <f t="shared" si="9"/>
        <v>14</v>
      </c>
    </row>
    <row r="26" spans="1:16" x14ac:dyDescent="0.3">
      <c r="A26" s="4">
        <f t="shared" si="6"/>
        <v>15</v>
      </c>
      <c r="B26" s="543">
        <f>'ET Forecast Capital Additions'!B25</f>
        <v>45738</v>
      </c>
      <c r="C26" s="224">
        <v>0</v>
      </c>
      <c r="D26" s="678">
        <v>0</v>
      </c>
      <c r="E26" s="128">
        <f t="shared" si="0"/>
        <v>0</v>
      </c>
      <c r="F26" s="181">
        <f t="shared" si="7"/>
        <v>0</v>
      </c>
      <c r="G26" s="236">
        <f t="shared" si="7"/>
        <v>0</v>
      </c>
      <c r="H26" s="131">
        <f t="shared" si="1"/>
        <v>0</v>
      </c>
      <c r="I26" s="53">
        <f t="shared" si="8"/>
        <v>0</v>
      </c>
      <c r="J26" s="236">
        <f t="shared" si="8"/>
        <v>0</v>
      </c>
      <c r="K26" s="128">
        <f t="shared" si="2"/>
        <v>0</v>
      </c>
      <c r="L26" s="245">
        <f>'ET Forecast Capital Additions'!$L25</f>
        <v>0.83333333333333337</v>
      </c>
      <c r="M26" s="53">
        <f t="shared" si="3"/>
        <v>0</v>
      </c>
      <c r="N26" s="236">
        <f t="shared" si="4"/>
        <v>0</v>
      </c>
      <c r="O26" s="577">
        <f t="shared" si="5"/>
        <v>0</v>
      </c>
      <c r="P26" s="4">
        <f t="shared" si="9"/>
        <v>15</v>
      </c>
    </row>
    <row r="27" spans="1:16" ht="16.2" thickBot="1" x14ac:dyDescent="0.35">
      <c r="A27" s="4">
        <f t="shared" si="6"/>
        <v>16</v>
      </c>
      <c r="B27" s="544">
        <f>'ET Forecast Capital Additions'!B26</f>
        <v>45769</v>
      </c>
      <c r="C27" s="225">
        <v>0</v>
      </c>
      <c r="D27" s="211">
        <v>0</v>
      </c>
      <c r="E27" s="183">
        <f t="shared" si="0"/>
        <v>0</v>
      </c>
      <c r="F27" s="184">
        <f t="shared" si="7"/>
        <v>0</v>
      </c>
      <c r="G27" s="185">
        <f t="shared" si="7"/>
        <v>0</v>
      </c>
      <c r="H27" s="216">
        <f t="shared" si="1"/>
        <v>0</v>
      </c>
      <c r="I27" s="187">
        <f t="shared" si="8"/>
        <v>0</v>
      </c>
      <c r="J27" s="185">
        <f t="shared" si="8"/>
        <v>0</v>
      </c>
      <c r="K27" s="183">
        <f t="shared" si="2"/>
        <v>0</v>
      </c>
      <c r="L27" s="246">
        <f>'ET Forecast Capital Additions'!$L26</f>
        <v>0.75</v>
      </c>
      <c r="M27" s="187">
        <f t="shared" si="3"/>
        <v>0</v>
      </c>
      <c r="N27" s="185">
        <f t="shared" si="4"/>
        <v>0</v>
      </c>
      <c r="O27" s="186">
        <f t="shared" si="5"/>
        <v>0</v>
      </c>
      <c r="P27" s="4">
        <f t="shared" si="9"/>
        <v>16</v>
      </c>
    </row>
    <row r="28" spans="1:16" x14ac:dyDescent="0.3">
      <c r="A28" s="4">
        <f t="shared" si="6"/>
        <v>17</v>
      </c>
      <c r="B28" s="543">
        <f>'ET Forecast Capital Additions'!B27</f>
        <v>45799</v>
      </c>
      <c r="C28" s="113">
        <v>0</v>
      </c>
      <c r="D28" s="678">
        <v>0</v>
      </c>
      <c r="E28" s="6">
        <f t="shared" si="0"/>
        <v>0</v>
      </c>
      <c r="F28" s="181">
        <f t="shared" si="7"/>
        <v>0</v>
      </c>
      <c r="G28" s="236">
        <f t="shared" si="7"/>
        <v>0</v>
      </c>
      <c r="H28" s="131">
        <f t="shared" si="1"/>
        <v>0</v>
      </c>
      <c r="I28" s="53">
        <f t="shared" si="8"/>
        <v>0</v>
      </c>
      <c r="J28" s="236">
        <f t="shared" si="8"/>
        <v>0</v>
      </c>
      <c r="K28" s="6">
        <f t="shared" si="2"/>
        <v>0</v>
      </c>
      <c r="L28" s="247">
        <f>'ET Forecast Capital Additions'!$L27</f>
        <v>0.66666666666666663</v>
      </c>
      <c r="M28" s="53">
        <f t="shared" si="3"/>
        <v>0</v>
      </c>
      <c r="N28" s="236">
        <f t="shared" si="4"/>
        <v>0</v>
      </c>
      <c r="O28" s="131">
        <f t="shared" si="5"/>
        <v>0</v>
      </c>
      <c r="P28" s="4">
        <f t="shared" si="9"/>
        <v>17</v>
      </c>
    </row>
    <row r="29" spans="1:16" x14ac:dyDescent="0.3">
      <c r="A29" s="4">
        <f t="shared" si="6"/>
        <v>18</v>
      </c>
      <c r="B29" s="543">
        <f>'ET Forecast Capital Additions'!B28</f>
        <v>45830</v>
      </c>
      <c r="C29" s="224">
        <v>0</v>
      </c>
      <c r="D29" s="678">
        <v>0</v>
      </c>
      <c r="E29" s="128">
        <f t="shared" si="0"/>
        <v>0</v>
      </c>
      <c r="F29" s="181">
        <f t="shared" si="7"/>
        <v>0</v>
      </c>
      <c r="G29" s="236">
        <f t="shared" si="7"/>
        <v>0</v>
      </c>
      <c r="H29" s="131">
        <f t="shared" si="1"/>
        <v>0</v>
      </c>
      <c r="I29" s="53">
        <f t="shared" si="8"/>
        <v>0</v>
      </c>
      <c r="J29" s="236">
        <f t="shared" si="8"/>
        <v>0</v>
      </c>
      <c r="K29" s="128">
        <f t="shared" si="2"/>
        <v>0</v>
      </c>
      <c r="L29" s="245">
        <f>'ET Forecast Capital Additions'!$L28</f>
        <v>0.58333333333333337</v>
      </c>
      <c r="M29" s="53">
        <f t="shared" si="3"/>
        <v>0</v>
      </c>
      <c r="N29" s="236">
        <f t="shared" si="4"/>
        <v>0</v>
      </c>
      <c r="O29" s="577">
        <f t="shared" si="5"/>
        <v>0</v>
      </c>
      <c r="P29" s="4">
        <f t="shared" si="9"/>
        <v>18</v>
      </c>
    </row>
    <row r="30" spans="1:16" x14ac:dyDescent="0.3">
      <c r="A30" s="4">
        <f t="shared" si="6"/>
        <v>19</v>
      </c>
      <c r="B30" s="543">
        <f>'ET Forecast Capital Additions'!B29</f>
        <v>45860</v>
      </c>
      <c r="C30" s="224">
        <v>0</v>
      </c>
      <c r="D30" s="678">
        <v>0</v>
      </c>
      <c r="E30" s="128">
        <f t="shared" si="0"/>
        <v>0</v>
      </c>
      <c r="F30" s="181">
        <f t="shared" si="7"/>
        <v>0</v>
      </c>
      <c r="G30" s="236">
        <f t="shared" si="7"/>
        <v>0</v>
      </c>
      <c r="H30" s="131">
        <f t="shared" si="1"/>
        <v>0</v>
      </c>
      <c r="I30" s="53">
        <f t="shared" si="8"/>
        <v>0</v>
      </c>
      <c r="J30" s="236">
        <f t="shared" si="8"/>
        <v>0</v>
      </c>
      <c r="K30" s="128">
        <f t="shared" si="2"/>
        <v>0</v>
      </c>
      <c r="L30" s="245">
        <f>'ET Forecast Capital Additions'!$L29</f>
        <v>0.5</v>
      </c>
      <c r="M30" s="53">
        <f t="shared" si="3"/>
        <v>0</v>
      </c>
      <c r="N30" s="236">
        <f t="shared" si="4"/>
        <v>0</v>
      </c>
      <c r="O30" s="577">
        <f t="shared" si="5"/>
        <v>0</v>
      </c>
      <c r="P30" s="4">
        <f t="shared" si="9"/>
        <v>19</v>
      </c>
    </row>
    <row r="31" spans="1:16" ht="16.2" thickBot="1" x14ac:dyDescent="0.35">
      <c r="A31" s="4">
        <f t="shared" si="6"/>
        <v>20</v>
      </c>
      <c r="B31" s="544">
        <f>'ET Forecast Capital Additions'!B30</f>
        <v>45891</v>
      </c>
      <c r="C31" s="225">
        <v>0</v>
      </c>
      <c r="D31" s="211">
        <v>0</v>
      </c>
      <c r="E31" s="183">
        <f t="shared" si="0"/>
        <v>0</v>
      </c>
      <c r="F31" s="184">
        <f t="shared" si="7"/>
        <v>0</v>
      </c>
      <c r="G31" s="185">
        <f t="shared" si="7"/>
        <v>0</v>
      </c>
      <c r="H31" s="216">
        <f t="shared" si="1"/>
        <v>0</v>
      </c>
      <c r="I31" s="187">
        <f t="shared" si="8"/>
        <v>0</v>
      </c>
      <c r="J31" s="185">
        <f t="shared" si="8"/>
        <v>0</v>
      </c>
      <c r="K31" s="183">
        <f t="shared" si="2"/>
        <v>0</v>
      </c>
      <c r="L31" s="246">
        <f>'ET Forecast Capital Additions'!$L30</f>
        <v>0.41666666666666669</v>
      </c>
      <c r="M31" s="187">
        <f t="shared" si="3"/>
        <v>0</v>
      </c>
      <c r="N31" s="185">
        <f t="shared" si="4"/>
        <v>0</v>
      </c>
      <c r="O31" s="186">
        <f t="shared" si="5"/>
        <v>0</v>
      </c>
      <c r="P31" s="4">
        <f t="shared" si="9"/>
        <v>20</v>
      </c>
    </row>
    <row r="32" spans="1:16" x14ac:dyDescent="0.3">
      <c r="A32" s="4">
        <f t="shared" si="6"/>
        <v>21</v>
      </c>
      <c r="B32" s="543">
        <f>'ET Forecast Capital Additions'!B31</f>
        <v>45922</v>
      </c>
      <c r="C32" s="224">
        <v>0</v>
      </c>
      <c r="D32" s="678">
        <v>0</v>
      </c>
      <c r="E32" s="128">
        <f t="shared" si="0"/>
        <v>0</v>
      </c>
      <c r="F32" s="181">
        <f t="shared" si="7"/>
        <v>0</v>
      </c>
      <c r="G32" s="236">
        <f t="shared" si="7"/>
        <v>0</v>
      </c>
      <c r="H32" s="131">
        <f t="shared" si="1"/>
        <v>0</v>
      </c>
      <c r="I32" s="53">
        <f t="shared" si="8"/>
        <v>0</v>
      </c>
      <c r="J32" s="236">
        <f t="shared" si="8"/>
        <v>0</v>
      </c>
      <c r="K32" s="128">
        <f t="shared" si="2"/>
        <v>0</v>
      </c>
      <c r="L32" s="247">
        <f>'ET Forecast Capital Additions'!$L31</f>
        <v>0.33333333333333331</v>
      </c>
      <c r="M32" s="53">
        <f t="shared" si="3"/>
        <v>0</v>
      </c>
      <c r="N32" s="236">
        <f t="shared" si="4"/>
        <v>0</v>
      </c>
      <c r="O32" s="577">
        <f t="shared" si="5"/>
        <v>0</v>
      </c>
      <c r="P32" s="4">
        <f t="shared" si="9"/>
        <v>21</v>
      </c>
    </row>
    <row r="33" spans="1:18" x14ac:dyDescent="0.3">
      <c r="A33" s="4">
        <f t="shared" si="6"/>
        <v>22</v>
      </c>
      <c r="B33" s="543">
        <f>'ET Forecast Capital Additions'!B32</f>
        <v>45952</v>
      </c>
      <c r="C33" s="113">
        <v>0</v>
      </c>
      <c r="D33" s="678">
        <v>0</v>
      </c>
      <c r="E33" s="6">
        <f t="shared" si="0"/>
        <v>0</v>
      </c>
      <c r="F33" s="181">
        <f t="shared" si="7"/>
        <v>0</v>
      </c>
      <c r="G33" s="236">
        <f t="shared" si="7"/>
        <v>0</v>
      </c>
      <c r="H33" s="131">
        <f t="shared" si="1"/>
        <v>0</v>
      </c>
      <c r="I33" s="53">
        <f t="shared" si="8"/>
        <v>0</v>
      </c>
      <c r="J33" s="236">
        <f t="shared" si="8"/>
        <v>0</v>
      </c>
      <c r="K33" s="6">
        <f t="shared" si="2"/>
        <v>0</v>
      </c>
      <c r="L33" s="245">
        <f>'ET Forecast Capital Additions'!$L32</f>
        <v>0.25</v>
      </c>
      <c r="M33" s="53">
        <f t="shared" si="3"/>
        <v>0</v>
      </c>
      <c r="N33" s="236">
        <f t="shared" si="4"/>
        <v>0</v>
      </c>
      <c r="O33" s="131">
        <f t="shared" si="5"/>
        <v>0</v>
      </c>
      <c r="P33" s="4">
        <f t="shared" si="9"/>
        <v>22</v>
      </c>
    </row>
    <row r="34" spans="1:18" x14ac:dyDescent="0.3">
      <c r="A34" s="4">
        <f t="shared" si="6"/>
        <v>23</v>
      </c>
      <c r="B34" s="543">
        <f>'ET Forecast Capital Additions'!B33</f>
        <v>45983</v>
      </c>
      <c r="C34" s="224">
        <v>0</v>
      </c>
      <c r="D34" s="678">
        <v>0</v>
      </c>
      <c r="E34" s="128">
        <f t="shared" si="0"/>
        <v>0</v>
      </c>
      <c r="F34" s="181">
        <f t="shared" si="7"/>
        <v>0</v>
      </c>
      <c r="G34" s="236">
        <f t="shared" si="7"/>
        <v>0</v>
      </c>
      <c r="H34" s="131">
        <f t="shared" si="1"/>
        <v>0</v>
      </c>
      <c r="I34" s="53">
        <f t="shared" si="8"/>
        <v>0</v>
      </c>
      <c r="J34" s="236">
        <f t="shared" si="8"/>
        <v>0</v>
      </c>
      <c r="K34" s="128">
        <f t="shared" si="2"/>
        <v>0</v>
      </c>
      <c r="L34" s="245">
        <f>'ET Forecast Capital Additions'!$L33</f>
        <v>0.16666666666666666</v>
      </c>
      <c r="M34" s="53">
        <f t="shared" si="3"/>
        <v>0</v>
      </c>
      <c r="N34" s="236">
        <f t="shared" si="4"/>
        <v>0</v>
      </c>
      <c r="O34" s="577">
        <f t="shared" si="5"/>
        <v>0</v>
      </c>
      <c r="P34" s="4">
        <f t="shared" si="9"/>
        <v>23</v>
      </c>
    </row>
    <row r="35" spans="1:18" ht="16.2" thickBot="1" x14ac:dyDescent="0.35">
      <c r="A35" s="4">
        <f t="shared" si="6"/>
        <v>24</v>
      </c>
      <c r="B35" s="543">
        <f>'ET Forecast Capital Additions'!B34</f>
        <v>46013</v>
      </c>
      <c r="C35" s="224">
        <v>0</v>
      </c>
      <c r="D35" s="678">
        <v>0</v>
      </c>
      <c r="E35" s="128">
        <f t="shared" si="0"/>
        <v>0</v>
      </c>
      <c r="F35" s="181">
        <f t="shared" si="7"/>
        <v>0</v>
      </c>
      <c r="G35" s="236">
        <f t="shared" si="7"/>
        <v>0</v>
      </c>
      <c r="H35" s="577">
        <f t="shared" si="1"/>
        <v>0</v>
      </c>
      <c r="I35" s="187">
        <f t="shared" si="8"/>
        <v>0</v>
      </c>
      <c r="J35" s="185">
        <f t="shared" si="8"/>
        <v>0</v>
      </c>
      <c r="K35" s="128">
        <f t="shared" si="2"/>
        <v>0</v>
      </c>
      <c r="L35" s="245">
        <f>'ET Forecast Capital Additions'!$L34</f>
        <v>8.3333333333333329E-2</v>
      </c>
      <c r="M35" s="187">
        <f t="shared" si="3"/>
        <v>0</v>
      </c>
      <c r="N35" s="185">
        <f t="shared" si="4"/>
        <v>0</v>
      </c>
      <c r="O35" s="577">
        <f t="shared" si="5"/>
        <v>0</v>
      </c>
      <c r="P35" s="4">
        <f t="shared" si="9"/>
        <v>24</v>
      </c>
    </row>
    <row r="36" spans="1:18" ht="16.2" thickBot="1" x14ac:dyDescent="0.35">
      <c r="A36" s="4">
        <f t="shared" si="6"/>
        <v>25</v>
      </c>
      <c r="B36" s="545" t="s">
        <v>200</v>
      </c>
      <c r="C36" s="195">
        <f t="shared" ref="C36:K36" si="10">SUM(C12:C35)</f>
        <v>0</v>
      </c>
      <c r="D36" s="192">
        <f t="shared" si="10"/>
        <v>0</v>
      </c>
      <c r="E36" s="193">
        <f t="shared" si="10"/>
        <v>0</v>
      </c>
      <c r="F36" s="191">
        <f t="shared" si="10"/>
        <v>0</v>
      </c>
      <c r="G36" s="192">
        <f t="shared" si="10"/>
        <v>0</v>
      </c>
      <c r="H36" s="194">
        <f t="shared" si="10"/>
        <v>0</v>
      </c>
      <c r="I36" s="195">
        <f t="shared" si="10"/>
        <v>0</v>
      </c>
      <c r="J36" s="192">
        <f t="shared" si="10"/>
        <v>0</v>
      </c>
      <c r="K36" s="193">
        <f t="shared" si="10"/>
        <v>0</v>
      </c>
      <c r="L36" s="196"/>
      <c r="M36" s="195">
        <f>SUM(M12:M35)</f>
        <v>0</v>
      </c>
      <c r="N36" s="192">
        <f>SUM(N12:N35)</f>
        <v>0</v>
      </c>
      <c r="O36" s="194">
        <f>SUM(O12:O35)</f>
        <v>0</v>
      </c>
      <c r="P36" s="4">
        <f t="shared" si="9"/>
        <v>25</v>
      </c>
    </row>
    <row r="37" spans="1:18" x14ac:dyDescent="0.3">
      <c r="A37" s="4">
        <f>A36+1</f>
        <v>26</v>
      </c>
      <c r="B37" s="519"/>
      <c r="C37" s="6"/>
      <c r="D37" s="6"/>
      <c r="E37" s="546"/>
      <c r="F37" s="32"/>
      <c r="G37" s="32"/>
      <c r="H37" s="6"/>
      <c r="I37" s="32"/>
      <c r="J37" s="32"/>
      <c r="K37" s="6"/>
      <c r="L37" s="32"/>
      <c r="M37" s="32"/>
      <c r="N37" s="32"/>
      <c r="O37" s="131"/>
      <c r="P37" s="4">
        <f>P36+1</f>
        <v>26</v>
      </c>
      <c r="Q37" s="32"/>
      <c r="R37" s="32"/>
    </row>
    <row r="38" spans="1:18" s="417" customFormat="1" x14ac:dyDescent="0.3">
      <c r="A38" s="4">
        <f>A37+1</f>
        <v>27</v>
      </c>
      <c r="B38" s="547"/>
      <c r="E38" s="32" t="s">
        <v>1487</v>
      </c>
      <c r="F38" s="548"/>
      <c r="G38" s="548"/>
      <c r="H38" s="28">
        <f>'ET Forecast Capital Additions'!H37</f>
        <v>17819.405999999999</v>
      </c>
      <c r="I38" s="197"/>
      <c r="J38" s="32" t="str">
        <f>'ET Forecast Capital Additions'!J37</f>
        <v>Form 1; Page 204-207; Line 58; Col. d</v>
      </c>
      <c r="O38" s="549"/>
      <c r="P38" s="4">
        <f>P37+1</f>
        <v>27</v>
      </c>
      <c r="Q38" s="32"/>
    </row>
    <row r="39" spans="1:18" s="417" customFormat="1" x14ac:dyDescent="0.3">
      <c r="A39" s="4">
        <f>A38+1</f>
        <v>28</v>
      </c>
      <c r="B39" s="547"/>
      <c r="E39" s="32"/>
      <c r="F39" s="548"/>
      <c r="G39" s="548"/>
      <c r="H39" s="6"/>
      <c r="I39" s="197"/>
      <c r="J39" s="32"/>
      <c r="O39" s="549"/>
      <c r="P39" s="4">
        <f>P38+1</f>
        <v>28</v>
      </c>
    </row>
    <row r="40" spans="1:18" s="417" customFormat="1" x14ac:dyDescent="0.3">
      <c r="A40" s="4">
        <f t="shared" ref="A40:A42" si="11">A39+1</f>
        <v>29</v>
      </c>
      <c r="B40" s="547"/>
      <c r="E40" s="32" t="s">
        <v>1489</v>
      </c>
      <c r="F40" s="548"/>
      <c r="G40" s="548"/>
      <c r="H40" s="919">
        <f>'ET Forecast Capital Additions'!H39</f>
        <v>8390028.6160000004</v>
      </c>
      <c r="I40" s="197"/>
      <c r="J40" s="32" t="str">
        <f>'ET Forecast Capital Additions'!J39</f>
        <v>Form 1; Page 204-207; Line 58; Col. g</v>
      </c>
      <c r="O40" s="549"/>
      <c r="P40" s="4">
        <f t="shared" ref="P40:P47" si="12">P39+1</f>
        <v>29</v>
      </c>
    </row>
    <row r="41" spans="1:18" s="32" customFormat="1" ht="16.2" thickBot="1" x14ac:dyDescent="0.35">
      <c r="A41" s="4">
        <f t="shared" si="11"/>
        <v>30</v>
      </c>
      <c r="B41" s="519"/>
      <c r="E41" s="1"/>
      <c r="F41" s="1"/>
      <c r="G41" s="1"/>
      <c r="O41" s="384"/>
      <c r="P41" s="4">
        <f t="shared" si="12"/>
        <v>30</v>
      </c>
      <c r="Q41" s="417"/>
      <c r="R41" s="417"/>
    </row>
    <row r="42" spans="1:18" ht="16.2" thickBot="1" x14ac:dyDescent="0.35">
      <c r="A42" s="4">
        <f t="shared" si="11"/>
        <v>31</v>
      </c>
      <c r="B42" s="519"/>
      <c r="C42" s="32"/>
      <c r="D42" s="32"/>
      <c r="E42" s="1" t="s">
        <v>1491</v>
      </c>
      <c r="F42" s="32"/>
      <c r="G42" s="32"/>
      <c r="H42" s="198">
        <f>IFERROR(H38/H40,0)</f>
        <v>2.1238790492344607E-3</v>
      </c>
      <c r="I42" s="32"/>
      <c r="J42" s="32" t="s">
        <v>1492</v>
      </c>
      <c r="K42" s="48"/>
      <c r="L42" s="32"/>
      <c r="M42" s="32"/>
      <c r="N42" s="32"/>
      <c r="O42" s="384"/>
      <c r="P42" s="4">
        <f t="shared" si="12"/>
        <v>31</v>
      </c>
      <c r="Q42" s="32"/>
      <c r="R42" s="32"/>
    </row>
    <row r="43" spans="1:18" ht="16.2" thickBot="1" x14ac:dyDescent="0.35">
      <c r="A43" s="4">
        <f t="shared" si="6"/>
        <v>32</v>
      </c>
      <c r="B43" s="550"/>
      <c r="C43" s="866"/>
      <c r="D43" s="866"/>
      <c r="E43" s="898"/>
      <c r="F43" s="866"/>
      <c r="G43" s="866"/>
      <c r="H43" s="1083"/>
      <c r="I43" s="866"/>
      <c r="J43" s="866"/>
      <c r="K43" s="866"/>
      <c r="L43" s="866"/>
      <c r="M43" s="866"/>
      <c r="N43" s="866"/>
      <c r="O43" s="199"/>
      <c r="P43" s="4">
        <f t="shared" si="12"/>
        <v>32</v>
      </c>
      <c r="Q43" s="417"/>
      <c r="R43" s="32"/>
    </row>
    <row r="44" spans="1:18" ht="16.2" thickBot="1" x14ac:dyDescent="0.35">
      <c r="A44" s="4">
        <f t="shared" si="6"/>
        <v>33</v>
      </c>
      <c r="B44" s="519"/>
      <c r="C44" s="32"/>
      <c r="D44" s="32"/>
      <c r="E44" s="6"/>
      <c r="F44" s="32"/>
      <c r="G44" s="32"/>
      <c r="H44" s="32"/>
      <c r="I44" s="32"/>
      <c r="J44" s="32"/>
      <c r="K44" s="6" t="s">
        <v>1</v>
      </c>
      <c r="L44" s="32"/>
      <c r="M44" s="48"/>
      <c r="N44" s="48"/>
      <c r="O44" s="551"/>
      <c r="P44" s="4">
        <f t="shared" si="12"/>
        <v>33</v>
      </c>
      <c r="Q44" s="417"/>
      <c r="R44" s="32"/>
    </row>
    <row r="45" spans="1:18" ht="16.2" thickBot="1" x14ac:dyDescent="0.35">
      <c r="A45" s="4">
        <f t="shared" si="6"/>
        <v>34</v>
      </c>
      <c r="B45" s="552"/>
      <c r="C45" s="32"/>
      <c r="D45" s="254"/>
      <c r="E45" s="553"/>
      <c r="F45" s="1084"/>
      <c r="G45" s="1085"/>
      <c r="H45" s="1085" t="s">
        <v>1493</v>
      </c>
      <c r="I45" s="554" t="s">
        <v>1494</v>
      </c>
      <c r="J45" s="555" t="s">
        <v>1495</v>
      </c>
      <c r="K45" s="556" t="s">
        <v>1452</v>
      </c>
      <c r="L45" s="1"/>
      <c r="M45" s="557" t="s">
        <v>1455</v>
      </c>
      <c r="N45" s="558" t="s">
        <v>1456</v>
      </c>
      <c r="O45" s="559" t="s">
        <v>1496</v>
      </c>
      <c r="P45" s="4">
        <f t="shared" si="12"/>
        <v>34</v>
      </c>
      <c r="Q45" s="417"/>
      <c r="R45" s="32"/>
    </row>
    <row r="46" spans="1:18" ht="16.2" thickBot="1" x14ac:dyDescent="0.35">
      <c r="A46" s="4">
        <f t="shared" si="6"/>
        <v>35</v>
      </c>
      <c r="B46" s="519"/>
      <c r="C46" s="32"/>
      <c r="D46" s="32"/>
      <c r="E46" s="560"/>
      <c r="F46" s="367"/>
      <c r="G46" s="561"/>
      <c r="H46" s="561" t="s">
        <v>1497</v>
      </c>
      <c r="I46" s="200">
        <f>+I36</f>
        <v>0</v>
      </c>
      <c r="J46" s="200">
        <f>+J36</f>
        <v>0</v>
      </c>
      <c r="K46" s="200">
        <f>+K36</f>
        <v>0</v>
      </c>
      <c r="L46" s="44"/>
      <c r="M46" s="200">
        <f>+M36</f>
        <v>0</v>
      </c>
      <c r="N46" s="200">
        <f>+N36</f>
        <v>0</v>
      </c>
      <c r="O46" s="200">
        <f>+O36</f>
        <v>0</v>
      </c>
      <c r="P46" s="4">
        <f t="shared" si="12"/>
        <v>35</v>
      </c>
      <c r="Q46" s="32"/>
      <c r="R46" s="32"/>
    </row>
    <row r="47" spans="1:18" ht="16.2" thickTop="1" x14ac:dyDescent="0.3">
      <c r="A47" s="4">
        <f t="shared" si="6"/>
        <v>36</v>
      </c>
      <c r="B47" s="519"/>
      <c r="C47" s="32"/>
      <c r="D47" s="32"/>
      <c r="E47" s="519"/>
      <c r="F47" s="32"/>
      <c r="G47" s="29"/>
      <c r="H47" s="29"/>
      <c r="I47" s="220"/>
      <c r="J47" s="220"/>
      <c r="K47" s="220"/>
      <c r="L47" s="32"/>
      <c r="M47" s="220"/>
      <c r="N47" s="220"/>
      <c r="O47" s="220"/>
      <c r="P47" s="4">
        <f t="shared" si="12"/>
        <v>36</v>
      </c>
      <c r="Q47" s="32"/>
      <c r="R47" s="32"/>
    </row>
    <row r="48" spans="1:18" ht="16.2" thickBot="1" x14ac:dyDescent="0.35">
      <c r="A48" s="4">
        <f>A47+1</f>
        <v>37</v>
      </c>
      <c r="B48" s="519"/>
      <c r="C48" s="32"/>
      <c r="D48" s="32"/>
      <c r="E48" s="519"/>
      <c r="F48" s="32"/>
      <c r="G48" s="29"/>
      <c r="H48" s="475" t="s">
        <v>1498</v>
      </c>
      <c r="I48" s="204">
        <f>IFERROR((+I46/K46),0)</f>
        <v>0</v>
      </c>
      <c r="J48" s="204">
        <f>IFERROR((+J46/K46),0)</f>
        <v>0</v>
      </c>
      <c r="K48" s="204">
        <f>I48+J48</f>
        <v>0</v>
      </c>
      <c r="L48" s="1"/>
      <c r="M48" s="204">
        <f>IFERROR((+M46/O46),0)</f>
        <v>0</v>
      </c>
      <c r="N48" s="204">
        <f>IFERROR((+N46/O46),0)</f>
        <v>0</v>
      </c>
      <c r="O48" s="204">
        <f>M48+N48</f>
        <v>0</v>
      </c>
      <c r="P48" s="4">
        <f>P47+1</f>
        <v>37</v>
      </c>
      <c r="Q48" s="32"/>
      <c r="R48" s="32"/>
    </row>
    <row r="49" spans="1:18" ht="16.8" thickTop="1" thickBot="1" x14ac:dyDescent="0.35">
      <c r="A49" s="4">
        <f t="shared" si="6"/>
        <v>38</v>
      </c>
      <c r="B49" s="518"/>
      <c r="C49" s="32"/>
      <c r="D49" s="32"/>
      <c r="E49" s="550"/>
      <c r="F49" s="866"/>
      <c r="G49" s="866"/>
      <c r="H49" s="866"/>
      <c r="I49" s="208"/>
      <c r="J49" s="208"/>
      <c r="K49" s="199"/>
      <c r="L49" s="32"/>
      <c r="M49" s="209"/>
      <c r="N49" s="210"/>
      <c r="O49" s="199"/>
      <c r="P49" s="4">
        <f t="shared" si="9"/>
        <v>38</v>
      </c>
      <c r="Q49" s="32"/>
      <c r="R49" s="32"/>
    </row>
    <row r="50" spans="1:18" ht="16.2" thickBot="1" x14ac:dyDescent="0.35">
      <c r="A50" s="4">
        <f t="shared" si="6"/>
        <v>39</v>
      </c>
      <c r="B50" s="523"/>
      <c r="C50" s="866"/>
      <c r="D50" s="866"/>
      <c r="E50" s="866"/>
      <c r="F50" s="866"/>
      <c r="G50" s="866"/>
      <c r="H50" s="866"/>
      <c r="I50" s="866"/>
      <c r="J50" s="866"/>
      <c r="K50" s="866"/>
      <c r="L50" s="866"/>
      <c r="M50" s="866"/>
      <c r="N50" s="866"/>
      <c r="O50" s="199"/>
      <c r="P50" s="4">
        <f t="shared" si="9"/>
        <v>39</v>
      </c>
      <c r="R50" s="32"/>
    </row>
    <row r="51" spans="1:18" x14ac:dyDescent="0.3">
      <c r="B51" s="1"/>
      <c r="C51" s="32"/>
      <c r="D51" s="32"/>
      <c r="E51" s="32"/>
      <c r="F51" s="32"/>
      <c r="G51" s="32"/>
      <c r="H51" s="32"/>
      <c r="I51" s="32"/>
      <c r="J51" s="32"/>
      <c r="K51" s="32"/>
      <c r="L51" s="32"/>
      <c r="M51" s="32"/>
      <c r="N51" s="32"/>
      <c r="O51" s="32"/>
    </row>
    <row r="52" spans="1:18" x14ac:dyDescent="0.3">
      <c r="B52" s="1"/>
      <c r="C52" s="32"/>
      <c r="D52" s="32"/>
      <c r="E52" s="32"/>
      <c r="F52" s="32"/>
      <c r="G52" s="32"/>
      <c r="H52" s="32"/>
      <c r="I52" s="32"/>
      <c r="J52" s="32"/>
      <c r="K52" s="32"/>
      <c r="L52" s="32"/>
      <c r="M52" s="32"/>
      <c r="N52" s="32"/>
      <c r="O52" s="32"/>
    </row>
    <row r="53" spans="1:18" x14ac:dyDescent="0.3">
      <c r="B53" s="1"/>
      <c r="C53" s="32"/>
      <c r="D53" s="32"/>
      <c r="E53" s="32"/>
      <c r="F53" s="32"/>
      <c r="G53" s="32"/>
      <c r="H53" s="32"/>
      <c r="I53" s="32"/>
      <c r="J53" s="32"/>
      <c r="K53" s="32"/>
      <c r="L53" s="32"/>
      <c r="M53" s="32"/>
      <c r="N53" s="32"/>
      <c r="O53" s="32"/>
    </row>
    <row r="54" spans="1:18" x14ac:dyDescent="0.3">
      <c r="B54" s="569"/>
      <c r="C54" s="6"/>
      <c r="D54" s="6"/>
      <c r="E54" s="6"/>
      <c r="F54" s="6"/>
      <c r="G54" s="6"/>
      <c r="H54" s="6"/>
      <c r="I54" s="6"/>
      <c r="J54" s="6"/>
      <c r="K54" s="6"/>
      <c r="L54" s="431"/>
      <c r="M54" s="6"/>
      <c r="N54" s="6"/>
      <c r="O54" s="6"/>
    </row>
    <row r="55" spans="1:18" x14ac:dyDescent="0.3">
      <c r="B55" s="569"/>
      <c r="C55" s="6"/>
      <c r="D55" s="6"/>
      <c r="E55" s="6"/>
      <c r="F55" s="6"/>
      <c r="G55" s="6"/>
      <c r="H55" s="6"/>
      <c r="I55" s="6"/>
      <c r="J55" s="6"/>
      <c r="K55" s="6"/>
      <c r="L55" s="431"/>
      <c r="M55" s="6"/>
      <c r="N55" s="6"/>
      <c r="O55" s="6"/>
    </row>
    <row r="56" spans="1:18" x14ac:dyDescent="0.3">
      <c r="B56" s="569"/>
      <c r="C56" s="6"/>
      <c r="D56" s="6"/>
      <c r="E56" s="6"/>
      <c r="F56" s="6"/>
      <c r="G56" s="6"/>
      <c r="H56" s="6"/>
      <c r="I56" s="6"/>
      <c r="J56" s="6"/>
      <c r="K56" s="6"/>
      <c r="L56" s="431"/>
      <c r="M56" s="6"/>
      <c r="N56" s="6"/>
      <c r="O56" s="6"/>
    </row>
    <row r="57" spans="1:18" x14ac:dyDescent="0.3">
      <c r="B57" s="569"/>
      <c r="C57" s="6"/>
      <c r="D57" s="6"/>
      <c r="E57" s="6"/>
      <c r="F57" s="6"/>
      <c r="G57" s="6"/>
      <c r="H57" s="6"/>
      <c r="I57" s="6"/>
      <c r="J57" s="6"/>
      <c r="K57" s="6"/>
      <c r="L57" s="431"/>
      <c r="M57" s="6"/>
      <c r="N57" s="6"/>
      <c r="O57" s="6"/>
    </row>
    <row r="58" spans="1:18" x14ac:dyDescent="0.3">
      <c r="B58" s="569"/>
      <c r="C58" s="6"/>
      <c r="D58" s="6"/>
      <c r="E58" s="6"/>
      <c r="F58" s="6"/>
      <c r="G58" s="6"/>
      <c r="H58" s="6"/>
      <c r="I58" s="6"/>
      <c r="J58" s="6"/>
      <c r="K58" s="6"/>
      <c r="L58" s="431"/>
      <c r="M58" s="6"/>
      <c r="N58" s="6"/>
      <c r="O58" s="6"/>
    </row>
    <row r="59" spans="1:18" x14ac:dyDescent="0.3">
      <c r="B59" s="569"/>
      <c r="C59" s="32"/>
      <c r="D59" s="32"/>
      <c r="E59" s="32"/>
      <c r="F59" s="32"/>
      <c r="G59" s="32"/>
      <c r="H59" s="32"/>
      <c r="I59" s="32"/>
      <c r="J59" s="32"/>
      <c r="K59" s="32"/>
      <c r="L59" s="32"/>
      <c r="M59" s="32"/>
      <c r="N59" s="32"/>
      <c r="O59" s="32"/>
    </row>
  </sheetData>
  <mergeCells count="6">
    <mergeCell ref="B7:O7"/>
    <mergeCell ref="B2:O2"/>
    <mergeCell ref="B3:O3"/>
    <mergeCell ref="B4:O4"/>
    <mergeCell ref="B5:O5"/>
    <mergeCell ref="B6:O6"/>
  </mergeCells>
  <printOptions horizontalCentered="1"/>
  <pageMargins left="0.5" right="0.5" top="0.5" bottom="0.5" header="0.25" footer="0.25"/>
  <pageSetup scale="57" orientation="landscape" r:id="rId1"/>
  <headerFooter scaleWithDoc="0">
    <oddFooter>&amp;C&amp;"Times New Roman,Regular"&amp;10Summary of Weighted Incentive Transmission CWIP - B</oddFooter>
  </headerFooter>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0AF033832634A47ACBF5D0BC7D2D682" ma:contentTypeVersion="9" ma:contentTypeDescription="Create a new document." ma:contentTypeScope="" ma:versionID="8a9456939c326a8a5424d6c96046d55e">
  <xsd:schema xmlns:xsd="http://www.w3.org/2001/XMLSchema" xmlns:xs="http://www.w3.org/2001/XMLSchema" xmlns:p="http://schemas.microsoft.com/office/2006/metadata/properties" xmlns:ns2="6fc4548d-ff52-42f9-a254-3bffe5157158" xmlns:ns3="d3533485-01ac-4c85-a144-d07c02817ce0" targetNamespace="http://schemas.microsoft.com/office/2006/metadata/properties" ma:root="true" ma:fieldsID="5b5a555ea9c8a33db3630162d45a898b" ns2:_="" ns3:_="">
    <xsd:import namespace="6fc4548d-ff52-42f9-a254-3bffe5157158"/>
    <xsd:import namespace="d3533485-01ac-4c85-a144-d07c02817ce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c4548d-ff52-42f9-a254-3bffe51571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3533485-01ac-4c85-a144-d07c02817ce0"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c9f08b38-53a8-4c16-a8c7-e51cb0eca8e8}" ma:internalName="TaxCatchAll" ma:showField="CatchAllData" ma:web="d3533485-01ac-4c85-a144-d07c02817c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fc4548d-ff52-42f9-a254-3bffe5157158">
      <Terms xmlns="http://schemas.microsoft.com/office/infopath/2007/PartnerControls"/>
    </lcf76f155ced4ddcb4097134ff3c332f>
    <TaxCatchAll xmlns="d3533485-01ac-4c85-a144-d07c02817ce0" xsi:nil="true"/>
  </documentManagement>
</p:properties>
</file>

<file path=customXml/itemProps1.xml><?xml version="1.0" encoding="utf-8"?>
<ds:datastoreItem xmlns:ds="http://schemas.openxmlformats.org/officeDocument/2006/customXml" ds:itemID="{F1994A04-D8A5-4041-8BF7-5B95D316FB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c4548d-ff52-42f9-a254-3bffe5157158"/>
    <ds:schemaRef ds:uri="d3533485-01ac-4c85-a144-d07c02817c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8B28AC0-A937-4726-9F01-D09E7304DA1A}">
  <ds:schemaRefs>
    <ds:schemaRef ds:uri="http://schemas.microsoft.com/sharepoint/v3/contenttype/forms"/>
  </ds:schemaRefs>
</ds:datastoreItem>
</file>

<file path=customXml/itemProps3.xml><?xml version="1.0" encoding="utf-8"?>
<ds:datastoreItem xmlns:ds="http://schemas.openxmlformats.org/officeDocument/2006/customXml" ds:itemID="{E46125E5-D8B8-45DB-99CA-EF2AAE465A1F}">
  <ds:schemaRefs>
    <ds:schemaRef ds:uri="http://purl.org/dc/elements/1.1/"/>
    <ds:schemaRef ds:uri="http://www.w3.org/XML/1998/namespace"/>
    <ds:schemaRef ds:uri="http://purl.org/dc/dcmitype/"/>
    <ds:schemaRef ds:uri="http://schemas.microsoft.com/office/2006/documentManagement/types"/>
    <ds:schemaRef ds:uri="6fc4548d-ff52-42f9-a254-3bffe5157158"/>
    <ds:schemaRef ds:uri="http://schemas.microsoft.com/office/2006/metadata/properties"/>
    <ds:schemaRef ds:uri="http://schemas.microsoft.com/office/infopath/2007/PartnerControls"/>
    <ds:schemaRef ds:uri="http://schemas.openxmlformats.org/package/2006/metadata/core-properties"/>
    <ds:schemaRef ds:uri="d3533485-01ac-4c85-a144-d07c02817ce0"/>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90</vt:i4>
      </vt:variant>
      <vt:variant>
        <vt:lpstr>Named Ranges</vt:lpstr>
      </vt:variant>
      <vt:variant>
        <vt:i4>8</vt:i4>
      </vt:variant>
    </vt:vector>
  </HeadingPairs>
  <TitlesOfParts>
    <vt:vector size="98" baseType="lpstr">
      <vt:lpstr>BK-1 Retail TRR</vt:lpstr>
      <vt:lpstr>BK-2 ISO TRR</vt:lpstr>
      <vt:lpstr>Stmt AD</vt:lpstr>
      <vt:lpstr>AD-1</vt:lpstr>
      <vt:lpstr>AD-2</vt:lpstr>
      <vt:lpstr>AD-3</vt:lpstr>
      <vt:lpstr>AD-4</vt:lpstr>
      <vt:lpstr>AD-5</vt:lpstr>
      <vt:lpstr>AD-6</vt:lpstr>
      <vt:lpstr>AD-6A</vt:lpstr>
      <vt:lpstr>AD-6B</vt:lpstr>
      <vt:lpstr>AD-7</vt:lpstr>
      <vt:lpstr>AD-8</vt:lpstr>
      <vt:lpstr>AD-9</vt:lpstr>
      <vt:lpstr>AD-10</vt:lpstr>
      <vt:lpstr>Stmt AE</vt:lpstr>
      <vt:lpstr>AE-1</vt:lpstr>
      <vt:lpstr>AE-1A</vt:lpstr>
      <vt:lpstr>AE-1B</vt:lpstr>
      <vt:lpstr>AE-2</vt:lpstr>
      <vt:lpstr>AE-3</vt:lpstr>
      <vt:lpstr>AE-4</vt:lpstr>
      <vt:lpstr>AE-5</vt:lpstr>
      <vt:lpstr>Stmt AF</vt:lpstr>
      <vt:lpstr>AF-1</vt:lpstr>
      <vt:lpstr>AF-2</vt:lpstr>
      <vt:lpstr>AF-3</vt:lpstr>
      <vt:lpstr>AF-4</vt:lpstr>
      <vt:lpstr>Stmt AG</vt:lpstr>
      <vt:lpstr>AG-1</vt:lpstr>
      <vt:lpstr>AG-1A</vt:lpstr>
      <vt:lpstr>Stmt AH</vt:lpstr>
      <vt:lpstr>AH-1</vt:lpstr>
      <vt:lpstr>AH-2</vt:lpstr>
      <vt:lpstr>Stmt AI</vt:lpstr>
      <vt:lpstr>Stmt AJ</vt:lpstr>
      <vt:lpstr>AJ-1</vt:lpstr>
      <vt:lpstr>AJ-1A</vt:lpstr>
      <vt:lpstr>AJ-1B</vt:lpstr>
      <vt:lpstr>AJ-2</vt:lpstr>
      <vt:lpstr>AJ-2A</vt:lpstr>
      <vt:lpstr>AJ-3</vt:lpstr>
      <vt:lpstr>AJ-3A</vt:lpstr>
      <vt:lpstr>AJ-4</vt:lpstr>
      <vt:lpstr>AJ-4A</vt:lpstr>
      <vt:lpstr>AJ-5</vt:lpstr>
      <vt:lpstr>AJ-6</vt:lpstr>
      <vt:lpstr>AJ-7</vt:lpstr>
      <vt:lpstr>Stmt AK</vt:lpstr>
      <vt:lpstr>Stmt AL</vt:lpstr>
      <vt:lpstr>AL-1</vt:lpstr>
      <vt:lpstr>AL-2</vt:lpstr>
      <vt:lpstr>Stmt AM</vt:lpstr>
      <vt:lpstr>AM-1</vt:lpstr>
      <vt:lpstr>Stmt AQ</vt:lpstr>
      <vt:lpstr>Stmt AR</vt:lpstr>
      <vt:lpstr>AR-1</vt:lpstr>
      <vt:lpstr>Stmt AT</vt:lpstr>
      <vt:lpstr>AT-1</vt:lpstr>
      <vt:lpstr>Stmt AU</vt:lpstr>
      <vt:lpstr>AU-1</vt:lpstr>
      <vt:lpstr>Stmt AV</vt:lpstr>
      <vt:lpstr>AV-1A</vt:lpstr>
      <vt:lpstr>AV-1B</vt:lpstr>
      <vt:lpstr>Stmt Misc.</vt:lpstr>
      <vt:lpstr>Misc.-1</vt:lpstr>
      <vt:lpstr>Misc.-1.1</vt:lpstr>
      <vt:lpstr>Order 864-1</vt:lpstr>
      <vt:lpstr>Order 864-2</vt:lpstr>
      <vt:lpstr>Order 864-3</vt:lpstr>
      <vt:lpstr>Order 864-4</vt:lpstr>
      <vt:lpstr>True-Up</vt:lpstr>
      <vt:lpstr>TO5 True-Up BK-1</vt:lpstr>
      <vt:lpstr>TO5 Stmt AF Proration</vt:lpstr>
      <vt:lpstr>True-Up Stmt AH</vt:lpstr>
      <vt:lpstr>True-Up AH-2</vt:lpstr>
      <vt:lpstr>True-Up Stmt AL</vt:lpstr>
      <vt:lpstr>True-Up Stmt AV</vt:lpstr>
      <vt:lpstr>True-Up Stmt Misc</vt:lpstr>
      <vt:lpstr>True-Up Misc.-1</vt:lpstr>
      <vt:lpstr>True-Up Misc.-1.1</vt:lpstr>
      <vt:lpstr>Interest TU BP</vt:lpstr>
      <vt:lpstr>Interest TU CY</vt:lpstr>
      <vt:lpstr>HV-LV Plant Study</vt:lpstr>
      <vt:lpstr>Summary of HV-LV Splits</vt:lpstr>
      <vt:lpstr>ET Forecast Capital Additions</vt:lpstr>
      <vt:lpstr>General &amp; Common Plant Addition</vt:lpstr>
      <vt:lpstr>Incentive Transmission Plant</vt:lpstr>
      <vt:lpstr>Incentive CWIP-A</vt:lpstr>
      <vt:lpstr>Incentive CWIP-B</vt:lpstr>
      <vt:lpstr>'AG-1'!Print_Area</vt:lpstr>
      <vt:lpstr>'AH-2'!Print_Area</vt:lpstr>
      <vt:lpstr>'AL-1'!Print_Area</vt:lpstr>
      <vt:lpstr>'BK-1 Retail TRR'!Print_Area</vt:lpstr>
      <vt:lpstr>'BK-2 ISO TRR'!Print_Area</vt:lpstr>
      <vt:lpstr>'TO5 True-Up BK-1'!Print_Area</vt:lpstr>
      <vt:lpstr>'True-Up AH-2'!Print_Area</vt:lpstr>
      <vt:lpstr>'AH-2'!Print_Titles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sward</dc:creator>
  <cp:keywords/>
  <dc:description/>
  <cp:lastModifiedBy>Farinas, Raulin</cp:lastModifiedBy>
  <cp:revision/>
  <cp:lastPrinted>2024-10-17T18:20:56Z</cp:lastPrinted>
  <dcterms:created xsi:type="dcterms:W3CDTF">2016-08-29T13:22:03Z</dcterms:created>
  <dcterms:modified xsi:type="dcterms:W3CDTF">2024-10-28T23:56:25Z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{076CBD04-4AC4-48CB-8E3D-AE47D9F74B5D}</vt:lpwstr>
  </property>
  <property fmtid="{D5CDD505-2E9C-101B-9397-08002B2CF9AE}" pid="3" name="ContentTypeId">
    <vt:lpwstr>0x01010020AF033832634A47ACBF5D0BC7D2D682</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y fmtid="{D5CDD505-2E9C-101B-9397-08002B2CF9AE}" pid="6" name="MediaServiceImageTags">
    <vt:lpwstr/>
  </property>
  <property fmtid="{D5CDD505-2E9C-101B-9397-08002B2CF9AE}" pid="7" name="CofWorkbookId">
    <vt:lpwstr>9c2fad0a-3d53-4278-b96e-6b176890bd12</vt:lpwstr>
  </property>
</Properties>
</file>