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drawings/drawing1.xml" ContentType="application/vnd.openxmlformats-officedocument.drawing+xml"/>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2.xml" ContentType="application/vnd.openxmlformats-officedocument.drawing+xml"/>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drawings/drawing3.xml" ContentType="application/vnd.openxmlformats-officedocument.drawing+xml"/>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sempra.sharepoint.com/teams/transmissionrevenue/2023/TO5-Cycle 6 Formula Rate Filing/December Filing/TO5 Cycle 6 Model/"/>
    </mc:Choice>
  </mc:AlternateContent>
  <xr:revisionPtr revIDLastSave="16" documentId="8_{7AD6E73C-0D0F-443F-BDB8-9CCB32234A10}" xr6:coauthVersionLast="47" xr6:coauthVersionMax="47" xr10:uidLastSave="{A2F0E9E2-006A-4601-A5E4-677D113E3215}"/>
  <bookViews>
    <workbookView xWindow="-110" yWindow="-110" windowWidth="19420" windowHeight="10420" tabRatio="910" xr2:uid="{E2AB3D54-CA3E-46C8-B83F-4907D07FF2B5}"/>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Stmt AG" sheetId="38" r:id="rId28"/>
    <sheet name="AG-1" sheetId="109" r:id="rId29"/>
    <sheet name="AG-1A" sheetId="135" r:id="rId30"/>
    <sheet name="Stmt AH" sheetId="40" r:id="rId31"/>
    <sheet name="AH-1" sheetId="41" r:id="rId32"/>
    <sheet name="AH-2" sheetId="42" r:id="rId33"/>
    <sheet name="Stmt AI" sheetId="45" r:id="rId34"/>
    <sheet name="Stmt AJ" sheetId="46" r:id="rId35"/>
    <sheet name="AJ-1" sheetId="47" r:id="rId36"/>
    <sheet name="AJ-1A" sheetId="48" r:id="rId37"/>
    <sheet name="AJ-1B" sheetId="49" r:id="rId38"/>
    <sheet name="AJ-2" sheetId="52" r:id="rId39"/>
    <sheet name="AJ-2A" sheetId="53" r:id="rId40"/>
    <sheet name="AJ-3" sheetId="56" r:id="rId41"/>
    <sheet name="AJ-3A" sheetId="57" r:id="rId42"/>
    <sheet name="AJ-4" sheetId="59" r:id="rId43"/>
    <sheet name="AJ-4A" sheetId="61" r:id="rId44"/>
    <sheet name="AJ-5" sheetId="63" r:id="rId45"/>
    <sheet name="AJ-6" sheetId="65" r:id="rId46"/>
    <sheet name="AJ-7" sheetId="64" r:id="rId47"/>
    <sheet name="Stmt AK" sheetId="66" r:id="rId48"/>
    <sheet name="Stmt AL" sheetId="69" r:id="rId49"/>
    <sheet name="AL-1" sheetId="70" r:id="rId50"/>
    <sheet name="AL-2" sheetId="71" r:id="rId51"/>
    <sheet name="Stmt AM" sheetId="72" r:id="rId52"/>
    <sheet name="AM-1" sheetId="73" r:id="rId53"/>
    <sheet name="Stmt AQ" sheetId="74" r:id="rId54"/>
    <sheet name="Stmt AR" sheetId="75" r:id="rId55"/>
    <sheet name="AR-1" sheetId="153" r:id="rId56"/>
    <sheet name="Stmt AT" sheetId="176" r:id="rId57"/>
    <sheet name="AT-1" sheetId="177" r:id="rId58"/>
    <sheet name="Stmt AU" sheetId="77" r:id="rId59"/>
    <sheet name="AU-1" sheetId="79" r:id="rId60"/>
    <sheet name="Stmt AV" sheetId="82" r:id="rId61"/>
    <sheet name="AV-1A" sheetId="84" r:id="rId62"/>
    <sheet name="AV-1B" sheetId="113" r:id="rId63"/>
    <sheet name="Stmt Misc." sheetId="137" r:id="rId64"/>
    <sheet name="Misc.-1" sheetId="156" r:id="rId65"/>
    <sheet name="Misc.-1.1" sheetId="158" r:id="rId66"/>
    <sheet name="Order 864-1" sheetId="171" r:id="rId67"/>
    <sheet name="Order 864-2" sheetId="172" r:id="rId68"/>
    <sheet name="Order 864-3" sheetId="173" r:id="rId69"/>
    <sheet name="Order 864-4" sheetId="174" r:id="rId70"/>
    <sheet name="True-Up" sheetId="140" r:id="rId71"/>
    <sheet name="TO5 True-Up BK-1" sheetId="144" r:id="rId72"/>
    <sheet name="TO5 Stmt AF Proration" sheetId="157" r:id="rId73"/>
    <sheet name="True-Up Stmt AV" sheetId="150" r:id="rId74"/>
    <sheet name="Interest TU BP" sheetId="141" r:id="rId75"/>
    <sheet name="Interest TU CY" sheetId="142" r:id="rId76"/>
    <sheet name="HV-LV Plant Study" sheetId="86" r:id="rId77"/>
    <sheet name="Summary of HV-LV Splits" sheetId="118" r:id="rId78"/>
    <sheet name="ET Forecast Capital Additions" sheetId="116" r:id="rId79"/>
    <sheet name="General &amp; Common Plant Addition" sheetId="117" r:id="rId80"/>
    <sheet name="Incentive Transmission Plant" sheetId="119" r:id="rId81"/>
    <sheet name="Incentive CWIP-A" sheetId="120" r:id="rId82"/>
    <sheet name="Incentive CWIP-B" sheetId="121" r:id="rId83"/>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8">'AG-1'!$A$1:$E$32</definedName>
    <definedName name="_xlnm.Print_Area" localSheetId="32">'AH-2'!$A$1:$H$64</definedName>
    <definedName name="_xlnm.Print_Area" localSheetId="49">'AL-1'!$A$1:$E$33</definedName>
    <definedName name="_xlnm.Print_Titles" localSheetId="32">'AH-2'!$1:$6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3">"3HLUHWD7UCRUUESL6DDMKVCIX"</definedName>
    <definedName name="SAPBEXwbID" localSheetId="47">"3HLUHWD7UCRUUESL6DDMKVCIX"</definedName>
    <definedName name="SAPBEXwbID" localSheetId="54">"3OI398WBFRH41IFEVHKOMVZ17"</definedName>
    <definedName name="SAPBEXwbID" localSheetId="56">"3OI398WBFRH41IFEVHKOMVZ17"</definedName>
    <definedName name="SAPBEXwbID" localSheetId="58">"3GYSU24DE0L8OAD9MMA71DS87"</definedName>
    <definedName name="SAPBEXwbID" localSheetId="60">"3OI398WBFRH41IFEVHKOMVZ17"</definedName>
    <definedName name="SAPBEXwbID" localSheetId="73">"3OI398WBFRH41IFEVHKOMVZ17"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42" l="1"/>
  <c r="H64" i="42" s="1"/>
  <c r="H34" i="42"/>
  <c r="H35" i="42" s="1"/>
  <c r="H36" i="42" s="1"/>
  <c r="A34" i="42"/>
  <c r="A35" i="42" s="1"/>
  <c r="D34" i="42"/>
  <c r="L12" i="79"/>
  <c r="L13" i="79"/>
  <c r="L14" i="79"/>
  <c r="L15" i="79"/>
  <c r="L16" i="79"/>
  <c r="L17" i="79"/>
  <c r="L18" i="79"/>
  <c r="L19" i="79"/>
  <c r="L20" i="79"/>
  <c r="L21" i="79"/>
  <c r="L22" i="79"/>
  <c r="L23" i="79"/>
  <c r="L24" i="79"/>
  <c r="L25" i="79"/>
  <c r="L26" i="79"/>
  <c r="L27" i="79"/>
  <c r="L28" i="79"/>
  <c r="L29" i="79"/>
  <c r="L30" i="79"/>
  <c r="L31" i="79"/>
  <c r="L32" i="79"/>
  <c r="L33" i="79"/>
  <c r="L34" i="79"/>
  <c r="L35" i="79"/>
  <c r="L36" i="79"/>
  <c r="L37" i="79"/>
  <c r="L38" i="79"/>
  <c r="W22" i="79"/>
  <c r="W23" i="79" s="1"/>
  <c r="W24" i="79" s="1"/>
  <c r="W25" i="79" s="1"/>
  <c r="W26" i="79" s="1"/>
  <c r="W27" i="79" s="1"/>
  <c r="W28" i="79" s="1"/>
  <c r="W29" i="79" s="1"/>
  <c r="W30" i="79" s="1"/>
  <c r="W31" i="79" s="1"/>
  <c r="W32" i="79" s="1"/>
  <c r="W33" i="79" s="1"/>
  <c r="W34" i="79" s="1"/>
  <c r="W35" i="79" s="1"/>
  <c r="W36" i="79" s="1"/>
  <c r="W37" i="79" s="1"/>
  <c r="W38" i="79" s="1"/>
  <c r="W12" i="79"/>
  <c r="W13" i="79" s="1"/>
  <c r="W14" i="79" s="1"/>
  <c r="W15" i="79" s="1"/>
  <c r="W16" i="79" s="1"/>
  <c r="W17" i="79" s="1"/>
  <c r="W18" i="79" s="1"/>
  <c r="W19" i="79" s="1"/>
  <c r="W20" i="79" s="1"/>
  <c r="W21" i="79" s="1"/>
  <c r="W11" i="79"/>
  <c r="V15" i="79" l="1"/>
  <c r="R15" i="79"/>
  <c r="S15" i="79"/>
  <c r="T15" i="79"/>
  <c r="U15" i="79"/>
  <c r="Q15" i="79"/>
  <c r="K15" i="79"/>
  <c r="F15" i="79"/>
  <c r="G15" i="79"/>
  <c r="H15" i="79"/>
  <c r="I15" i="79"/>
  <c r="J15" i="79"/>
  <c r="E15" i="79"/>
  <c r="A14" i="79"/>
  <c r="A15" i="79" s="1"/>
  <c r="A11" i="79"/>
  <c r="N43" i="79"/>
  <c r="R10" i="79" l="1"/>
  <c r="V13" i="79"/>
  <c r="V10" i="79" l="1"/>
  <c r="E39" i="133"/>
  <c r="E311" i="132" l="1"/>
  <c r="E18" i="40" l="1"/>
  <c r="H50" i="41"/>
  <c r="H51" i="41" s="1"/>
  <c r="E20" i="41"/>
  <c r="A50" i="41"/>
  <c r="A51" i="41" s="1"/>
  <c r="E35" i="42"/>
  <c r="E31" i="42"/>
  <c r="E12" i="42" s="1"/>
  <c r="F35" i="140"/>
  <c r="E34" i="40" l="1"/>
  <c r="E14" i="42"/>
  <c r="E25" i="40"/>
  <c r="E47" i="42"/>
  <c r="K33" i="174"/>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13" i="42"/>
  <c r="E37" i="42" l="1"/>
  <c r="E16" i="42" s="1"/>
  <c r="E44" i="42" l="1"/>
  <c r="E19" i="42" s="1"/>
  <c r="P30" i="173" l="1"/>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G38" i="150" l="1"/>
  <c r="G37" i="150"/>
  <c r="G35" i="150"/>
  <c r="G31" i="150"/>
  <c r="G30" i="150"/>
  <c r="G21" i="150"/>
  <c r="G22" i="150"/>
  <c r="G23" i="150"/>
  <c r="G24" i="150"/>
  <c r="G20" i="150"/>
  <c r="G13" i="150"/>
  <c r="G14" i="150"/>
  <c r="G15" i="150"/>
  <c r="G16" i="150"/>
  <c r="G12" i="150"/>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6" i="48"/>
  <c r="H27" i="48"/>
  <c r="H28" i="48"/>
  <c r="H29" i="48"/>
  <c r="H30" i="48"/>
  <c r="H31" i="48"/>
  <c r="H32" i="48"/>
  <c r="H33" i="48"/>
  <c r="D54" i="84" l="1"/>
  <c r="D55" i="84" s="1"/>
  <c r="D56" i="84" s="1"/>
  <c r="D57" i="84" s="1"/>
  <c r="D58" i="84" s="1"/>
  <c r="D59" i="84" s="1"/>
  <c r="D60" i="84" s="1"/>
  <c r="D61" i="84" s="1"/>
  <c r="D62" i="84" s="1"/>
  <c r="D63" i="84" s="1"/>
  <c r="D64" i="84" s="1"/>
  <c r="A54" i="84"/>
  <c r="A55" i="84" s="1"/>
  <c r="A56" i="84" s="1"/>
  <c r="A57" i="84" s="1"/>
  <c r="A58" i="84" s="1"/>
  <c r="A59" i="84" s="1"/>
  <c r="A60" i="84" s="1"/>
  <c r="A61" i="84" s="1"/>
  <c r="A62" i="84" s="1"/>
  <c r="A63" i="84" s="1"/>
  <c r="A64" i="84" s="1"/>
  <c r="J27" i="173" l="1"/>
  <c r="G17" i="86"/>
  <c r="G18" i="86" s="1"/>
  <c r="G19" i="86" s="1"/>
  <c r="G36" i="150"/>
  <c r="V25" i="79"/>
  <c r="E22" i="42" l="1"/>
  <c r="J246" i="150" l="1"/>
  <c r="J247" i="150"/>
  <c r="J248" i="150"/>
  <c r="J249" i="150" s="1"/>
  <c r="J250" i="150" s="1"/>
  <c r="A246" i="150"/>
  <c r="A247" i="150"/>
  <c r="A248" i="150"/>
  <c r="A249" i="150"/>
  <c r="A250" i="150" s="1"/>
  <c r="A251" i="150" s="1"/>
  <c r="A252" i="150" s="1"/>
  <c r="C28" i="158" l="1"/>
  <c r="C23" i="158"/>
  <c r="C18" i="158"/>
  <c r="H18" i="48" l="1"/>
  <c r="H19" i="48"/>
  <c r="H20" i="48"/>
  <c r="H21" i="48"/>
  <c r="H17" i="48"/>
  <c r="H16" i="48"/>
  <c r="E28" i="40"/>
  <c r="E33" i="40"/>
  <c r="E32" i="40"/>
  <c r="E31" i="40"/>
  <c r="E30" i="40"/>
  <c r="E27" i="40"/>
  <c r="E26" i="40"/>
  <c r="E24" i="40"/>
  <c r="E24" i="42" l="1"/>
  <c r="E21" i="42" l="1"/>
  <c r="E18" i="42"/>
  <c r="E50" i="42" l="1"/>
  <c r="E14" i="153" l="1"/>
  <c r="D34" i="86" l="1"/>
  <c r="D17" i="86"/>
  <c r="A40" i="86"/>
  <c r="K24" i="24" l="1"/>
  <c r="K25" i="24"/>
  <c r="K26" i="24"/>
  <c r="K27" i="24"/>
  <c r="K28" i="24"/>
  <c r="K29" i="24"/>
  <c r="K30" i="24"/>
  <c r="K31" i="24"/>
  <c r="K32" i="24"/>
  <c r="F23" i="140" l="1"/>
  <c r="G23" i="140"/>
  <c r="N23" i="140"/>
  <c r="H23" i="140" l="1"/>
  <c r="E119" i="144"/>
  <c r="E68" i="144"/>
  <c r="G250" i="150"/>
  <c r="G247" i="150"/>
  <c r="G237" i="150"/>
  <c r="G170" i="150"/>
  <c r="A118" i="150"/>
  <c r="J117" i="150"/>
  <c r="J118" i="150" s="1"/>
  <c r="J119" i="150" s="1"/>
  <c r="J120" i="150" s="1"/>
  <c r="J121" i="150" s="1"/>
  <c r="J122" i="150" s="1"/>
  <c r="J123" i="150" s="1"/>
  <c r="A119" i="150"/>
  <c r="A120" i="150" s="1"/>
  <c r="A121" i="150" s="1"/>
  <c r="A122" i="150" s="1"/>
  <c r="A123" i="150" s="1"/>
  <c r="E99" i="150"/>
  <c r="E86" i="150"/>
  <c r="A80" i="150"/>
  <c r="A81" i="150" s="1"/>
  <c r="A82" i="150" s="1"/>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J79" i="150"/>
  <c r="J80" i="150" s="1"/>
  <c r="J81" i="150" s="1"/>
  <c r="J82" i="150" s="1"/>
  <c r="J83" i="150" s="1"/>
  <c r="J84" i="150" s="1"/>
  <c r="J85" i="150" s="1"/>
  <c r="J86" i="150" s="1"/>
  <c r="J87" i="150" s="1"/>
  <c r="J88" i="150" s="1"/>
  <c r="J89" i="150" s="1"/>
  <c r="J90" i="150" s="1"/>
  <c r="J91" i="150" s="1"/>
  <c r="J92" i="150" s="1"/>
  <c r="J93" i="150" s="1"/>
  <c r="J94" i="150" s="1"/>
  <c r="J95" i="150" s="1"/>
  <c r="J96" i="150" s="1"/>
  <c r="J97" i="150" s="1"/>
  <c r="J98" i="150" s="1"/>
  <c r="J99" i="150" s="1"/>
  <c r="J100" i="150" s="1"/>
  <c r="J101" i="150" s="1"/>
  <c r="J102" i="150" s="1"/>
  <c r="E187" i="144"/>
  <c r="E186" i="144"/>
  <c r="E148" i="144"/>
  <c r="E85" i="144" s="1"/>
  <c r="E144" i="144"/>
  <c r="E133" i="144"/>
  <c r="E55" i="144"/>
  <c r="B49" i="144"/>
  <c r="E38" i="144"/>
  <c r="E37" i="144"/>
  <c r="E20" i="144"/>
  <c r="E19" i="41" l="1"/>
  <c r="E15" i="41"/>
  <c r="E11" i="41"/>
  <c r="C61" i="84" l="1"/>
  <c r="C60" i="84"/>
  <c r="E21" i="113"/>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33" i="113" s="1"/>
  <c r="C29" i="113"/>
  <c r="V32"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B26" i="109" l="1"/>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F24" i="171"/>
  <c r="G24" i="171"/>
  <c r="H24" i="171"/>
  <c r="I24" i="171"/>
  <c r="D24" i="171"/>
  <c r="G247" i="82"/>
  <c r="G237" i="82"/>
  <c r="G216" i="82"/>
  <c r="G170"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G213"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C21" i="153" s="1"/>
  <c r="F37" i="173"/>
  <c r="E21" i="153" s="1"/>
  <c r="G42" i="173"/>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G30" i="174" l="1"/>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G135" i="82" l="1"/>
  <c r="G135" i="150"/>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G203" i="150"/>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E15" i="144"/>
  <c r="F19" i="42"/>
  <c r="F16" i="42"/>
  <c r="D26" i="42"/>
  <c r="F24" i="42"/>
  <c r="F23" i="42"/>
  <c r="F21" i="42"/>
  <c r="F20" i="42"/>
  <c r="F18" i="42"/>
  <c r="F17" i="42"/>
  <c r="F15" i="42"/>
  <c r="F13" i="42"/>
  <c r="F12" i="42"/>
  <c r="A12" i="42"/>
  <c r="A13" i="42" s="1"/>
  <c r="A14" i="42" s="1"/>
  <c r="A15" i="42" s="1"/>
  <c r="A16" i="42" s="1"/>
  <c r="H11" i="42"/>
  <c r="H12" i="42" s="1"/>
  <c r="H13" i="42" s="1"/>
  <c r="H14" i="42" s="1"/>
  <c r="H15" i="42" s="1"/>
  <c r="H16" i="42" s="1"/>
  <c r="F11" i="42"/>
  <c r="K31" i="173" l="1"/>
  <c r="M27" i="173"/>
  <c r="M31" i="173" s="1"/>
  <c r="N27" i="173"/>
  <c r="N31" i="173" s="1"/>
  <c r="M40" i="173"/>
  <c r="N40" i="173"/>
  <c r="I21" i="152"/>
  <c r="I25" i="152" s="1"/>
  <c r="G35" i="152"/>
  <c r="I28" i="151"/>
  <c r="I33" i="151" s="1"/>
  <c r="M42" i="171"/>
  <c r="N42" i="171"/>
  <c r="D42" i="173"/>
  <c r="E37" i="173"/>
  <c r="E42" i="173" s="1"/>
  <c r="E44" i="173" s="1"/>
  <c r="K34" i="173"/>
  <c r="K24" i="173"/>
  <c r="F22" i="42"/>
  <c r="E26" i="42"/>
  <c r="H17" i="42"/>
  <c r="A17" i="42"/>
  <c r="F14" i="42"/>
  <c r="F26" i="42" l="1"/>
  <c r="N44" i="171"/>
  <c r="I62" i="171"/>
  <c r="L62" i="171" s="1"/>
  <c r="M44" i="171"/>
  <c r="H62" i="171"/>
  <c r="K62" i="171" s="1"/>
  <c r="M34" i="173"/>
  <c r="M37" i="173" s="1"/>
  <c r="M42" i="173" s="1"/>
  <c r="N34" i="173"/>
  <c r="N37" i="173" s="1"/>
  <c r="N42" i="173" s="1"/>
  <c r="N45" i="171"/>
  <c r="G14" i="151"/>
  <c r="D44" i="173"/>
  <c r="E14" i="151"/>
  <c r="K37" i="173"/>
  <c r="K42" i="173" s="1"/>
  <c r="A18" i="42"/>
  <c r="A19" i="42" s="1"/>
  <c r="A20" i="42" s="1"/>
  <c r="A21" i="42" s="1"/>
  <c r="A22" i="42" s="1"/>
  <c r="A23" i="42" s="1"/>
  <c r="A24" i="42" s="1"/>
  <c r="H18" i="42"/>
  <c r="H19" i="42" s="1"/>
  <c r="H20" i="42" s="1"/>
  <c r="H21" i="42" s="1"/>
  <c r="H22" i="42" s="1"/>
  <c r="H23" i="42" s="1"/>
  <c r="H24" i="42" s="1"/>
  <c r="H25" i="42" s="1"/>
  <c r="H26" i="42" s="1"/>
  <c r="H27" i="42" s="1"/>
  <c r="H28" i="42" s="1"/>
  <c r="H29" i="42" s="1"/>
  <c r="H30" i="42" s="1"/>
  <c r="H31" i="42" l="1"/>
  <c r="H32" i="42" s="1"/>
  <c r="H33" i="42" s="1"/>
  <c r="H37" i="42" s="1"/>
  <c r="H38" i="42" s="1"/>
  <c r="H39" i="42" s="1"/>
  <c r="H40" i="42" s="1"/>
  <c r="H41" i="42" s="1"/>
  <c r="H42" i="42" s="1"/>
  <c r="H43" i="42" s="1"/>
  <c r="H44" i="42" s="1"/>
  <c r="H45" i="42" s="1"/>
  <c r="H46" i="42" s="1"/>
  <c r="H47" i="42" s="1"/>
  <c r="H48" i="42" s="1"/>
  <c r="H49" i="42" s="1"/>
  <c r="H50" i="42" s="1"/>
  <c r="H51" i="42" s="1"/>
  <c r="H52" i="42" s="1"/>
  <c r="H53" i="42" s="1"/>
  <c r="H54" i="42" s="1"/>
  <c r="H55" i="42" s="1"/>
  <c r="H56" i="42" s="1"/>
  <c r="H57" i="42" s="1"/>
  <c r="H58" i="42" s="1"/>
  <c r="H59" i="42" s="1"/>
  <c r="H60" i="42" s="1"/>
  <c r="H61" i="42" s="1"/>
  <c r="H62" i="42" s="1"/>
  <c r="N44" i="173"/>
  <c r="I62" i="173"/>
  <c r="L62" i="173" s="1"/>
  <c r="M44" i="173"/>
  <c r="H62" i="173"/>
  <c r="K62" i="173" s="1"/>
  <c r="I14" i="151"/>
  <c r="G18" i="151"/>
  <c r="K44" i="173"/>
  <c r="G26" i="42"/>
  <c r="A25" i="42"/>
  <c r="A26" i="42" s="1"/>
  <c r="A27" i="42" s="1"/>
  <c r="A28" i="42" s="1"/>
  <c r="A29" i="42" s="1"/>
  <c r="A30" i="42" s="1"/>
  <c r="A31" i="42" l="1"/>
  <c r="A32" i="42" s="1"/>
  <c r="A33"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E21" i="151"/>
  <c r="E25" i="151" s="1"/>
  <c r="G21" i="151"/>
  <c r="G25" i="151" s="1"/>
  <c r="G35" i="151" s="1"/>
  <c r="N45" i="173" s="1"/>
  <c r="I13" i="151"/>
  <c r="I21" i="151" l="1"/>
  <c r="E16" i="40" l="1"/>
  <c r="E15" i="40"/>
  <c r="E14" i="40"/>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C58" i="84"/>
  <c r="A14" i="84"/>
  <c r="A15" i="84" s="1"/>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D13" i="84"/>
  <c r="D14" i="84" s="1"/>
  <c r="D15" i="84" s="1"/>
  <c r="D16" i="84" s="1"/>
  <c r="D17" i="84" s="1"/>
  <c r="D18" i="84" s="1"/>
  <c r="D19" i="84" s="1"/>
  <c r="D20" i="84" s="1"/>
  <c r="D21" i="84" s="1"/>
  <c r="D22" i="84" s="1"/>
  <c r="D23" i="84" s="1"/>
  <c r="D24" i="84" s="1"/>
  <c r="D25" i="84" s="1"/>
  <c r="D26" i="84" s="1"/>
  <c r="D27" i="84" s="1"/>
  <c r="D28" i="84" s="1"/>
  <c r="D29" i="84" s="1"/>
  <c r="D30" i="84" s="1"/>
  <c r="D31" i="84" s="1"/>
  <c r="D32" i="84" s="1"/>
  <c r="D33" i="84" s="1"/>
  <c r="D34" i="84" s="1"/>
  <c r="D35" i="84" s="1"/>
  <c r="D36" i="84" s="1"/>
  <c r="D37" i="84" s="1"/>
  <c r="D38" i="84" s="1"/>
  <c r="D39" i="84" s="1"/>
  <c r="D40" i="84" s="1"/>
  <c r="D41" i="84" s="1"/>
  <c r="D42" i="84" s="1"/>
  <c r="D43" i="84" s="1"/>
  <c r="D44" i="84" s="1"/>
  <c r="D45" i="84" s="1"/>
  <c r="D46" i="84" s="1"/>
  <c r="D47" i="84" s="1"/>
  <c r="N47" i="79"/>
  <c r="N46" i="79"/>
  <c r="M46" i="79"/>
  <c r="N45" i="79"/>
  <c r="N44" i="79"/>
  <c r="M44" i="79"/>
  <c r="N42" i="79"/>
  <c r="N41" i="79"/>
  <c r="M41" i="79"/>
  <c r="N37" i="79"/>
  <c r="U34" i="79"/>
  <c r="T34" i="79"/>
  <c r="S34" i="79"/>
  <c r="R34" i="79"/>
  <c r="Q34" i="79"/>
  <c r="P34" i="79"/>
  <c r="K34" i="79"/>
  <c r="J34" i="79"/>
  <c r="I34" i="79"/>
  <c r="H34" i="79"/>
  <c r="G34" i="79"/>
  <c r="F34" i="79"/>
  <c r="E34" i="79"/>
  <c r="V31" i="79"/>
  <c r="V34" i="79" s="1"/>
  <c r="E21" i="77" s="1"/>
  <c r="O31" i="79"/>
  <c r="U29" i="79"/>
  <c r="T29" i="79"/>
  <c r="S29" i="79"/>
  <c r="R29" i="79"/>
  <c r="Q29" i="79"/>
  <c r="K29" i="79"/>
  <c r="J29" i="79"/>
  <c r="I29" i="79"/>
  <c r="H29" i="79"/>
  <c r="G29" i="79"/>
  <c r="F29" i="79"/>
  <c r="E29" i="79"/>
  <c r="V27" i="79"/>
  <c r="P27" i="79"/>
  <c r="O27" i="79"/>
  <c r="N27" i="79"/>
  <c r="V26" i="79"/>
  <c r="P26" i="79"/>
  <c r="O26" i="79"/>
  <c r="N26" i="79"/>
  <c r="V24" i="79"/>
  <c r="P24" i="79"/>
  <c r="O24" i="79"/>
  <c r="N24" i="79"/>
  <c r="V23" i="79"/>
  <c r="P23" i="79"/>
  <c r="O23" i="79"/>
  <c r="N23" i="79"/>
  <c r="V22" i="79"/>
  <c r="P22" i="79"/>
  <c r="O22" i="79"/>
  <c r="N22" i="79"/>
  <c r="V21" i="79"/>
  <c r="P21" i="79"/>
  <c r="O21" i="79"/>
  <c r="N21" i="79"/>
  <c r="V20" i="79"/>
  <c r="P20" i="79"/>
  <c r="O20" i="79"/>
  <c r="N20" i="79"/>
  <c r="V19" i="79"/>
  <c r="P19" i="79"/>
  <c r="O19" i="79"/>
  <c r="N19" i="79"/>
  <c r="V18" i="79"/>
  <c r="P18" i="79"/>
  <c r="O18" i="79"/>
  <c r="N18" i="79"/>
  <c r="V17" i="79"/>
  <c r="P17" i="79"/>
  <c r="O17" i="79"/>
  <c r="N17" i="79"/>
  <c r="V12" i="79"/>
  <c r="A12" i="79"/>
  <c r="A13" i="79" s="1"/>
  <c r="V11" i="79"/>
  <c r="M11" i="79"/>
  <c r="L11" i="79"/>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M13" i="79" l="1"/>
  <c r="S37" i="79"/>
  <c r="V29" i="79"/>
  <c r="K37" i="79"/>
  <c r="G37" i="79"/>
  <c r="Q37" i="79"/>
  <c r="E37" i="79"/>
  <c r="I37" i="79"/>
  <c r="U37" i="79"/>
  <c r="C63" i="84"/>
  <c r="G124" i="82" s="1"/>
  <c r="G124" i="150" s="1"/>
  <c r="A48" i="84"/>
  <c r="A49" i="84" s="1"/>
  <c r="A50" i="84" s="1"/>
  <c r="A51" i="84" s="1"/>
  <c r="A52" i="84" s="1"/>
  <c r="A53" i="84" s="1"/>
  <c r="D48" i="84"/>
  <c r="D49" i="84" s="1"/>
  <c r="D50" i="84" s="1"/>
  <c r="D51" i="84" s="1"/>
  <c r="D52" i="84" s="1"/>
  <c r="D53" i="84" s="1"/>
  <c r="F37" i="79"/>
  <c r="J37" i="79"/>
  <c r="H34" i="140"/>
  <c r="H25" i="140"/>
  <c r="H29" i="140"/>
  <c r="H24" i="140"/>
  <c r="H33" i="140"/>
  <c r="H26" i="140"/>
  <c r="H32" i="140"/>
  <c r="H27" i="140"/>
  <c r="M12" i="79"/>
  <c r="T37" i="79"/>
  <c r="C29" i="140"/>
  <c r="H30" i="140"/>
  <c r="H37" i="79"/>
  <c r="R37" i="79"/>
  <c r="C25" i="140"/>
  <c r="H28" i="140"/>
  <c r="H31" i="140"/>
  <c r="C16" i="141"/>
  <c r="G16" i="141"/>
  <c r="H16" i="141" s="1"/>
  <c r="C33" i="140"/>
  <c r="C24" i="140"/>
  <c r="C28" i="140"/>
  <c r="C32" i="140"/>
  <c r="C27" i="140"/>
  <c r="C31" i="140"/>
  <c r="C26" i="140"/>
  <c r="C30" i="140"/>
  <c r="V37" i="79" l="1"/>
  <c r="H35" i="140"/>
  <c r="C17" i="141"/>
  <c r="C21" i="141"/>
  <c r="C25" i="141"/>
  <c r="C18" i="141"/>
  <c r="C22" i="141"/>
  <c r="C26" i="141"/>
  <c r="C19" i="141"/>
  <c r="C23" i="141"/>
  <c r="C27" i="141"/>
  <c r="C20" i="141"/>
  <c r="C24" i="141"/>
  <c r="F17" i="141"/>
  <c r="M14" i="79" l="1"/>
  <c r="G17" i="141"/>
  <c r="A16" i="79" l="1"/>
  <c r="M15" i="79"/>
  <c r="H17" i="141"/>
  <c r="A17" i="79" l="1"/>
  <c r="M16" i="79"/>
  <c r="F18" i="141"/>
  <c r="A18" i="79" l="1"/>
  <c r="M17" i="79"/>
  <c r="G18" i="141"/>
  <c r="M18" i="79" l="1"/>
  <c r="A19" i="79"/>
  <c r="H18" i="141"/>
  <c r="M19" i="79" l="1"/>
  <c r="A20" i="79"/>
  <c r="F19" i="141"/>
  <c r="G19" i="141"/>
  <c r="A21" i="79" l="1"/>
  <c r="M20" i="79"/>
  <c r="H19" i="141"/>
  <c r="A22" i="79" l="1"/>
  <c r="M21" i="79"/>
  <c r="F20" i="141"/>
  <c r="G20" i="141"/>
  <c r="A23" i="79" l="1"/>
  <c r="M22" i="79"/>
  <c r="H20" i="141"/>
  <c r="A24" i="79" l="1"/>
  <c r="M23" i="79"/>
  <c r="F21" i="141"/>
  <c r="A25" i="79" l="1"/>
  <c r="M24" i="79"/>
  <c r="G21" i="141"/>
  <c r="H21" i="141" s="1"/>
  <c r="A26" i="79" l="1"/>
  <c r="M25" i="79"/>
  <c r="F22" i="141"/>
  <c r="M26" i="79" l="1"/>
  <c r="A27" i="79"/>
  <c r="G22" i="141"/>
  <c r="H22" i="141" s="1"/>
  <c r="M27" i="79" l="1"/>
  <c r="A28" i="79"/>
  <c r="F23" i="141"/>
  <c r="G23" i="141"/>
  <c r="A29" i="79" l="1"/>
  <c r="M28" i="79"/>
  <c r="H23" i="141"/>
  <c r="A30" i="79" l="1"/>
  <c r="M29" i="79"/>
  <c r="F24" i="141"/>
  <c r="G24" i="141"/>
  <c r="A31" i="79" l="1"/>
  <c r="M30" i="79"/>
  <c r="H24" i="141"/>
  <c r="A32" i="79" l="1"/>
  <c r="M31" i="79"/>
  <c r="F25" i="141"/>
  <c r="A33" i="79" l="1"/>
  <c r="M32" i="79"/>
  <c r="G25" i="141"/>
  <c r="H25" i="141" s="1"/>
  <c r="A34" i="79" l="1"/>
  <c r="M33" i="79"/>
  <c r="F26" i="141"/>
  <c r="M34" i="79" l="1"/>
  <c r="A35" i="79"/>
  <c r="G26" i="141"/>
  <c r="H26" i="141" s="1"/>
  <c r="M35" i="79" l="1"/>
  <c r="A36" i="79"/>
  <c r="F27" i="141"/>
  <c r="G27" i="141" s="1"/>
  <c r="G28" i="141" s="1"/>
  <c r="A37" i="79" l="1"/>
  <c r="M36" i="79"/>
  <c r="H27" i="141"/>
  <c r="A38" i="79" l="1"/>
  <c r="M38" i="79" s="1"/>
  <c r="M37" i="79"/>
  <c r="B5" i="133"/>
  <c r="B5" i="22"/>
  <c r="I14" i="9"/>
  <c r="I15" i="9" s="1"/>
  <c r="I16" i="9" s="1"/>
  <c r="I17" i="9" s="1"/>
  <c r="I18" i="9" s="1"/>
  <c r="I19" i="9" s="1"/>
  <c r="I20" i="9" s="1"/>
  <c r="I21" i="9" s="1"/>
  <c r="I22" i="9" s="1"/>
  <c r="I23" i="9" s="1"/>
  <c r="I24" i="9" s="1"/>
  <c r="I25" i="9" s="1"/>
  <c r="I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H41" i="116"/>
  <c r="G13" i="116" s="1"/>
  <c r="J13" i="116" s="1"/>
  <c r="N13" i="116" s="1"/>
  <c r="C35" i="116"/>
  <c r="D35" i="116"/>
  <c r="E34" i="116"/>
  <c r="E12" i="116"/>
  <c r="E11" i="116"/>
  <c r="D44" i="86"/>
  <c r="E42" i="86"/>
  <c r="F42" i="86"/>
  <c r="G13" i="157"/>
  <c r="F13" i="157"/>
  <c r="F14" i="157" s="1"/>
  <c r="D16" i="142"/>
  <c r="G27" i="158"/>
  <c r="G22" i="158"/>
  <c r="G17" i="158"/>
  <c r="E99" i="82"/>
  <c r="E62" i="82"/>
  <c r="E49" i="82"/>
  <c r="G36" i="82"/>
  <c r="G39" i="82" s="1"/>
  <c r="G32" i="82"/>
  <c r="G25" i="82"/>
  <c r="G17" i="82"/>
  <c r="C33" i="153"/>
  <c r="E33" i="153"/>
  <c r="G28" i="153"/>
  <c r="C25" i="153"/>
  <c r="E25" i="153"/>
  <c r="G21" i="153"/>
  <c r="G17" i="153"/>
  <c r="G16" i="153"/>
  <c r="G14" i="153"/>
  <c r="E18" i="153"/>
  <c r="C18" i="153"/>
  <c r="E13" i="74"/>
  <c r="E35" i="144" s="1"/>
  <c r="E28" i="73"/>
  <c r="E31" i="73" s="1"/>
  <c r="C28" i="73"/>
  <c r="C31" i="73" s="1"/>
  <c r="C27" i="71"/>
  <c r="C30" i="71" s="1"/>
  <c r="C29" i="70"/>
  <c r="C32" i="70" s="1"/>
  <c r="E27" i="69"/>
  <c r="E34" i="69" s="1"/>
  <c r="E15" i="66"/>
  <c r="E19" i="66" s="1"/>
  <c r="F25" i="63"/>
  <c r="D25" i="63"/>
  <c r="D15" i="59"/>
  <c r="J33" i="48"/>
  <c r="J32" i="48"/>
  <c r="J31" i="48"/>
  <c r="J30" i="48"/>
  <c r="J29" i="48"/>
  <c r="J28" i="48"/>
  <c r="J27" i="48"/>
  <c r="J26" i="48"/>
  <c r="J25" i="48"/>
  <c r="J21" i="48"/>
  <c r="J20" i="48"/>
  <c r="J19" i="48"/>
  <c r="J18" i="48"/>
  <c r="J17" i="48"/>
  <c r="J16" i="48"/>
  <c r="I35" i="48"/>
  <c r="H35" i="48"/>
  <c r="G35" i="48"/>
  <c r="F35" i="48"/>
  <c r="E35" i="48"/>
  <c r="D35" i="48"/>
  <c r="E23" i="45"/>
  <c r="E25" i="45" s="1"/>
  <c r="E13" i="158" s="1"/>
  <c r="E22" i="40"/>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36"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4" i="24"/>
  <c r="H34" i="24"/>
  <c r="G34" i="24"/>
  <c r="F34" i="24"/>
  <c r="E34" i="24"/>
  <c r="D34" i="24"/>
  <c r="K32" i="136"/>
  <c r="K31" i="136"/>
  <c r="K30" i="136"/>
  <c r="K29" i="136"/>
  <c r="K28" i="136"/>
  <c r="K27" i="136"/>
  <c r="K26" i="136"/>
  <c r="K25" i="136"/>
  <c r="K24" i="136"/>
  <c r="K20" i="136"/>
  <c r="K19" i="136"/>
  <c r="K18" i="136"/>
  <c r="K17" i="136"/>
  <c r="K16" i="136"/>
  <c r="J34" i="136"/>
  <c r="I34" i="136"/>
  <c r="H34" i="136"/>
  <c r="G34" i="136"/>
  <c r="F34" i="136"/>
  <c r="E34" i="136"/>
  <c r="D34" i="136"/>
  <c r="D22" i="136"/>
  <c r="F28" i="23"/>
  <c r="F31" i="23" s="1"/>
  <c r="I11" i="22" s="1"/>
  <c r="E172" i="144" s="1"/>
  <c r="C28" i="23"/>
  <c r="C31" i="23" s="1"/>
  <c r="C19" i="13"/>
  <c r="C19" i="3"/>
  <c r="E29" i="12"/>
  <c r="E32" i="12" s="1"/>
  <c r="C29" i="12"/>
  <c r="C32" i="12" s="1"/>
  <c r="K31" i="11"/>
  <c r="K30" i="11"/>
  <c r="K29" i="11"/>
  <c r="K28" i="11"/>
  <c r="K27" i="11"/>
  <c r="K26" i="11"/>
  <c r="K25" i="11"/>
  <c r="K24" i="11"/>
  <c r="K23" i="11"/>
  <c r="K19" i="11"/>
  <c r="K18" i="11"/>
  <c r="K17" i="11"/>
  <c r="K16" i="11"/>
  <c r="K15" i="11"/>
  <c r="J33" i="11"/>
  <c r="I33" i="11"/>
  <c r="H33" i="11"/>
  <c r="G33" i="11"/>
  <c r="D33" i="11"/>
  <c r="K31" i="10"/>
  <c r="K30" i="10"/>
  <c r="K29" i="10"/>
  <c r="K28" i="10"/>
  <c r="K27" i="10"/>
  <c r="K26" i="10"/>
  <c r="K25" i="10"/>
  <c r="K24" i="10"/>
  <c r="K23" i="10"/>
  <c r="K19" i="10"/>
  <c r="K18" i="10"/>
  <c r="K17" i="10"/>
  <c r="J33" i="10"/>
  <c r="I33" i="10"/>
  <c r="F33" i="10"/>
  <c r="F21" i="10"/>
  <c r="E33" i="10"/>
  <c r="D21" i="10"/>
  <c r="D33" i="10"/>
  <c r="C28" i="9"/>
  <c r="C31" i="9" s="1"/>
  <c r="F28" i="9"/>
  <c r="F31" i="9" s="1"/>
  <c r="E20" i="8"/>
  <c r="C20" i="8"/>
  <c r="E28" i="4"/>
  <c r="E31" i="4" s="1"/>
  <c r="C28" i="4"/>
  <c r="C31" i="4" s="1"/>
  <c r="D43" i="41" l="1"/>
  <c r="E12" i="40" s="1"/>
  <c r="C85" i="150"/>
  <c r="C98" i="150"/>
  <c r="D36" i="136"/>
  <c r="F35" i="10"/>
  <c r="J35" i="48"/>
  <c r="G27" i="82"/>
  <c r="E35" i="117"/>
  <c r="C35" i="153"/>
  <c r="E35" i="153"/>
  <c r="E35" i="151"/>
  <c r="M45" i="173" s="1"/>
  <c r="C35" i="152"/>
  <c r="C35" i="151"/>
  <c r="E35" i="152"/>
  <c r="M45" i="171" s="1"/>
  <c r="G14" i="157"/>
  <c r="F15" i="157"/>
  <c r="K21" i="11"/>
  <c r="K22" i="24"/>
  <c r="K34" i="24"/>
  <c r="J23" i="48"/>
  <c r="K33" i="10"/>
  <c r="K33" i="11"/>
  <c r="F41" i="41"/>
  <c r="K22" i="136"/>
  <c r="E14" i="158"/>
  <c r="K34" i="136"/>
  <c r="G18" i="153"/>
  <c r="J37" i="48" l="1"/>
  <c r="E14" i="75"/>
  <c r="K35" i="11"/>
  <c r="K36" i="24"/>
  <c r="G15" i="157"/>
  <c r="F16" i="157"/>
  <c r="K36" i="136"/>
  <c r="C35" i="158"/>
  <c r="I11" i="158"/>
  <c r="I12" i="158" s="1"/>
  <c r="I13" i="158" s="1"/>
  <c r="I14" i="158" s="1"/>
  <c r="I15" i="158" s="1"/>
  <c r="I16" i="158" s="1"/>
  <c r="I17" i="158" s="1"/>
  <c r="I18" i="158" s="1"/>
  <c r="I19" i="158" s="1"/>
  <c r="I20" i="158" s="1"/>
  <c r="I21" i="158" s="1"/>
  <c r="I22" i="158" s="1"/>
  <c r="I23" i="158" s="1"/>
  <c r="I24" i="158" s="1"/>
  <c r="I25" i="158" s="1"/>
  <c r="I26" i="158" s="1"/>
  <c r="I27" i="158" s="1"/>
  <c r="I28" i="158" s="1"/>
  <c r="I29" i="158" s="1"/>
  <c r="A12" i="158"/>
  <c r="A13" i="158" s="1"/>
  <c r="A14" i="158" s="1"/>
  <c r="A15" i="158" s="1"/>
  <c r="A16" i="158" s="1"/>
  <c r="A17" i="158" s="1"/>
  <c r="A18" i="158" s="1"/>
  <c r="A19" i="158" s="1"/>
  <c r="A20" i="158" s="1"/>
  <c r="A21" i="158" s="1"/>
  <c r="A22" i="158" s="1"/>
  <c r="A23" i="158" s="1"/>
  <c r="A24" i="158" s="1"/>
  <c r="A25" i="158" s="1"/>
  <c r="A26" i="158" s="1"/>
  <c r="A27" i="158" s="1"/>
  <c r="A28" i="158" s="1"/>
  <c r="A29" i="158" s="1"/>
  <c r="G12" i="158"/>
  <c r="E9" i="158"/>
  <c r="C9" i="158"/>
  <c r="I12" i="156"/>
  <c r="I13" i="156"/>
  <c r="I14" i="156"/>
  <c r="I15" i="156"/>
  <c r="I16" i="156"/>
  <c r="I17" i="156"/>
  <c r="I18" i="156"/>
  <c r="I19" i="15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39" i="132"/>
  <c r="H240" i="132" s="1"/>
  <c r="H241" i="132" s="1"/>
  <c r="H242" i="132" s="1"/>
  <c r="H243" i="132" s="1"/>
  <c r="H244" i="132" s="1"/>
  <c r="H245" i="132" s="1"/>
  <c r="H246" i="132" s="1"/>
  <c r="H247" i="132" s="1"/>
  <c r="H248" i="132" s="1"/>
  <c r="H249" i="132" s="1"/>
  <c r="H250" i="132" s="1"/>
  <c r="H251" i="132" s="1"/>
  <c r="H252" i="132" s="1"/>
  <c r="H253" i="132" s="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05" i="132"/>
  <c r="H206" i="132" s="1"/>
  <c r="H207" i="132" s="1"/>
  <c r="H208" i="132" s="1"/>
  <c r="H209" i="132" s="1"/>
  <c r="H210" i="132" s="1"/>
  <c r="H211" i="132" s="1"/>
  <c r="H212" i="132" s="1"/>
  <c r="H213" i="132" s="1"/>
  <c r="H214" i="132" s="1"/>
  <c r="H215" i="132" s="1"/>
  <c r="H216" i="132" s="1"/>
  <c r="H217" i="132" s="1"/>
  <c r="H218" i="132" s="1"/>
  <c r="H219" i="132" s="1"/>
  <c r="H220" i="132" s="1"/>
  <c r="H221" i="132" s="1"/>
  <c r="H222" i="132" s="1"/>
  <c r="H223" i="132" s="1"/>
  <c r="H224" i="132" s="1"/>
  <c r="H289" i="132"/>
  <c r="H290" i="132" s="1"/>
  <c r="H291" i="132" s="1"/>
  <c r="H292" i="132" s="1"/>
  <c r="H293" i="132" s="1"/>
  <c r="H294" i="132" s="1"/>
  <c r="H295" i="132" s="1"/>
  <c r="H296" i="132" s="1"/>
  <c r="H297" i="132" s="1"/>
  <c r="H298" i="132" s="1"/>
  <c r="H299" i="132" s="1"/>
  <c r="H300" i="132" s="1"/>
  <c r="H301" i="132" s="1"/>
  <c r="H302" i="132" s="1"/>
  <c r="H303" i="132" s="1"/>
  <c r="H304" i="132" s="1"/>
  <c r="H305" i="132" s="1"/>
  <c r="H306" i="132" s="1"/>
  <c r="H307" i="132" s="1"/>
  <c r="H308" i="132" s="1"/>
  <c r="H309" i="132" s="1"/>
  <c r="H310" i="132" s="1"/>
  <c r="H311" i="132" s="1"/>
  <c r="H312" i="132" s="1"/>
  <c r="H313" i="132" s="1"/>
  <c r="A290" i="132"/>
  <c r="A291" i="132" s="1"/>
  <c r="A292" i="132" s="1"/>
  <c r="A293" i="132" s="1"/>
  <c r="A294" i="132" s="1"/>
  <c r="A295" i="132" s="1"/>
  <c r="A296" i="132" s="1"/>
  <c r="A297" i="132" s="1"/>
  <c r="A240" i="132"/>
  <c r="A241" i="132" s="1"/>
  <c r="A242" i="132" s="1"/>
  <c r="A243" i="132" s="1"/>
  <c r="A244" i="132" s="1"/>
  <c r="A245" i="132" s="1"/>
  <c r="A246" i="132" s="1"/>
  <c r="A247" i="132" s="1"/>
  <c r="A248" i="132" s="1"/>
  <c r="A249" i="132" s="1"/>
  <c r="A250" i="132" s="1"/>
  <c r="A251" i="132" s="1"/>
  <c r="A252" i="132" s="1"/>
  <c r="A253" i="132" s="1"/>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H164" i="132"/>
  <c r="H165" i="132" s="1"/>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10" i="132"/>
  <c r="H111" i="132" s="1"/>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06" i="132"/>
  <c r="A207" i="132" s="1"/>
  <c r="A208" i="132" s="1"/>
  <c r="A209" i="132" s="1"/>
  <c r="A210" i="132" s="1"/>
  <c r="A211" i="132" s="1"/>
  <c r="A212" i="132" s="1"/>
  <c r="A213" i="132" s="1"/>
  <c r="A214" i="132" s="1"/>
  <c r="A215" i="132" s="1"/>
  <c r="A216" i="132" s="1"/>
  <c r="A217" i="132" s="1"/>
  <c r="A218" i="132" s="1"/>
  <c r="A219" i="132" s="1"/>
  <c r="A220" i="132" s="1"/>
  <c r="A221" i="132" s="1"/>
  <c r="A222" i="132" s="1"/>
  <c r="A223" i="132" s="1"/>
  <c r="A224" i="132" s="1"/>
  <c r="A165" i="132"/>
  <c r="A166" i="132" s="1"/>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11" i="132"/>
  <c r="A112" i="132" s="1"/>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50" i="82"/>
  <c r="J79" i="82"/>
  <c r="C98" i="82"/>
  <c r="I11" i="156"/>
  <c r="E9" i="156"/>
  <c r="C9" i="156"/>
  <c r="C61" i="8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40" i="86"/>
  <c r="D39" i="86"/>
  <c r="D38" i="86"/>
  <c r="D37" i="86"/>
  <c r="D36" i="86"/>
  <c r="D35" i="86"/>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G20" i="86" s="1"/>
  <c r="G21" i="86" s="1"/>
  <c r="G22" i="86" s="1"/>
  <c r="G23" i="86" s="1"/>
  <c r="G24" i="86" s="1"/>
  <c r="G25" i="86" s="1"/>
  <c r="G26" i="86" s="1"/>
  <c r="G27" i="86" s="1"/>
  <c r="G28" i="86" s="1"/>
  <c r="G29" i="86" s="1"/>
  <c r="G30" i="86" s="1"/>
  <c r="G31" i="86" s="1"/>
  <c r="G32" i="86" s="1"/>
  <c r="G33" i="86" s="1"/>
  <c r="D11" i="86"/>
  <c r="G216" i="150"/>
  <c r="G213" i="150"/>
  <c r="A195" i="150"/>
  <c r="A196" i="150" s="1"/>
  <c r="A197" i="150" s="1"/>
  <c r="A198" i="150" s="1"/>
  <c r="A199" i="150" s="1"/>
  <c r="A200" i="150" s="1"/>
  <c r="A201" i="150" s="1"/>
  <c r="A202" i="150" s="1"/>
  <c r="A203" i="150" s="1"/>
  <c r="A204" i="150" s="1"/>
  <c r="A205" i="150" s="1"/>
  <c r="A206" i="150" s="1"/>
  <c r="A207" i="150" s="1"/>
  <c r="A208" i="150" s="1"/>
  <c r="A209" i="150" s="1"/>
  <c r="A210" i="150" s="1"/>
  <c r="A211" i="150" s="1"/>
  <c r="J194" i="150"/>
  <c r="J195" i="150" s="1"/>
  <c r="J196" i="150" s="1"/>
  <c r="J197" i="150" s="1"/>
  <c r="J198" i="150" s="1"/>
  <c r="J199" i="150" s="1"/>
  <c r="J200" i="150" s="1"/>
  <c r="J201" i="150" s="1"/>
  <c r="J202" i="150" s="1"/>
  <c r="J203" i="150" s="1"/>
  <c r="J204" i="150" s="1"/>
  <c r="J205" i="150" s="1"/>
  <c r="J206" i="150" s="1"/>
  <c r="J207" i="150" s="1"/>
  <c r="J208" i="150" s="1"/>
  <c r="J209" i="150" s="1"/>
  <c r="J210" i="150" s="1"/>
  <c r="J211" i="150" s="1"/>
  <c r="A124" i="150"/>
  <c r="A125" i="150" s="1"/>
  <c r="A126" i="150" s="1"/>
  <c r="A127" i="150" s="1"/>
  <c r="A128" i="150" s="1"/>
  <c r="A129" i="150" s="1"/>
  <c r="A130" i="150" s="1"/>
  <c r="A131" i="150" s="1"/>
  <c r="A132" i="150" s="1"/>
  <c r="A133" i="150" s="1"/>
  <c r="A134" i="150" s="1"/>
  <c r="J124" i="150"/>
  <c r="J125" i="150" s="1"/>
  <c r="J126" i="150" s="1"/>
  <c r="J127" i="150" s="1"/>
  <c r="J128" i="150" s="1"/>
  <c r="J129" i="150" s="1"/>
  <c r="J130" i="150" s="1"/>
  <c r="J131" i="150" s="1"/>
  <c r="J132" i="150" s="1"/>
  <c r="J133" i="150" s="1"/>
  <c r="J134" i="150" s="1"/>
  <c r="E62" i="150"/>
  <c r="E49" i="150"/>
  <c r="C61"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J11" i="150"/>
  <c r="J12" i="150" s="1"/>
  <c r="J13" i="150" s="1"/>
  <c r="J14" i="150" s="1"/>
  <c r="J15" i="150" s="1"/>
  <c r="J16" i="150" s="1"/>
  <c r="J17" i="150" s="1"/>
  <c r="J18" i="150" s="1"/>
  <c r="J19" i="150" s="1"/>
  <c r="J20" i="150" s="1"/>
  <c r="J21" i="150" s="1"/>
  <c r="J22" i="150" s="1"/>
  <c r="J23" i="150" s="1"/>
  <c r="J24" i="150" s="1"/>
  <c r="J25" i="150" s="1"/>
  <c r="J26" i="150" s="1"/>
  <c r="J27" i="150" s="1"/>
  <c r="J28" i="150" s="1"/>
  <c r="J29" i="150" s="1"/>
  <c r="J30" i="150" s="1"/>
  <c r="J31" i="150" s="1"/>
  <c r="J32" i="150" s="1"/>
  <c r="J33" i="150" s="1"/>
  <c r="J34" i="150" s="1"/>
  <c r="J35" i="150" s="1"/>
  <c r="J36" i="150" s="1"/>
  <c r="J37" i="150" s="1"/>
  <c r="J38" i="150" s="1"/>
  <c r="J39" i="150" s="1"/>
  <c r="J40" i="150" s="1"/>
  <c r="J41" i="150" s="1"/>
  <c r="J42" i="150" s="1"/>
  <c r="J43" i="150" s="1"/>
  <c r="J44" i="150" s="1"/>
  <c r="J45" i="150" s="1"/>
  <c r="J46" i="150" s="1"/>
  <c r="J47" i="150" s="1"/>
  <c r="J48" i="150" s="1"/>
  <c r="J49" i="150" s="1"/>
  <c r="J50" i="150" s="1"/>
  <c r="J51" i="150" s="1"/>
  <c r="J52" i="150" s="1"/>
  <c r="J53" i="150" s="1"/>
  <c r="J54" i="150" s="1"/>
  <c r="J55" i="150" s="1"/>
  <c r="J56" i="150" s="1"/>
  <c r="J57" i="150" s="1"/>
  <c r="J58" i="150" s="1"/>
  <c r="J59" i="150" s="1"/>
  <c r="J60" i="150" s="1"/>
  <c r="J61" i="150" s="1"/>
  <c r="J62" i="150" s="1"/>
  <c r="J63" i="150" s="1"/>
  <c r="J64" i="150" s="1"/>
  <c r="J65" i="150" s="1"/>
  <c r="B5" i="150"/>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03" i="82"/>
  <c r="J195" i="82"/>
  <c r="J196" i="82" s="1"/>
  <c r="J197" i="82" s="1"/>
  <c r="J198" i="82" s="1"/>
  <c r="J199" i="82" s="1"/>
  <c r="J200" i="82" s="1"/>
  <c r="J201" i="82" s="1"/>
  <c r="J202" i="82" s="1"/>
  <c r="J203" i="82" s="1"/>
  <c r="J204" i="82" s="1"/>
  <c r="J205" i="82" s="1"/>
  <c r="J206" i="82" s="1"/>
  <c r="J207" i="82" s="1"/>
  <c r="J208" i="82" s="1"/>
  <c r="J209" i="82" s="1"/>
  <c r="J210" i="82" s="1"/>
  <c r="J211" i="82" s="1"/>
  <c r="A195" i="82"/>
  <c r="A196" i="82" s="1"/>
  <c r="A197" i="82" s="1"/>
  <c r="A198" i="82" s="1"/>
  <c r="A199" i="82" s="1"/>
  <c r="A200" i="82" s="1"/>
  <c r="A201" i="82" s="1"/>
  <c r="A202" i="82" s="1"/>
  <c r="A203" i="82" s="1"/>
  <c r="A204" i="82" s="1"/>
  <c r="A205" i="82" s="1"/>
  <c r="A206" i="82" s="1"/>
  <c r="A207" i="82" s="1"/>
  <c r="A208" i="82" s="1"/>
  <c r="A209" i="82" s="1"/>
  <c r="A210" i="82" s="1"/>
  <c r="A211" i="82" s="1"/>
  <c r="J118" i="82"/>
  <c r="J119" i="82" s="1"/>
  <c r="J120" i="82" s="1"/>
  <c r="J121" i="82" s="1"/>
  <c r="J122" i="82" s="1"/>
  <c r="J123" i="82" s="1"/>
  <c r="J124" i="82" s="1"/>
  <c r="J125" i="82" s="1"/>
  <c r="J126" i="82" s="1"/>
  <c r="J127" i="82" s="1"/>
  <c r="J128" i="82" s="1"/>
  <c r="J129" i="82" s="1"/>
  <c r="J130" i="82" s="1"/>
  <c r="J131" i="82" s="1"/>
  <c r="J132" i="82" s="1"/>
  <c r="J133" i="82" s="1"/>
  <c r="J134" i="82" s="1"/>
  <c r="A118" i="82"/>
  <c r="A119" i="82" s="1"/>
  <c r="A120" i="82" s="1"/>
  <c r="A121" i="82" s="1"/>
  <c r="A122" i="82" s="1"/>
  <c r="A123" i="82" s="1"/>
  <c r="A124" i="82" s="1"/>
  <c r="A125" i="82" s="1"/>
  <c r="A126" i="82" s="1"/>
  <c r="A127" i="82" s="1"/>
  <c r="A128" i="82" s="1"/>
  <c r="A129" i="82" s="1"/>
  <c r="A130" i="82" s="1"/>
  <c r="A131" i="82" s="1"/>
  <c r="A132" i="82" s="1"/>
  <c r="A133" i="82" s="1"/>
  <c r="A134" i="82" s="1"/>
  <c r="E86" i="82"/>
  <c r="C85" i="82"/>
  <c r="C48" i="82"/>
  <c r="C97"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6" i="82" s="1"/>
  <c r="J37"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B5" i="82"/>
  <c r="B73" i="82" s="1"/>
  <c r="E19" i="77"/>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8"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A18" i="64"/>
  <c r="E17" i="64"/>
  <c r="E18" i="64" s="1"/>
  <c r="A18" i="65"/>
  <c r="E17" i="65"/>
  <c r="E18" i="65" s="1"/>
  <c r="E29" i="46"/>
  <c r="A15" i="63"/>
  <c r="A16" i="63" s="1"/>
  <c r="A17" i="63" s="1"/>
  <c r="A18" i="63" s="1"/>
  <c r="A19" i="63" s="1"/>
  <c r="A20" i="63" s="1"/>
  <c r="A21" i="63" s="1"/>
  <c r="A22" i="63" s="1"/>
  <c r="A23" i="63" s="1"/>
  <c r="A24" i="63" s="1"/>
  <c r="A25" i="63" s="1"/>
  <c r="A26" i="63" s="1"/>
  <c r="H14" i="63"/>
  <c r="H15" i="63" s="1"/>
  <c r="H16" i="63" s="1"/>
  <c r="H17" i="63" s="1"/>
  <c r="H18" i="63" s="1"/>
  <c r="H19" i="63" s="1"/>
  <c r="H20" i="63" s="1"/>
  <c r="H21" i="63" s="1"/>
  <c r="H22" i="63" s="1"/>
  <c r="H23" i="63" s="1"/>
  <c r="H24" i="63" s="1"/>
  <c r="H25" i="63" s="1"/>
  <c r="H26"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37" i="48" s="1"/>
  <c r="H23" i="48"/>
  <c r="H37" i="48" s="1"/>
  <c r="G23" i="48"/>
  <c r="G37" i="48" s="1"/>
  <c r="F23" i="48"/>
  <c r="F37" i="48" s="1"/>
  <c r="E23" i="48"/>
  <c r="E37" i="48" s="1"/>
  <c r="D23" i="48"/>
  <c r="D37" i="48" s="1"/>
  <c r="D23" i="47" s="1"/>
  <c r="A17" i="48"/>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L16" i="48"/>
  <c r="L17" i="48" s="1"/>
  <c r="L18" i="48" s="1"/>
  <c r="L19" i="48" s="1"/>
  <c r="L20" i="48" s="1"/>
  <c r="L21" i="48" s="1"/>
  <c r="L22" i="48" s="1"/>
  <c r="L23" i="48" s="1"/>
  <c r="L24" i="48" s="1"/>
  <c r="L25" i="48" s="1"/>
  <c r="L26" i="48" s="1"/>
  <c r="L27" i="48" s="1"/>
  <c r="L28" i="48" s="1"/>
  <c r="L29" i="48" s="1"/>
  <c r="L30" i="48" s="1"/>
  <c r="L31" i="48" s="1"/>
  <c r="L32" i="48" s="1"/>
  <c r="L33" i="48" s="1"/>
  <c r="L34" i="48" s="1"/>
  <c r="L35" i="48" s="1"/>
  <c r="L36" i="48" s="1"/>
  <c r="L37" i="48" s="1"/>
  <c r="A13" i="47"/>
  <c r="A14" i="47" s="1"/>
  <c r="A15" i="47" s="1"/>
  <c r="A16" i="47" s="1"/>
  <c r="A17" i="47" s="1"/>
  <c r="A18" i="47" s="1"/>
  <c r="A19" i="47" s="1"/>
  <c r="A20" i="47" s="1"/>
  <c r="A21" i="47" s="1"/>
  <c r="A22" i="47" s="1"/>
  <c r="A23" i="47" s="1"/>
  <c r="A24" i="47" s="1"/>
  <c r="H12" i="47"/>
  <c r="H13" i="47" s="1"/>
  <c r="H14" i="47" s="1"/>
  <c r="H15" i="47" s="1"/>
  <c r="H16" i="47" s="1"/>
  <c r="H17" i="47" s="1"/>
  <c r="H18" i="47" s="1"/>
  <c r="H19" i="47" s="1"/>
  <c r="H20" i="47" s="1"/>
  <c r="H21" i="47" s="1"/>
  <c r="H22" i="47" s="1"/>
  <c r="H23" i="47" s="1"/>
  <c r="H24"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56" i="41"/>
  <c r="E24" i="41" s="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2" i="41" s="1"/>
  <c r="H53" i="41" s="1"/>
  <c r="H54" i="41" s="1"/>
  <c r="H55" i="41" s="1"/>
  <c r="H56" i="41" s="1"/>
  <c r="H57" i="41" s="1"/>
  <c r="H58" i="41" s="1"/>
  <c r="H59" i="41" s="1"/>
  <c r="E24" i="69"/>
  <c r="E32" i="69" s="1"/>
  <c r="E36" i="69" s="1"/>
  <c r="A12" i="40"/>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H11" i="40"/>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7"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4" i="24"/>
  <c r="J22" i="24"/>
  <c r="J36" i="24" s="1"/>
  <c r="I22" i="24"/>
  <c r="H22" i="24"/>
  <c r="H36" i="24" s="1"/>
  <c r="G22" i="24"/>
  <c r="G36" i="24" s="1"/>
  <c r="F22" i="24"/>
  <c r="F36" i="24" s="1"/>
  <c r="E22" i="24"/>
  <c r="E36" i="24" s="1"/>
  <c r="D22" i="24"/>
  <c r="D36" i="24" s="1"/>
  <c r="A17" i="24"/>
  <c r="A18" i="24" s="1"/>
  <c r="A19" i="24" s="1"/>
  <c r="A20" i="24" s="1"/>
  <c r="A21" i="24" s="1"/>
  <c r="A22" i="24" s="1"/>
  <c r="A23" i="24" s="1"/>
  <c r="A24" i="24" s="1"/>
  <c r="A25" i="24" s="1"/>
  <c r="A26" i="24" s="1"/>
  <c r="A27" i="24" s="1"/>
  <c r="A28" i="24" s="1"/>
  <c r="A29" i="24" s="1"/>
  <c r="A30" i="24" s="1"/>
  <c r="A31" i="24" s="1"/>
  <c r="A32" i="24" s="1"/>
  <c r="A33" i="24" s="1"/>
  <c r="A34" i="24" s="1"/>
  <c r="A35" i="24" s="1"/>
  <c r="A36" i="24" s="1"/>
  <c r="M16" i="24"/>
  <c r="M17" i="24" s="1"/>
  <c r="M18" i="24" s="1"/>
  <c r="M19" i="24" s="1"/>
  <c r="M20" i="24" s="1"/>
  <c r="M21" i="24" s="1"/>
  <c r="M22" i="24" s="1"/>
  <c r="M23" i="24" s="1"/>
  <c r="M24" i="24" s="1"/>
  <c r="M25" i="24" s="1"/>
  <c r="M26" i="24" s="1"/>
  <c r="M27" i="24" s="1"/>
  <c r="M28" i="24" s="1"/>
  <c r="M29" i="24" s="1"/>
  <c r="M30" i="24" s="1"/>
  <c r="M31" i="24" s="1"/>
  <c r="M32" i="24" s="1"/>
  <c r="M33" i="24" s="1"/>
  <c r="M34" i="24" s="1"/>
  <c r="M35" i="24" s="1"/>
  <c r="M36" i="24" s="1"/>
  <c r="J22" i="136"/>
  <c r="J36" i="136" s="1"/>
  <c r="I22" i="136"/>
  <c r="I36" i="136" s="1"/>
  <c r="H22" i="136"/>
  <c r="H36" i="136" s="1"/>
  <c r="G22" i="136"/>
  <c r="G36" i="136" s="1"/>
  <c r="F22" i="136"/>
  <c r="F36" i="136" s="1"/>
  <c r="E22" i="136"/>
  <c r="E36" i="136" s="1"/>
  <c r="A17" i="136"/>
  <c r="A18" i="136" s="1"/>
  <c r="A19" i="136" s="1"/>
  <c r="A20" i="136" s="1"/>
  <c r="A21" i="136" s="1"/>
  <c r="A22" i="136" s="1"/>
  <c r="A23" i="136" s="1"/>
  <c r="A24" i="136" s="1"/>
  <c r="A25" i="136" s="1"/>
  <c r="A26" i="136" s="1"/>
  <c r="A27" i="136" s="1"/>
  <c r="A28" i="136" s="1"/>
  <c r="A29" i="136" s="1"/>
  <c r="A30" i="136" s="1"/>
  <c r="A31" i="136" s="1"/>
  <c r="A32" i="136" s="1"/>
  <c r="A33" i="136" s="1"/>
  <c r="A34" i="136" s="1"/>
  <c r="A35" i="136" s="1"/>
  <c r="A36" i="136" s="1"/>
  <c r="M16" i="136"/>
  <c r="M17" i="136" s="1"/>
  <c r="M18" i="136" s="1"/>
  <c r="M19" i="136" s="1"/>
  <c r="M20" i="136" s="1"/>
  <c r="M21" i="136" s="1"/>
  <c r="M22" i="136" s="1"/>
  <c r="M23" i="136" s="1"/>
  <c r="M24" i="136" s="1"/>
  <c r="M25" i="136" s="1"/>
  <c r="M26" i="136" s="1"/>
  <c r="M27" i="136" s="1"/>
  <c r="M28" i="136" s="1"/>
  <c r="M29" i="136" s="1"/>
  <c r="M30" i="136" s="1"/>
  <c r="M31" i="136" s="1"/>
  <c r="M32" i="136" s="1"/>
  <c r="M33" i="136" s="1"/>
  <c r="M34" i="136" s="1"/>
  <c r="M35" i="136" s="1"/>
  <c r="M36"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6"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3" i="11"/>
  <c r="E33" i="11"/>
  <c r="J21" i="11"/>
  <c r="J35" i="11" s="1"/>
  <c r="I21" i="11"/>
  <c r="I35" i="11" s="1"/>
  <c r="H21" i="11"/>
  <c r="H35" i="11" s="1"/>
  <c r="G21" i="11"/>
  <c r="G35" i="11" s="1"/>
  <c r="F21" i="11"/>
  <c r="E21" i="11"/>
  <c r="D21" i="11"/>
  <c r="D3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M15" i="1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H33" i="10"/>
  <c r="G33" i="10"/>
  <c r="J21" i="10"/>
  <c r="J35" i="10" s="1"/>
  <c r="I21" i="10"/>
  <c r="I35" i="10" s="1"/>
  <c r="H21" i="10"/>
  <c r="G21" i="10"/>
  <c r="E21" i="10"/>
  <c r="E35" i="10" s="1"/>
  <c r="K16" i="10"/>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M15" i="10"/>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K15" i="10"/>
  <c r="I21" i="2"/>
  <c r="A15" i="9"/>
  <c r="A16" i="9" s="1"/>
  <c r="A17" i="9" s="1"/>
  <c r="A18" i="9" s="1"/>
  <c r="A19" i="9" s="1"/>
  <c r="A20" i="9" s="1"/>
  <c r="A21" i="9" s="1"/>
  <c r="A22" i="9" s="1"/>
  <c r="A23" i="9" s="1"/>
  <c r="A24" i="9" s="1"/>
  <c r="A25" i="9" s="1"/>
  <c r="A26" i="9" s="1"/>
  <c r="A27" i="9" s="1"/>
  <c r="A28" i="9" s="1"/>
  <c r="A29" i="9" s="1"/>
  <c r="A30" i="9" s="1"/>
  <c r="A31" i="9" s="1"/>
  <c r="A32" i="9" s="1"/>
  <c r="I27" i="9"/>
  <c r="I28" i="9" s="1"/>
  <c r="I29" i="9" s="1"/>
  <c r="I30" i="9" s="1"/>
  <c r="I31" i="9" s="1"/>
  <c r="I32" i="9" s="1"/>
  <c r="A16" i="8"/>
  <c r="A17" i="8" s="1"/>
  <c r="A18" i="8" s="1"/>
  <c r="A19" i="8" s="1"/>
  <c r="A20" i="8" s="1"/>
  <c r="A21" i="8" s="1"/>
  <c r="G18" i="8"/>
  <c r="G19" i="8" s="1"/>
  <c r="G20" i="8" s="1"/>
  <c r="G21" i="8" s="1"/>
  <c r="E28" i="7"/>
  <c r="E31" i="7" s="1"/>
  <c r="I17" i="2" s="1"/>
  <c r="E53"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51"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J11" i="133"/>
  <c r="J12" i="133" s="1"/>
  <c r="J13" i="133" s="1"/>
  <c r="J14" i="133" s="1"/>
  <c r="J15" i="133" s="1"/>
  <c r="J16" i="133" s="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B230" i="132"/>
  <c r="E219" i="132"/>
  <c r="E253" i="132" s="1"/>
  <c r="B158" i="132"/>
  <c r="E144" i="132"/>
  <c r="E133" i="132"/>
  <c r="E119" i="132"/>
  <c r="B104" i="132"/>
  <c r="E68" i="132"/>
  <c r="E55" i="132"/>
  <c r="E38" i="132"/>
  <c r="E37" i="132"/>
  <c r="E35" i="132"/>
  <c r="E15" i="132"/>
  <c r="E13" i="133" s="1"/>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E15" i="77"/>
  <c r="D19" i="142"/>
  <c r="D27" i="142"/>
  <c r="A12" i="74"/>
  <c r="A13" i="74" s="1"/>
  <c r="H11" i="74"/>
  <c r="H12" i="74" s="1"/>
  <c r="H13" i="74" s="1"/>
  <c r="F23" i="47"/>
  <c r="E11" i="46" s="1"/>
  <c r="D23" i="142"/>
  <c r="C16" i="142"/>
  <c r="C18" i="142" s="1"/>
  <c r="A42" i="82"/>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C47" i="82"/>
  <c r="C60" i="82"/>
  <c r="C99" i="82"/>
  <c r="E84" i="82"/>
  <c r="E48" i="82"/>
  <c r="C48" i="150"/>
  <c r="D35" i="10"/>
  <c r="H35" i="10"/>
  <c r="G13" i="34"/>
  <c r="E28" i="66"/>
  <c r="E30" i="66" s="1"/>
  <c r="E24" i="144" s="1"/>
  <c r="E38" i="40"/>
  <c r="I33" i="2"/>
  <c r="I19" i="22"/>
  <c r="C84" i="82"/>
  <c r="E85"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49" i="82"/>
  <c r="C62" i="82"/>
  <c r="C86" i="82"/>
  <c r="J80" i="82"/>
  <c r="J81" i="82" s="1"/>
  <c r="J82" i="82" s="1"/>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A80" i="82"/>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I21" i="34" l="1"/>
  <c r="E27" i="41"/>
  <c r="E43" i="41" s="1"/>
  <c r="F24" i="41"/>
  <c r="F27" i="41" s="1"/>
  <c r="F43" i="41" s="1"/>
  <c r="E124" i="132"/>
  <c r="E124" i="144"/>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G34" i="86"/>
  <c r="G35" i="86" s="1"/>
  <c r="G36" i="86" s="1"/>
  <c r="G37" i="86" s="1"/>
  <c r="G38" i="86" s="1"/>
  <c r="G39" i="86" s="1"/>
  <c r="G40" i="86" s="1"/>
  <c r="G41" i="86" s="1"/>
  <c r="G42" i="86" s="1"/>
  <c r="G43" i="86" s="1"/>
  <c r="G44" i="86" s="1"/>
  <c r="G45" i="86" s="1"/>
  <c r="G46" i="86" s="1"/>
  <c r="G47" i="86" s="1"/>
  <c r="G48" i="86" s="1"/>
  <c r="G49" i="86" s="1"/>
  <c r="G50" i="86" s="1"/>
  <c r="G51" i="86" s="1"/>
  <c r="G52" i="86" s="1"/>
  <c r="G53" i="86" s="1"/>
  <c r="A212" i="150"/>
  <c r="A213" i="150" s="1"/>
  <c r="A214" i="150" s="1"/>
  <c r="A215" i="150" s="1"/>
  <c r="A216" i="150" s="1"/>
  <c r="A217" i="150" s="1"/>
  <c r="A218" i="150" s="1"/>
  <c r="A219" i="150" s="1"/>
  <c r="A220" i="150" s="1"/>
  <c r="A221" i="150" s="1"/>
  <c r="A222" i="150" s="1"/>
  <c r="A223" i="150" s="1"/>
  <c r="A224" i="150" s="1"/>
  <c r="A225" i="150" s="1"/>
  <c r="A226" i="150" s="1"/>
  <c r="A227" i="150" s="1"/>
  <c r="A228" i="150" s="1"/>
  <c r="A229" i="150" s="1"/>
  <c r="A230" i="150" s="1"/>
  <c r="A231" i="150" s="1"/>
  <c r="A232" i="150" s="1"/>
  <c r="A233" i="150" s="1"/>
  <c r="A234" i="150" s="1"/>
  <c r="A235" i="150" s="1"/>
  <c r="A236" i="150" s="1"/>
  <c r="A237" i="150" s="1"/>
  <c r="A238" i="150" s="1"/>
  <c r="A239" i="150" s="1"/>
  <c r="A240" i="150" s="1"/>
  <c r="A241" i="150" s="1"/>
  <c r="A242" i="150" s="1"/>
  <c r="A243" i="150" s="1"/>
  <c r="A244" i="150" s="1"/>
  <c r="A245" i="150" s="1"/>
  <c r="A253" i="150" s="1"/>
  <c r="A254" i="150" s="1"/>
  <c r="A255" i="150" s="1"/>
  <c r="A256" i="150" s="1"/>
  <c r="A257" i="150" s="1"/>
  <c r="A258" i="150" s="1"/>
  <c r="A259" i="150" s="1"/>
  <c r="J212" i="150"/>
  <c r="J213" i="150" s="1"/>
  <c r="J214" i="150" s="1"/>
  <c r="J215" i="150" s="1"/>
  <c r="J216" i="150" s="1"/>
  <c r="J217" i="150" s="1"/>
  <c r="J218" i="150" s="1"/>
  <c r="J219" i="150" s="1"/>
  <c r="J220" i="150" s="1"/>
  <c r="J221" i="150" s="1"/>
  <c r="J222" i="150" s="1"/>
  <c r="J223" i="150" s="1"/>
  <c r="J224" i="150" s="1"/>
  <c r="J225" i="150" s="1"/>
  <c r="J226" i="150" s="1"/>
  <c r="J227" i="150" s="1"/>
  <c r="J228" i="150" s="1"/>
  <c r="J229" i="150" s="1"/>
  <c r="J230" i="150" s="1"/>
  <c r="J231" i="150" s="1"/>
  <c r="J232" i="150" s="1"/>
  <c r="J233" i="150" s="1"/>
  <c r="J234" i="150" s="1"/>
  <c r="J235" i="150" s="1"/>
  <c r="J236" i="150" s="1"/>
  <c r="J237" i="150" s="1"/>
  <c r="J238" i="150" s="1"/>
  <c r="J239" i="150" s="1"/>
  <c r="J240" i="150" s="1"/>
  <c r="J241" i="150" s="1"/>
  <c r="J242" i="150" s="1"/>
  <c r="J243" i="150" s="1"/>
  <c r="J244" i="150" s="1"/>
  <c r="J245" i="150" s="1"/>
  <c r="J251" i="150" s="1"/>
  <c r="J252" i="150" s="1"/>
  <c r="J253" i="150" s="1"/>
  <c r="J254" i="150" s="1"/>
  <c r="J255" i="150" s="1"/>
  <c r="J256" i="150" s="1"/>
  <c r="J257" i="150" s="1"/>
  <c r="J258" i="150" s="1"/>
  <c r="J259" i="150" s="1"/>
  <c r="J135" i="150"/>
  <c r="J136" i="150" s="1"/>
  <c r="J137" i="150" s="1"/>
  <c r="J138" i="150" s="1"/>
  <c r="J139" i="150" s="1"/>
  <c r="J140" i="150" s="1"/>
  <c r="J141" i="150" s="1"/>
  <c r="J142" i="150" s="1"/>
  <c r="J143" i="150" s="1"/>
  <c r="J144" i="150" s="1"/>
  <c r="J145" i="150" s="1"/>
  <c r="J146" i="150" s="1"/>
  <c r="J147" i="150" s="1"/>
  <c r="J148" i="150" s="1"/>
  <c r="J149" i="150" s="1"/>
  <c r="J150" i="150" s="1"/>
  <c r="J151" i="150" s="1"/>
  <c r="J152" i="150" s="1"/>
  <c r="J153" i="150" s="1"/>
  <c r="J154" i="150" s="1"/>
  <c r="J155" i="150" s="1"/>
  <c r="J156" i="150" s="1"/>
  <c r="J157" i="150" s="1"/>
  <c r="J158" i="150" s="1"/>
  <c r="J159" i="150" s="1"/>
  <c r="J160" i="150" s="1"/>
  <c r="J161" i="150" s="1"/>
  <c r="J162" i="150" s="1"/>
  <c r="J163" i="150" s="1"/>
  <c r="J164" i="150" s="1"/>
  <c r="J165" i="150" s="1"/>
  <c r="J166" i="150" s="1"/>
  <c r="J167" i="150" s="1"/>
  <c r="J168" i="150" s="1"/>
  <c r="A135" i="150"/>
  <c r="A136" i="150" s="1"/>
  <c r="A137" i="150" s="1"/>
  <c r="A138" i="150" s="1"/>
  <c r="A139" i="150" s="1"/>
  <c r="A140" i="150" s="1"/>
  <c r="A141" i="150" s="1"/>
  <c r="A142" i="150" s="1"/>
  <c r="A143" i="150" s="1"/>
  <c r="A144" i="150" s="1"/>
  <c r="A145" i="150" s="1"/>
  <c r="A146" i="150" s="1"/>
  <c r="A147" i="150" s="1"/>
  <c r="A148" i="150" s="1"/>
  <c r="A149" i="150" s="1"/>
  <c r="A150" i="150" s="1"/>
  <c r="A151" i="150" s="1"/>
  <c r="A152" i="150" s="1"/>
  <c r="A153" i="150" s="1"/>
  <c r="A154" i="150" s="1"/>
  <c r="A155" i="150" s="1"/>
  <c r="A156" i="150" s="1"/>
  <c r="A157" i="150" s="1"/>
  <c r="A158" i="150" s="1"/>
  <c r="A159" i="150" s="1"/>
  <c r="A160" i="150" s="1"/>
  <c r="A161" i="150" s="1"/>
  <c r="A162" i="150" s="1"/>
  <c r="A163" i="150" s="1"/>
  <c r="A164" i="150" s="1"/>
  <c r="A165" i="150" s="1"/>
  <c r="A166" i="150" s="1"/>
  <c r="A167" i="150" s="1"/>
  <c r="A168" i="150" s="1"/>
  <c r="A17" i="86"/>
  <c r="A18" i="86" s="1"/>
  <c r="A19" i="86" s="1"/>
  <c r="A20" i="86" s="1"/>
  <c r="A21" i="86" s="1"/>
  <c r="A22" i="86" s="1"/>
  <c r="A23" i="86" s="1"/>
  <c r="A24" i="86" s="1"/>
  <c r="A25" i="86" s="1"/>
  <c r="A26" i="86" s="1"/>
  <c r="A27" i="86" s="1"/>
  <c r="A28" i="86" s="1"/>
  <c r="A29" i="86" s="1"/>
  <c r="A30" i="86" s="1"/>
  <c r="A31" i="86" s="1"/>
  <c r="A32" i="86" s="1"/>
  <c r="A33" i="86" s="1"/>
  <c r="K21" i="10"/>
  <c r="K35" i="10" s="1"/>
  <c r="E165" i="132"/>
  <c r="E165" i="144"/>
  <c r="E118" i="132"/>
  <c r="E118" i="144"/>
  <c r="B111" i="150"/>
  <c r="B188" i="150"/>
  <c r="G32" i="150"/>
  <c r="B73" i="150"/>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5" i="10"/>
  <c r="K14" i="151"/>
  <c r="K15" i="151" s="1"/>
  <c r="A14" i="151"/>
  <c r="A15" i="151" s="1"/>
  <c r="A14" i="152"/>
  <c r="A15" i="152" s="1"/>
  <c r="A16" i="152" s="1"/>
  <c r="I36" i="24"/>
  <c r="E35" i="119"/>
  <c r="H41" i="119"/>
  <c r="A212" i="82"/>
  <c r="A213" i="82" s="1"/>
  <c r="A214" i="82" s="1"/>
  <c r="A215" i="82" s="1"/>
  <c r="A216" i="82" s="1"/>
  <c r="A217" i="82" s="1"/>
  <c r="A218" i="82" s="1"/>
  <c r="A219" i="82" s="1"/>
  <c r="A220" i="82" s="1"/>
  <c r="A221" i="82" s="1"/>
  <c r="A222" i="82" s="1"/>
  <c r="A223" i="82" s="1"/>
  <c r="A224" i="82" s="1"/>
  <c r="A225" i="82" s="1"/>
  <c r="A226" i="82" s="1"/>
  <c r="A227" i="82" s="1"/>
  <c r="A228" i="82" s="1"/>
  <c r="A229" i="82" s="1"/>
  <c r="A230" i="82" s="1"/>
  <c r="A231" i="82" s="1"/>
  <c r="A232" i="82" s="1"/>
  <c r="A233" i="82" s="1"/>
  <c r="A234" i="82" s="1"/>
  <c r="A235" i="82" s="1"/>
  <c r="A236" i="82" s="1"/>
  <c r="A237" i="82" s="1"/>
  <c r="A238" i="82" s="1"/>
  <c r="A239" i="82" s="1"/>
  <c r="A240" i="82" s="1"/>
  <c r="A241" i="82" s="1"/>
  <c r="A242" i="82" s="1"/>
  <c r="A243" i="82" s="1"/>
  <c r="A244" i="82" s="1"/>
  <c r="A245" i="82" s="1"/>
  <c r="J212" i="82"/>
  <c r="J213" i="82" s="1"/>
  <c r="J214" i="82" s="1"/>
  <c r="J215" i="82" s="1"/>
  <c r="J216" i="82" s="1"/>
  <c r="J217" i="82" s="1"/>
  <c r="J218" i="82" s="1"/>
  <c r="J219" i="82" s="1"/>
  <c r="J220" i="82" s="1"/>
  <c r="J221" i="82" s="1"/>
  <c r="J222" i="82" s="1"/>
  <c r="J223" i="82" s="1"/>
  <c r="J224" i="82" s="1"/>
  <c r="J225" i="82" s="1"/>
  <c r="J226" i="82" s="1"/>
  <c r="J227" i="82" s="1"/>
  <c r="J228" i="82" s="1"/>
  <c r="J229" i="82" s="1"/>
  <c r="J230" i="82" s="1"/>
  <c r="J231" i="82" s="1"/>
  <c r="J232" i="82" s="1"/>
  <c r="J233" i="82" s="1"/>
  <c r="J234" i="82" s="1"/>
  <c r="J235" i="82" s="1"/>
  <c r="J236" i="82" s="1"/>
  <c r="J237" i="82" s="1"/>
  <c r="J238" i="82" s="1"/>
  <c r="J239" i="82" s="1"/>
  <c r="J240" i="82" s="1"/>
  <c r="J241" i="82" s="1"/>
  <c r="J242" i="82" s="1"/>
  <c r="J243" i="82" s="1"/>
  <c r="J244" i="82" s="1"/>
  <c r="J245" i="82" s="1"/>
  <c r="C27" i="142"/>
  <c r="I27" i="2"/>
  <c r="E56" i="40" s="1"/>
  <c r="D22" i="14"/>
  <c r="C17" i="142"/>
  <c r="A26" i="41"/>
  <c r="A27" i="41" s="1"/>
  <c r="A28" i="41" s="1"/>
  <c r="A29" i="41" s="1"/>
  <c r="A30" i="41" s="1"/>
  <c r="A31" i="41" s="1"/>
  <c r="A32" i="41" s="1"/>
  <c r="A33" i="41" s="1"/>
  <c r="A34" i="41" s="1"/>
  <c r="A35" i="41" s="1"/>
  <c r="A36" i="41" s="1"/>
  <c r="A37" i="41" s="1"/>
  <c r="A38" i="41" s="1"/>
  <c r="A39" i="41" s="1"/>
  <c r="A40" i="41" s="1"/>
  <c r="A41" i="41" s="1"/>
  <c r="G43" i="41" s="1"/>
  <c r="I35" i="2"/>
  <c r="E44" i="40" s="1"/>
  <c r="E50" i="40" s="1"/>
  <c r="C20" i="142"/>
  <c r="J135" i="82"/>
  <c r="J136" i="82" s="1"/>
  <c r="J137" i="82" s="1"/>
  <c r="J138" i="82" s="1"/>
  <c r="J139" i="82" s="1"/>
  <c r="J140" i="82" s="1"/>
  <c r="J141" i="82" s="1"/>
  <c r="J142" i="82" s="1"/>
  <c r="J143" i="82" s="1"/>
  <c r="J144" i="82" s="1"/>
  <c r="J145" i="82" s="1"/>
  <c r="J146" i="82" s="1"/>
  <c r="J147" i="82" s="1"/>
  <c r="J148" i="82" s="1"/>
  <c r="J149" i="82" s="1"/>
  <c r="J150" i="82" s="1"/>
  <c r="J151" i="82" s="1"/>
  <c r="J152" i="82" s="1"/>
  <c r="J153" i="82" s="1"/>
  <c r="J154"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A135" i="82"/>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E20" i="118"/>
  <c r="E209" i="132"/>
  <c r="E243" i="132"/>
  <c r="I25" i="2"/>
  <c r="I37" i="2" s="1"/>
  <c r="F35" i="11"/>
  <c r="H42" i="121"/>
  <c r="G24" i="121" s="1"/>
  <c r="J24" i="121" s="1"/>
  <c r="N24" i="121" s="1"/>
  <c r="A298" i="132"/>
  <c r="A299" i="132" s="1"/>
  <c r="A300" i="132" s="1"/>
  <c r="A301" i="132" s="1"/>
  <c r="A302" i="132" s="1"/>
  <c r="A303" i="132" s="1"/>
  <c r="A304" i="132" s="1"/>
  <c r="A305" i="132" s="1"/>
  <c r="A306" i="132" s="1"/>
  <c r="A307" i="132" s="1"/>
  <c r="A308" i="132" s="1"/>
  <c r="A309" i="132" s="1"/>
  <c r="A310" i="132" s="1"/>
  <c r="A311" i="132" s="1"/>
  <c r="A312" i="132" s="1"/>
  <c r="A313" i="132" s="1"/>
  <c r="E120" i="132"/>
  <c r="I13" i="22"/>
  <c r="I21" i="22" s="1"/>
  <c r="I23" i="34"/>
  <c r="E36" i="120"/>
  <c r="H42" i="120"/>
  <c r="F24" i="120" s="1"/>
  <c r="E36" i="121"/>
  <c r="G17" i="150"/>
  <c r="C97" i="150" s="1"/>
  <c r="G39" i="150"/>
  <c r="C99" i="150" s="1"/>
  <c r="B111" i="82"/>
  <c r="B188" i="82"/>
  <c r="E85" i="132"/>
  <c r="E81" i="144"/>
  <c r="C24" i="118"/>
  <c r="E18" i="118"/>
  <c r="C22" i="142"/>
  <c r="C19" i="142"/>
  <c r="H11" i="75"/>
  <c r="H12" i="75" s="1"/>
  <c r="H13" i="75" s="1"/>
  <c r="H14" i="75" s="1"/>
  <c r="H15" i="75" s="1"/>
  <c r="H16" i="75" s="1"/>
  <c r="H17" i="75" s="1"/>
  <c r="H18" i="75" s="1"/>
  <c r="H19" i="75" s="1"/>
  <c r="I19" i="2"/>
  <c r="E54" i="40" s="1"/>
  <c r="E35" i="11"/>
  <c r="I15" i="22"/>
  <c r="I23" i="22" s="1"/>
  <c r="I19" i="34"/>
  <c r="I18" i="151"/>
  <c r="I35" i="151" s="1"/>
  <c r="D24" i="118"/>
  <c r="E210" i="132"/>
  <c r="E58" i="41"/>
  <c r="E17" i="40"/>
  <c r="E19" i="40" s="1"/>
  <c r="E11" i="144" s="1"/>
  <c r="E22" i="118"/>
  <c r="G16" i="157"/>
  <c r="F17" i="157"/>
  <c r="E29" i="2"/>
  <c r="I29" i="2" s="1"/>
  <c r="E57" i="40" s="1"/>
  <c r="C23" i="142"/>
  <c r="E244" i="132"/>
  <c r="D22" i="27"/>
  <c r="E120" i="144"/>
  <c r="C29" i="158"/>
  <c r="C19" i="158"/>
  <c r="C24" i="158"/>
  <c r="F11" i="117"/>
  <c r="G11" i="117"/>
  <c r="D42" i="86"/>
  <c r="E50" i="86" s="1"/>
  <c r="E46" i="86" s="1"/>
  <c r="E208" i="132"/>
  <c r="E242" i="132"/>
  <c r="C100" i="82"/>
  <c r="D98" i="82" s="1"/>
  <c r="G98" i="82" s="1"/>
  <c r="C50" i="82"/>
  <c r="D47" i="82" s="1"/>
  <c r="C87" i="82"/>
  <c r="D86" i="82" s="1"/>
  <c r="G86" i="82" s="1"/>
  <c r="G25" i="150"/>
  <c r="C63" i="82"/>
  <c r="D61" i="82" s="1"/>
  <c r="G61" i="82" s="1"/>
  <c r="C25" i="142"/>
  <c r="C26" i="142"/>
  <c r="C21" i="142"/>
  <c r="G33" i="153"/>
  <c r="E16" i="75" s="1"/>
  <c r="G25" i="153"/>
  <c r="E81" i="132"/>
  <c r="E24" i="132"/>
  <c r="I18" i="152"/>
  <c r="B104" i="144"/>
  <c r="E15" i="34"/>
  <c r="I15" i="34" s="1"/>
  <c r="E13" i="34"/>
  <c r="I13" i="34" s="1"/>
  <c r="E188" i="132"/>
  <c r="E139" i="132" s="1"/>
  <c r="E188" i="144"/>
  <c r="E139" i="144" s="1"/>
  <c r="E17" i="22"/>
  <c r="I17" i="22" s="1"/>
  <c r="I25" i="2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85" i="82"/>
  <c r="E47" i="82"/>
  <c r="E23" i="77"/>
  <c r="E35" i="40"/>
  <c r="E172" i="132"/>
  <c r="G136" i="82"/>
  <c r="G136" i="150"/>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1" i="156"/>
  <c r="E23" i="158"/>
  <c r="E18" i="158"/>
  <c r="E28" i="158"/>
  <c r="E19" i="46"/>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G18" i="120" l="1"/>
  <c r="J18" i="120" s="1"/>
  <c r="N18" i="120" s="1"/>
  <c r="F13" i="120"/>
  <c r="F29" i="120"/>
  <c r="G21" i="120"/>
  <c r="J21" i="120" s="1"/>
  <c r="N21" i="120" s="1"/>
  <c r="F12" i="120"/>
  <c r="F28" i="120"/>
  <c r="G32" i="120"/>
  <c r="J32" i="120" s="1"/>
  <c r="N32" i="120" s="1"/>
  <c r="F15" i="120"/>
  <c r="I15" i="120" s="1"/>
  <c r="F31" i="120"/>
  <c r="G23" i="120"/>
  <c r="J23" i="120" s="1"/>
  <c r="N23" i="120" s="1"/>
  <c r="F14" i="120"/>
  <c r="F30" i="120"/>
  <c r="G20" i="120"/>
  <c r="J20" i="120" s="1"/>
  <c r="N20" i="120" s="1"/>
  <c r="F17" i="120"/>
  <c r="F33" i="120"/>
  <c r="G25" i="120"/>
  <c r="J25" i="120" s="1"/>
  <c r="N25" i="120" s="1"/>
  <c r="F16" i="120"/>
  <c r="F32" i="120"/>
  <c r="G14" i="120"/>
  <c r="J14" i="120" s="1"/>
  <c r="N14" i="120" s="1"/>
  <c r="F19" i="120"/>
  <c r="F35" i="120"/>
  <c r="G27" i="120"/>
  <c r="J27" i="120" s="1"/>
  <c r="N27" i="120" s="1"/>
  <c r="F18" i="120"/>
  <c r="F34" i="120"/>
  <c r="H34" i="120" s="1"/>
  <c r="G12" i="120"/>
  <c r="G22" i="120"/>
  <c r="J22" i="120" s="1"/>
  <c r="N22" i="120" s="1"/>
  <c r="F21" i="120"/>
  <c r="G13" i="120"/>
  <c r="J13" i="120" s="1"/>
  <c r="N13" i="120" s="1"/>
  <c r="G29" i="120"/>
  <c r="J29" i="120" s="1"/>
  <c r="N29" i="120" s="1"/>
  <c r="F20" i="120"/>
  <c r="G24" i="120"/>
  <c r="J24" i="120" s="1"/>
  <c r="N24" i="120" s="1"/>
  <c r="G30" i="120"/>
  <c r="J30" i="120" s="1"/>
  <c r="N30" i="120" s="1"/>
  <c r="F23" i="120"/>
  <c r="G15" i="120"/>
  <c r="J15" i="120" s="1"/>
  <c r="N15" i="120" s="1"/>
  <c r="G31" i="120"/>
  <c r="J31" i="120" s="1"/>
  <c r="N31" i="120" s="1"/>
  <c r="F22" i="120"/>
  <c r="G16" i="120"/>
  <c r="J16" i="120" s="1"/>
  <c r="N16" i="120" s="1"/>
  <c r="G26" i="120"/>
  <c r="J26" i="120" s="1"/>
  <c r="N26" i="120" s="1"/>
  <c r="F25" i="120"/>
  <c r="G17" i="120"/>
  <c r="J17" i="120" s="1"/>
  <c r="N17" i="120" s="1"/>
  <c r="G33" i="120"/>
  <c r="J33" i="120" s="1"/>
  <c r="N33" i="120" s="1"/>
  <c r="E145" i="132"/>
  <c r="E146" i="132" s="1"/>
  <c r="E70" i="132" s="1"/>
  <c r="E145" i="144"/>
  <c r="E146" i="144" s="1"/>
  <c r="E140" i="132"/>
  <c r="E140" i="144"/>
  <c r="E141" i="144" s="1"/>
  <c r="G22" i="121"/>
  <c r="J22" i="121" s="1"/>
  <c r="N22" i="121" s="1"/>
  <c r="E70" i="144"/>
  <c r="E74" i="144"/>
  <c r="E76" i="144" s="1"/>
  <c r="J169" i="150"/>
  <c r="J170" i="150" s="1"/>
  <c r="J171" i="150" s="1"/>
  <c r="J172" i="150" s="1"/>
  <c r="J173" i="150" s="1"/>
  <c r="J174" i="150" s="1"/>
  <c r="J175" i="150" s="1"/>
  <c r="J176" i="150" s="1"/>
  <c r="J177" i="150" s="1"/>
  <c r="J178" i="150" s="1"/>
  <c r="J179" i="150" s="1"/>
  <c r="J180" i="150" s="1"/>
  <c r="J181" i="150" s="1"/>
  <c r="J182" i="150" s="1"/>
  <c r="A169" i="150"/>
  <c r="A170" i="150" s="1"/>
  <c r="A171" i="150" s="1"/>
  <c r="A172" i="150" s="1"/>
  <c r="A173" i="150" s="1"/>
  <c r="A174" i="150" s="1"/>
  <c r="A175" i="150" s="1"/>
  <c r="A176" i="150" s="1"/>
  <c r="A177" i="150" s="1"/>
  <c r="A178" i="150" s="1"/>
  <c r="A179" i="150" s="1"/>
  <c r="A180" i="150" s="1"/>
  <c r="A181" i="150" s="1"/>
  <c r="A182" i="150" s="1"/>
  <c r="E37" i="40"/>
  <c r="E39" i="40" s="1"/>
  <c r="E36" i="132"/>
  <c r="E36" i="144"/>
  <c r="A34" i="86"/>
  <c r="A35" i="86" s="1"/>
  <c r="A36" i="86" s="1"/>
  <c r="A37" i="86" s="1"/>
  <c r="A38" i="86" s="1"/>
  <c r="A39" i="86" s="1"/>
  <c r="A41" i="86" s="1"/>
  <c r="A42" i="86" s="1"/>
  <c r="A43" i="86" s="1"/>
  <c r="A44" i="86" s="1"/>
  <c r="A45" i="86" s="1"/>
  <c r="A46" i="86" s="1"/>
  <c r="A47" i="86" s="1"/>
  <c r="A48" i="86" s="1"/>
  <c r="A49" i="86" s="1"/>
  <c r="A50" i="86" s="1"/>
  <c r="A51" i="86" s="1"/>
  <c r="A52" i="86" s="1"/>
  <c r="A53" i="86" s="1"/>
  <c r="E175" i="132"/>
  <c r="E175" i="144"/>
  <c r="I39" i="2"/>
  <c r="E174" i="132"/>
  <c r="E174" i="144"/>
  <c r="E173" i="132"/>
  <c r="E173" i="144"/>
  <c r="E58" i="40"/>
  <c r="E166" i="132"/>
  <c r="E166" i="144"/>
  <c r="E48" i="150"/>
  <c r="E85" i="150"/>
  <c r="C49" i="150"/>
  <c r="C86" i="150"/>
  <c r="C47" i="150"/>
  <c r="C84" i="150"/>
  <c r="C100" i="150"/>
  <c r="D98" i="150" s="1"/>
  <c r="C62" i="150"/>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J246" i="82"/>
  <c r="J247" i="82" s="1"/>
  <c r="J248" i="82" s="1"/>
  <c r="J249" i="82" s="1"/>
  <c r="J250" i="82" s="1"/>
  <c r="J251" i="82" s="1"/>
  <c r="J252" i="82" s="1"/>
  <c r="J253" i="82" s="1"/>
  <c r="J254" i="82" s="1"/>
  <c r="J255" i="82" s="1"/>
  <c r="J256" i="82" s="1"/>
  <c r="J257" i="82" s="1"/>
  <c r="J258" i="82" s="1"/>
  <c r="J259" i="82" s="1"/>
  <c r="A246" i="82"/>
  <c r="A247" i="82" s="1"/>
  <c r="A248" i="82" s="1"/>
  <c r="A249" i="82" s="1"/>
  <c r="A250" i="82" s="1"/>
  <c r="A251" i="82" s="1"/>
  <c r="A252" i="82" s="1"/>
  <c r="A253" i="82" s="1"/>
  <c r="A254" i="82" s="1"/>
  <c r="A255" i="82" s="1"/>
  <c r="A256" i="82" s="1"/>
  <c r="A257" i="82" s="1"/>
  <c r="A258" i="82" s="1"/>
  <c r="A259" i="82" s="1"/>
  <c r="D84" i="82"/>
  <c r="G84" i="82" s="1"/>
  <c r="G27" i="150"/>
  <c r="I27" i="22"/>
  <c r="D26" i="118"/>
  <c r="C60" i="150"/>
  <c r="E24" i="118"/>
  <c r="E15" i="75"/>
  <c r="E17" i="75" s="1"/>
  <c r="G123" i="150" s="1"/>
  <c r="G35" i="153"/>
  <c r="E141" i="132"/>
  <c r="E62" i="132" s="1"/>
  <c r="F50" i="86"/>
  <c r="F46" i="86" s="1"/>
  <c r="F48" i="86" s="1"/>
  <c r="D97" i="82"/>
  <c r="G97" i="82" s="1"/>
  <c r="D48" i="86"/>
  <c r="I35" i="152"/>
  <c r="G11" i="34"/>
  <c r="G17" i="34" s="1"/>
  <c r="E11" i="34"/>
  <c r="G41" i="41"/>
  <c r="I31" i="2"/>
  <c r="I41" i="2"/>
  <c r="G17" i="157"/>
  <c r="F18" i="157"/>
  <c r="C14" i="158"/>
  <c r="C11" i="156" s="1"/>
  <c r="G13" i="158"/>
  <c r="G14" i="158" s="1"/>
  <c r="G11" i="156" s="1"/>
  <c r="E48" i="86"/>
  <c r="H26" i="133"/>
  <c r="H39" i="133" s="1"/>
  <c r="D99" i="82"/>
  <c r="G99" i="82" s="1"/>
  <c r="G102" i="82" s="1"/>
  <c r="G233" i="82" s="1"/>
  <c r="G245" i="82" s="1"/>
  <c r="D48" i="82"/>
  <c r="G48" i="82" s="1"/>
  <c r="D49" i="82"/>
  <c r="G49" i="82" s="1"/>
  <c r="G85" i="82"/>
  <c r="G89" i="82" s="1"/>
  <c r="G199" i="82" s="1"/>
  <c r="G211" i="82" s="1"/>
  <c r="D62" i="82"/>
  <c r="D60" i="82"/>
  <c r="E21" i="46"/>
  <c r="E25" i="46"/>
  <c r="E23" i="46"/>
  <c r="E22" i="69"/>
  <c r="E11" i="132"/>
  <c r="E179" i="144"/>
  <c r="E111" i="144" s="1"/>
  <c r="E179" i="132"/>
  <c r="E111" i="132" s="1"/>
  <c r="G23" i="158"/>
  <c r="G24" i="158" s="1"/>
  <c r="G15" i="156" s="1"/>
  <c r="E24" i="158"/>
  <c r="E15" i="156" s="1"/>
  <c r="G18" i="158"/>
  <c r="G19" i="158" s="1"/>
  <c r="G13" i="156" s="1"/>
  <c r="E19" i="158"/>
  <c r="E13" i="156" s="1"/>
  <c r="E29" i="158"/>
  <c r="E17" i="156" s="1"/>
  <c r="G28" i="158"/>
  <c r="G29" i="158" s="1"/>
  <c r="G17" i="156" s="1"/>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H12" i="120"/>
  <c r="I20" i="121"/>
  <c r="H20" i="121"/>
  <c r="I34" i="121"/>
  <c r="H34" i="121"/>
  <c r="I32" i="121"/>
  <c r="H32" i="121"/>
  <c r="I30" i="121"/>
  <c r="H30" i="121"/>
  <c r="E180" i="132"/>
  <c r="A42" i="41"/>
  <c r="A43" i="41" s="1"/>
  <c r="A44" i="41" s="1"/>
  <c r="A45" i="41" s="1"/>
  <c r="A46" i="41" s="1"/>
  <c r="A47" i="41" s="1"/>
  <c r="A48" i="41" s="1"/>
  <c r="A49" i="41" s="1"/>
  <c r="A52" i="41" s="1"/>
  <c r="A53" i="41" s="1"/>
  <c r="A54" i="41" s="1"/>
  <c r="A55" i="41" s="1"/>
  <c r="A56" i="41" s="1"/>
  <c r="A57" i="41" s="1"/>
  <c r="A58" i="41" s="1"/>
  <c r="A59"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23" i="120"/>
  <c r="H23" i="120"/>
  <c r="I31" i="120"/>
  <c r="H31" i="120"/>
  <c r="I14" i="120"/>
  <c r="H14" i="120"/>
  <c r="I22" i="120"/>
  <c r="H22" i="120"/>
  <c r="I30" i="120"/>
  <c r="I26" i="121"/>
  <c r="H26" i="121"/>
  <c r="I24" i="121"/>
  <c r="H24" i="121"/>
  <c r="I35" i="121"/>
  <c r="H35" i="121"/>
  <c r="I22" i="121"/>
  <c r="H22" i="121"/>
  <c r="I33" i="121"/>
  <c r="H33" i="121"/>
  <c r="G47"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I25" i="120"/>
  <c r="I33" i="120"/>
  <c r="H33" i="120"/>
  <c r="I16" i="120"/>
  <c r="H16" i="120"/>
  <c r="I24" i="120"/>
  <c r="H24" i="120"/>
  <c r="I32" i="120"/>
  <c r="H32" i="120"/>
  <c r="I31" i="121"/>
  <c r="H31" i="121"/>
  <c r="I18" i="121"/>
  <c r="H18" i="121"/>
  <c r="I29" i="121"/>
  <c r="H29" i="121"/>
  <c r="I16" i="121"/>
  <c r="H16" i="121"/>
  <c r="I27" i="121"/>
  <c r="H27" i="121"/>
  <c r="I14" i="121"/>
  <c r="H14" i="121"/>
  <c r="I25" i="121"/>
  <c r="H25" i="121"/>
  <c r="J12" i="120"/>
  <c r="C15" i="156"/>
  <c r="I12" i="119"/>
  <c r="H12" i="119"/>
  <c r="I18" i="119"/>
  <c r="H18" i="119"/>
  <c r="I11" i="119"/>
  <c r="F35" i="119"/>
  <c r="H11" i="119"/>
  <c r="I19" i="119"/>
  <c r="H19" i="119"/>
  <c r="I20" i="119"/>
  <c r="H20" i="119"/>
  <c r="I28" i="119"/>
  <c r="H28" i="119"/>
  <c r="I19" i="120"/>
  <c r="H19" i="120"/>
  <c r="I27" i="120"/>
  <c r="H27" i="120"/>
  <c r="I35" i="120"/>
  <c r="H35" i="120"/>
  <c r="I18" i="120"/>
  <c r="H18" i="120"/>
  <c r="I26" i="120"/>
  <c r="H26" i="120"/>
  <c r="I34" i="120"/>
  <c r="I15" i="121"/>
  <c r="H15" i="121"/>
  <c r="I12" i="121"/>
  <c r="H12" i="121"/>
  <c r="F36" i="121"/>
  <c r="I28" i="121"/>
  <c r="H28" i="121"/>
  <c r="I21" i="121"/>
  <c r="H21" i="121"/>
  <c r="I19" i="121"/>
  <c r="H19" i="121"/>
  <c r="I17" i="121"/>
  <c r="H17" i="121"/>
  <c r="J12" i="121"/>
  <c r="G36" i="121"/>
  <c r="G36" i="120" l="1"/>
  <c r="H25" i="120"/>
  <c r="F36" i="120"/>
  <c r="H30" i="120"/>
  <c r="H17" i="120"/>
  <c r="H15" i="120"/>
  <c r="G202" i="150"/>
  <c r="G214" i="150" s="1"/>
  <c r="E62" i="144"/>
  <c r="G236" i="150"/>
  <c r="G248" i="150" s="1"/>
  <c r="E58" i="144"/>
  <c r="E74" i="132"/>
  <c r="E176" i="144"/>
  <c r="E176" i="132"/>
  <c r="D87" i="82"/>
  <c r="D100" i="82"/>
  <c r="D26" i="157"/>
  <c r="I43" i="2"/>
  <c r="I45" i="2" s="1"/>
  <c r="G13" i="69" s="1"/>
  <c r="G19" i="69" s="1"/>
  <c r="E168" i="144"/>
  <c r="E167" i="144"/>
  <c r="E181" i="144" s="1"/>
  <c r="E113" i="144" s="1"/>
  <c r="E46" i="40"/>
  <c r="E167" i="132"/>
  <c r="E181" i="132" s="1"/>
  <c r="E113" i="132" s="1"/>
  <c r="C63" i="150"/>
  <c r="D97" i="150"/>
  <c r="G97" i="150" s="1"/>
  <c r="E47" i="150"/>
  <c r="E84" i="150"/>
  <c r="C50" i="150"/>
  <c r="D60" i="150" s="1"/>
  <c r="D99" i="150"/>
  <c r="G99" i="150" s="1"/>
  <c r="G102" i="150" s="1"/>
  <c r="G233" i="150" s="1"/>
  <c r="C87" i="150"/>
  <c r="D85" i="150" s="1"/>
  <c r="G85" i="150" s="1"/>
  <c r="G98" i="150"/>
  <c r="H25" i="144"/>
  <c r="H26" i="144" s="1"/>
  <c r="H27" i="144" s="1"/>
  <c r="H28" i="144" s="1"/>
  <c r="H29" i="144" s="1"/>
  <c r="A25" i="144"/>
  <c r="A26" i="144" s="1"/>
  <c r="A27" i="144" s="1"/>
  <c r="A28" i="144" s="1"/>
  <c r="A29" i="144" s="1"/>
  <c r="D50" i="86"/>
  <c r="G236" i="82"/>
  <c r="G248" i="82" s="1"/>
  <c r="G52" i="82"/>
  <c r="G122" i="82" s="1"/>
  <c r="G26" i="133"/>
  <c r="G39" i="133" s="1"/>
  <c r="E168" i="132"/>
  <c r="E58" i="132"/>
  <c r="G202" i="82"/>
  <c r="I11" i="34"/>
  <c r="I17" i="34" s="1"/>
  <c r="E123" i="132" s="1"/>
  <c r="E125" i="132" s="1"/>
  <c r="E17" i="34"/>
  <c r="D13" i="157" s="1"/>
  <c r="I13" i="157" s="1"/>
  <c r="E47" i="40"/>
  <c r="E19" i="75"/>
  <c r="G123" i="82" s="1"/>
  <c r="G18" i="157"/>
  <c r="F19" i="157"/>
  <c r="C19" i="156"/>
  <c r="D50" i="82"/>
  <c r="G50" i="82"/>
  <c r="G146" i="82" s="1"/>
  <c r="G100" i="82"/>
  <c r="G257" i="82" s="1"/>
  <c r="G87" i="82"/>
  <c r="G223" i="82" s="1"/>
  <c r="G62" i="82"/>
  <c r="G65" i="82" s="1"/>
  <c r="G156" i="82" s="1"/>
  <c r="G168" i="82" s="1"/>
  <c r="D63" i="82"/>
  <c r="G60" i="82"/>
  <c r="E19" i="156"/>
  <c r="E27" i="46"/>
  <c r="E240" i="132"/>
  <c r="E206" i="132"/>
  <c r="G19" i="156"/>
  <c r="E16" i="137"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I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E112" i="132"/>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H36" i="120"/>
  <c r="K29" i="120"/>
  <c r="M29" i="120"/>
  <c r="O29" i="120" s="1"/>
  <c r="K28" i="121"/>
  <c r="M28" i="121"/>
  <c r="O28" i="121" s="1"/>
  <c r="M12" i="119"/>
  <c r="O12" i="119" s="1"/>
  <c r="K12" i="119"/>
  <c r="H11" i="118"/>
  <c r="N45" i="116"/>
  <c r="K12" i="121"/>
  <c r="I36" i="121"/>
  <c r="I46" i="121" s="1"/>
  <c r="M12" i="121"/>
  <c r="H35" i="119"/>
  <c r="M18" i="119"/>
  <c r="O18" i="119" s="1"/>
  <c r="K18" i="119"/>
  <c r="G134" i="82"/>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I36" i="120"/>
  <c r="I46" i="120" s="1"/>
  <c r="M12" i="120"/>
  <c r="M23" i="119"/>
  <c r="O23" i="119" s="1"/>
  <c r="K23" i="119"/>
  <c r="G239" i="82" l="1"/>
  <c r="G249" i="82" s="1"/>
  <c r="E18" i="132"/>
  <c r="E18" i="144"/>
  <c r="C18" i="157"/>
  <c r="H18" i="157" s="1"/>
  <c r="C24" i="157"/>
  <c r="C14" i="157"/>
  <c r="H14" i="157" s="1"/>
  <c r="I14" i="157" s="1"/>
  <c r="C17" i="157"/>
  <c r="H17" i="157" s="1"/>
  <c r="C20" i="157"/>
  <c r="C23" i="157"/>
  <c r="C22" i="157"/>
  <c r="C16" i="157"/>
  <c r="H16" i="157" s="1"/>
  <c r="C19" i="157"/>
  <c r="C15" i="157"/>
  <c r="H15" i="157" s="1"/>
  <c r="C21" i="157"/>
  <c r="C25" i="157"/>
  <c r="E182" i="144"/>
  <c r="E114" i="144" s="1"/>
  <c r="E182" i="132"/>
  <c r="E114" i="132" s="1"/>
  <c r="E115" i="132" s="1"/>
  <c r="E48" i="40"/>
  <c r="E60" i="40" s="1"/>
  <c r="E21" i="66" s="1"/>
  <c r="E23" i="66" s="1"/>
  <c r="E22" i="132" s="1"/>
  <c r="G15" i="69"/>
  <c r="E129" i="132"/>
  <c r="E129" i="144"/>
  <c r="E134" i="132"/>
  <c r="E134" i="144"/>
  <c r="G245" i="150"/>
  <c r="G239" i="150"/>
  <c r="D62" i="150"/>
  <c r="G62" i="150" s="1"/>
  <c r="G100" i="150"/>
  <c r="G257" i="150" s="1"/>
  <c r="D84" i="150"/>
  <c r="D100" i="150"/>
  <c r="D86" i="150"/>
  <c r="G86" i="150" s="1"/>
  <c r="G89" i="150" s="1"/>
  <c r="G199" i="150" s="1"/>
  <c r="G60" i="150"/>
  <c r="D61" i="150"/>
  <c r="G61" i="150" s="1"/>
  <c r="D48" i="150"/>
  <c r="G48" i="150" s="1"/>
  <c r="D49" i="150"/>
  <c r="G49" i="150" s="1"/>
  <c r="D47" i="150"/>
  <c r="G84" i="150"/>
  <c r="A55" i="144"/>
  <c r="A56" i="144" s="1"/>
  <c r="A57" i="144" s="1"/>
  <c r="A58" i="144" s="1"/>
  <c r="A59" i="144" s="1"/>
  <c r="A30" i="144"/>
  <c r="A31" i="144" s="1"/>
  <c r="A32" i="144" s="1"/>
  <c r="A33" i="144" s="1"/>
  <c r="A34" i="144" s="1"/>
  <c r="A35" i="144" s="1"/>
  <c r="A36" i="144" s="1"/>
  <c r="A37" i="144" s="1"/>
  <c r="A38" i="144" s="1"/>
  <c r="A39" i="144" s="1"/>
  <c r="A40" i="144" s="1"/>
  <c r="H55" i="144"/>
  <c r="H56" i="144" s="1"/>
  <c r="H57" i="144" s="1"/>
  <c r="H58" i="144" s="1"/>
  <c r="H59" i="144" s="1"/>
  <c r="H30" i="144"/>
  <c r="H31" i="144" s="1"/>
  <c r="H32" i="144" s="1"/>
  <c r="H33" i="144" s="1"/>
  <c r="H34" i="144" s="1"/>
  <c r="H35" i="144" s="1"/>
  <c r="H36" i="144" s="1"/>
  <c r="H37" i="144" s="1"/>
  <c r="H38" i="144" s="1"/>
  <c r="H39" i="144" s="1"/>
  <c r="H40" i="144" s="1"/>
  <c r="E169" i="132"/>
  <c r="G205" i="82"/>
  <c r="G215" i="82" s="1"/>
  <c r="G214" i="82"/>
  <c r="E26" i="133"/>
  <c r="G19" i="157"/>
  <c r="F20" i="157"/>
  <c r="N45" i="117"/>
  <c r="G63" i="82"/>
  <c r="G180" i="82" s="1"/>
  <c r="E169" i="144"/>
  <c r="J47" i="116"/>
  <c r="K47" i="116" s="1"/>
  <c r="N47" i="116"/>
  <c r="M35" i="117"/>
  <c r="M45" i="117" s="1"/>
  <c r="O11" i="117"/>
  <c r="O35" i="117" s="1"/>
  <c r="O45" i="117" s="1"/>
  <c r="K36" i="120"/>
  <c r="K46" i="120" s="1"/>
  <c r="J48" i="120" s="1"/>
  <c r="K35" i="117"/>
  <c r="K45" i="117" s="1"/>
  <c r="I47" i="117" s="1"/>
  <c r="H15" i="118"/>
  <c r="I11" i="118"/>
  <c r="M36" i="120"/>
  <c r="O12" i="120"/>
  <c r="O36" i="120" s="1"/>
  <c r="O46" i="120" s="1"/>
  <c r="K36" i="121"/>
  <c r="K46" i="121" s="1"/>
  <c r="I48" i="121" s="1"/>
  <c r="N45" i="119"/>
  <c r="H18" i="118"/>
  <c r="M45" i="116"/>
  <c r="M47" i="116" s="1"/>
  <c r="I48" i="120"/>
  <c r="M35" i="119"/>
  <c r="O11" i="119"/>
  <c r="O35" i="119" s="1"/>
  <c r="O45" i="119" s="1"/>
  <c r="N46" i="121"/>
  <c r="H22" i="118"/>
  <c r="O12" i="121"/>
  <c r="O36" i="121" s="1"/>
  <c r="O46" i="121" s="1"/>
  <c r="M36" i="121"/>
  <c r="N46" i="120"/>
  <c r="H20" i="118"/>
  <c r="E112" i="144"/>
  <c r="K35" i="119"/>
  <c r="K45" i="119" s="1"/>
  <c r="J47" i="119" s="1"/>
  <c r="G252" i="82" l="1"/>
  <c r="G255" i="82" s="1"/>
  <c r="G259" i="82" s="1"/>
  <c r="E61" i="132" s="1"/>
  <c r="E63" i="132" s="1"/>
  <c r="N47" i="117"/>
  <c r="G249" i="150"/>
  <c r="G252" i="150"/>
  <c r="G255" i="150" s="1"/>
  <c r="G259" i="150" s="1"/>
  <c r="E61" i="144" s="1"/>
  <c r="E63" i="144" s="1"/>
  <c r="E40" i="40"/>
  <c r="E41" i="40" s="1"/>
  <c r="E13" i="144" s="1"/>
  <c r="E16" i="144" s="1"/>
  <c r="E115" i="144"/>
  <c r="E183" i="144"/>
  <c r="G65" i="150"/>
  <c r="I15" i="157"/>
  <c r="I16" i="157" s="1"/>
  <c r="I17" i="157" s="1"/>
  <c r="I18" i="157" s="1"/>
  <c r="D14" i="157"/>
  <c r="D15" i="157" s="1"/>
  <c r="D16" i="157" s="1"/>
  <c r="D17" i="157" s="1"/>
  <c r="D18" i="157" s="1"/>
  <c r="D19" i="157" s="1"/>
  <c r="D20" i="157" s="1"/>
  <c r="D21" i="157" s="1"/>
  <c r="D22" i="157" s="1"/>
  <c r="D23" i="157" s="1"/>
  <c r="D24" i="157" s="1"/>
  <c r="D25" i="157" s="1"/>
  <c r="H19" i="157"/>
  <c r="E183" i="132"/>
  <c r="E213" i="132" s="1"/>
  <c r="E22" i="144"/>
  <c r="E128" i="132"/>
  <c r="E128" i="144"/>
  <c r="D87" i="150"/>
  <c r="G63" i="150"/>
  <c r="G87" i="150"/>
  <c r="G223" i="150" s="1"/>
  <c r="D50" i="150"/>
  <c r="G47" i="150"/>
  <c r="G50" i="150" s="1"/>
  <c r="G146" i="150" s="1"/>
  <c r="G52" i="150"/>
  <c r="D63" i="150"/>
  <c r="H60" i="144"/>
  <c r="H61" i="144" s="1"/>
  <c r="H62" i="144" s="1"/>
  <c r="H63" i="144" s="1"/>
  <c r="H64" i="144" s="1"/>
  <c r="H65" i="144" s="1"/>
  <c r="H66" i="144" s="1"/>
  <c r="H67" i="144" s="1"/>
  <c r="H68" i="144" s="1"/>
  <c r="H69" i="144" s="1"/>
  <c r="H70" i="144" s="1"/>
  <c r="H71" i="144" s="1"/>
  <c r="H72" i="144" s="1"/>
  <c r="A60" i="144"/>
  <c r="A61" i="144" s="1"/>
  <c r="A62" i="144" s="1"/>
  <c r="A63" i="144" s="1"/>
  <c r="A64" i="144" s="1"/>
  <c r="A65" i="144" s="1"/>
  <c r="A66" i="144" s="1"/>
  <c r="A67" i="144" s="1"/>
  <c r="A68" i="144" s="1"/>
  <c r="A69" i="144" s="1"/>
  <c r="A70" i="144" s="1"/>
  <c r="A71" i="144" s="1"/>
  <c r="A72" i="144" s="1"/>
  <c r="G218" i="82"/>
  <c r="G221" i="82" s="1"/>
  <c r="G225" i="82" s="1"/>
  <c r="E57" i="132" s="1"/>
  <c r="E59" i="132" s="1"/>
  <c r="E65" i="132" s="1"/>
  <c r="G20" i="157"/>
  <c r="H20" i="157" s="1"/>
  <c r="F21" i="157"/>
  <c r="N48" i="120"/>
  <c r="M47" i="117"/>
  <c r="O47" i="117" s="1"/>
  <c r="O47" i="116"/>
  <c r="J48" i="121"/>
  <c r="K48" i="121" s="1"/>
  <c r="N48" i="121"/>
  <c r="J47" i="117"/>
  <c r="K47" i="117" s="1"/>
  <c r="G13" i="118"/>
  <c r="I13" i="118" s="1"/>
  <c r="I15" i="118" s="1"/>
  <c r="H24" i="118"/>
  <c r="H26" i="118" s="1"/>
  <c r="K48" i="120"/>
  <c r="M46" i="121"/>
  <c r="M48" i="121" s="1"/>
  <c r="G22" i="118"/>
  <c r="I22" i="118" s="1"/>
  <c r="G18" i="118"/>
  <c r="M45" i="119"/>
  <c r="M47" i="119" s="1"/>
  <c r="N47" i="119"/>
  <c r="I47" i="119"/>
  <c r="K47" i="119" s="1"/>
  <c r="M46" i="120"/>
  <c r="M48" i="120" s="1"/>
  <c r="G20" i="118"/>
  <c r="I20" i="118" s="1"/>
  <c r="E13" i="132" l="1"/>
  <c r="E241" i="132" s="1"/>
  <c r="E23" i="69"/>
  <c r="E25" i="69" s="1"/>
  <c r="E29" i="69" s="1"/>
  <c r="E130" i="144" s="1"/>
  <c r="E131" i="144" s="1"/>
  <c r="G156" i="150"/>
  <c r="G168" i="150" s="1"/>
  <c r="E25" i="144"/>
  <c r="E247" i="132"/>
  <c r="G211" i="150"/>
  <c r="G205" i="150"/>
  <c r="G215" i="150" s="1"/>
  <c r="I19" i="157"/>
  <c r="I20" i="157" s="1"/>
  <c r="G180" i="150"/>
  <c r="G122" i="150"/>
  <c r="G134" i="150" s="1"/>
  <c r="A73" i="144"/>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A93" i="144" s="1"/>
  <c r="H73" i="144"/>
  <c r="H74" i="144" s="1"/>
  <c r="H75" i="144" s="1"/>
  <c r="H76" i="144" s="1"/>
  <c r="H77" i="144" s="1"/>
  <c r="H78" i="144" s="1"/>
  <c r="H79" i="144" s="1"/>
  <c r="H80" i="144" s="1"/>
  <c r="H81" i="144" s="1"/>
  <c r="H82" i="144" s="1"/>
  <c r="H83" i="144" s="1"/>
  <c r="H84" i="144" s="1"/>
  <c r="H85" i="144" s="1"/>
  <c r="H86" i="144" s="1"/>
  <c r="H87" i="144" s="1"/>
  <c r="H88" i="144" s="1"/>
  <c r="H89" i="144" s="1"/>
  <c r="H90" i="144" s="1"/>
  <c r="H91" i="144" s="1"/>
  <c r="H92" i="144" s="1"/>
  <c r="H93" i="144" s="1"/>
  <c r="O48" i="120"/>
  <c r="G21" i="157"/>
  <c r="H21" i="157" s="1"/>
  <c r="F22" i="157"/>
  <c r="G15" i="118"/>
  <c r="O48" i="121"/>
  <c r="G24" i="118"/>
  <c r="O47" i="119"/>
  <c r="I18" i="118"/>
  <c r="I24" i="118" s="1"/>
  <c r="I26" i="118" s="1"/>
  <c r="E217" i="132"/>
  <c r="E261" i="132"/>
  <c r="E267" i="132"/>
  <c r="G26" i="118" l="1"/>
  <c r="G29" i="118" s="1"/>
  <c r="E16" i="132"/>
  <c r="E25" i="132" s="1"/>
  <c r="E130" i="132"/>
  <c r="E131" i="132" s="1"/>
  <c r="E136" i="132" s="1"/>
  <c r="G159" i="82" s="1"/>
  <c r="E207" i="132"/>
  <c r="G218" i="150"/>
  <c r="G221" i="150" s="1"/>
  <c r="G225" i="150" s="1"/>
  <c r="E57" i="144" s="1"/>
  <c r="E59" i="144" s="1"/>
  <c r="E65" i="144" s="1"/>
  <c r="I21" i="157"/>
  <c r="F23" i="157"/>
  <c r="G22" i="157"/>
  <c r="H22" i="157" s="1"/>
  <c r="H29" i="118"/>
  <c r="E220" i="132"/>
  <c r="E222" i="132" s="1"/>
  <c r="E251" i="132"/>
  <c r="E28" i="132" l="1"/>
  <c r="E32" i="132"/>
  <c r="G125" i="82"/>
  <c r="G128" i="82" s="1"/>
  <c r="G138" i="82" s="1"/>
  <c r="I22" i="157"/>
  <c r="G23" i="157"/>
  <c r="H23" i="157" s="1"/>
  <c r="F24" i="157"/>
  <c r="G171" i="82"/>
  <c r="G162" i="82"/>
  <c r="G172" i="82" s="1"/>
  <c r="I29" i="118"/>
  <c r="H30" i="133"/>
  <c r="E254" i="132"/>
  <c r="E256" i="132" s="1"/>
  <c r="E76" i="132"/>
  <c r="G137" i="82" l="1"/>
  <c r="G141" i="82" s="1"/>
  <c r="G144" i="82" s="1"/>
  <c r="G148" i="82" s="1"/>
  <c r="G175" i="82"/>
  <c r="G178" i="82" s="1"/>
  <c r="G182" i="82" s="1"/>
  <c r="I23" i="157"/>
  <c r="G24" i="157"/>
  <c r="H24" i="157" s="1"/>
  <c r="F25" i="157"/>
  <c r="G25" i="157" s="1"/>
  <c r="H25" i="157" s="1"/>
  <c r="G30" i="133"/>
  <c r="I24" i="157" l="1"/>
  <c r="I25" i="157" s="1"/>
  <c r="E27" i="132"/>
  <c r="E29" i="132" s="1"/>
  <c r="E71" i="132"/>
  <c r="E72" i="132" s="1"/>
  <c r="E78" i="132" s="1"/>
  <c r="E38" i="69"/>
  <c r="E40" i="69" s="1"/>
  <c r="E15" i="133" s="1"/>
  <c r="E82" i="132"/>
  <c r="E83" i="132" s="1"/>
  <c r="E263" i="132"/>
  <c r="E265" i="132" s="1"/>
  <c r="E31" i="132"/>
  <c r="E33" i="132" s="1"/>
  <c r="E86" i="132"/>
  <c r="E87" i="132" s="1"/>
  <c r="E269" i="132"/>
  <c r="E271" i="132" s="1"/>
  <c r="E42" i="69"/>
  <c r="E44" i="69" s="1"/>
  <c r="E17" i="133" s="1"/>
  <c r="E30" i="133"/>
  <c r="E273" i="132" l="1"/>
  <c r="E302" i="132" s="1"/>
  <c r="E89" i="132"/>
  <c r="E91" i="132" s="1"/>
  <c r="E292" i="132" s="1"/>
  <c r="E40" i="132"/>
  <c r="E205" i="132" s="1"/>
  <c r="E211" i="132" s="1"/>
  <c r="E215" i="132" s="1"/>
  <c r="E224" i="132" s="1"/>
  <c r="E298" i="132" s="1"/>
  <c r="E93" i="132" l="1"/>
  <c r="E290" i="132"/>
  <c r="E239" i="132"/>
  <c r="E245" i="132" s="1"/>
  <c r="E249" i="132" s="1"/>
  <c r="E258" i="132" s="1"/>
  <c r="E300" i="132" s="1"/>
  <c r="E31" i="133" s="1"/>
  <c r="E123" i="144"/>
  <c r="E125" i="144" s="1"/>
  <c r="E136" i="144" l="1"/>
  <c r="E32" i="144" s="1"/>
  <c r="H31" i="133"/>
  <c r="G31" i="133"/>
  <c r="E28" i="144" l="1"/>
  <c r="G125" i="150"/>
  <c r="G128" i="150" s="1"/>
  <c r="G138" i="150" s="1"/>
  <c r="G159" i="150"/>
  <c r="G171" i="150" l="1"/>
  <c r="G162" i="150"/>
  <c r="G172" i="150" s="1"/>
  <c r="G137" i="150"/>
  <c r="G175" i="150" l="1"/>
  <c r="G178" i="150" s="1"/>
  <c r="G182" i="150" s="1"/>
  <c r="G141" i="150"/>
  <c r="G144" i="150" s="1"/>
  <c r="G148" i="150" s="1"/>
  <c r="E16" i="142"/>
  <c r="E82" i="144" l="1"/>
  <c r="E83" i="144" s="1"/>
  <c r="E71" i="144"/>
  <c r="E72" i="144" s="1"/>
  <c r="E78" i="144" s="1"/>
  <c r="E27" i="144"/>
  <c r="E29" i="144" s="1"/>
  <c r="E86" i="144"/>
  <c r="E87" i="144" s="1"/>
  <c r="E31" i="144"/>
  <c r="E33" i="144" s="1"/>
  <c r="F27" i="142"/>
  <c r="F23" i="142"/>
  <c r="F19" i="142"/>
  <c r="F24" i="142"/>
  <c r="F16" i="142"/>
  <c r="F26" i="142"/>
  <c r="F22" i="142"/>
  <c r="F18" i="142"/>
  <c r="F20" i="142"/>
  <c r="H16" i="142"/>
  <c r="F25" i="142"/>
  <c r="F21" i="142"/>
  <c r="F17" i="142"/>
  <c r="E89" i="144" l="1"/>
  <c r="E91" i="144" s="1"/>
  <c r="E40" i="144"/>
  <c r="G16" i="142"/>
  <c r="I16" i="142" s="1"/>
  <c r="E17" i="142" s="1"/>
  <c r="E93" i="144" l="1"/>
  <c r="E10" i="140" s="1"/>
  <c r="H17" i="142"/>
  <c r="E12" i="140" l="1"/>
  <c r="E11" i="140"/>
  <c r="G17" i="142"/>
  <c r="E13" i="140" l="1"/>
  <c r="D34" i="140" s="1"/>
  <c r="I34" i="140" s="1"/>
  <c r="I17" i="142"/>
  <c r="E18" i="142" s="1"/>
  <c r="H18" i="142" s="1"/>
  <c r="D26" i="140" l="1"/>
  <c r="I26" i="140" s="1"/>
  <c r="D27" i="140"/>
  <c r="I27" i="140" s="1"/>
  <c r="D32" i="140"/>
  <c r="I32" i="140" s="1"/>
  <c r="D33" i="140"/>
  <c r="I33" i="140" s="1"/>
  <c r="D28" i="140"/>
  <c r="I28" i="140" s="1"/>
  <c r="D29" i="140"/>
  <c r="I29" i="140" s="1"/>
  <c r="D23" i="140"/>
  <c r="I23" i="140" s="1"/>
  <c r="K23" i="140" s="1"/>
  <c r="D24" i="140"/>
  <c r="I24" i="140" s="1"/>
  <c r="D25" i="140"/>
  <c r="I25" i="140" s="1"/>
  <c r="D30" i="140"/>
  <c r="I30" i="140" s="1"/>
  <c r="D31" i="140"/>
  <c r="I31"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L23" i="140" l="1"/>
  <c r="M23" i="140" s="1"/>
  <c r="K24" i="140" s="1"/>
  <c r="L24" i="140" s="1"/>
  <c r="M24" i="140" s="1"/>
  <c r="I35" i="140"/>
  <c r="D35" i="140"/>
  <c r="H26" i="142"/>
  <c r="G26" i="142" s="1"/>
  <c r="I26" i="142" s="1"/>
  <c r="E27" i="142" s="1"/>
  <c r="K25" i="140" l="1"/>
  <c r="L25" i="140" s="1"/>
  <c r="M25" i="140" s="1"/>
  <c r="H27" i="142"/>
  <c r="H28" i="142" s="1"/>
  <c r="K26" i="140" l="1"/>
  <c r="L26" i="140" s="1"/>
  <c r="M26" i="140" s="1"/>
  <c r="G27" i="142"/>
  <c r="I27" i="142" s="1"/>
  <c r="D31" i="142"/>
  <c r="E296"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294" i="132" l="1"/>
  <c r="E304" i="132" s="1"/>
  <c r="D30" i="142"/>
  <c r="D32" i="142" s="1"/>
  <c r="E306" i="132" l="1"/>
  <c r="E11" i="133"/>
  <c r="E21" i="133" s="1"/>
  <c r="E27" i="133" s="1"/>
  <c r="E307" i="132"/>
  <c r="E309" i="132" l="1"/>
  <c r="E35" i="133"/>
  <c r="G27" i="133"/>
  <c r="G35" i="133" s="1"/>
  <c r="G36" i="133" s="1"/>
  <c r="H27" i="133"/>
  <c r="H35" i="133" s="1"/>
  <c r="H36" i="133" s="1"/>
  <c r="H37" i="133" s="1"/>
  <c r="H42" i="133" s="1"/>
  <c r="E313" i="132" l="1"/>
  <c r="G37" i="133"/>
  <c r="G42" i="133" s="1"/>
  <c r="E36" i="133"/>
  <c r="E37" i="133" s="1"/>
  <c r="E42" i="133" l="1"/>
</calcChain>
</file>

<file path=xl/sharedStrings.xml><?xml version="1.0" encoding="utf-8"?>
<sst xmlns="http://schemas.openxmlformats.org/spreadsheetml/2006/main" count="5119" uniqueCount="1854">
  <si>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</si>
  <si>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</si>
  <si>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</si>
  <si>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</si>
  <si>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For the Base Period &amp; True-Up Period Ending December 31, 2022</t>
  </si>
  <si>
    <t>($1,000)</t>
  </si>
  <si>
    <t>Line</t>
  </si>
  <si>
    <t>No.</t>
  </si>
  <si>
    <t>Amounts</t>
  </si>
  <si>
    <t>Reference</t>
  </si>
  <si>
    <t>A. Revenues:</t>
  </si>
  <si>
    <t>Transmission Operation &amp; Maintenance Expense</t>
  </si>
  <si>
    <t>Statement AH; Line 9</t>
  </si>
  <si>
    <t>Transmission Related A&amp;G Expense</t>
  </si>
  <si>
    <t>Statement AH; Line 31</t>
  </si>
  <si>
    <t>CPUC Intervenor Funding Expense - Transmission</t>
  </si>
  <si>
    <t>Negative of Statement AH; Line 16</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</si>
  <si>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</si>
  <si>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</si>
  <si>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</si>
  <si>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</si>
  <si>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</si>
  <si>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</si>
  <si>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</si>
  <si>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Statement AK; Line 13</t>
  </si>
  <si>
    <t>Transmission Related Payroll Taxes Expense</t>
  </si>
  <si>
    <t>Statement AK; Line 20</t>
  </si>
  <si>
    <t xml:space="preserve">     Sub-Total Expense</t>
  </si>
  <si>
    <t>Sum Lines 6 thru 14</t>
  </si>
  <si>
    <r>
      <t xml:space="preserve">Cost of Capital Rate </t>
    </r>
    <r>
      <rPr>
        <vertAlign val="subscript"/>
        <sz val="12"/>
        <rFont val="Times New Roman"/>
        <family val="1"/>
      </rPr>
      <t>(COCR)</t>
    </r>
    <r>
      <rPr>
        <sz val="12"/>
        <rFont val="Times New Roman"/>
        <family val="1"/>
      </rPr>
      <t xml:space="preserve"> - Base ROE</t>
    </r>
  </si>
  <si>
    <t>Statement AV; Page 3; Line 32</t>
  </si>
  <si>
    <t>Transmission Rate Base</t>
  </si>
  <si>
    <t>Page 3; Line 27</t>
  </si>
  <si>
    <t xml:space="preserve">     Return and Associated Income Taxes - Base ROE</t>
  </si>
  <si>
    <t>Line 17 x Line 18</t>
  </si>
  <si>
    <r>
      <t xml:space="preserve">Cost of Capital Rate </t>
    </r>
    <r>
      <rPr>
        <vertAlign val="subscript"/>
        <sz val="12"/>
        <rFont val="Times New Roman"/>
        <family val="1"/>
      </rPr>
      <t>(COCR)</t>
    </r>
    <r>
      <rPr>
        <sz val="12"/>
        <rFont val="Times New Roman"/>
        <family val="1"/>
      </rPr>
      <t xml:space="preserve"> - CAISO Participation ROE Adder</t>
    </r>
  </si>
  <si>
    <t>Statement AV; Page 3; Line 66</t>
  </si>
  <si>
    <t>Page 3; Line 27 - Line 10</t>
  </si>
  <si>
    <t xml:space="preserve">     Return and Associated Income Taxes - CAISO Participation ROE Adder</t>
  </si>
  <si>
    <t>Line 21 x Line 22</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</si>
  <si>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</si>
  <si>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</si>
  <si>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</si>
  <si>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</si>
  <si>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</si>
  <si>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</si>
  <si>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</si>
  <si>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</si>
  <si>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</si>
  <si>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Line 15 + Line 19 + Line 23 + (Sum Lines 25 thru 28)</t>
  </si>
  <si>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</si>
  <si>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</si>
  <si>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</si>
  <si>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</si>
  <si>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r>
      <t xml:space="preserve">Incentive Cost of Capital Rate </t>
    </r>
    <r>
      <rPr>
        <vertAlign val="subscript"/>
        <sz val="12"/>
        <rFont val="Times New Roman"/>
        <family val="1"/>
      </rPr>
      <t>(ICOCR)</t>
    </r>
    <r>
      <rPr>
        <sz val="12"/>
        <rFont val="Times New Roman"/>
        <family val="1"/>
      </rPr>
      <t xml:space="preserve"> - Base ROE</t>
    </r>
  </si>
  <si>
    <t>Statement AV; Page 4; Line 32</t>
  </si>
  <si>
    <t>Total Incentive ROE Project Transmission Rate Base</t>
  </si>
  <si>
    <t>Page 3; Line 32</t>
  </si>
  <si>
    <t xml:space="preserve">     Incentive ROE Project Return and Associated Income Taxes - Base ROE</t>
  </si>
  <si>
    <t>Line 3 x Line 4</t>
  </si>
  <si>
    <t>Statement AV; Page 4; Line 66</t>
  </si>
  <si>
    <t>Line 7 x Line 8</t>
  </si>
  <si>
    <t xml:space="preserve">     Total Incentive ROE Project Transmission Revenue</t>
  </si>
  <si>
    <t>Line 1 + Line 5 + Line 9</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</si>
  <si>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</si>
  <si>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</si>
  <si>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</si>
  <si>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</si>
  <si>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</si>
  <si>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 xml:space="preserve">     Incentive Trans. Plant Aband. Proj. Return &amp; Assoc. Inc. Taxes - Base ROE</t>
  </si>
  <si>
    <t>Line 16 x Line 17</t>
  </si>
  <si>
    <t>Shall be Zero</t>
  </si>
  <si>
    <t xml:space="preserve">     Incentive Trans. Plant Aband. Proj. Return &amp; Assoc. Inc. Taxes - CAISO Participation ROE Adder</t>
  </si>
  <si>
    <t>Line 20 x Line 21</t>
  </si>
  <si>
    <t xml:space="preserve">     Total Incentive Transmission Plant Abandoned Project Revenue</t>
  </si>
  <si>
    <t>Line 14 + Line 18 + Line 22</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</si>
  <si>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</si>
  <si>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</si>
  <si>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</si>
  <si>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Incentive CWIP Return and Associated Income Taxes - Base ROE</t>
  </si>
  <si>
    <t>Line 27 x Line 28</t>
  </si>
  <si>
    <t xml:space="preserve">     Incentive CWIP Return and Associated Income Taxes - CAISO Participation ROE Adder</t>
  </si>
  <si>
    <t>Line 31 x Line 32</t>
  </si>
  <si>
    <t xml:space="preserve">     Total Incentive CWIP Revenue</t>
  </si>
  <si>
    <t>Line 29 + Line 33</t>
  </si>
  <si>
    <r>
      <t xml:space="preserve">     Total Incentive End of Prior Year Revenues (PYRR </t>
    </r>
    <r>
      <rPr>
        <vertAlign val="subscript"/>
        <sz val="12"/>
        <rFont val="Times New Roman"/>
        <family val="1"/>
      </rPr>
      <t>EU-IR</t>
    </r>
    <r>
      <rPr>
        <sz val="12"/>
        <rFont val="Times New Roman"/>
        <family val="1"/>
      </rPr>
      <t>) Excluding FF&amp;U</t>
    </r>
  </si>
  <si>
    <t>Sum Lines 11, 24, 35</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</si>
  <si>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</si>
  <si>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Page 1; Line 30 + Line 37</t>
  </si>
  <si>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</si>
  <si>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</si>
  <si>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</si>
  <si>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</si>
  <si>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</si>
  <si>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</si>
  <si>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</si>
  <si>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</si>
  <si>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</si>
  <si>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</si>
  <si>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</si>
  <si>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</si>
  <si>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</si>
  <si>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</si>
  <si>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</si>
  <si>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</si>
  <si>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</si>
  <si>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</si>
  <si>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</si>
  <si>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</si>
  <si>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</si>
  <si>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</si>
  <si>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</si>
  <si>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</si>
  <si>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</si>
  <si>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</si>
  <si>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</si>
  <si>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</si>
  <si>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</si>
  <si>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</si>
  <si>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</si>
  <si>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</si>
  <si>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</si>
  <si>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</si>
  <si>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</si>
  <si>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</si>
  <si>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</si>
  <si>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</si>
  <si>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</si>
  <si>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</si>
  <si>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</si>
  <si>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</si>
  <si>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</si>
  <si>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</si>
  <si>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</si>
  <si>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</si>
  <si>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</si>
  <si>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</si>
  <si>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</si>
  <si>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</si>
  <si>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</si>
  <si>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</si>
  <si>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</si>
  <si>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</si>
  <si>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</si>
  <si>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</si>
  <si>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</si>
  <si>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</si>
  <si>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</si>
  <si>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</si>
  <si>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</si>
  <si>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</si>
  <si>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</si>
  <si>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</si>
  <si>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</si>
  <si>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</si>
  <si>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</si>
  <si>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</si>
  <si>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</si>
  <si>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</si>
  <si>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</si>
  <si>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</si>
  <si>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</si>
  <si>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</si>
  <si>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</si>
  <si>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</si>
  <si>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</si>
  <si>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</si>
  <si>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</si>
  <si>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Line 2 Minus Line 9</t>
  </si>
  <si>
    <t>Line 3 Minus Line 10</t>
  </si>
  <si>
    <t>Line 4 Minus Line 11</t>
  </si>
  <si>
    <t>Line 5 Minus Line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</si>
  <si>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</si>
  <si>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</si>
  <si>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</si>
  <si>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</si>
  <si>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</si>
  <si>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</si>
  <si>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</si>
  <si>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Line 23 Minus Line 24</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</si>
  <si>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</si>
  <si>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</si>
  <si>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For the Forecast Period January 1, 2023 - December 31, 2024</t>
  </si>
  <si>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</si>
  <si>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</si>
  <si>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</si>
  <si>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</si>
  <si>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Page 1; Line 30</t>
  </si>
  <si>
    <t>50% of Transmission O&amp;M Expense</t>
  </si>
  <si>
    <t>Negative of Page 1; Line 1 x 50%</t>
  </si>
  <si>
    <t>50% of Transmission Related A&amp;G Expense</t>
  </si>
  <si>
    <t>Negative of Page 1; Line 3 x 50%</t>
  </si>
  <si>
    <t>Negative of Page 1; Line 5</t>
  </si>
  <si>
    <t>Negative of Page 1; Line 25</t>
  </si>
  <si>
    <t>Negative of Page 1; Line 28</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</si>
  <si>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</si>
  <si>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</si>
  <si>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</si>
  <si>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t>Page 4; Line 20</t>
  </si>
  <si>
    <r>
      <t xml:space="preserve">Annual Fix Charge Rate (AFCR </t>
    </r>
    <r>
      <rPr>
        <vertAlign val="subscript"/>
        <sz val="12"/>
        <rFont val="Times New Roman"/>
        <family val="1"/>
      </rPr>
      <t>EU</t>
    </r>
    <r>
      <rPr>
        <sz val="12"/>
        <rFont val="Times New Roman"/>
        <family val="1"/>
      </rPr>
      <t>)</t>
    </r>
  </si>
  <si>
    <t>Line 7 / Line 9</t>
  </si>
  <si>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</si>
  <si>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</si>
  <si>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</si>
  <si>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</si>
  <si>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</si>
  <si>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Line 13 x Line 15</t>
  </si>
  <si>
    <t/>
  </si>
  <si>
    <t>Net Weighted Forecast Plant Additions</t>
  </si>
  <si>
    <t>Line 13 minus Line 16</t>
  </si>
  <si>
    <t xml:space="preserve">     Forecast Period Capital Addition Revenue Requirements</t>
  </si>
  <si>
    <t>Line 11 x Line 18</t>
  </si>
  <si>
    <t>ANNUAL FIXED CHARGES APPLICABLE TO INCENTIVE</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</si>
  <si>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</si>
  <si>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</si>
  <si>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</si>
  <si>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</si>
  <si>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t>Page 1; Line 30 + Page 2; Line 11</t>
  </si>
  <si>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</si>
  <si>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</si>
  <si>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</si>
  <si>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1</t>
    </r>
  </si>
  <si>
    <t xml:space="preserve">Incentive Weighted Forecast Plant Additions </t>
  </si>
  <si>
    <t>Summary of HV/LV Splits for Forecast Plant Additions; Line 8; Col. f</t>
  </si>
  <si>
    <t>Page 5; Line 15</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</si>
  <si>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</si>
  <si>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</si>
  <si>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</si>
  <si>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</si>
  <si>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 xml:space="preserve">     Incentive Transmission Forecast CWIP Projects Revenue Requirements - Base ROE</t>
  </si>
  <si>
    <t>Line 23 x Line 25</t>
  </si>
  <si>
    <t xml:space="preserve">     Incentive Transmission Forecast CWIP Projects Revenue Requirements - CAISO Participation ROE Adder</t>
  </si>
  <si>
    <t>Line 29 x Line 31</t>
  </si>
  <si>
    <t xml:space="preserve">     Total Incentive Transmission Forecast CWIP Projects Revenue Requirements</t>
  </si>
  <si>
    <t>Line 27 + Line 33</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</si>
  <si>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</si>
  <si>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</si>
  <si>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t>For the Rate Effective Period January 1, 2024 - December 31, 2024</t>
  </si>
  <si>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</si>
  <si>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</si>
  <si>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</si>
  <si>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Page 2; Line 37</t>
  </si>
  <si>
    <t xml:space="preserve">Retail True-Up Period Adjustment </t>
  </si>
  <si>
    <t>True-Up; Line 25; Col. 11</t>
  </si>
  <si>
    <t>Retail Interest True-Up Adjustment</t>
  </si>
  <si>
    <t>Interest True-Up CY; Line 22; Col. 2</t>
  </si>
  <si>
    <t>Forecast Period Capital Addition Revenue Requirements</t>
  </si>
  <si>
    <t>Page 5; Line 20</t>
  </si>
  <si>
    <r>
      <t xml:space="preserve">Forecast Period Incentive Capital Additions Revenue Requirements (FC </t>
    </r>
    <r>
      <rPr>
        <vertAlign val="subscript"/>
        <sz val="12"/>
        <rFont val="Times New Roman"/>
        <family val="1"/>
      </rPr>
      <t>EU-IR-ROE</t>
    </r>
    <r>
      <rPr>
        <sz val="12"/>
        <rFont val="Times New Roman"/>
        <family val="1"/>
      </rPr>
      <t>)</t>
    </r>
  </si>
  <si>
    <t>Page 6; Line 20</t>
  </si>
  <si>
    <t>Incentive Transmission Forecast CWIP Projects Revenue Requirements</t>
  </si>
  <si>
    <t>Page 6; Line 35</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</si>
  <si>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</si>
  <si>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</si>
  <si>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</si>
  <si>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</si>
  <si>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</si>
  <si>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</si>
  <si>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</si>
  <si>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</si>
  <si>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</si>
  <si>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</si>
  <si>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</si>
  <si>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</si>
  <si>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</si>
  <si>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</si>
  <si>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</si>
  <si>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</si>
  <si>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</si>
  <si>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</si>
  <si>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</si>
  <si>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CPUC Intervenor Funding Expense Revenue Adjustment - Base ROE</t>
  </si>
  <si>
    <t>Negative of Statement AL; Line 30</t>
  </si>
  <si>
    <t>Less: CPUC Intervenor Funding Expense Revenue Adjustment - CAISO Participation ROE Adder</t>
  </si>
  <si>
    <t>Negative of Statement AL; Line 34</t>
  </si>
  <si>
    <t>Less: South Georgia Income Tax Adjustment</t>
  </si>
  <si>
    <t>Negative of Statement AQ; Line 1</t>
  </si>
  <si>
    <t xml:space="preserve">     Total Wholesale BTRR Excluding Franchise Fees</t>
  </si>
  <si>
    <t>Sum Lines 1 thru 9</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</si>
  <si>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</si>
  <si>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</si>
  <si>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</si>
  <si>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</si>
  <si>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</si>
  <si>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</si>
  <si>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</si>
  <si>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</si>
  <si>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</si>
  <si>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Summary of HV/LV Plant Allocation Study; Line 40; Col. c and b</t>
  </si>
  <si>
    <t xml:space="preserve">    Total HV/LV Transmission Plant Facilities Revenues </t>
  </si>
  <si>
    <t>Col. a = Line 11 minus Line 21</t>
  </si>
  <si>
    <t>Col. b and c = Line 16 x (Line 17; Col. a)</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</si>
  <si>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</si>
  <si>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</si>
  <si>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</si>
  <si>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</si>
  <si>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</si>
  <si>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Col. b and c = Line 20 x (Line 21; Col. a)</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</si>
  <si>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</si>
  <si>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</si>
  <si>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</si>
  <si>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t>Line 17 + Line 21</t>
  </si>
  <si>
    <r>
      <t xml:space="preserve">Franchise Fee </t>
    </r>
    <r>
      <rPr>
        <b/>
        <vertAlign val="superscript"/>
        <sz val="12"/>
        <rFont val="Times New Roman"/>
        <family val="1"/>
      </rPr>
      <t>2</t>
    </r>
  </si>
  <si>
    <t>Line 25 x Franchise Fee Rate</t>
  </si>
  <si>
    <t xml:space="preserve">     Subtotal Wholesale BTRR With Franchise Fees</t>
  </si>
  <si>
    <t>Line 25 + Line 26</t>
  </si>
  <si>
    <t>D. Other BTRR Adjustments with Franchise Fees</t>
  </si>
  <si>
    <t>Col. a = Cost Adjustment Workpapers</t>
  </si>
  <si>
    <t>Col. b and c = Line 16 x (Line 29; Col. a)</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</si>
  <si>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3</t>
    </r>
  </si>
  <si>
    <t>Line 27 + Line 29</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</si>
  <si>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</si>
  <si>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</si>
  <si>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</si>
  <si>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</si>
  <si>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</si>
  <si>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Base Period &amp; True-Up Period 12 - Months Ending December 31, 2022</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</si>
  <si>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</si>
  <si>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</si>
  <si>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</si>
  <si>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</si>
  <si>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</si>
  <si>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</si>
  <si>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</si>
  <si>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</si>
  <si>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</si>
  <si>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</si>
  <si>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</si>
  <si>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</si>
  <si>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</si>
  <si>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</si>
  <si>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</si>
  <si>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</si>
  <si>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</si>
  <si>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</si>
  <si>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</si>
  <si>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</si>
  <si>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</si>
  <si>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</si>
  <si>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</si>
  <si>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</si>
  <si>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</si>
  <si>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</si>
  <si>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</si>
  <si>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</si>
  <si>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</si>
  <si>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</si>
  <si>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</si>
  <si>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</si>
  <si>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</si>
  <si>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</si>
  <si>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</si>
  <si>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</si>
  <si>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</si>
  <si>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</si>
  <si>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</si>
  <si>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</si>
  <si>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</si>
  <si>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</si>
  <si>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</si>
  <si>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</si>
  <si>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</si>
  <si>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</si>
  <si>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</si>
  <si>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BASE PERIOD / TRUE UP PERIOD - 12/31/2022 PER BOOK</t>
  </si>
  <si>
    <t>STEAM PRODUCTION</t>
  </si>
  <si>
    <t>Steam</t>
  </si>
  <si>
    <t>Production</t>
  </si>
  <si>
    <t>Month</t>
  </si>
  <si>
    <t>Per Book</t>
  </si>
  <si>
    <r>
      <t>Ratemaking</t>
    </r>
    <r>
      <rPr>
        <b/>
        <vertAlign val="superscript"/>
        <sz val="12"/>
        <rFont val="Times New Roman"/>
        <family val="1"/>
      </rPr>
      <t xml:space="preserve"> 1</t>
    </r>
  </si>
  <si>
    <t>Dec-21</t>
  </si>
  <si>
    <t>SDG&amp;E Records</t>
  </si>
  <si>
    <t xml:space="preserve">Form 1; Page 204-207; Footnote Data (a); BOY </t>
  </si>
  <si>
    <t>Jan-22</t>
  </si>
  <si>
    <t>Feb</t>
  </si>
  <si>
    <t>Mar</t>
  </si>
  <si>
    <t>Apr</t>
  </si>
  <si>
    <t>May</t>
  </si>
  <si>
    <t>Jun</t>
  </si>
  <si>
    <t>Jul</t>
  </si>
  <si>
    <t>Aug</t>
  </si>
  <si>
    <t>Sep</t>
  </si>
  <si>
    <t>Oct</t>
  </si>
  <si>
    <t>Nov</t>
  </si>
  <si>
    <t>Dec-22</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</si>
  <si>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</si>
  <si>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</si>
  <si>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</si>
  <si>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</si>
  <si>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</si>
  <si>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</si>
  <si>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</si>
  <si>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</si>
  <si>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</si>
  <si>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</si>
  <si>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</si>
  <si>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</si>
  <si>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</si>
  <si>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</si>
  <si>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</si>
  <si>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</si>
  <si>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</si>
  <si>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</si>
  <si>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</si>
  <si>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</si>
  <si>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</si>
  <si>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</si>
  <si>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</si>
  <si>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BALANCES AS OF 12/31/2021</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</si>
  <si>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</si>
  <si>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</si>
  <si>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</si>
  <si>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</si>
  <si>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</si>
  <si>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</si>
  <si>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</si>
  <si>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</si>
  <si>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</si>
  <si>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</si>
  <si>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</si>
  <si>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</si>
  <si>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</si>
  <si>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</si>
  <si>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</si>
  <si>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</si>
  <si>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</si>
  <si>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</si>
  <si>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</si>
  <si>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</si>
  <si>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</si>
  <si>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</si>
  <si>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</si>
  <si>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</si>
  <si>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</si>
  <si>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</si>
  <si>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</si>
  <si>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</si>
  <si>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</si>
  <si>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</si>
  <si>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</si>
  <si>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</si>
  <si>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</si>
  <si>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</si>
  <si>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Sum Lines 9 thru 17</t>
  </si>
  <si>
    <t>GRAND TOTAL RECLASS TRANS PLANT</t>
  </si>
  <si>
    <t>Line 7 + Line 19</t>
  </si>
  <si>
    <t>These represent plant transfers to comply with FERC Order No. 888 and reflect the adjusted Transmission plant balances.</t>
  </si>
  <si>
    <t>BALANCES AS OF 12/31/2022</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</si>
  <si>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</si>
  <si>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</si>
  <si>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</si>
  <si>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</si>
  <si>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</si>
  <si>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</si>
  <si>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</si>
  <si>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</si>
  <si>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</si>
  <si>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</si>
  <si>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</si>
  <si>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</si>
  <si>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</si>
  <si>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</si>
  <si>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</si>
  <si>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</si>
  <si>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</si>
  <si>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</si>
  <si>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</si>
  <si>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</si>
  <si>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</si>
  <si>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</si>
  <si>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</si>
  <si>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</si>
  <si>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</si>
  <si>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</si>
  <si>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</si>
  <si>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</si>
  <si>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</si>
  <si>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</si>
  <si>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</si>
  <si>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</si>
  <si>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</si>
  <si>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</si>
  <si>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</si>
  <si>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</si>
  <si>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</si>
  <si>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</si>
  <si>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</si>
  <si>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</si>
  <si>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</si>
  <si>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</si>
  <si>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</si>
  <si>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</si>
  <si>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</si>
  <si>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2021 Form 1; Page 200-201; Footnote Data (b)</t>
  </si>
  <si>
    <t>2022 Form 1; Page 200-201; Footnote Data (b)</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</si>
  <si>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</si>
  <si>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</si>
  <si>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</si>
  <si>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</si>
  <si>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</si>
  <si>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</si>
  <si>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</si>
  <si>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</si>
  <si>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</si>
  <si>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</si>
  <si>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</si>
  <si>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2021 Form 1; Page 356; Accts 303 to 398</t>
  </si>
  <si>
    <t>2021 Form 1; Page 356; Electric</t>
  </si>
  <si>
    <t>Total Common Reserves to Electric Per Book</t>
  </si>
  <si>
    <t>2022 Form 1; Page 356; Accts 303 to 398</t>
  </si>
  <si>
    <t>2022 Form 1; Page 356; Electric</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</si>
  <si>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</si>
  <si>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</si>
  <si>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</si>
  <si>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</si>
  <si>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</si>
  <si>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</si>
  <si>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</si>
  <si>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</si>
  <si>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</si>
  <si>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</si>
  <si>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</si>
  <si>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</si>
  <si>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</si>
  <si>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</si>
  <si>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</si>
  <si>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</si>
  <si>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</si>
  <si>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</si>
  <si>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</si>
  <si>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</si>
  <si>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</si>
  <si>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</si>
  <si>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</si>
  <si>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Base Period 12 Months Ending December 31, 2021</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</si>
  <si>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</si>
  <si>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</si>
  <si>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</si>
  <si>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</si>
  <si>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</si>
  <si>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</si>
  <si>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</si>
  <si>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</si>
  <si>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</si>
  <si>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2022 Form 1; Page 234; Footnote Data (c) </t>
  </si>
  <si>
    <t xml:space="preserve">   Property Related</t>
  </si>
  <si>
    <t xml:space="preserve">     Total of Account 190</t>
  </si>
  <si>
    <t>Sum Lines 2 thru 6</t>
  </si>
  <si>
    <t>Account 282</t>
  </si>
  <si>
    <t xml:space="preserve">     Total of Account 282</t>
  </si>
  <si>
    <t>Sum Lines 10 thru 13</t>
  </si>
  <si>
    <t>Account 283</t>
  </si>
  <si>
    <t>2022 Form 1; Page 276-277; Footnote Data (a)</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</si>
  <si>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</si>
  <si>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</si>
  <si>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</si>
  <si>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</si>
  <si>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</si>
  <si>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</si>
  <si>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</si>
  <si>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 xml:space="preserve">Remeasured amount reported in column (a) includes ($109.9) million in state related deferred tax liabilities.  Deficient reserve amount in column (b) and the Grand Total calculated on Order 864-1; Line 32; Col. 12 for federal taxes </t>
  </si>
  <si>
    <t>includes $12.1M related to Federal Benefit of State Taxes.</t>
  </si>
  <si>
    <t>Base Period 12 Months Ending December 31, 2022</t>
  </si>
  <si>
    <t>2022 Form 1; Page 234; Footnote Data (d)</t>
  </si>
  <si>
    <t xml:space="preserve">2022 Form 1; Page 274-275; Footnote Data (b) </t>
  </si>
  <si>
    <t>2022 Form 1; Page 276-277; Footnote Data (b)</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</si>
  <si>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</si>
  <si>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</si>
  <si>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Remeasured amount reported in column (a) includes ($125.2) million in state related deferred tax liabilities. Deficient reserve amount in column (b) and the Grand Total calculated on Order 864-3; Line 32; Col. 12 for federal taxes</t>
  </si>
  <si>
    <t xml:space="preserve">includes $12M related to Federal Benefit of State Taxes. </t>
  </si>
  <si>
    <t>DEFERRED CREDITS</t>
  </si>
  <si>
    <t>Not Applicable to 2022 Base Period</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</si>
  <si>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</si>
  <si>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</si>
  <si>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</si>
  <si>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</si>
  <si>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</si>
  <si>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</si>
  <si>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There is no balance in FERC Form 1 Page 214 in 2022.</t>
  </si>
  <si>
    <t>STATEMENT AG</t>
  </si>
  <si>
    <t>SPECIFIED PLANT ACCOUNTS (OTHER THAN PLANT IN SERVICE)</t>
  </si>
  <si>
    <t>AND DEFERRED DEBITS</t>
  </si>
  <si>
    <t>BASE PERIOD / TRUE UP PERIOD - 12/31/2022</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</si>
  <si>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</si>
  <si>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</si>
  <si>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</si>
  <si>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</si>
  <si>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</si>
  <si>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</si>
  <si>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</si>
  <si>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</si>
  <si>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</si>
  <si>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</si>
  <si>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</si>
  <si>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</si>
  <si>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</si>
  <si>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</si>
  <si>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</si>
  <si>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</si>
  <si>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</si>
  <si>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</si>
  <si>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</si>
  <si>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</si>
  <si>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</si>
  <si>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</si>
  <si>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r>
      <rPr>
        <sz val="12"/>
        <color rgb="FFFF0000"/>
        <rFont val="Times New Roman"/>
        <family val="1"/>
      </rPr>
      <t xml:space="preserve">   </t>
    </r>
    <r>
      <rPr>
        <sz val="12"/>
        <rFont val="Times New Roman"/>
        <family val="1"/>
      </rPr>
      <t xml:space="preserve">Miscellaneous Transmission Expense </t>
    </r>
  </si>
  <si>
    <t xml:space="preserve">   Other Transmission O&amp;M Exclusion Adjustments </t>
  </si>
  <si>
    <t xml:space="preserve">     Total Adjusted Transmission O&amp;M Expenses </t>
  </si>
  <si>
    <t>Sum Lines 2 thru 8</t>
  </si>
  <si>
    <t>Derivation of Administrative and General Expense:</t>
  </si>
  <si>
    <t>Total Administrative &amp; General Expense</t>
  </si>
  <si>
    <t>320-323; 197; b</t>
  </si>
  <si>
    <t>AH-2; Line 16; Col. a</t>
  </si>
  <si>
    <t>Adjustments to Per Book A&amp;G Expense:</t>
  </si>
  <si>
    <t xml:space="preserve"> Abandoned Projects</t>
  </si>
  <si>
    <t>Negative of AH-2; Line 33; Col. a</t>
  </si>
  <si>
    <t xml:space="preserve">   CPUC energy efficiency programs</t>
  </si>
  <si>
    <r>
      <t xml:space="preserve">   CPUC Intervenor Funding Expense - Transmission </t>
    </r>
    <r>
      <rPr>
        <b/>
        <vertAlign val="superscript"/>
        <sz val="12"/>
        <rFont val="Times New Roman"/>
        <family val="1"/>
      </rPr>
      <t>1</t>
    </r>
  </si>
  <si>
    <t>Negative of AH-2; Line 30; Col. a</t>
  </si>
  <si>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</si>
  <si>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</si>
  <si>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</si>
  <si>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</si>
  <si>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</si>
  <si>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</si>
  <si>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</si>
  <si>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</si>
  <si>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 xml:space="preserve">     Total Adjusted A&amp;G Expenses Including Property Insurance</t>
  </si>
  <si>
    <t>Sum Lines 12 thru 24</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</si>
  <si>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</si>
  <si>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</si>
  <si>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</si>
  <si>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</si>
  <si>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</si>
  <si>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Negative of Line 26 x Line 50</t>
  </si>
  <si>
    <t xml:space="preserve">     Transmission Related A&amp;G Expense Including Property Insurance Expense</t>
  </si>
  <si>
    <t>Line 29 + Line 30</t>
  </si>
  <si>
    <t>Derivation of Transmission Plant Property Insurance Allocation Factor:</t>
  </si>
  <si>
    <t>Transmission Plant &amp; Incentive Transmission Plant</t>
  </si>
  <si>
    <t>Statement AD; Line 25</t>
  </si>
  <si>
    <t xml:space="preserve">     Total Transmission Related Investment in Plant</t>
  </si>
  <si>
    <t>Sum Lines 34 thru 37</t>
  </si>
  <si>
    <t>Line 34 Above</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</si>
  <si>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</si>
  <si>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</si>
  <si>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</si>
  <si>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</si>
  <si>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</si>
  <si>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</si>
  <si>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</si>
  <si>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</si>
  <si>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</si>
  <si>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</si>
  <si>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</si>
  <si>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</si>
  <si>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Sum Lines 40 thru 47</t>
  </si>
  <si>
    <t>Transmission Property Insurance and Tax Allocation Factor</t>
  </si>
  <si>
    <t>Line 38 / Line 48</t>
  </si>
  <si>
    <t>The CPUC Intervenor Expense for Transmission shall be treated as an exclusion in A&amp;G but added back to the Retail BTRR on BK-1; Page 1; Line 5. This expense will be</t>
  </si>
  <si>
    <t>excluded in Wholesale BTRR on BK-2; Line 3.</t>
  </si>
  <si>
    <t>Electric Transmission O&amp;M Expenses</t>
  </si>
  <si>
    <t xml:space="preserve"> 12 Months Ending December 31, 2022</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</si>
  <si>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</si>
  <si>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</si>
  <si>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</si>
  <si>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</si>
  <si>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</si>
  <si>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</si>
  <si>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</si>
  <si>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</si>
  <si>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</si>
  <si>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</si>
  <si>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</si>
  <si>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</si>
  <si>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</si>
  <si>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</si>
  <si>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</si>
  <si>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</si>
  <si>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</si>
  <si>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</si>
  <si>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</si>
  <si>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</si>
  <si>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</si>
  <si>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</si>
  <si>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</si>
  <si>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</si>
  <si>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</si>
  <si>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</si>
  <si>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</si>
  <si>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</si>
  <si>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</si>
  <si>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</si>
  <si>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</si>
  <si>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</si>
  <si>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</si>
  <si>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</si>
  <si>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</si>
  <si>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</si>
  <si>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</si>
  <si>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</si>
  <si>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</si>
  <si>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</si>
  <si>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</si>
  <si>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</si>
  <si>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</si>
  <si>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</si>
  <si>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</si>
  <si>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</si>
  <si>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</si>
  <si>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</si>
  <si>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</si>
  <si>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</si>
  <si>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</si>
  <si>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</si>
  <si>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</si>
  <si>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</si>
  <si>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</si>
  <si>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</si>
  <si>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</si>
  <si>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</si>
  <si>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</si>
  <si>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</si>
  <si>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</si>
  <si>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</si>
  <si>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</si>
  <si>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Executive ICP</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</si>
  <si>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</si>
  <si>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</si>
  <si>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</si>
  <si>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</si>
  <si>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</si>
  <si>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</si>
  <si>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</si>
  <si>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</si>
  <si>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</si>
  <si>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</si>
  <si>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</si>
  <si>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</si>
  <si>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</si>
  <si>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</si>
  <si>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</si>
  <si>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</si>
  <si>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</si>
  <si>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</si>
  <si>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</si>
  <si>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</si>
  <si>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</si>
  <si>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</si>
  <si>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</si>
  <si>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</si>
  <si>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</si>
  <si>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</si>
  <si>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</si>
  <si>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</si>
  <si>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</si>
  <si>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</si>
  <si>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</si>
  <si>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</si>
  <si>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</si>
  <si>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</si>
  <si>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</si>
  <si>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</si>
  <si>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</si>
  <si>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</si>
  <si>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</si>
  <si>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</si>
  <si>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</si>
  <si>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</si>
  <si>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</si>
  <si>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Electric Power Research Institute (EPRI) Dues</t>
  </si>
  <si>
    <t>CPUC reimbursement fees</t>
  </si>
  <si>
    <t>Litigation expenses - Litigation Cost Memorandum Account (LCMA)</t>
  </si>
  <si>
    <t>CPUC Intervenor Funding Expense - Distribution</t>
  </si>
  <si>
    <t>Abandoned Projects</t>
  </si>
  <si>
    <t xml:space="preserve">Hazardous Substances-Hazardous Substance Cleanup Cost Account </t>
  </si>
  <si>
    <t>FERC Acct 926, Employee Pensions &amp; Benefits, does not include any PBOP costs for base period 2022.</t>
  </si>
  <si>
    <t xml:space="preserve">Represents FERC Audit adjusting entry on Finding #7 - accounting for donations &amp; lobbying expenses related to prior year A&amp;G costs that were missed and </t>
  </si>
  <si>
    <t xml:space="preserve">credited in 2022 resulting from the 2020 FERC Audit are excluded from TO5 Cycle 6. The impact of FERC audit adjustments and corresponding refunds will be </t>
  </si>
  <si>
    <t>accounted for in a separate FERC Audit refund analysis filed with FERC.</t>
  </si>
  <si>
    <t xml:space="preserve">Represents FERC Audit adjusting entry on Finding #3 - allocation of OH costs to CWIP approved by FERC audit staff was debited to A&amp;G costs in 2022 are </t>
  </si>
  <si>
    <t>excluded from TO5 Cycle 6. The impact of FERC audit adjustments and corresponding refunds will be accounted for in a separate FERC Audit refund analysis</t>
  </si>
  <si>
    <t xml:space="preserve"> filed with FERC.</t>
  </si>
  <si>
    <t xml:space="preserve">Represents reversal of prior exclusions on Finding #3 originally reported in TO5 Cycle 4 at $6,031K and in TO5 Cycle 5 at $9,501K for a total of $15,532K to FE923. </t>
  </si>
  <si>
    <t xml:space="preserve">The actual approved amount as shown in footnote 3 is $14,790K. The impact of FERC audit adjustments and corresponding refunds will be accounted for in a </t>
  </si>
  <si>
    <t>separate FERC Audit refund analysis filed with FERC.</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</si>
  <si>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</si>
  <si>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</si>
  <si>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</si>
  <si>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</si>
  <si>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</si>
  <si>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</si>
  <si>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</si>
  <si>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</si>
  <si>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</si>
  <si>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</si>
  <si>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</si>
  <si>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</si>
  <si>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</si>
  <si>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</si>
  <si>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</si>
  <si>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</si>
  <si>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</si>
  <si>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</si>
  <si>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</si>
  <si>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</si>
  <si>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AJ-1; Line 12</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</si>
  <si>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</si>
  <si>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</si>
  <si>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</si>
  <si>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</si>
  <si>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</si>
  <si>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</si>
  <si>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</si>
  <si>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</si>
  <si>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</si>
  <si>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</si>
  <si>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</si>
  <si>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</si>
  <si>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</si>
  <si>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t>AJ-5; Line 12</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</si>
  <si>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</si>
  <si>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</si>
  <si>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</si>
  <si>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</si>
  <si>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</si>
  <si>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</si>
  <si>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</si>
  <si>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</si>
  <si>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</si>
  <si>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</si>
  <si>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</si>
  <si>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</si>
  <si>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</si>
  <si>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</si>
  <si>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</si>
  <si>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</si>
  <si>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</si>
  <si>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</si>
  <si>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</si>
  <si>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</si>
  <si>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</si>
  <si>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</si>
  <si>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</si>
  <si>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</si>
  <si>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</si>
  <si>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</si>
  <si>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</si>
  <si>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</si>
  <si>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</si>
  <si>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</si>
  <si>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</si>
  <si>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</si>
  <si>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</si>
  <si>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</si>
  <si>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</si>
  <si>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</si>
  <si>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</si>
  <si>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</si>
  <si>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Sum Lines 10 thru 18</t>
  </si>
  <si>
    <t>Line 8 + Line 20</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</si>
  <si>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</si>
  <si>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</si>
  <si>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</si>
  <si>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</si>
  <si>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 xml:space="preserve">The $15,744 in expense on FERC Form 1; Page 114-117; Line 9; Col. g, represents the annual amortization expense of the capitalized difference between CPUC &amp; FERC's recognized in-service dates for the Southwest Powerlink. The </t>
  </si>
  <si>
    <t>difference is recorded in deferred debit FERC Acct 186 and the amortization of the difference is included in Acct 406. The amortization is considered a ratemaking adjustment with the annual expense continuing over the 30 year</t>
  </si>
  <si>
    <t>amortization life of the line, ending in 2023.</t>
  </si>
  <si>
    <t>Statement AJ - Workpapers</t>
  </si>
  <si>
    <t>TO5 - Annual Transmission Plant Depreciation Rates</t>
  </si>
  <si>
    <t>Cycle 6, For 12 - Months Ending December 31, 2022</t>
  </si>
  <si>
    <t>For Use During the 12-Months Period from January 1 to December 31, 2022</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</si>
  <si>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</si>
  <si>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</si>
  <si>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</si>
  <si>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</si>
  <si>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</si>
  <si>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</si>
  <si>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</si>
  <si>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</si>
  <si>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</si>
  <si>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</si>
  <si>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</si>
  <si>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</si>
  <si>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</si>
  <si>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</si>
  <si>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</si>
  <si>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</si>
  <si>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</si>
  <si>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</si>
  <si>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</si>
  <si>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</si>
  <si>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</si>
  <si>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</si>
  <si>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</si>
  <si>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</si>
  <si>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</si>
  <si>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</si>
  <si>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</si>
  <si>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</si>
  <si>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</si>
  <si>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</si>
  <si>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</si>
  <si>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</si>
  <si>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</si>
  <si>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</si>
  <si>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</si>
  <si>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</si>
  <si>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</si>
  <si>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</si>
  <si>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</si>
  <si>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</si>
  <si>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</si>
  <si>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</si>
  <si>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</si>
  <si>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</si>
  <si>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</si>
  <si>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</si>
  <si>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The rates in these subaccounts will not change during the term of the TO5 Formula.</t>
  </si>
  <si>
    <t xml:space="preserve">Workpapers will be included in each Annual Information Filing that will calculate the annual composite </t>
  </si>
  <si>
    <t>rates shown on line 33 pursuant to Term 53 in Appendix VIII.</t>
  </si>
  <si>
    <t>DEPRECIATION AND AMORTIZATION EXPENSE</t>
  </si>
  <si>
    <t>Intangible</t>
  </si>
  <si>
    <t>Form 1; Page 336-337; Line 1; Col. f</t>
  </si>
  <si>
    <t>TO5 - Annual Intangible Plant Authorized Amortization Period</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</si>
  <si>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</si>
  <si>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</si>
  <si>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</si>
  <si>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</si>
  <si>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</si>
  <si>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</si>
  <si>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</si>
  <si>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</si>
  <si>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</si>
  <si>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</si>
  <si>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</si>
  <si>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</si>
  <si>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</si>
  <si>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</si>
  <si>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</si>
  <si>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</si>
  <si>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</si>
  <si>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</si>
  <si>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</si>
  <si>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</si>
  <si>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</si>
  <si>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TO5 - Annual General Plant Depreciation Rates</t>
  </si>
  <si>
    <t>2022 General Rates</t>
  </si>
  <si>
    <t>Rates based on 12/31/2021 Plant Balances</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</si>
  <si>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</si>
  <si>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</si>
  <si>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</si>
  <si>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</si>
  <si>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</si>
  <si>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</si>
  <si>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</si>
  <si>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</si>
  <si>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</si>
  <si>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</si>
  <si>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</si>
  <si>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</si>
  <si>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</si>
  <si>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</si>
  <si>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</si>
  <si>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</si>
  <si>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</si>
  <si>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</si>
  <si>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</si>
  <si>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</si>
  <si>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</si>
  <si>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</si>
  <si>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</si>
  <si>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</si>
  <si>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</si>
  <si>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</si>
  <si>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</si>
  <si>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</si>
  <si>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</si>
  <si>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</si>
  <si>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</si>
  <si>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</si>
  <si>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</si>
  <si>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</si>
  <si>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TO5 - Annual Common Plant Depreciation Rates</t>
  </si>
  <si>
    <t>2022 Common Rates</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</si>
  <si>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</si>
  <si>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</si>
  <si>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</si>
  <si>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</si>
  <si>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</si>
  <si>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</si>
  <si>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</si>
  <si>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</si>
  <si>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</si>
  <si>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</si>
  <si>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</si>
  <si>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</si>
  <si>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</si>
  <si>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</si>
  <si>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</si>
  <si>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</si>
  <si>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</si>
  <si>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</si>
  <si>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</si>
  <si>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</si>
  <si>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</si>
  <si>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BASE PERIOD / TRUE-UP PERIOD - 12/31/2022 PER BOOK</t>
  </si>
  <si>
    <t>Per Ratemaking</t>
  </si>
  <si>
    <t>Total Incentive Transmission Plant Depreciation Exp.</t>
  </si>
  <si>
    <t>Sum Lines 1 thru 10</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</si>
  <si>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</si>
  <si>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</si>
  <si>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</si>
  <si>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</si>
  <si>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</si>
  <si>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</si>
  <si>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</si>
  <si>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r>
      <t xml:space="preserve">Total Property Taxes </t>
    </r>
    <r>
      <rPr>
        <b/>
        <vertAlign val="superscript"/>
        <sz val="12"/>
        <rFont val="Times New Roman"/>
        <family val="1"/>
      </rPr>
      <t>1</t>
    </r>
  </si>
  <si>
    <t>262-263; 12; l</t>
  </si>
  <si>
    <r>
      <t xml:space="preserve">Less: Other Taxes (Business license taxes) </t>
    </r>
    <r>
      <rPr>
        <b/>
        <vertAlign val="superscript"/>
        <sz val="12"/>
        <rFont val="Times New Roman"/>
        <family val="1"/>
      </rPr>
      <t>2</t>
    </r>
  </si>
  <si>
    <t>Net Property Taxes</t>
  </si>
  <si>
    <t>Line 1 + Line 3</t>
  </si>
  <si>
    <r>
      <t xml:space="preserve">Less: SONGS Property Taxes </t>
    </r>
    <r>
      <rPr>
        <b/>
        <vertAlign val="superscript"/>
        <sz val="12"/>
        <rFont val="Times New Roman"/>
        <family val="1"/>
      </rPr>
      <t>3</t>
    </r>
  </si>
  <si>
    <t>Total Property Taxes Expense</t>
  </si>
  <si>
    <t>Line 5 + Line 7</t>
  </si>
  <si>
    <t>Statement AH; Line 50</t>
  </si>
  <si>
    <t xml:space="preserve">     Transmission Related Property Taxes Expense</t>
  </si>
  <si>
    <t>Line 9 x Line 11</t>
  </si>
  <si>
    <r>
      <t xml:space="preserve">Total Payroll Taxes Expense </t>
    </r>
    <r>
      <rPr>
        <b/>
        <vertAlign val="superscript"/>
        <sz val="12"/>
        <rFont val="Times New Roman"/>
        <family val="1"/>
      </rPr>
      <t>4</t>
    </r>
  </si>
  <si>
    <t>262-263; 2,3,4,8; l</t>
  </si>
  <si>
    <t xml:space="preserve">     Transmission Related Payroll Taxes Expense</t>
  </si>
  <si>
    <t>Line 16 x Line 18</t>
  </si>
  <si>
    <t>Property tax expense excludes Citizens property taxes as shown in FERC Form 1; Page 262-263; Footnote Data (c).</t>
  </si>
  <si>
    <t>Business license taxes are no longer recorded in Total Property Taxes and are separately shown in FERC Form 1; Page 262-263; Line 14; Col. l.</t>
  </si>
  <si>
    <t>As of July 1, 2018, SDG&amp;E is no longer assessed property taxes on SONGS.</t>
  </si>
  <si>
    <t>Payroll tax expense excludes Citizens payroll taxes as shown in FERC Form 1; Page 262-263; Footnote Data (b).</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</si>
  <si>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</si>
  <si>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</si>
  <si>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</si>
  <si>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</si>
  <si>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</si>
  <si>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</si>
  <si>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</si>
  <si>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</si>
  <si>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</si>
  <si>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</si>
  <si>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</si>
  <si>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</si>
  <si>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</si>
  <si>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</si>
  <si>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</si>
  <si>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</si>
  <si>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</si>
  <si>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</si>
  <si>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</si>
  <si>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</si>
  <si>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</si>
  <si>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</si>
  <si>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</si>
  <si>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</si>
  <si>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</si>
  <si>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</si>
  <si>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</si>
  <si>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</si>
  <si>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</si>
  <si>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</si>
  <si>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</si>
  <si>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</si>
  <si>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</si>
  <si>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</si>
  <si>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t>Line 26 x Line 28</t>
  </si>
  <si>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</si>
  <si>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</si>
  <si>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Line 26 x Line 32</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</si>
  <si>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</si>
  <si>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</si>
  <si>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</si>
  <si>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</si>
  <si>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</si>
  <si>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</si>
  <si>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</si>
  <si>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</si>
  <si>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</si>
  <si>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</si>
  <si>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</si>
  <si>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</si>
  <si>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</si>
  <si>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</si>
  <si>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</si>
  <si>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</si>
  <si>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</si>
  <si>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</si>
  <si>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</si>
  <si>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</si>
  <si>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</si>
  <si>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</si>
  <si>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</si>
  <si>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</si>
  <si>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</si>
  <si>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</si>
  <si>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</si>
  <si>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</si>
  <si>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</si>
  <si>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</si>
  <si>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</si>
  <si>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</si>
  <si>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</si>
  <si>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</si>
  <si>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</si>
  <si>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</si>
  <si>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</si>
  <si>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</si>
  <si>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</si>
  <si>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</si>
  <si>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</si>
  <si>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</si>
  <si>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</si>
  <si>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</si>
  <si>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</si>
  <si>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</si>
  <si>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</si>
  <si>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</si>
  <si>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</si>
  <si>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</si>
  <si>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</si>
  <si>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</si>
  <si>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</si>
  <si>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The total year-end Account 190 electric balance reported on FERC Form 1; Page 234; Footnote Data (b) is $1,515,080. The amortization of Account 190 at $1,441K</t>
  </si>
  <si>
    <t>shown in line 7 excludes the portion of Account 190 attributable to Citizens in the amount of $74K which is recovered separately in the Appendix X Citizens Sunrise rate filing.</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</si>
  <si>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</si>
  <si>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</si>
  <si>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</si>
  <si>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</si>
  <si>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</si>
  <si>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</si>
  <si>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</si>
  <si>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</si>
  <si>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</si>
  <si>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</si>
  <si>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</si>
  <si>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</si>
  <si>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</si>
  <si>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</si>
  <si>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</si>
  <si>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</si>
  <si>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</si>
  <si>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</si>
  <si>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</si>
  <si>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</si>
  <si>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</si>
  <si>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</si>
  <si>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</si>
  <si>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</si>
  <si>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</si>
  <si>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</si>
  <si>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</si>
  <si>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</si>
  <si>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</si>
  <si>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12 Months Ending December 31, 2022</t>
  </si>
  <si>
    <t>SAP</t>
  </si>
  <si>
    <t>(d)</t>
  </si>
  <si>
    <t>(e)</t>
  </si>
  <si>
    <t>(f)</t>
  </si>
  <si>
    <t>(g)</t>
  </si>
  <si>
    <t>(h)</t>
  </si>
  <si>
    <t>(i)</t>
  </si>
  <si>
    <t>(j)</t>
  </si>
  <si>
    <t>(k)</t>
  </si>
  <si>
    <t>(l)</t>
  </si>
  <si>
    <t>(m)</t>
  </si>
  <si>
    <t>Account #</t>
  </si>
  <si>
    <t>SAP Account Description</t>
  </si>
  <si>
    <t>Feb-22</t>
  </si>
  <si>
    <t>Mar-22</t>
  </si>
  <si>
    <t>Apr-22</t>
  </si>
  <si>
    <t>May-22</t>
  </si>
  <si>
    <t>Jun-22</t>
  </si>
  <si>
    <t>Jul-22</t>
  </si>
  <si>
    <t>No</t>
  </si>
  <si>
    <t>Aug-22</t>
  </si>
  <si>
    <t>Sep-22</t>
  </si>
  <si>
    <t>Oct-22</t>
  </si>
  <si>
    <t>Nov-22</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</si>
  <si>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</si>
  <si>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</si>
  <si>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</si>
  <si>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</si>
  <si>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</si>
  <si>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</si>
  <si>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</si>
  <si>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</si>
  <si>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</si>
  <si>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</si>
  <si>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</si>
  <si>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</si>
  <si>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</si>
  <si>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</si>
  <si>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</si>
  <si>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</si>
  <si>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</si>
  <si>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</si>
  <si>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</si>
  <si>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</si>
  <si>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</si>
  <si>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</si>
  <si>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</si>
  <si>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</si>
  <si>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</si>
  <si>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</si>
  <si>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</si>
  <si>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</si>
  <si>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</si>
  <si>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</si>
  <si>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</si>
  <si>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</si>
  <si>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</si>
  <si>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</si>
  <si>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</si>
  <si>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</si>
  <si>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</si>
  <si>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</si>
  <si>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</si>
  <si>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</si>
  <si>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</si>
  <si>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</si>
  <si>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</si>
  <si>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</si>
  <si>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</si>
  <si>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</si>
  <si>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</si>
  <si>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</si>
  <si>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</si>
  <si>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</si>
  <si>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</si>
  <si>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</si>
  <si>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</si>
  <si>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</si>
  <si>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</si>
  <si>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</si>
  <si>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</si>
  <si>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</si>
  <si>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</si>
  <si>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</si>
  <si>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</si>
  <si>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</si>
  <si>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</si>
  <si>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</si>
  <si>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</si>
  <si>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</si>
  <si>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</si>
  <si>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</si>
  <si>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</si>
  <si>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</si>
  <si>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</si>
  <si>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</si>
  <si>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</si>
  <si>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</si>
  <si>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</si>
  <si>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</si>
  <si>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</si>
  <si>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</si>
  <si>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</si>
  <si>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</si>
  <si>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</si>
  <si>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</si>
  <si>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Sum Lines 25 thru 28</t>
  </si>
  <si>
    <t>Base Return on Common Equity:</t>
  </si>
  <si>
    <t>TO5 Offer of Settlement; Section II.A.1.5.1</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</si>
  <si>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</si>
  <si>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</si>
  <si>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</si>
  <si>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</si>
  <si>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</si>
  <si>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</si>
  <si>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</si>
  <si>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</si>
  <si>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</si>
  <si>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</si>
  <si>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</si>
  <si>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</si>
  <si>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</si>
  <si>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</si>
  <si>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</si>
  <si>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</si>
  <si>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</si>
  <si>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Cost of Equity Component (Preferred &amp; Common):</t>
  </si>
  <si>
    <t>Line 38 + Line 39; Col. d</t>
  </si>
  <si>
    <r>
      <t>CAISO Participation ROE Adder:</t>
    </r>
    <r>
      <rPr>
        <sz val="12"/>
        <rFont val="Times New Roman"/>
        <family val="1"/>
      </rPr>
      <t xml:space="preserve"> </t>
    </r>
  </si>
  <si>
    <t>Shall be Zero for ROE Adder</t>
  </si>
  <si>
    <t>Col. c = Line 45 Above</t>
  </si>
  <si>
    <t>Sum Lines 50 thru 52</t>
  </si>
  <si>
    <t>Cost of Common Equity Component (CAISO Participation ROE Adder):</t>
  </si>
  <si>
    <t>Line 52; Col. d</t>
  </si>
  <si>
    <t>Amount is based upon December 31 balances.</t>
  </si>
  <si>
    <r>
      <t>Incentive Return on Common Equity:</t>
    </r>
    <r>
      <rPr>
        <sz val="12"/>
        <rFont val="Times New Roman"/>
        <family val="1"/>
      </rPr>
      <t xml:space="preserve"> </t>
    </r>
    <r>
      <rPr>
        <b/>
        <vertAlign val="superscript"/>
        <sz val="12"/>
        <rFont val="Times New Roman"/>
        <family val="1"/>
      </rPr>
      <t>1</t>
    </r>
  </si>
  <si>
    <t>Incentive Weighted Cost of Capital:</t>
  </si>
  <si>
    <r>
      <t xml:space="preserve">Amounts </t>
    </r>
    <r>
      <rPr>
        <b/>
        <vertAlign val="superscript"/>
        <sz val="12"/>
        <rFont val="Times New Roman"/>
        <family val="1"/>
      </rPr>
      <t>2</t>
    </r>
  </si>
  <si>
    <t>Col. c = Page 1, Line 17</t>
  </si>
  <si>
    <t>Col. c = Page 1, Line 22</t>
  </si>
  <si>
    <t>Col. c = Line 1 Above</t>
  </si>
  <si>
    <t>Sum Lines 6 thru 8</t>
  </si>
  <si>
    <t>Incentive Cost of Equity Component (Preferred &amp; Common):</t>
  </si>
  <si>
    <t>Line 7 + Line 8; Col. d</t>
  </si>
  <si>
    <t>Order No. 679, 116 FERC ¶ 61,057 at P 326</t>
  </si>
  <si>
    <t>Col. c = Line 14 Above</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</si>
  <si>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</si>
  <si>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</si>
  <si>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</si>
  <si>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A. Federal Income Tax Component:</t>
  </si>
  <si>
    <t>Where:</t>
  </si>
  <si>
    <t xml:space="preserve">     A = Sum of Preferred Stock and Return on Equity Component</t>
  </si>
  <si>
    <t>Page 1; Line 42</t>
  </si>
  <si>
    <t xml:space="preserve">     B = Transmission Total Federal Tax Adjustments</t>
  </si>
  <si>
    <t>Negative of Statement AR; Line 9</t>
  </si>
  <si>
    <t xml:space="preserve">     C = Equity AFUDC Component of Transmission Depreciation Expense</t>
  </si>
  <si>
    <t>AV-1A; Line 51</t>
  </si>
  <si>
    <t xml:space="preserve">     D = Transmission Rate Base</t>
  </si>
  <si>
    <t>Statement BK-1; Page 3; Line 27</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</si>
  <si>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</si>
  <si>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</si>
  <si>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</si>
  <si>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</si>
  <si>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</si>
  <si>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</si>
  <si>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</si>
  <si>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</si>
  <si>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</si>
  <si>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</si>
  <si>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</si>
  <si>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</si>
  <si>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</si>
  <si>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</si>
  <si>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</si>
  <si>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</si>
  <si>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</si>
  <si>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</si>
  <si>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</si>
  <si>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</si>
  <si>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C. Total Federal &amp; State Income Tax Rate:</t>
  </si>
  <si>
    <t>Line 12 + Line 25</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</si>
  <si>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</si>
  <si>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</si>
  <si>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</si>
  <si>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</si>
  <si>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</si>
  <si>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</si>
  <si>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</si>
  <si>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</si>
  <si>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</si>
  <si>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</si>
  <si>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</si>
  <si>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</si>
  <si>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</si>
  <si>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</si>
  <si>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</si>
  <si>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</si>
  <si>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</si>
  <si>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</si>
  <si>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Shall be Zero for Incentive ROE Projects</t>
  </si>
  <si>
    <t xml:space="preserve">     D = Total Incentive ROE Project Transmission Rate Base</t>
  </si>
  <si>
    <t>Statement BK-1; Page 3; Line 32</t>
  </si>
  <si>
    <t>Page 3; Line 10</t>
  </si>
  <si>
    <t xml:space="preserve">Federal Income Tax    =    (((A) + (C / D)) * FT) - (B / D) </t>
  </si>
  <si>
    <t xml:space="preserve">Federal Income Tax Expense </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</si>
  <si>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</si>
  <si>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</si>
  <si>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</si>
  <si>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</si>
  <si>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</si>
  <si>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</si>
  <si>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</si>
  <si>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</si>
  <si>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</si>
  <si>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t>San Diego Gas &amp; Electric Company</t>
  </si>
  <si>
    <t>Non-Incentive Equity AFUDC Component of Transmission Depreciation Expense</t>
  </si>
  <si>
    <t>For Completed Transmission Capital Projects from 2001 Through 2022</t>
  </si>
  <si>
    <t>Applicable to the 2022 TO5-Cycle 6 Base Period &amp; True-Up Period</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</si>
  <si>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</si>
  <si>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</si>
  <si>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</si>
  <si>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</si>
  <si>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</si>
  <si>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</si>
  <si>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</si>
  <si>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</si>
  <si>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</si>
  <si>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</si>
  <si>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TO5-Cycle 6 Annual Transmission Formula Filing</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</si>
  <si>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</si>
  <si>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</si>
  <si>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</si>
  <si>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</si>
  <si>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</si>
  <si>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</si>
  <si>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</si>
  <si>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</si>
  <si>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</si>
  <si>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</si>
  <si>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</si>
  <si>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</si>
  <si>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</si>
  <si>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</si>
  <si>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</si>
  <si>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</si>
  <si>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t>Misc.-1; Line 9; Col. c</t>
  </si>
  <si>
    <r>
      <t xml:space="preserve">Incentive Transmission Plant Abandoned Project Cost </t>
    </r>
    <r>
      <rPr>
        <b/>
        <vertAlign val="superscript"/>
        <sz val="12"/>
        <rFont val="Times New Roman"/>
        <family val="1"/>
      </rPr>
      <t>1</t>
    </r>
  </si>
  <si>
    <t>None of the above items apply to SDG&amp;E's TO5 Cycle 6 filing. However, as one or more of these items apply, subject to FERC approval, the</t>
  </si>
  <si>
    <t>applicable data field will be filled.</t>
  </si>
  <si>
    <t>MISCELLANEOUS STATEMENT</t>
  </si>
  <si>
    <t>UNFUNDED RESERVES</t>
  </si>
  <si>
    <t>Injuries and Damages</t>
  </si>
  <si>
    <t>Misc.-1.1; Line 4</t>
  </si>
  <si>
    <t>Workers' Compensation</t>
  </si>
  <si>
    <t>Misc.-1.1; Line 9</t>
  </si>
  <si>
    <t>Supplemental Executive Retirement Plan (SERP)</t>
  </si>
  <si>
    <t>Misc.-1.1; Line 14</t>
  </si>
  <si>
    <t>Accrued Vacation</t>
  </si>
  <si>
    <t>Misc.-1.1; Line 19</t>
  </si>
  <si>
    <t xml:space="preserve">     Total Unfunded Reserves</t>
  </si>
  <si>
    <t>Sum Lines 1 thru 7</t>
  </si>
  <si>
    <r>
      <t xml:space="preserve">(a) </t>
    </r>
    <r>
      <rPr>
        <b/>
        <vertAlign val="superscript"/>
        <sz val="12"/>
        <rFont val="Times New Roman"/>
        <family val="1"/>
      </rPr>
      <t>1</t>
    </r>
  </si>
  <si>
    <t xml:space="preserve">   Injuries and Damages - Acct. 228</t>
  </si>
  <si>
    <t xml:space="preserve">   Allocation Factor</t>
  </si>
  <si>
    <t>Col. (b); AD-10; Line 6 x AI; Line 15</t>
  </si>
  <si>
    <t xml:space="preserve">     Total Injuries and Damages</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</si>
  <si>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</si>
  <si>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</si>
  <si>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</si>
  <si>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</si>
  <si>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</si>
  <si>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</si>
  <si>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</si>
  <si>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</si>
  <si>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</si>
  <si>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</si>
  <si>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</si>
  <si>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</si>
  <si>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2021 FERC Form 1; Common Utility Plant and Expenses; Page 356</t>
  </si>
  <si>
    <t>b</t>
  </si>
  <si>
    <t>Statement AI; Line 15; TO5-Cycle 5</t>
  </si>
  <si>
    <t>c</t>
  </si>
  <si>
    <t>Line a x Line b</t>
  </si>
  <si>
    <t>FERC Order 864 Worksheet - Order 864-1</t>
  </si>
  <si>
    <t>(Excess)/Deficient Accumulated Deferred Income Taxes ("ADIT")</t>
  </si>
  <si>
    <t>Base Period &amp; True-Up Period Ending December 31, 2021</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</si>
  <si>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</si>
  <si>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</si>
  <si>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</si>
  <si>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</si>
  <si>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</si>
  <si>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</si>
  <si>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</si>
  <si>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</si>
  <si>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</si>
  <si>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</si>
  <si>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</si>
  <si>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</si>
  <si>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</si>
  <si>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</si>
  <si>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</si>
  <si>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</si>
  <si>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</si>
  <si>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</si>
  <si>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</si>
  <si>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</si>
  <si>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</si>
  <si>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</si>
  <si>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</si>
  <si>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</si>
  <si>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</si>
  <si>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</si>
  <si>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</si>
  <si>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</si>
  <si>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</si>
  <si>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</si>
  <si>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</si>
  <si>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</si>
  <si>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</si>
  <si>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</si>
  <si>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</si>
  <si>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</si>
  <si>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</si>
  <si>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</si>
  <si>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</si>
  <si>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</si>
  <si>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</si>
  <si>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</si>
  <si>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</si>
  <si>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</si>
  <si>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</si>
  <si>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</si>
  <si>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</si>
  <si>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</si>
  <si>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</si>
  <si>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</si>
  <si>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</si>
  <si>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</si>
  <si>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</si>
  <si>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</si>
  <si>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</si>
  <si>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</si>
  <si>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</si>
  <si>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</si>
  <si>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</si>
  <si>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</si>
  <si>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</si>
  <si>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</si>
  <si>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</si>
  <si>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</si>
  <si>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</si>
  <si>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</si>
  <si>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</si>
  <si>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</si>
  <si>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</si>
  <si>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</si>
  <si>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</si>
  <si>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</si>
  <si>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</si>
  <si>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</si>
  <si>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</si>
  <si>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</si>
  <si>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</si>
  <si>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</si>
  <si>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</si>
  <si>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</si>
  <si>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</si>
  <si>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</si>
  <si>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</si>
  <si>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</si>
  <si>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</si>
  <si>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</si>
  <si>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</si>
  <si>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</si>
  <si>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</si>
  <si>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</si>
  <si>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</si>
  <si>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</si>
  <si>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</si>
  <si>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</si>
  <si>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</si>
  <si>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</si>
  <si>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</si>
  <si>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</si>
  <si>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</si>
  <si>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</si>
  <si>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</si>
  <si>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</si>
  <si>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</si>
  <si>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</si>
  <si>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</si>
  <si>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</si>
  <si>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</si>
  <si>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</si>
  <si>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</si>
  <si>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</si>
  <si>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Base Period &amp; True-Up Period Ending December 31, 2022</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</si>
  <si>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</si>
  <si>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</si>
  <si>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</si>
  <si>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</si>
  <si>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</si>
  <si>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</si>
  <si>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</si>
  <si>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</si>
  <si>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</si>
  <si>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t>TO5-Cycle 6 True-Up Adjustment</t>
  </si>
  <si>
    <t>For 12-Month True-Up Period January 1, 2022 Through December 31, 2022</t>
  </si>
  <si>
    <r>
      <t xml:space="preserve">Total Prior Year Revenue Requirements Excluding FF&amp;U </t>
    </r>
    <r>
      <rPr>
        <b/>
        <vertAlign val="superscript"/>
        <sz val="12"/>
        <rFont val="Times New Roman"/>
        <family val="1"/>
      </rPr>
      <t>1</t>
    </r>
  </si>
  <si>
    <t>TO5 True-Up BK-1; Page 2; Line 39</t>
  </si>
  <si>
    <t>Franchise Fees</t>
  </si>
  <si>
    <t>Line 1 x Franchise Fee Rate</t>
  </si>
  <si>
    <r>
      <t xml:space="preserve">Uncollectible Expense </t>
    </r>
    <r>
      <rPr>
        <b/>
        <vertAlign val="superscript"/>
        <sz val="12"/>
        <color theme="1"/>
        <rFont val="Times New Roman"/>
        <family val="1"/>
      </rPr>
      <t>8</t>
    </r>
  </si>
  <si>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</si>
  <si>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</si>
  <si>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</si>
  <si>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</si>
  <si>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</si>
  <si>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</si>
  <si>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</si>
  <si>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</si>
  <si>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</si>
  <si>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</si>
  <si>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</si>
  <si>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</si>
  <si>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</si>
  <si>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</si>
  <si>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</si>
  <si>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</si>
  <si>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</si>
  <si>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</si>
  <si>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</si>
  <si>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</si>
  <si>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</si>
  <si>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</si>
  <si>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</si>
  <si>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</si>
  <si>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</si>
  <si>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</si>
  <si>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</si>
  <si>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</si>
  <si>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</si>
  <si>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</si>
  <si>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</si>
  <si>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</si>
  <si>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</si>
  <si>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</si>
  <si>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</si>
  <si>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</si>
  <si>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</si>
  <si>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</si>
  <si>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</si>
  <si>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</si>
  <si>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</si>
  <si>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</si>
  <si>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</si>
  <si>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</si>
  <si>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</si>
  <si>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</si>
  <si>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</si>
  <si>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</si>
  <si>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</si>
  <si>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Based on the actual uncollectible expense rate of 0.1610% for the 2022 True Up Period, instead of the 0.1650% uncollectible expense rate from the TO5 Cycle 4 Annual Informational Filing. The 2019 GRC Decision required SDG&amp;E to update the uncollectible rate each </t>
  </si>
  <si>
    <t xml:space="preserve">year based on actual bad debt 10 year rolling average. This was inadvertently missed in 2021 and the FF&amp;U factor in rates was not updated for the new uncollectible factor. Due to this omission, SDG&amp;E continued to use the 2020 FF&amp;U rate so that it would match </t>
  </si>
  <si>
    <t xml:space="preserve">what is in rates. The difference from the 2020 rate was a decrease of 0.004%. This amount was deducted from the current 2022 calculated rate in the current year implementation, thus the reason for reducing the rate from 0.1650% to 0.1610% to  </t>
  </si>
  <si>
    <t>match what was actually in rates versus what was authorized.</t>
  </si>
  <si>
    <t xml:space="preserve">Amounts </t>
  </si>
  <si>
    <t>True-Up Stmt AV; Page 3; Line 32</t>
  </si>
  <si>
    <t>True-Up Stmt AV; Page 3; Line 66</t>
  </si>
  <si>
    <t xml:space="preserve">     End of Prior Year Revenues (PYRR EU) Excluding FF&amp;U</t>
  </si>
  <si>
    <t>True-Up Stmt AV; Page 4; Line 32</t>
  </si>
  <si>
    <t>True-Up Stmt AV; Page 4; Line 66</t>
  </si>
  <si>
    <t>Stmt AF Proration; Line 13; Col. 8</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</si>
  <si>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</si>
  <si>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</si>
  <si>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</si>
  <si>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</si>
  <si>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</si>
  <si>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</si>
  <si>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</si>
  <si>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</si>
  <si>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</si>
  <si>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</si>
  <si>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</si>
  <si>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</si>
  <si>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</si>
  <si>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</si>
  <si>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</si>
  <si>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</si>
  <si>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</si>
  <si>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</si>
  <si>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</si>
  <si>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</si>
  <si>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Beginning Balance (TO5 Stmt AF; Line 7; Col. a)</t>
  </si>
  <si>
    <t>March</t>
  </si>
  <si>
    <t>April</t>
  </si>
  <si>
    <t>June</t>
  </si>
  <si>
    <t>July</t>
  </si>
  <si>
    <t>August</t>
  </si>
  <si>
    <t>September</t>
  </si>
  <si>
    <t>October</t>
  </si>
  <si>
    <t>November</t>
  </si>
  <si>
    <t>December</t>
  </si>
  <si>
    <t>Ending Balance (TO5 Stmt AF; Line 7; Col. b)</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</si>
  <si>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</si>
  <si>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</si>
  <si>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</si>
  <si>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</si>
  <si>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</si>
  <si>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</si>
  <si>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</si>
  <si>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</si>
  <si>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</si>
  <si>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r>
      <t>Incentive Return on Common Equity:</t>
    </r>
    <r>
      <rPr>
        <sz val="12"/>
        <rFont val="Times New Roman"/>
        <family val="1"/>
      </rPr>
      <t xml:space="preserve"> </t>
    </r>
    <r>
      <rPr>
        <b/>
        <vertAlign val="superscript"/>
        <sz val="12"/>
        <rFont val="Times New Roman"/>
        <family val="1"/>
      </rPr>
      <t>2</t>
    </r>
  </si>
  <si>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</si>
  <si>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</si>
  <si>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</si>
  <si>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</si>
  <si>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</si>
  <si>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</si>
  <si>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</si>
  <si>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TO5-Cycle 6 Interest True-Up Adjustment</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</si>
  <si>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</si>
  <si>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</si>
  <si>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</si>
  <si>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</si>
  <si>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</si>
  <si>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</si>
  <si>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</si>
  <si>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</si>
  <si>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</si>
  <si>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</si>
  <si>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</si>
  <si>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</si>
  <si>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</si>
  <si>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</si>
  <si>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</si>
  <si>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</si>
  <si>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</si>
  <si>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</si>
  <si>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</si>
  <si>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</si>
  <si>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</si>
  <si>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</si>
  <si>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</si>
  <si>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</si>
  <si>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</si>
  <si>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</si>
  <si>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</si>
  <si>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</si>
  <si>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</si>
  <si>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</si>
  <si>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</si>
  <si>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</si>
  <si>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TRANSMISSION PLANT BALANCE AS OF DECEMBER 31, 2022</t>
  </si>
  <si>
    <t xml:space="preserve">(a) = (b) + (c) </t>
  </si>
  <si>
    <t xml:space="preserve">(c) </t>
  </si>
  <si>
    <t>$'s in TRANSMISSION</t>
  </si>
  <si>
    <t>LOW VOLTAGE</t>
  </si>
  <si>
    <t>HIGH VOLTAGE</t>
  </si>
  <si>
    <t>Substation</t>
  </si>
  <si>
    <t>&lt; 200 kv</t>
  </si>
  <si>
    <t>&gt; 200 kv</t>
  </si>
  <si>
    <t>IMPERIAL VALLEY SUBSTATION 500&gt;230KV</t>
  </si>
  <si>
    <t>SUNCREST SUBSTATION 500&gt;230KV</t>
  </si>
  <si>
    <t>ECO 500/230/138KV SUBSTATION</t>
  </si>
  <si>
    <t>SAN ONOFRE 230KV SUBSTATION</t>
  </si>
  <si>
    <t>MIGUEL 500/230/138/69KV SUBSTATION</t>
  </si>
  <si>
    <t>SYCAMORE CANYON 230/69KV SUBSTATION</t>
  </si>
  <si>
    <t>BAY BOULEVARD 230/69/12KV SUBSTATION</t>
  </si>
  <si>
    <t>ESCONDIDO 230/138/69/12KV SUBSTATION</t>
  </si>
  <si>
    <t>OLD TOWN 230KV SUBSTATION</t>
  </si>
  <si>
    <t>OLD TOWN 69/12/4KV SUBSTATION</t>
  </si>
  <si>
    <t>MISSION 230KV SUBSTATION</t>
  </si>
  <si>
    <t>MISSION 138/69/12KV SUBSTATION</t>
  </si>
  <si>
    <t>TALEGA 230/138KV SUBSTATION (230 PORTION ONLY)</t>
  </si>
  <si>
    <t>TALEGA 230/138 KV SUBSTATION</t>
  </si>
  <si>
    <t>PENASQUITOS 230KV SUBSTATION</t>
  </si>
  <si>
    <t>PENASQUITOS 138/69KV SUBSTATION</t>
  </si>
  <si>
    <t>ENCINA 230KV SUBSTATION</t>
  </si>
  <si>
    <t>ENCINA PP 138/12KV SUBSTATION</t>
  </si>
  <si>
    <t>NO GILA 500KV SUBSTATION</t>
  </si>
  <si>
    <t>PALO VERDE 500KV SUBSTATION</t>
  </si>
  <si>
    <t>SAN LUIS REY 230/69/12KV SUBSTATION</t>
  </si>
  <si>
    <t>PALOMAR ENERGY 230KV SWITCHYARD</t>
  </si>
  <si>
    <t>NV-MERCHANT 230 KV SWITCHYARD</t>
  </si>
  <si>
    <t>OCOTILLO 500KV SWITCHYARD</t>
  </si>
  <si>
    <t>PALA 230KV SUBSTATION</t>
  </si>
  <si>
    <t>PALA 69/12V SUBSTATION</t>
  </si>
  <si>
    <t>OTAY MESA 230KV SWITCHYARD</t>
  </si>
  <si>
    <t>SILVERGATE 230/69KV SUBSTATION</t>
  </si>
  <si>
    <t>DESERT STAR ENERGY CENTER</t>
  </si>
  <si>
    <t>LV SUBSTATIONS</t>
  </si>
  <si>
    <t>TOTAL SUBSTATIONS</t>
  </si>
  <si>
    <r>
      <t xml:space="preserve">TRANSMISSION TOWERS and LAND </t>
    </r>
    <r>
      <rPr>
        <b/>
        <vertAlign val="superscript"/>
        <sz val="12"/>
        <rFont val="Times New Roman"/>
        <family val="1"/>
      </rPr>
      <t>2</t>
    </r>
  </si>
  <si>
    <t>NON-UNITIZED</t>
  </si>
  <si>
    <t>TOTAL TRANSMISSION PLANT</t>
  </si>
  <si>
    <t>PERCENTAGES</t>
  </si>
  <si>
    <t>Line 38; Col. b / Line 38; Col. a</t>
  </si>
  <si>
    <t>Line 38; Col. c / Line 38; Col. a</t>
  </si>
  <si>
    <t>Ties to Statement AD Workpapers; AD-6, Line 13; Ratemaking. That is, Line 38; Col. a shown above ties to the ratemaking plant in service.</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</si>
  <si>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</si>
  <si>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</si>
  <si>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</si>
  <si>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24-Month Forecast Period (January 1, 2023 - December 31, 2024)</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</si>
  <si>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</si>
  <si>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</si>
  <si>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</si>
  <si>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</si>
  <si>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</si>
  <si>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</si>
  <si>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</si>
  <si>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</si>
  <si>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</si>
  <si>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</si>
  <si>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</si>
  <si>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</si>
  <si>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</si>
  <si>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</si>
  <si>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</si>
  <si>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</si>
  <si>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</si>
  <si>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</si>
  <si>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</si>
  <si>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</si>
  <si>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</si>
  <si>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</si>
  <si>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</si>
  <si>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</si>
  <si>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</si>
  <si>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</si>
  <si>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</si>
  <si>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</si>
  <si>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</si>
  <si>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</si>
  <si>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</si>
  <si>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</si>
  <si>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</si>
  <si>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</si>
  <si>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</si>
  <si>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</si>
  <si>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</si>
  <si>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</si>
  <si>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</si>
  <si>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</si>
  <si>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</si>
  <si>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</si>
  <si>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</si>
  <si>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</si>
  <si>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</si>
  <si>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</si>
  <si>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</si>
  <si>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</si>
  <si>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</si>
  <si>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The HV/LV Gross Forecast Plant Additions from January 2023 through December 2024 comes from the Forecast Transmission Capital Additions Work Papers.</t>
  </si>
  <si>
    <t xml:space="preserve">Summary of Weighted Transmission Related Common, General and Electric Miscellaneous Intangible Plant Additions </t>
  </si>
  <si>
    <t>Summary of Transmission Related Common, General, &amp; Electric</t>
  </si>
  <si>
    <t>Intangible Plant Additions:</t>
  </si>
  <si>
    <t>The HV/LV Gross Forecast Plant Additions information from January 2023 through December 2024 comes from the Summary of Monthly Common, General, and Electric Intangible Forecast Plant Additions Work Papers.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</si>
  <si>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</si>
  <si>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</si>
  <si>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</si>
  <si>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</si>
  <si>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</si>
  <si>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t>
  </si>
  <si>
    <t>Items in BOLD have changed due to FERC audit adj. in response to SDG&amp;E's audit report dated July 30, 2020 compared to the original TO5 Cycle 5 filing per ER23-542.</t>
  </si>
  <si>
    <t xml:space="preserve">The Dec 2021 transmission plant beginning balance above is different from the 2021 FERC Audit Adjustment ending balance because the adjusting entry to correct prior periods for Finding #3  </t>
  </si>
  <si>
    <t>was booked in 2022.</t>
  </si>
  <si>
    <t xml:space="preserve">The Dec 2021 transmission plant beginning balance above is different from the 2021 FERC Audit Adjustment ending balance because the adjusting entry to correct prior periods for Finding #3 </t>
  </si>
  <si>
    <t>562</t>
  </si>
  <si>
    <t>Late fee penalties</t>
  </si>
  <si>
    <t>Negative of AH-1; Line 41; Col. b</t>
  </si>
  <si>
    <t>Negative of AH-1; Line 46; Col. b</t>
  </si>
  <si>
    <t>Negative of AH-1; Sum Lines (37, 40); Col. b</t>
  </si>
  <si>
    <t>454</t>
  </si>
  <si>
    <t>Rent for Prop Use</t>
  </si>
  <si>
    <t>Elec Lnd Serv Row RE</t>
  </si>
  <si>
    <t>Property is reflected in Col. (m) of this schedule. The Rent from Electric Property for ratemaking included in 2022 FERC Form 1; Page 300-301; Footnote Data (b) at $271,482 is incorrect. During</t>
  </si>
  <si>
    <t>preparation of the TO5 Cycle 6 filing, an additional ($2.2M) of transmission rental revenue was identified and included above. The Dec-22 amount presented on Line 6 above is the correct amount.</t>
  </si>
  <si>
    <t>AU-1; Page 2; Line 6; Col. m</t>
  </si>
  <si>
    <t>AU-1; Page 2; Line 20; Col. m</t>
  </si>
  <si>
    <t>AU-1; Page 2; Line 25; Col. m</t>
  </si>
  <si>
    <r>
      <t xml:space="preserve">Lobbying and discrimination related legal charges </t>
    </r>
    <r>
      <rPr>
        <b/>
        <vertAlign val="superscript"/>
        <sz val="12"/>
        <rFont val="Times New Roman"/>
        <family val="1"/>
      </rPr>
      <t>5</t>
    </r>
  </si>
  <si>
    <r>
      <t xml:space="preserve">Other Exclusion - FERC Audit Adjustments (Finding #7) </t>
    </r>
    <r>
      <rPr>
        <b/>
        <vertAlign val="superscript"/>
        <sz val="12"/>
        <rFont val="Times New Roman"/>
        <family val="1"/>
      </rPr>
      <t>2</t>
    </r>
  </si>
  <si>
    <r>
      <t xml:space="preserve">Other Exclusion - FERC Audit Adjustments (Finding #3) </t>
    </r>
    <r>
      <rPr>
        <b/>
        <vertAlign val="superscript"/>
        <sz val="12"/>
        <rFont val="Times New Roman"/>
        <family val="1"/>
      </rPr>
      <t>3</t>
    </r>
  </si>
  <si>
    <r>
      <t xml:space="preserve">Other Exclusion - FERC Audit Adjustments (Finding #3) -  True-up </t>
    </r>
    <r>
      <rPr>
        <b/>
        <vertAlign val="superscript"/>
        <sz val="12"/>
        <rFont val="Times New Roman"/>
        <family val="1"/>
      </rPr>
      <t>4</t>
    </r>
  </si>
  <si>
    <t xml:space="preserve">Represents Sempra legal fees and personnel dispute matters related to lobbying and discrimination related legal matters that should have been below the line charges. </t>
  </si>
  <si>
    <t>Negative of AH-2; Line 36; Col. a</t>
  </si>
  <si>
    <t>Negative of AH-2; Sum Lines (26, 32); Col. a ; and Line 28; Col. b</t>
  </si>
  <si>
    <t>Negative of AH-2; Line 34; Col. a</t>
  </si>
  <si>
    <t>Negative of AH-2; Line 35; Col. b</t>
  </si>
  <si>
    <t>Negative of AH-2; Line 29; Col. b</t>
  </si>
  <si>
    <t>Negative of AH-2; Line 38; Col. b</t>
  </si>
  <si>
    <t>Negative of AH-2; Line 31; Col. a</t>
  </si>
  <si>
    <t>Negative of AH-2; Sum Lines (27, 37); Col. a; and Sum Lines (21, 22, 25); Col.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</si>
</sst>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4">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0000"/>
    <numFmt numFmtId="184" formatCode="0_);\(0\)"/>
    <numFmt numFmtId="185" formatCode="&quot;$&quot;#,##0"/>
    <numFmt numFmtId="186" formatCode="0.0%"/>
    <numFmt numFmtId="187" formatCode="&quot;$&quot;#,##0,_);[Red]\(&quot;$&quot;#,##0,\)"/>
    <numFmt numFmtId="188" formatCode="_(&quot;$&quot;* #,##0,_);_(&quot;$&quot;* \(#,##0,\);_(&quot;$&quot;* &quot;-&quot;??_);_(@_)"/>
    <numFmt numFmtId="189" formatCode="_(&quot;$&quot;* #,##0.0000000_);_(&quot;$&quot;* \(#,##0.0000000\);_(&quot;$&quot;* &quot;-&quot;??_);_(@_)"/>
    <numFmt numFmtId="190" formatCode="_(&quot;$&quot;* #,##0.00000_);_(&quot;$&quot;* \(#,##0.00000\);_(&quot;$&quot;* &quot;-&quot;??_);_(@_)"/>
    <numFmt numFmtId="191" formatCode="#,##0.0000_);\(#,##0.0000\)"/>
    <numFmt numFmtId="192" formatCode="0.000000000%"/>
    <numFmt numFmtId="193" formatCode="&quot;$&quot;#,##0.00"/>
    <numFmt numFmtId="194" formatCode="0.00000000000000000%"/>
    <numFmt numFmtId="195" formatCode="_(* #,##0.0000000_);_(* \(#,##0.0000000\);_(* &quot;-&quot;???????_);_(@_)"/>
    <numFmt numFmtId="196" formatCode="0.000"/>
    <numFmt numFmtId="197" formatCode="_(* #,##0.0000_);_(* \(#,##0.0000\);_(* &quot;-&quot;_);_(@_)"/>
    <numFmt numFmtId="198" formatCode="0.00000000%"/>
    <numFmt numFmtId="199" formatCode="0.0000000000"/>
    <numFmt numFmtId="200" formatCode="0.000000000000000%"/>
    <numFmt numFmtId="201" formatCode="&quot;$&quot;#,##0.000,_);[Red]\(&quot;$&quot;#,##0.000,\)"/>
  </numFmts>
  <fonts count="60"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2">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8">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cellStyleXfs>
  <cellXfs count="1219">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7" fontId="2" fillId="2" borderId="0" xfId="0" applyNumberFormat="1" applyFont="1" applyFill="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7" fontId="2" fillId="2" borderId="0" xfId="0" quotePrefix="1" applyNumberFormat="1" applyFont="1" applyFill="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6" fontId="3" fillId="0" borderId="0" xfId="0" applyNumberFormat="1" applyFont="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horizontal="lef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9"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43" fontId="4" fillId="0" borderId="0" xfId="0" applyNumberFormat="1" applyFont="1" applyAlignment="1">
      <alignment horizontal="right"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0" fontId="2" fillId="0" borderId="7" xfId="0" applyNumberFormat="1" applyFont="1" applyBorder="1" applyAlignment="1">
      <alignment horizontal="center" vertical="center"/>
    </xf>
    <xf numFmtId="10" fontId="3" fillId="3" borderId="7" xfId="0" applyNumberFormat="1" applyFont="1" applyFill="1" applyBorder="1" applyAlignment="1">
      <alignment horizontal="center"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7" fontId="2" fillId="0" borderId="1" xfId="0" applyNumberFormat="1" applyFont="1" applyBorder="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8" fontId="16" fillId="0" borderId="16" xfId="0" applyNumberFormat="1" applyFont="1" applyBorder="1" applyAlignment="1">
      <alignment vertical="center"/>
    </xf>
    <xf numFmtId="188"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5" fontId="2" fillId="0" borderId="0" xfId="0" applyNumberFormat="1" applyFont="1" applyAlignment="1">
      <alignment horizontal="right" vertical="center"/>
    </xf>
    <xf numFmtId="10" fontId="16" fillId="0" borderId="0" xfId="0" applyNumberFormat="1" applyFont="1" applyAlignment="1">
      <alignment vertical="center"/>
    </xf>
    <xf numFmtId="187"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5" fontId="16" fillId="0" borderId="0" xfId="0" quotePrefix="1" applyNumberFormat="1" applyFont="1" applyAlignment="1">
      <alignment horizontal="center" vertical="center"/>
    </xf>
    <xf numFmtId="187" fontId="16" fillId="0" borderId="0" xfId="0" quotePrefix="1" applyNumberFormat="1" applyFont="1" applyAlignment="1">
      <alignment horizontal="center" vertical="center"/>
    </xf>
    <xf numFmtId="187"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6" fontId="2" fillId="0" borderId="0" xfId="0" applyNumberFormat="1"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6"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5" fontId="22" fillId="0" borderId="0" xfId="0" applyNumberFormat="1" applyFont="1" applyAlignment="1">
      <alignment horizontal="left"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37" fontId="2" fillId="0" borderId="0" xfId="0" applyNumberFormat="1" applyFont="1" applyAlignment="1">
      <alignment vertical="center" wrapText="1"/>
    </xf>
    <xf numFmtId="37" fontId="3" fillId="0" borderId="0" xfId="0" applyNumberFormat="1" applyFont="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4"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3" fontId="2" fillId="0" borderId="0" xfId="0" applyNumberFormat="1" applyFont="1" applyAlignment="1">
      <alignment horizontal="right" vertical="center"/>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8"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5"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6" fontId="16" fillId="0" borderId="0" xfId="0" applyNumberFormat="1" applyFont="1" applyAlignment="1">
      <alignment vertical="center"/>
    </xf>
    <xf numFmtId="8" fontId="16" fillId="0" borderId="0" xfId="0" applyNumberFormat="1" applyFont="1" applyAlignment="1">
      <alignment vertical="center"/>
    </xf>
    <xf numFmtId="185" fontId="16" fillId="0" borderId="0" xfId="0" applyNumberFormat="1" applyFont="1" applyAlignment="1">
      <alignment horizontal="right" vertical="center"/>
    </xf>
    <xf numFmtId="185" fontId="18" fillId="0" borderId="0" xfId="0" quotePrefix="1" applyNumberFormat="1" applyFont="1" applyAlignment="1">
      <alignment horizontal="center" vertical="center"/>
    </xf>
    <xf numFmtId="185" fontId="3" fillId="0" borderId="0" xfId="0" applyNumberFormat="1" applyFont="1" applyAlignment="1">
      <alignment horizontal="right" vertical="center"/>
    </xf>
    <xf numFmtId="185" fontId="18" fillId="0" borderId="0" xfId="0" applyNumberFormat="1" applyFont="1" applyAlignment="1">
      <alignment vertical="center"/>
    </xf>
    <xf numFmtId="10" fontId="18" fillId="0" borderId="0" xfId="0" applyNumberFormat="1" applyFont="1" applyAlignment="1">
      <alignment vertical="center"/>
    </xf>
    <xf numFmtId="185" fontId="18" fillId="0" borderId="0" xfId="0" applyNumberFormat="1" applyFont="1" applyAlignment="1">
      <alignment horizontal="right" vertical="center"/>
    </xf>
    <xf numFmtId="185" fontId="18" fillId="0" borderId="0" xfId="0" applyNumberFormat="1" applyFont="1" applyAlignment="1">
      <alignment horizontal="center" vertical="center"/>
    </xf>
    <xf numFmtId="185"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7"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91"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90" fontId="2" fillId="0" borderId="0" xfId="0" applyNumberFormat="1" applyFont="1" applyAlignment="1">
      <alignment vertical="center"/>
    </xf>
    <xf numFmtId="10" fontId="2" fillId="3" borderId="0" xfId="0" applyNumberFormat="1" applyFont="1" applyFill="1" applyAlignment="1">
      <alignment horizontal="right"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5"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37" fontId="4" fillId="0" borderId="0" xfId="0" applyNumberFormat="1" applyFont="1" applyAlignment="1">
      <alignment horizontal="right"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192"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5" fontId="3" fillId="0" borderId="0" xfId="0" applyNumberFormat="1" applyFont="1" applyAlignment="1">
      <alignment horizontal="center"/>
    </xf>
    <xf numFmtId="185" fontId="2" fillId="0" borderId="0" xfId="0" applyNumberFormat="1" applyFont="1"/>
    <xf numFmtId="185"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5" fontId="8" fillId="0" borderId="0" xfId="0" applyNumberFormat="1" applyFont="1" applyAlignment="1">
      <alignment horizontal="center"/>
    </xf>
    <xf numFmtId="0" fontId="2" fillId="0" borderId="0" xfId="0" applyFont="1" applyAlignment="1">
      <alignment wrapText="1"/>
    </xf>
    <xf numFmtId="193" fontId="2" fillId="0" borderId="0" xfId="0" applyNumberFormat="1" applyFont="1" applyAlignment="1">
      <alignment horizontal="left" indent="1"/>
    </xf>
    <xf numFmtId="3" fontId="2" fillId="0" borderId="0" xfId="0" applyNumberFormat="1" applyFont="1"/>
    <xf numFmtId="10" fontId="2" fillId="0" borderId="0" xfId="0" applyNumberFormat="1" applyFont="1"/>
    <xf numFmtId="185" fontId="16" fillId="0" borderId="0" xfId="0" applyNumberFormat="1" applyFont="1" applyAlignment="1">
      <alignment horizontal="right"/>
    </xf>
    <xf numFmtId="0" fontId="16" fillId="0" borderId="0" xfId="0" applyFont="1"/>
    <xf numFmtId="185"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0" fontId="2" fillId="4" borderId="0" xfId="0" applyNumberFormat="1" applyFont="1" applyFill="1" applyAlignment="1">
      <alignment horizontal="right"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37" fontId="2" fillId="0" borderId="0" xfId="0" applyNumberFormat="1" applyFont="1"/>
    <xf numFmtId="37" fontId="2" fillId="0" borderId="0" xfId="0" applyNumberFormat="1" applyFont="1" applyAlignment="1">
      <alignment vertical="top"/>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4" fontId="16" fillId="0" borderId="0" xfId="0" applyNumberFormat="1" applyFont="1" applyAlignment="1">
      <alignment vertical="center"/>
    </xf>
    <xf numFmtId="195" fontId="2" fillId="0" borderId="0" xfId="0" applyNumberFormat="1" applyFont="1" applyAlignment="1">
      <alignment vertical="center"/>
    </xf>
    <xf numFmtId="44" fontId="2" fillId="0" borderId="0" xfId="0" applyNumberFormat="1" applyFont="1" applyAlignment="1">
      <alignment vertical="center"/>
    </xf>
    <xf numFmtId="166" fontId="2" fillId="0" borderId="1" xfId="0" applyNumberFormat="1" applyFont="1" applyBorder="1" applyAlignment="1">
      <alignment vertical="center"/>
    </xf>
    <xf numFmtId="188" fontId="2" fillId="0" borderId="0" xfId="0" applyNumberFormat="1" applyFont="1" applyAlignment="1">
      <alignment vertical="center"/>
    </xf>
    <xf numFmtId="187"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4"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4"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4"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4"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6"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5" fontId="2" fillId="0" borderId="0" xfId="3" applyNumberFormat="1" applyFont="1" applyAlignment="1">
      <alignment horizontal="center" vertical="center" wrapText="1"/>
    </xf>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167" fontId="2" fillId="4" borderId="78" xfId="7" applyNumberFormat="1" applyFont="1" applyFill="1" applyBorder="1" applyAlignment="1">
      <alignment horizontal="righ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5" fillId="0" borderId="77" xfId="0" applyFont="1" applyBorder="1" applyAlignment="1">
      <alignment vertical="center"/>
    </xf>
    <xf numFmtId="0" fontId="2" fillId="0" borderId="77" xfId="0" applyFont="1" applyBorder="1" applyAlignment="1">
      <alignment vertical="center"/>
    </xf>
    <xf numFmtId="10" fontId="2" fillId="0" borderId="77" xfId="2" applyNumberFormat="1" applyFont="1" applyBorder="1" applyAlignment="1">
      <alignment horizontal="righ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10" fontId="2" fillId="0" borderId="0" xfId="2" applyNumberFormat="1" applyFont="1" applyAlignment="1">
      <alignmen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5" fontId="2" fillId="0" borderId="0" xfId="1" applyNumberFormat="1" applyFont="1" applyFill="1" applyAlignment="1">
      <alignment horizontal="right"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78" xfId="2" applyNumberFormat="1" applyFont="1" applyFill="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167" fontId="2" fillId="2" borderId="0" xfId="2" applyNumberFormat="1" applyFont="1" applyFill="1" applyBorder="1" applyAlignment="1" applyProtection="1">
      <alignment horizontal="right" vertical="center"/>
    </xf>
    <xf numFmtId="167" fontId="2" fillId="2" borderId="78" xfId="2" applyNumberFormat="1" applyFont="1" applyFill="1" applyBorder="1" applyAlignment="1" applyProtection="1">
      <alignment horizontal="right" vertical="center"/>
    </xf>
    <xf numFmtId="166" fontId="2" fillId="3" borderId="0" xfId="4" applyNumberFormat="1" applyFont="1" applyFill="1" applyBorder="1"/>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7" fontId="2" fillId="0" borderId="0" xfId="0" applyNumberFormat="1" applyFont="1" applyAlignment="1">
      <alignment vertical="center"/>
    </xf>
    <xf numFmtId="43" fontId="2" fillId="0" borderId="50" xfId="0" applyNumberFormat="1" applyFont="1" applyBorder="1" applyAlignment="1">
      <alignment horizontal="left" vertical="center"/>
    </xf>
    <xf numFmtId="37" fontId="2" fillId="0" borderId="0" xfId="0" applyNumberFormat="1" applyFont="1" applyAlignment="1">
      <alignment horizontal="right" vertical="center"/>
    </xf>
    <xf numFmtId="166" fontId="2" fillId="0" borderId="0" xfId="5" applyNumberFormat="1" applyFont="1" applyBorder="1" applyAlignment="1">
      <alignment horizontal="center"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8" fontId="2" fillId="0" borderId="0" xfId="0" applyNumberFormat="1" applyFont="1" applyAlignment="1">
      <alignment vertical="center"/>
    </xf>
    <xf numFmtId="196" fontId="22" fillId="0" borderId="0" xfId="0" applyNumberFormat="1" applyFont="1" applyAlignment="1">
      <alignment horizontal="center" vertical="center"/>
    </xf>
    <xf numFmtId="199" fontId="22" fillId="0" borderId="0" xfId="0" applyNumberFormat="1" applyFont="1" applyAlignment="1">
      <alignment horizontal="center" vertical="center"/>
    </xf>
    <xf numFmtId="200"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201"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43" fontId="2" fillId="0" borderId="0" xfId="5" applyFont="1" applyAlignment="1">
      <alignment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37" fontId="2" fillId="0" borderId="78" xfId="0" applyNumberFormat="1" applyFont="1" applyBorder="1" applyAlignment="1">
      <alignment horizontal="right" vertical="center"/>
    </xf>
    <xf numFmtId="166" fontId="2" fillId="0" borderId="78" xfId="5" applyNumberFormat="1" applyFont="1" applyFill="1" applyBorder="1" applyAlignment="1">
      <alignment horizontal="center" vertical="center"/>
    </xf>
    <xf numFmtId="0" fontId="6" fillId="0" borderId="12" xfId="0" applyFont="1" applyBorder="1" applyAlignment="1">
      <alignment horizontal="center" vertical="top"/>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7" fontId="2" fillId="4" borderId="78" xfId="0" applyNumberFormat="1" applyFont="1" applyFill="1" applyBorder="1" applyAlignment="1">
      <alignment horizontal="right" vertical="center"/>
    </xf>
    <xf numFmtId="165" fontId="2" fillId="0" borderId="79" xfId="0" quotePrefix="1"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79" xfId="0" applyNumberFormat="1" applyFont="1" applyBorder="1" applyAlignment="1">
      <alignment horizontal="center" vertical="center"/>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3" borderId="78" xfId="0" applyNumberFormat="1" applyFont="1" applyFill="1" applyBorder="1" applyAlignment="1">
      <alignment horizontal="righ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5" fontId="2" fillId="2" borderId="79" xfId="0" applyNumberFormat="1" applyFont="1" applyFill="1" applyBorder="1" applyAlignment="1">
      <alignment horizontal="righ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5" fontId="2" fillId="0" borderId="79" xfId="0" applyNumberFormat="1" applyFont="1" applyBorder="1" applyAlignment="1">
      <alignmen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4"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10" fontId="3" fillId="3" borderId="47" xfId="0" applyNumberFormat="1" applyFont="1" applyFill="1" applyBorder="1" applyAlignment="1">
      <alignment horizontal="center"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166" fontId="2" fillId="0" borderId="79" xfId="0" applyNumberFormat="1" applyFont="1" applyBorder="1" applyAlignment="1" applyProtection="1">
      <alignment vertical="center"/>
      <protection locked="0"/>
    </xf>
    <xf numFmtId="0" fontId="2" fillId="0" borderId="77" xfId="0" applyFont="1" applyBorder="1" applyAlignment="1">
      <alignment horizontal="right" vertical="center"/>
    </xf>
    <xf numFmtId="165" fontId="2" fillId="3" borderId="78" xfId="0" applyNumberFormat="1" applyFont="1" applyFill="1" applyBorder="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65" fontId="2" fillId="3" borderId="78" xfId="0" applyNumberFormat="1" applyFont="1" applyFill="1" applyBorder="1" applyAlignment="1" applyProtection="1">
      <alignment vertical="center"/>
      <protection locked="0"/>
    </xf>
    <xf numFmtId="10" fontId="2" fillId="0" borderId="78" xfId="0" applyNumberFormat="1" applyFont="1" applyBorder="1" applyAlignment="1">
      <alignment horizontal="right" vertical="center"/>
    </xf>
    <xf numFmtId="10" fontId="2" fillId="0" borderId="77"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165" fontId="2" fillId="2" borderId="78" xfId="0" applyNumberFormat="1" applyFont="1" applyFill="1" applyBorder="1" applyAlignment="1">
      <alignment horizontal="center" vertical="center"/>
    </xf>
    <xf numFmtId="9" fontId="2" fillId="3" borderId="78" xfId="0" applyNumberFormat="1" applyFont="1" applyFill="1" applyBorder="1" applyAlignment="1">
      <alignment horizontal="right" vertical="center"/>
    </xf>
    <xf numFmtId="185"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 fontId="2" fillId="0" borderId="3" xfId="0" applyNumberFormat="1" applyFont="1" applyBorder="1" applyAlignment="1">
      <alignment horizontal="centerContinuous" vertical="center"/>
    </xf>
    <xf numFmtId="3" fontId="25" fillId="0" borderId="3" xfId="0" applyNumberFormat="1" applyFont="1" applyBorder="1" applyAlignment="1">
      <alignment horizontal="centerContinuous" vertical="center"/>
    </xf>
    <xf numFmtId="3" fontId="2" fillId="0" borderId="54" xfId="0" applyNumberFormat="1" applyFont="1" applyBorder="1" applyAlignment="1">
      <alignment horizontal="centerContinuous" vertical="center"/>
    </xf>
    <xf numFmtId="0" fontId="2" fillId="0" borderId="2" xfId="0" applyFont="1" applyBorder="1" applyAlignment="1">
      <alignment vertical="center"/>
    </xf>
    <xf numFmtId="3" fontId="2" fillId="0" borderId="3" xfId="0" applyNumberFormat="1" applyFont="1" applyBorder="1" applyAlignment="1">
      <alignment horizontal="center" vertical="center"/>
    </xf>
    <xf numFmtId="3" fontId="2" fillId="0" borderId="54" xfId="0" applyNumberFormat="1" applyFont="1" applyBorder="1" applyAlignment="1">
      <alignment vertical="center"/>
    </xf>
    <xf numFmtId="3" fontId="2" fillId="0" borderId="3" xfId="0" applyNumberFormat="1" applyFont="1" applyBorder="1" applyAlignment="1">
      <alignment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3" fillId="0" borderId="0" xfId="0" applyFont="1"/>
    <xf numFmtId="165" fontId="2" fillId="0" borderId="0" xfId="1" applyNumberFormat="1" applyFont="1" applyAlignment="1">
      <alignment horizontal="right" vertical="center"/>
    </xf>
    <xf numFmtId="41" fontId="3" fillId="3" borderId="0" xfId="0" applyNumberFormat="1" applyFont="1" applyFill="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8">
    <cellStyle name="Comma" xfId="5" builtinId="3"/>
    <cellStyle name="Comma 2 10 2" xfId="4" xr:uid="{8BF09D7A-457F-4AD8-B821-566D04E79DA9}"/>
    <cellStyle name="Currency" xfId="1" builtinId="4"/>
    <cellStyle name="Normal" xfId="0" builtinId="0"/>
    <cellStyle name="Normal 2" xfId="3" xr:uid="{EA1BDBBD-80C0-4EC3-9FD8-12009108C041}"/>
    <cellStyle name="Normal 9" xfId="6" xr:uid="{CE561EDF-5522-406D-857E-610FE101F8E5}"/>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0</xdr:col>
      <xdr:colOff>238125</xdr:colOff>
      <xdr:row>36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140</xdr:row>
      <xdr:rowOff>200024</xdr:rowOff>
    </xdr:from>
    <xdr:to>
      <xdr:col>2</xdr:col>
      <xdr:colOff>895350</xdr:colOff>
      <xdr:row>141</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175</xdr:row>
      <xdr:rowOff>-1</xdr:rowOff>
    </xdr:from>
    <xdr:to>
      <xdr:col>2</xdr:col>
      <xdr:colOff>312424</xdr:colOff>
      <xdr:row>175</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174</xdr:row>
      <xdr:rowOff>200024</xdr:rowOff>
    </xdr:from>
    <xdr:to>
      <xdr:col>2</xdr:col>
      <xdr:colOff>895350</xdr:colOff>
      <xdr:row>175</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6" name="Line 1">
          <a:extLst>
            <a:ext uri="{FF2B5EF4-FFF2-40B4-BE49-F238E27FC236}">
              <a16:creationId xmlns:a16="http://schemas.microsoft.com/office/drawing/2014/main" id="{00000000-0008-0000-4C00-000010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4C00-000011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18" name="Line 2">
          <a:extLst>
            <a:ext uri="{FF2B5EF4-FFF2-40B4-BE49-F238E27FC236}">
              <a16:creationId xmlns:a16="http://schemas.microsoft.com/office/drawing/2014/main" id="{00000000-0008-0000-4C00-000012000000}"/>
            </a:ext>
          </a:extLst>
        </xdr:cNvPr>
        <xdr:cNvSpPr>
          <a:spLocks noChangeShapeType="1"/>
        </xdr:cNvSpPr>
      </xdr:nvSpPr>
      <xdr:spPr bwMode="auto">
        <a:xfrm flipV="1">
          <a:off x="1758160" y="28211859"/>
          <a:ext cx="3694901" cy="5953"/>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4C00-000013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EE456A5-9F55-4CEC-B9BB-29DE49841895}"/>
            </a:ext>
          </a:extLst>
        </xdr:cNvPr>
        <xdr:cNvSpPr>
          <a:spLocks noChangeShapeType="1"/>
        </xdr:cNvSpPr>
      </xdr:nvSpPr>
      <xdr:spPr bwMode="auto">
        <a:xfrm>
          <a:off x="1898652" y="3201352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EFB5A788-276C-4A3C-903B-6080BB719F04}"/>
            </a:ext>
          </a:extLst>
        </xdr:cNvPr>
        <xdr:cNvSpPr>
          <a:spLocks noChangeShapeType="1"/>
        </xdr:cNvSpPr>
      </xdr:nvSpPr>
      <xdr:spPr bwMode="auto">
        <a:xfrm flipV="1">
          <a:off x="1758161" y="34956750"/>
          <a:ext cx="3706808"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D81AE629-6BAF-43F2-B4CA-32E5BCB588EF}"/>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51E3CE0D-9105-4FF7-92D8-02C46259FE76}"/>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8D36BF61-8A53-426D-86EB-064ADE44FA0C}"/>
            </a:ext>
          </a:extLst>
        </xdr:cNvPr>
        <xdr:cNvSpPr>
          <a:spLocks noChangeShapeType="1"/>
        </xdr:cNvSpPr>
      </xdr:nvSpPr>
      <xdr:spPr bwMode="auto">
        <a:xfrm>
          <a:off x="1755780" y="49153762"/>
          <a:ext cx="2880994"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4EF5350E-A0FF-43BF-8112-44B11E48CACA}"/>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C6DE9D90-7689-4662-A750-461AC9D6DA19}"/>
            </a:ext>
          </a:extLst>
        </xdr:cNvPr>
        <xdr:cNvSpPr>
          <a:spLocks noChangeShapeType="1"/>
        </xdr:cNvSpPr>
      </xdr:nvSpPr>
      <xdr:spPr bwMode="auto">
        <a:xfrm>
          <a:off x="1755780" y="49156143"/>
          <a:ext cx="2880994" cy="5556"/>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20" name="Line 2">
          <a:extLst>
            <a:ext uri="{FF2B5EF4-FFF2-40B4-BE49-F238E27FC236}">
              <a16:creationId xmlns:a16="http://schemas.microsoft.com/office/drawing/2014/main" id="{9F15288B-6BD3-41FB-ACF2-2589BE68FC00}"/>
            </a:ext>
          </a:extLst>
        </xdr:cNvPr>
        <xdr:cNvSpPr>
          <a:spLocks noChangeShapeType="1"/>
        </xdr:cNvSpPr>
      </xdr:nvSpPr>
      <xdr:spPr bwMode="auto">
        <a:xfrm>
          <a:off x="1755780" y="43324462"/>
          <a:ext cx="28857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1" name="Line 2">
          <a:extLst>
            <a:ext uri="{FF2B5EF4-FFF2-40B4-BE49-F238E27FC236}">
              <a16:creationId xmlns:a16="http://schemas.microsoft.com/office/drawing/2014/main" id="{BD3AEF8B-EB81-4C44-BB31-1897F63C1F3D}"/>
            </a:ext>
          </a:extLst>
        </xdr:cNvPr>
        <xdr:cNvSpPr>
          <a:spLocks noChangeShapeType="1"/>
        </xdr:cNvSpPr>
      </xdr:nvSpPr>
      <xdr:spPr bwMode="auto">
        <a:xfrm>
          <a:off x="1755780" y="43324462"/>
          <a:ext cx="34686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2" name="Line 2">
          <a:extLst>
            <a:ext uri="{FF2B5EF4-FFF2-40B4-BE49-F238E27FC236}">
              <a16:creationId xmlns:a16="http://schemas.microsoft.com/office/drawing/2014/main" id="{83E62ACF-06EA-4B1E-B763-99601034B33B}"/>
            </a:ext>
          </a:extLst>
        </xdr:cNvPr>
        <xdr:cNvSpPr>
          <a:spLocks noChangeShapeType="1"/>
        </xdr:cNvSpPr>
      </xdr:nvSpPr>
      <xdr:spPr bwMode="auto">
        <a:xfrm>
          <a:off x="1755780" y="50034824"/>
          <a:ext cx="28857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3" name="Line 2">
          <a:extLst>
            <a:ext uri="{FF2B5EF4-FFF2-40B4-BE49-F238E27FC236}">
              <a16:creationId xmlns:a16="http://schemas.microsoft.com/office/drawing/2014/main" id="{F6A4BFA5-5BBC-4023-8C8C-977232AF9732}"/>
            </a:ext>
          </a:extLst>
        </xdr:cNvPr>
        <xdr:cNvSpPr>
          <a:spLocks noChangeShapeType="1"/>
        </xdr:cNvSpPr>
      </xdr:nvSpPr>
      <xdr:spPr bwMode="auto">
        <a:xfrm>
          <a:off x="1755780" y="50034824"/>
          <a:ext cx="28857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4" name="Line 2">
          <a:extLst>
            <a:ext uri="{FF2B5EF4-FFF2-40B4-BE49-F238E27FC236}">
              <a16:creationId xmlns:a16="http://schemas.microsoft.com/office/drawing/2014/main" id="{33C5182F-B417-4A48-845E-20B56759CA86}"/>
            </a:ext>
          </a:extLst>
        </xdr:cNvPr>
        <xdr:cNvSpPr>
          <a:spLocks noChangeShapeType="1"/>
        </xdr:cNvSpPr>
      </xdr:nvSpPr>
      <xdr:spPr bwMode="auto">
        <a:xfrm>
          <a:off x="1755780" y="50034825"/>
          <a:ext cx="3468683" cy="95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19"/>
  <sheetViews>
    <sheetView tabSelected="1" zoomScale="80" zoomScaleNormal="80" workbookViewId="0"/>
  </sheetViews>
  <sheetFormatPr defaultColWidth="9.08984375" defaultRowHeight="15.5" x14ac:dyDescent="0.35"/>
  <cols>
    <col min="1" max="1" width="5.08984375" style="34" customWidth="1"/>
    <col min="2" max="2" width="86.08984375" style="34" customWidth="1"/>
    <col min="3" max="3" width="10.453125" style="34" customWidth="1"/>
    <col min="4" max="4" width="1.54296875" style="34" customWidth="1"/>
    <col min="5" max="5" width="16.90625" style="34" customWidth="1"/>
    <col min="6" max="6" width="1.54296875" style="34" customWidth="1"/>
    <col min="7" max="7" width="51.453125" style="34" customWidth="1"/>
    <col min="8" max="8" width="5.08984375" style="4" customWidth="1"/>
    <col min="9" max="9" width="11.453125" style="34" bestFit="1" customWidth="1"/>
    <col min="10" max="10" width="9.453125" style="34" bestFit="1" customWidth="1"/>
    <col min="11" max="11" width="11.453125" style="34" bestFit="1" customWidth="1"/>
    <col min="12" max="12" width="9.90625" style="34" bestFit="1" customWidth="1"/>
    <col min="13" max="16384" width="9.08984375" style="34"/>
  </cols>
  <sheetData>
    <row r="2" spans="1:10" x14ac:dyDescent="0.35">
      <c r="A2" s="4"/>
      <c r="B2" s="1171" t="s">
        <v>0</v>
      </c>
      <c r="C2" s="1172"/>
      <c r="D2" s="1172"/>
      <c r="E2" s="1172"/>
      <c r="F2" s="1172"/>
      <c r="G2" s="1172"/>
    </row>
    <row r="3" spans="1:10" x14ac:dyDescent="0.35">
      <c r="A3" s="4" t="s">
        <v>1</v>
      </c>
      <c r="B3" s="1171" t="s">
        <v>2</v>
      </c>
      <c r="C3" s="1172"/>
      <c r="D3" s="1172"/>
      <c r="E3" s="1172"/>
      <c r="F3" s="1172"/>
      <c r="G3" s="1172"/>
    </row>
    <row r="4" spans="1:10" ht="18" x14ac:dyDescent="0.35">
      <c r="A4" s="4"/>
      <c r="B4" s="1171" t="s">
        <v>3</v>
      </c>
      <c r="C4" s="1173"/>
      <c r="D4" s="1173"/>
      <c r="E4" s="1173"/>
      <c r="F4" s="1173"/>
      <c r="G4" s="1173"/>
    </row>
    <row r="5" spans="1:10" x14ac:dyDescent="0.35">
      <c r="A5" s="4"/>
      <c r="B5" s="1174" t="s">
        <v>4</v>
      </c>
      <c r="C5" s="1174"/>
      <c r="D5" s="1174"/>
      <c r="E5" s="1174"/>
      <c r="F5" s="1174"/>
      <c r="G5" s="1174"/>
    </row>
    <row r="6" spans="1:10" x14ac:dyDescent="0.35">
      <c r="A6" s="4"/>
      <c r="B6" s="1175" t="s">
        <v>5</v>
      </c>
      <c r="C6" s="1172"/>
      <c r="D6" s="1172"/>
      <c r="E6" s="1172"/>
      <c r="F6" s="1172"/>
      <c r="G6" s="1172"/>
    </row>
    <row r="7" spans="1:10" x14ac:dyDescent="0.35">
      <c r="A7" s="4"/>
      <c r="B7" s="272"/>
      <c r="C7" s="1"/>
      <c r="D7" s="1"/>
      <c r="E7" s="1"/>
      <c r="F7" s="1"/>
      <c r="G7" s="1"/>
    </row>
    <row r="8" spans="1:10" x14ac:dyDescent="0.35">
      <c r="A8" s="4" t="s">
        <v>6</v>
      </c>
      <c r="E8" s="27"/>
      <c r="G8" s="4"/>
      <c r="H8" s="4" t="s">
        <v>6</v>
      </c>
    </row>
    <row r="9" spans="1:10" ht="15.75" customHeight="1" x14ac:dyDescent="0.35">
      <c r="A9" s="4" t="s">
        <v>7</v>
      </c>
      <c r="B9" s="1" t="s">
        <v>1</v>
      </c>
      <c r="E9" s="965" t="s">
        <v>8</v>
      </c>
      <c r="G9" s="876" t="s">
        <v>9</v>
      </c>
      <c r="H9" s="4" t="s">
        <v>7</v>
      </c>
    </row>
    <row r="10" spans="1:10" x14ac:dyDescent="0.35">
      <c r="A10" s="4"/>
      <c r="B10" s="256" t="s">
        <v>10</v>
      </c>
      <c r="E10" s="49"/>
      <c r="G10" s="4"/>
    </row>
    <row r="11" spans="1:10" x14ac:dyDescent="0.35">
      <c r="A11" s="4">
        <v>1</v>
      </c>
      <c r="B11" s="35" t="s">
        <v>11</v>
      </c>
      <c r="C11" s="267"/>
      <c r="D11" s="267"/>
      <c r="E11" s="7">
        <f>'Stmt AH'!E19</f>
        <v>104977.4005</v>
      </c>
      <c r="G11" s="4" t="s">
        <v>12</v>
      </c>
      <c r="H11" s="4">
        <f>A11</f>
        <v>1</v>
      </c>
      <c r="I11" s="35"/>
    </row>
    <row r="12" spans="1:10" x14ac:dyDescent="0.35">
      <c r="A12" s="4">
        <f t="shared" ref="A12:A40" si="0">A11+1</f>
        <v>2</v>
      </c>
      <c r="B12" s="35" t="s">
        <v>1</v>
      </c>
      <c r="C12" s="267"/>
      <c r="D12" s="267"/>
      <c r="E12" s="8" t="s">
        <v>1</v>
      </c>
      <c r="G12" s="4"/>
      <c r="H12" s="4">
        <f t="shared" ref="H12:H40" si="1">H11+1</f>
        <v>2</v>
      </c>
      <c r="I12" s="35"/>
    </row>
    <row r="13" spans="1:10" x14ac:dyDescent="0.35">
      <c r="A13" s="4">
        <f t="shared" si="0"/>
        <v>3</v>
      </c>
      <c r="B13" s="35" t="s">
        <v>13</v>
      </c>
      <c r="C13" s="267"/>
      <c r="D13" s="267"/>
      <c r="E13" s="9">
        <f>'Stmt AH'!E41</f>
        <v>99478.28999756636</v>
      </c>
      <c r="F13" s="1"/>
      <c r="G13" s="4" t="s">
        <v>14</v>
      </c>
      <c r="H13" s="4">
        <f t="shared" si="1"/>
        <v>3</v>
      </c>
      <c r="I13" s="35"/>
    </row>
    <row r="14" spans="1:10" x14ac:dyDescent="0.35">
      <c r="A14" s="4">
        <f t="shared" si="0"/>
        <v>4</v>
      </c>
      <c r="B14" s="35"/>
      <c r="C14" s="267"/>
      <c r="D14" s="267"/>
      <c r="E14" s="8"/>
      <c r="F14" s="1"/>
      <c r="G14" s="4"/>
      <c r="H14" s="4">
        <f t="shared" si="1"/>
        <v>4</v>
      </c>
      <c r="J14" s="268"/>
    </row>
    <row r="15" spans="1:10" x14ac:dyDescent="0.35">
      <c r="A15" s="4">
        <f t="shared" si="0"/>
        <v>5</v>
      </c>
      <c r="B15" s="35" t="s">
        <v>15</v>
      </c>
      <c r="C15" s="267"/>
      <c r="D15" s="267"/>
      <c r="E15" s="868">
        <f>-'Stmt AH'!E26</f>
        <v>0</v>
      </c>
      <c r="G15" s="4" t="s">
        <v>16</v>
      </c>
      <c r="H15" s="4">
        <f t="shared" si="1"/>
        <v>5</v>
      </c>
      <c r="J15" s="268"/>
    </row>
    <row r="16" spans="1:10" x14ac:dyDescent="0.35">
      <c r="A16" s="4">
        <f t="shared" si="0"/>
        <v>6</v>
      </c>
      <c r="B16" s="35" t="s">
        <v>17</v>
      </c>
      <c r="C16" s="267"/>
      <c r="D16" s="267"/>
      <c r="E16" s="10">
        <f>E11+E13+E15</f>
        <v>204455.69049756636</v>
      </c>
      <c r="F16" s="1"/>
      <c r="G16" s="4" t="s">
        <v>18</v>
      </c>
      <c r="H16" s="4">
        <f t="shared" si="1"/>
        <v>6</v>
      </c>
      <c r="I16" s="4"/>
      <c r="J16" s="268"/>
    </row>
    <row r="17" spans="1:9" x14ac:dyDescent="0.35">
      <c r="A17" s="4">
        <f t="shared" si="0"/>
        <v>7</v>
      </c>
      <c r="E17" s="6"/>
      <c r="G17" s="4"/>
      <c r="H17" s="4">
        <f t="shared" si="1"/>
        <v>7</v>
      </c>
    </row>
    <row r="18" spans="1:9" x14ac:dyDescent="0.35">
      <c r="A18" s="4">
        <f t="shared" si="0"/>
        <v>8</v>
      </c>
      <c r="B18" s="34" t="s">
        <v>19</v>
      </c>
      <c r="C18" s="267"/>
      <c r="D18" s="267"/>
      <c r="E18" s="7">
        <f>'Stmt AJ'!E27</f>
        <v>256281.36446838771</v>
      </c>
      <c r="F18" s="74"/>
      <c r="G18" s="4" t="s">
        <v>20</v>
      </c>
      <c r="H18" s="4">
        <f t="shared" si="1"/>
        <v>8</v>
      </c>
    </row>
    <row r="19" spans="1:9" x14ac:dyDescent="0.35">
      <c r="A19" s="4">
        <f t="shared" si="0"/>
        <v>9</v>
      </c>
      <c r="E19" s="11" t="s">
        <v>1</v>
      </c>
      <c r="G19" s="4"/>
      <c r="H19" s="4">
        <f t="shared" si="1"/>
        <v>9</v>
      </c>
    </row>
    <row r="20" spans="1:9" ht="18" x14ac:dyDescent="0.35">
      <c r="A20" s="4">
        <f t="shared" si="0"/>
        <v>10</v>
      </c>
      <c r="B20" s="34" t="s">
        <v>21</v>
      </c>
      <c r="E20" s="12">
        <f>'Stmt AJ'!E33</f>
        <v>0</v>
      </c>
      <c r="G20" s="4" t="s">
        <v>22</v>
      </c>
      <c r="H20" s="4">
        <f t="shared" si="1"/>
        <v>10</v>
      </c>
      <c r="I20" s="35"/>
    </row>
    <row r="21" spans="1:9" x14ac:dyDescent="0.35">
      <c r="A21" s="4">
        <f t="shared" si="0"/>
        <v>11</v>
      </c>
      <c r="E21" s="11"/>
      <c r="G21" s="4"/>
      <c r="H21" s="4">
        <f t="shared" si="1"/>
        <v>11</v>
      </c>
    </row>
    <row r="22" spans="1:9" x14ac:dyDescent="0.35">
      <c r="A22" s="4">
        <f t="shared" si="0"/>
        <v>12</v>
      </c>
      <c r="B22" s="34" t="s">
        <v>23</v>
      </c>
      <c r="C22" s="267"/>
      <c r="D22" s="267"/>
      <c r="E22" s="9">
        <f>'Stmt AK'!E23</f>
        <v>66270.772936426758</v>
      </c>
      <c r="F22" s="1"/>
      <c r="G22" s="4" t="s">
        <v>24</v>
      </c>
      <c r="H22" s="4">
        <f t="shared" si="1"/>
        <v>12</v>
      </c>
      <c r="I22" s="35"/>
    </row>
    <row r="23" spans="1:9" x14ac:dyDescent="0.35">
      <c r="A23" s="4">
        <f t="shared" si="0"/>
        <v>13</v>
      </c>
      <c r="B23" s="35"/>
      <c r="C23" s="267"/>
      <c r="D23" s="267"/>
      <c r="E23" s="8"/>
      <c r="G23" s="4"/>
      <c r="H23" s="4">
        <f t="shared" si="1"/>
        <v>13</v>
      </c>
    </row>
    <row r="24" spans="1:9" x14ac:dyDescent="0.35">
      <c r="A24" s="4">
        <f t="shared" si="0"/>
        <v>14</v>
      </c>
      <c r="B24" s="34" t="s">
        <v>25</v>
      </c>
      <c r="C24" s="267"/>
      <c r="D24" s="267"/>
      <c r="E24" s="868">
        <f>'Stmt AK'!E30</f>
        <v>3323.5953616761703</v>
      </c>
      <c r="F24" s="1"/>
      <c r="G24" s="4" t="s">
        <v>26</v>
      </c>
      <c r="H24" s="4">
        <f t="shared" si="1"/>
        <v>14</v>
      </c>
      <c r="I24" s="35"/>
    </row>
    <row r="25" spans="1:9" x14ac:dyDescent="0.35">
      <c r="A25" s="4">
        <f t="shared" si="0"/>
        <v>15</v>
      </c>
      <c r="B25" s="35" t="s">
        <v>27</v>
      </c>
      <c r="C25" s="267"/>
      <c r="D25" s="267"/>
      <c r="E25" s="10">
        <f>SUM(E16+E18+E20+E22+E24)</f>
        <v>530331.42326405703</v>
      </c>
      <c r="F25" s="1"/>
      <c r="G25" s="4" t="s">
        <v>28</v>
      </c>
      <c r="H25" s="4">
        <f t="shared" si="1"/>
        <v>15</v>
      </c>
    </row>
    <row r="26" spans="1:9" x14ac:dyDescent="0.35">
      <c r="A26" s="4">
        <f t="shared" si="0"/>
        <v>16</v>
      </c>
      <c r="B26" s="35"/>
      <c r="C26" s="267"/>
      <c r="D26" s="267"/>
      <c r="E26" s="13"/>
      <c r="G26" s="4"/>
      <c r="H26" s="4">
        <f t="shared" si="1"/>
        <v>16</v>
      </c>
    </row>
    <row r="27" spans="1:9" ht="17.5" x14ac:dyDescent="0.35">
      <c r="A27" s="4">
        <f t="shared" si="0"/>
        <v>17</v>
      </c>
      <c r="B27" s="35" t="s">
        <v>29</v>
      </c>
      <c r="C27" s="267"/>
      <c r="D27" s="267"/>
      <c r="E27" s="14">
        <f>'Stmt AV'!G148</f>
        <v>9.2134790657702317E-2</v>
      </c>
      <c r="G27" s="4" t="s">
        <v>30</v>
      </c>
      <c r="H27" s="4">
        <f t="shared" si="1"/>
        <v>17</v>
      </c>
    </row>
    <row r="28" spans="1:9" x14ac:dyDescent="0.35">
      <c r="A28" s="4">
        <f t="shared" si="0"/>
        <v>18</v>
      </c>
      <c r="B28" s="35" t="s">
        <v>31</v>
      </c>
      <c r="C28" s="267"/>
      <c r="D28" s="267"/>
      <c r="E28" s="870">
        <f>E136</f>
        <v>5032105.0897045555</v>
      </c>
      <c r="G28" s="4" t="s">
        <v>32</v>
      </c>
      <c r="H28" s="4">
        <f t="shared" si="1"/>
        <v>18</v>
      </c>
    </row>
    <row r="29" spans="1:9" x14ac:dyDescent="0.35">
      <c r="A29" s="4">
        <f t="shared" si="0"/>
        <v>19</v>
      </c>
      <c r="B29" s="34" t="s">
        <v>33</v>
      </c>
      <c r="C29" s="267"/>
      <c r="D29" s="267"/>
      <c r="E29" s="966">
        <f>E28*E27</f>
        <v>463631.94900748756</v>
      </c>
      <c r="G29" s="4" t="s">
        <v>34</v>
      </c>
      <c r="H29" s="4">
        <f t="shared" si="1"/>
        <v>19</v>
      </c>
    </row>
    <row r="30" spans="1:9" x14ac:dyDescent="0.35">
      <c r="A30" s="4">
        <f t="shared" si="0"/>
        <v>20</v>
      </c>
      <c r="C30" s="267"/>
      <c r="D30" s="267"/>
      <c r="E30" s="13"/>
      <c r="G30" s="4"/>
      <c r="H30" s="4">
        <f t="shared" si="1"/>
        <v>20</v>
      </c>
    </row>
    <row r="31" spans="1:9" ht="17.5" x14ac:dyDescent="0.35">
      <c r="A31" s="4">
        <f t="shared" si="0"/>
        <v>21</v>
      </c>
      <c r="B31" s="35" t="s">
        <v>35</v>
      </c>
      <c r="C31" s="267"/>
      <c r="D31" s="8"/>
      <c r="E31" s="14">
        <f>'Stmt AV'!G182</f>
        <v>3.7378308604841285E-3</v>
      </c>
      <c r="F31" s="1"/>
      <c r="G31" s="4" t="s">
        <v>36</v>
      </c>
      <c r="H31" s="4">
        <f t="shared" si="1"/>
        <v>21</v>
      </c>
      <c r="I31" s="35"/>
    </row>
    <row r="32" spans="1:9" x14ac:dyDescent="0.35">
      <c r="A32" s="4">
        <f t="shared" si="0"/>
        <v>22</v>
      </c>
      <c r="B32" s="35" t="s">
        <v>31</v>
      </c>
      <c r="C32" s="267"/>
      <c r="D32" s="267"/>
      <c r="E32" s="870">
        <f>E136-E119</f>
        <v>5032105.0897045555</v>
      </c>
      <c r="F32" s="1"/>
      <c r="G32" s="4" t="s">
        <v>37</v>
      </c>
      <c r="H32" s="4">
        <f t="shared" si="1"/>
        <v>22</v>
      </c>
    </row>
    <row r="33" spans="1:9" x14ac:dyDescent="0.35">
      <c r="A33" s="4">
        <f t="shared" si="0"/>
        <v>23</v>
      </c>
      <c r="B33" s="34" t="s">
        <v>38</v>
      </c>
      <c r="E33" s="966">
        <f>E32*E31</f>
        <v>18809.157697496943</v>
      </c>
      <c r="F33" s="1"/>
      <c r="G33" s="4" t="s">
        <v>39</v>
      </c>
      <c r="H33" s="4">
        <f t="shared" si="1"/>
        <v>23</v>
      </c>
    </row>
    <row r="34" spans="1:9" x14ac:dyDescent="0.35">
      <c r="A34" s="4">
        <f t="shared" si="0"/>
        <v>24</v>
      </c>
      <c r="E34" s="10"/>
      <c r="G34" s="4"/>
      <c r="H34" s="4">
        <f t="shared" si="1"/>
        <v>24</v>
      </c>
    </row>
    <row r="35" spans="1:9" x14ac:dyDescent="0.35">
      <c r="A35" s="4">
        <f t="shared" si="0"/>
        <v>25</v>
      </c>
      <c r="B35" s="34" t="s">
        <v>40</v>
      </c>
      <c r="E35" s="7">
        <f>'Stmt AQ'!E13</f>
        <v>1304.0991895338727</v>
      </c>
      <c r="G35" s="4" t="s">
        <v>41</v>
      </c>
      <c r="H35" s="4">
        <f t="shared" si="1"/>
        <v>25</v>
      </c>
      <c r="I35" s="35"/>
    </row>
    <row r="36" spans="1:9" x14ac:dyDescent="0.35">
      <c r="A36" s="4">
        <f t="shared" si="0"/>
        <v>26</v>
      </c>
      <c r="B36" s="34" t="s">
        <v>42</v>
      </c>
      <c r="E36" s="9">
        <f>'Stmt AU'!E23</f>
        <v>-9365.0840000000007</v>
      </c>
      <c r="F36" s="1"/>
      <c r="G36" s="4" t="s">
        <v>43</v>
      </c>
      <c r="H36" s="4">
        <f t="shared" si="1"/>
        <v>26</v>
      </c>
      <c r="I36" s="35"/>
    </row>
    <row r="37" spans="1:9" x14ac:dyDescent="0.35">
      <c r="A37" s="4">
        <f t="shared" si="0"/>
        <v>27</v>
      </c>
      <c r="B37" s="34" t="s">
        <v>44</v>
      </c>
      <c r="E37" s="9">
        <f>'Stmt Misc.'!E10</f>
        <v>0</v>
      </c>
      <c r="G37" s="4" t="s">
        <v>45</v>
      </c>
      <c r="H37" s="4">
        <f t="shared" si="1"/>
        <v>27</v>
      </c>
    </row>
    <row r="38" spans="1:9" x14ac:dyDescent="0.35">
      <c r="A38" s="4">
        <f t="shared" si="0"/>
        <v>28</v>
      </c>
      <c r="B38" s="257" t="s">
        <v>46</v>
      </c>
      <c r="E38" s="868">
        <f>'Stmt AU'!E25</f>
        <v>0</v>
      </c>
      <c r="G38" s="4" t="s">
        <v>47</v>
      </c>
      <c r="H38" s="4">
        <f t="shared" si="1"/>
        <v>28</v>
      </c>
      <c r="I38" s="35"/>
    </row>
    <row r="39" spans="1:9" x14ac:dyDescent="0.35">
      <c r="A39" s="4">
        <f t="shared" si="0"/>
        <v>29</v>
      </c>
      <c r="E39" s="11" t="s">
        <v>1</v>
      </c>
      <c r="G39" s="4"/>
      <c r="H39" s="4">
        <f t="shared" si="1"/>
        <v>29</v>
      </c>
      <c r="I39" s="35"/>
    </row>
    <row r="40" spans="1:9" ht="18" thickBot="1" x14ac:dyDescent="0.4">
      <c r="A40" s="4">
        <f t="shared" si="0"/>
        <v>30</v>
      </c>
      <c r="B40" s="34" t="s">
        <v>48</v>
      </c>
      <c r="C40" s="267"/>
      <c r="D40" s="267"/>
      <c r="E40" s="15">
        <f>E29+E33+E25+SUM(E35:E38)</f>
        <v>1004711.5451585753</v>
      </c>
      <c r="F40" s="1"/>
      <c r="G40" s="4" t="s">
        <v>49</v>
      </c>
      <c r="H40" s="4">
        <f t="shared" si="1"/>
        <v>30</v>
      </c>
      <c r="I40" s="35"/>
    </row>
    <row r="41" spans="1:9" ht="16" thickTop="1" x14ac:dyDescent="0.35">
      <c r="A41" s="4"/>
      <c r="C41" s="267"/>
      <c r="D41" s="267"/>
      <c r="E41" s="16"/>
      <c r="F41" s="1"/>
      <c r="G41" s="4"/>
      <c r="I41" s="35"/>
    </row>
    <row r="42" spans="1:9" x14ac:dyDescent="0.35">
      <c r="A42" s="4"/>
      <c r="C42" s="267"/>
      <c r="D42" s="267"/>
      <c r="E42" s="16"/>
      <c r="F42" s="1"/>
      <c r="G42" s="4"/>
      <c r="I42" s="35"/>
    </row>
    <row r="43" spans="1:9" ht="18" x14ac:dyDescent="0.35">
      <c r="A43" s="261">
        <v>1</v>
      </c>
      <c r="B43" s="34" t="s">
        <v>50</v>
      </c>
      <c r="C43" s="267"/>
      <c r="D43" s="267"/>
      <c r="E43" s="16"/>
      <c r="F43" s="1"/>
      <c r="G43" s="4"/>
      <c r="I43" s="35"/>
    </row>
    <row r="44" spans="1:9" ht="18" x14ac:dyDescent="0.35">
      <c r="A44" s="261"/>
      <c r="C44" s="267"/>
      <c r="D44" s="267"/>
      <c r="E44" s="16"/>
      <c r="F44" s="1"/>
      <c r="G44" s="4"/>
      <c r="I44" s="35"/>
    </row>
    <row r="45" spans="1:9" x14ac:dyDescent="0.35">
      <c r="A45" s="4"/>
      <c r="C45" s="267"/>
      <c r="D45" s="267"/>
      <c r="E45" s="16"/>
      <c r="F45" s="1"/>
      <c r="G45" s="4"/>
      <c r="I45" s="35"/>
    </row>
    <row r="46" spans="1:9" x14ac:dyDescent="0.35">
      <c r="A46" s="4"/>
      <c r="B46" s="1171" t="s">
        <v>0</v>
      </c>
      <c r="C46" s="1172"/>
      <c r="D46" s="1172"/>
      <c r="E46" s="1172"/>
      <c r="F46" s="1172"/>
      <c r="G46" s="1172"/>
      <c r="I46" s="35"/>
    </row>
    <row r="47" spans="1:9" x14ac:dyDescent="0.35">
      <c r="A47" s="4"/>
      <c r="B47" s="1171" t="s">
        <v>2</v>
      </c>
      <c r="C47" s="1172"/>
      <c r="D47" s="1172"/>
      <c r="E47" s="1172"/>
      <c r="F47" s="1172"/>
      <c r="G47" s="1172"/>
      <c r="I47" s="35"/>
    </row>
    <row r="48" spans="1:9" ht="18" x14ac:dyDescent="0.35">
      <c r="A48" s="4"/>
      <c r="B48" s="1171" t="s">
        <v>3</v>
      </c>
      <c r="C48" s="1173"/>
      <c r="D48" s="1173"/>
      <c r="E48" s="1173"/>
      <c r="F48" s="1173"/>
      <c r="G48" s="1173"/>
      <c r="I48" s="35"/>
    </row>
    <row r="49" spans="1:9" x14ac:dyDescent="0.35">
      <c r="A49" s="4"/>
      <c r="B49" s="1176" t="str">
        <f>B5</f>
        <v>For the Base Period &amp; True-Up Period Ending December 31, 2022</v>
      </c>
      <c r="C49" s="1177"/>
      <c r="D49" s="1177"/>
      <c r="E49" s="1177"/>
      <c r="F49" s="1177"/>
      <c r="G49" s="1177"/>
      <c r="I49" s="35"/>
    </row>
    <row r="50" spans="1:9" x14ac:dyDescent="0.35">
      <c r="A50" s="4"/>
      <c r="B50" s="1175" t="s">
        <v>5</v>
      </c>
      <c r="C50" s="1172"/>
      <c r="D50" s="1172"/>
      <c r="E50" s="1172"/>
      <c r="F50" s="1172"/>
      <c r="G50" s="1172"/>
      <c r="I50" s="35"/>
    </row>
    <row r="51" spans="1:9" x14ac:dyDescent="0.35">
      <c r="A51" s="4"/>
      <c r="C51" s="267"/>
      <c r="D51" s="267"/>
      <c r="E51" s="16"/>
      <c r="F51" s="1"/>
      <c r="G51" s="4"/>
      <c r="I51" s="35"/>
    </row>
    <row r="52" spans="1:9" x14ac:dyDescent="0.35">
      <c r="A52" s="4" t="s">
        <v>6</v>
      </c>
      <c r="E52" s="27"/>
      <c r="G52" s="4"/>
      <c r="H52" s="4" t="s">
        <v>6</v>
      </c>
      <c r="I52" s="35"/>
    </row>
    <row r="53" spans="1:9" x14ac:dyDescent="0.35">
      <c r="A53" s="4" t="s">
        <v>7</v>
      </c>
      <c r="B53" s="1" t="s">
        <v>1</v>
      </c>
      <c r="E53" s="965" t="s">
        <v>8</v>
      </c>
      <c r="G53" s="876" t="s">
        <v>9</v>
      </c>
      <c r="H53" s="4" t="s">
        <v>7</v>
      </c>
      <c r="I53" s="35"/>
    </row>
    <row r="54" spans="1:9" ht="18" x14ac:dyDescent="0.35">
      <c r="A54" s="4"/>
      <c r="B54" s="256" t="s">
        <v>51</v>
      </c>
      <c r="E54" s="4"/>
      <c r="G54" s="4"/>
      <c r="I54" s="35"/>
    </row>
    <row r="55" spans="1:9" x14ac:dyDescent="0.35">
      <c r="A55" s="4">
        <v>1</v>
      </c>
      <c r="B55" s="35" t="s">
        <v>52</v>
      </c>
      <c r="C55" s="267"/>
      <c r="D55" s="267"/>
      <c r="E55" s="17">
        <f>'Stmt AJ'!E29</f>
        <v>0</v>
      </c>
      <c r="G55" s="4" t="s">
        <v>53</v>
      </c>
      <c r="H55" s="4">
        <f>A55</f>
        <v>1</v>
      </c>
      <c r="I55" s="35"/>
    </row>
    <row r="56" spans="1:9" x14ac:dyDescent="0.35">
      <c r="A56" s="4">
        <f t="shared" ref="A56:A93" si="2">A55+1</f>
        <v>2</v>
      </c>
      <c r="B56" s="35"/>
      <c r="C56" s="267"/>
      <c r="D56" s="267"/>
      <c r="E56" s="16"/>
      <c r="G56" s="4"/>
      <c r="H56" s="4">
        <f t="shared" ref="H56:H93" si="3">H55+1</f>
        <v>2</v>
      </c>
    </row>
    <row r="57" spans="1:9" ht="18" x14ac:dyDescent="0.35">
      <c r="A57" s="4">
        <f t="shared" si="2"/>
        <v>3</v>
      </c>
      <c r="B57" s="35" t="s">
        <v>54</v>
      </c>
      <c r="C57" s="267"/>
      <c r="D57" s="267"/>
      <c r="E57" s="14">
        <f>IFERROR('Stmt AV'!G225,0)</f>
        <v>1.6900735952303427E-2</v>
      </c>
      <c r="F57" s="269"/>
      <c r="G57" s="4" t="s">
        <v>55</v>
      </c>
      <c r="H57" s="4">
        <f t="shared" si="3"/>
        <v>3</v>
      </c>
    </row>
    <row r="58" spans="1:9" x14ac:dyDescent="0.35">
      <c r="A58" s="4">
        <f t="shared" si="2"/>
        <v>4</v>
      </c>
      <c r="B58" s="34" t="s">
        <v>56</v>
      </c>
      <c r="C58" s="267"/>
      <c r="D58" s="267"/>
      <c r="E58" s="870">
        <f>'BK-1 Retail TRR'!E141</f>
        <v>0</v>
      </c>
      <c r="G58" s="4" t="s">
        <v>57</v>
      </c>
      <c r="H58" s="4">
        <f t="shared" si="3"/>
        <v>4</v>
      </c>
    </row>
    <row r="59" spans="1:9" x14ac:dyDescent="0.35">
      <c r="A59" s="4">
        <f t="shared" si="2"/>
        <v>5</v>
      </c>
      <c r="B59" s="34" t="s">
        <v>58</v>
      </c>
      <c r="E59" s="966">
        <f>E58*E57</f>
        <v>0</v>
      </c>
      <c r="G59" s="4" t="s">
        <v>59</v>
      </c>
      <c r="H59" s="4">
        <f t="shared" si="3"/>
        <v>5</v>
      </c>
    </row>
    <row r="60" spans="1:9" x14ac:dyDescent="0.35">
      <c r="A60" s="4">
        <f t="shared" si="2"/>
        <v>6</v>
      </c>
      <c r="E60" s="10"/>
      <c r="G60" s="4"/>
      <c r="H60" s="4">
        <f t="shared" si="3"/>
        <v>6</v>
      </c>
    </row>
    <row r="61" spans="1:9" ht="17.5" x14ac:dyDescent="0.35">
      <c r="A61" s="4">
        <f t="shared" si="2"/>
        <v>7</v>
      </c>
      <c r="B61" s="35" t="s">
        <v>35</v>
      </c>
      <c r="E61" s="14">
        <f>IFERROR('Stmt AV'!G259,0)</f>
        <v>0</v>
      </c>
      <c r="G61" s="4" t="s">
        <v>60</v>
      </c>
      <c r="H61" s="4">
        <f t="shared" si="3"/>
        <v>7</v>
      </c>
    </row>
    <row r="62" spans="1:9" x14ac:dyDescent="0.35">
      <c r="A62" s="4">
        <f t="shared" si="2"/>
        <v>8</v>
      </c>
      <c r="B62" s="34" t="s">
        <v>56</v>
      </c>
      <c r="E62" s="870">
        <f>'BK-1 Retail TRR'!E141</f>
        <v>0</v>
      </c>
      <c r="G62" s="4" t="s">
        <v>57</v>
      </c>
      <c r="H62" s="4">
        <f t="shared" si="3"/>
        <v>8</v>
      </c>
    </row>
    <row r="63" spans="1:9" x14ac:dyDescent="0.35">
      <c r="A63" s="4">
        <f t="shared" si="2"/>
        <v>9</v>
      </c>
      <c r="B63" s="34" t="s">
        <v>38</v>
      </c>
      <c r="E63" s="966">
        <f>E62*E61</f>
        <v>0</v>
      </c>
      <c r="G63" s="4" t="s">
        <v>61</v>
      </c>
      <c r="H63" s="4">
        <f t="shared" si="3"/>
        <v>9</v>
      </c>
    </row>
    <row r="64" spans="1:9" x14ac:dyDescent="0.35">
      <c r="A64" s="4">
        <f t="shared" si="2"/>
        <v>10</v>
      </c>
      <c r="E64" s="10"/>
      <c r="G64" s="4"/>
      <c r="H64" s="4">
        <f t="shared" si="3"/>
        <v>10</v>
      </c>
    </row>
    <row r="65" spans="1:9" ht="16" thickBot="1" x14ac:dyDescent="0.4">
      <c r="A65" s="4">
        <f t="shared" si="2"/>
        <v>11</v>
      </c>
      <c r="B65" s="34" t="s">
        <v>62</v>
      </c>
      <c r="E65" s="18">
        <f>E55+E59+E63</f>
        <v>0</v>
      </c>
      <c r="G65" s="4" t="s">
        <v>63</v>
      </c>
      <c r="H65" s="4">
        <f t="shared" si="3"/>
        <v>11</v>
      </c>
    </row>
    <row r="66" spans="1:9" ht="16" thickTop="1" x14ac:dyDescent="0.35">
      <c r="A66" s="4">
        <f t="shared" si="2"/>
        <v>12</v>
      </c>
      <c r="E66" s="10"/>
      <c r="G66" s="4"/>
      <c r="H66" s="4">
        <f t="shared" si="3"/>
        <v>12</v>
      </c>
    </row>
    <row r="67" spans="1:9" ht="18" x14ac:dyDescent="0.35">
      <c r="A67" s="4">
        <f t="shared" si="2"/>
        <v>13</v>
      </c>
      <c r="B67" s="36" t="s">
        <v>64</v>
      </c>
      <c r="E67" s="10"/>
      <c r="G67" s="4"/>
      <c r="H67" s="4">
        <f t="shared" si="3"/>
        <v>13</v>
      </c>
    </row>
    <row r="68" spans="1:9" x14ac:dyDescent="0.35">
      <c r="A68" s="4">
        <f t="shared" si="2"/>
        <v>14</v>
      </c>
      <c r="B68" s="35" t="s">
        <v>65</v>
      </c>
      <c r="E68" s="7">
        <f>'Stmt AJ'!E31</f>
        <v>0</v>
      </c>
      <c r="G68" s="4" t="s">
        <v>66</v>
      </c>
      <c r="H68" s="4">
        <f t="shared" si="3"/>
        <v>14</v>
      </c>
    </row>
    <row r="69" spans="1:9" x14ac:dyDescent="0.35">
      <c r="A69" s="4">
        <f t="shared" si="2"/>
        <v>15</v>
      </c>
      <c r="B69" s="35"/>
      <c r="E69" s="19"/>
      <c r="G69" s="4"/>
      <c r="H69" s="4">
        <f t="shared" si="3"/>
        <v>15</v>
      </c>
    </row>
    <row r="70" spans="1:9" x14ac:dyDescent="0.35">
      <c r="A70" s="4">
        <f t="shared" si="2"/>
        <v>16</v>
      </c>
      <c r="B70" s="35" t="s">
        <v>67</v>
      </c>
      <c r="E70" s="7">
        <f>E146</f>
        <v>0</v>
      </c>
      <c r="G70" s="4" t="s">
        <v>68</v>
      </c>
      <c r="H70" s="4">
        <f t="shared" si="3"/>
        <v>16</v>
      </c>
    </row>
    <row r="71" spans="1:9" ht="17.5" x14ac:dyDescent="0.35">
      <c r="A71" s="4">
        <f t="shared" si="2"/>
        <v>17</v>
      </c>
      <c r="B71" s="35" t="s">
        <v>29</v>
      </c>
      <c r="C71" s="267"/>
      <c r="D71" s="8"/>
      <c r="E71" s="914">
        <f>'Stmt AV'!G148</f>
        <v>9.2134790657702317E-2</v>
      </c>
      <c r="F71" s="1"/>
      <c r="G71" s="4" t="s">
        <v>30</v>
      </c>
      <c r="H71" s="4">
        <f t="shared" si="3"/>
        <v>17</v>
      </c>
    </row>
    <row r="72" spans="1:9" x14ac:dyDescent="0.35">
      <c r="A72" s="4">
        <f t="shared" si="2"/>
        <v>18</v>
      </c>
      <c r="B72" s="34" t="s">
        <v>69</v>
      </c>
      <c r="E72" s="966">
        <f>E70*E71</f>
        <v>0</v>
      </c>
      <c r="G72" s="4" t="s">
        <v>70</v>
      </c>
      <c r="H72" s="4">
        <f t="shared" si="3"/>
        <v>18</v>
      </c>
    </row>
    <row r="73" spans="1:9" x14ac:dyDescent="0.35">
      <c r="A73" s="4">
        <f t="shared" si="2"/>
        <v>19</v>
      </c>
      <c r="E73" s="10"/>
      <c r="G73" s="4"/>
      <c r="H73" s="4">
        <f t="shared" si="3"/>
        <v>19</v>
      </c>
    </row>
    <row r="74" spans="1:9" x14ac:dyDescent="0.35">
      <c r="A74" s="4">
        <f t="shared" si="2"/>
        <v>20</v>
      </c>
      <c r="B74" s="35" t="s">
        <v>67</v>
      </c>
      <c r="E74" s="7">
        <f>E146</f>
        <v>0</v>
      </c>
      <c r="G74" s="4" t="s">
        <v>68</v>
      </c>
      <c r="H74" s="4">
        <f t="shared" si="3"/>
        <v>20</v>
      </c>
    </row>
    <row r="75" spans="1:9" ht="17.5" x14ac:dyDescent="0.35">
      <c r="A75" s="4">
        <f t="shared" si="2"/>
        <v>21</v>
      </c>
      <c r="B75" s="35" t="s">
        <v>35</v>
      </c>
      <c r="C75" s="8"/>
      <c r="D75" s="8"/>
      <c r="E75" s="967">
        <v>0</v>
      </c>
      <c r="F75" s="1"/>
      <c r="G75" s="4" t="s">
        <v>71</v>
      </c>
      <c r="H75" s="4">
        <f t="shared" si="3"/>
        <v>21</v>
      </c>
      <c r="I75" s="8"/>
    </row>
    <row r="76" spans="1:9" x14ac:dyDescent="0.35">
      <c r="A76" s="4">
        <f t="shared" si="2"/>
        <v>22</v>
      </c>
      <c r="B76" s="34" t="s">
        <v>72</v>
      </c>
      <c r="E76" s="966">
        <f>E74*E75</f>
        <v>0</v>
      </c>
      <c r="G76" s="4" t="s">
        <v>73</v>
      </c>
      <c r="H76" s="4">
        <f t="shared" si="3"/>
        <v>22</v>
      </c>
    </row>
    <row r="77" spans="1:9" x14ac:dyDescent="0.35">
      <c r="A77" s="4">
        <f t="shared" si="2"/>
        <v>23</v>
      </c>
      <c r="E77" s="10"/>
      <c r="G77" s="4"/>
      <c r="H77" s="4">
        <f t="shared" si="3"/>
        <v>23</v>
      </c>
    </row>
    <row r="78" spans="1:9" ht="16" thickBot="1" x14ac:dyDescent="0.4">
      <c r="A78" s="4">
        <f t="shared" si="2"/>
        <v>24</v>
      </c>
      <c r="B78" s="34" t="s">
        <v>74</v>
      </c>
      <c r="E78" s="18">
        <f>E68+E72+E76</f>
        <v>0</v>
      </c>
      <c r="G78" s="4" t="s">
        <v>75</v>
      </c>
      <c r="H78" s="4">
        <f t="shared" si="3"/>
        <v>24</v>
      </c>
    </row>
    <row r="79" spans="1:9" ht="16" thickTop="1" x14ac:dyDescent="0.35">
      <c r="A79" s="4">
        <f t="shared" si="2"/>
        <v>25</v>
      </c>
      <c r="E79" s="10"/>
      <c r="G79" s="4"/>
      <c r="H79" s="4">
        <f t="shared" si="3"/>
        <v>25</v>
      </c>
    </row>
    <row r="80" spans="1:9" ht="18" x14ac:dyDescent="0.35">
      <c r="A80" s="4">
        <f t="shared" si="2"/>
        <v>26</v>
      </c>
      <c r="B80" s="36" t="s">
        <v>76</v>
      </c>
      <c r="C80" s="267"/>
      <c r="D80" s="267"/>
      <c r="E80" s="16"/>
      <c r="G80" s="4"/>
      <c r="H80" s="4">
        <f t="shared" si="3"/>
        <v>26</v>
      </c>
    </row>
    <row r="81" spans="1:8" x14ac:dyDescent="0.35">
      <c r="A81" s="4">
        <f t="shared" si="2"/>
        <v>27</v>
      </c>
      <c r="B81" s="34" t="s">
        <v>77</v>
      </c>
      <c r="C81" s="267"/>
      <c r="D81" s="267"/>
      <c r="E81" s="17">
        <f>E148</f>
        <v>0</v>
      </c>
      <c r="G81" s="4" t="s">
        <v>78</v>
      </c>
      <c r="H81" s="4">
        <f t="shared" si="3"/>
        <v>27</v>
      </c>
    </row>
    <row r="82" spans="1:8" ht="17.5" x14ac:dyDescent="0.35">
      <c r="A82" s="4">
        <f t="shared" si="2"/>
        <v>28</v>
      </c>
      <c r="B82" s="35" t="s">
        <v>29</v>
      </c>
      <c r="C82" s="267"/>
      <c r="D82" s="267"/>
      <c r="E82" s="20">
        <f>'Stmt AV'!G148</f>
        <v>9.2134790657702317E-2</v>
      </c>
      <c r="F82" s="1"/>
      <c r="G82" s="4" t="s">
        <v>30</v>
      </c>
      <c r="H82" s="4">
        <f t="shared" si="3"/>
        <v>28</v>
      </c>
    </row>
    <row r="83" spans="1:8" x14ac:dyDescent="0.35">
      <c r="A83" s="4">
        <f t="shared" si="2"/>
        <v>29</v>
      </c>
      <c r="B83" s="34" t="s">
        <v>79</v>
      </c>
      <c r="C83" s="267"/>
      <c r="D83" s="267"/>
      <c r="E83" s="968">
        <f>E81*E82</f>
        <v>0</v>
      </c>
      <c r="G83" s="4" t="s">
        <v>80</v>
      </c>
      <c r="H83" s="4">
        <f t="shared" si="3"/>
        <v>29</v>
      </c>
    </row>
    <row r="84" spans="1:8" x14ac:dyDescent="0.35">
      <c r="A84" s="4">
        <f t="shared" si="2"/>
        <v>30</v>
      </c>
      <c r="C84" s="267"/>
      <c r="D84" s="267"/>
      <c r="E84" s="16"/>
      <c r="G84" s="4"/>
      <c r="H84" s="4">
        <f t="shared" si="3"/>
        <v>30</v>
      </c>
    </row>
    <row r="85" spans="1:8" x14ac:dyDescent="0.35">
      <c r="A85" s="4">
        <f t="shared" si="2"/>
        <v>31</v>
      </c>
      <c r="B85" s="34" t="s">
        <v>77</v>
      </c>
      <c r="C85" s="267"/>
      <c r="D85" s="267"/>
      <c r="E85" s="17">
        <f>E148</f>
        <v>0</v>
      </c>
      <c r="G85" s="4" t="s">
        <v>78</v>
      </c>
      <c r="H85" s="4">
        <f t="shared" si="3"/>
        <v>31</v>
      </c>
    </row>
    <row r="86" spans="1:8" ht="17.5" x14ac:dyDescent="0.35">
      <c r="A86" s="4">
        <f t="shared" si="2"/>
        <v>32</v>
      </c>
      <c r="B86" s="35" t="s">
        <v>35</v>
      </c>
      <c r="C86" s="267"/>
      <c r="D86" s="267"/>
      <c r="E86" s="20">
        <f>'Stmt AV'!G182</f>
        <v>3.7378308604841285E-3</v>
      </c>
      <c r="F86" s="1"/>
      <c r="G86" s="4" t="s">
        <v>36</v>
      </c>
      <c r="H86" s="4">
        <f t="shared" si="3"/>
        <v>32</v>
      </c>
    </row>
    <row r="87" spans="1:8" x14ac:dyDescent="0.35">
      <c r="A87" s="4">
        <f t="shared" si="2"/>
        <v>33</v>
      </c>
      <c r="B87" s="34" t="s">
        <v>81</v>
      </c>
      <c r="C87" s="267"/>
      <c r="D87" s="267"/>
      <c r="E87" s="968">
        <f>E85*E86</f>
        <v>0</v>
      </c>
      <c r="G87" s="4" t="s">
        <v>82</v>
      </c>
      <c r="H87" s="4">
        <f t="shared" si="3"/>
        <v>33</v>
      </c>
    </row>
    <row r="88" spans="1:8" x14ac:dyDescent="0.35">
      <c r="A88" s="4">
        <f t="shared" si="2"/>
        <v>34</v>
      </c>
      <c r="C88" s="267"/>
      <c r="D88" s="267"/>
      <c r="E88" s="16"/>
      <c r="G88" s="4"/>
      <c r="H88" s="4">
        <f t="shared" si="3"/>
        <v>34</v>
      </c>
    </row>
    <row r="89" spans="1:8" ht="16" thickBot="1" x14ac:dyDescent="0.4">
      <c r="A89" s="4">
        <f t="shared" si="2"/>
        <v>35</v>
      </c>
      <c r="B89" s="34" t="s">
        <v>83</v>
      </c>
      <c r="C89" s="267"/>
      <c r="D89" s="267"/>
      <c r="E89" s="18">
        <f>E83+E87</f>
        <v>0</v>
      </c>
      <c r="G89" s="4" t="s">
        <v>84</v>
      </c>
      <c r="H89" s="4">
        <f t="shared" si="3"/>
        <v>35</v>
      </c>
    </row>
    <row r="90" spans="1:8" ht="16" thickTop="1" x14ac:dyDescent="0.35">
      <c r="A90" s="4">
        <f t="shared" si="2"/>
        <v>36</v>
      </c>
      <c r="C90" s="267"/>
      <c r="D90" s="267"/>
      <c r="E90" s="16"/>
      <c r="G90" s="4"/>
      <c r="H90" s="4">
        <f t="shared" si="3"/>
        <v>36</v>
      </c>
    </row>
    <row r="91" spans="1:8" ht="18" thickBot="1" x14ac:dyDescent="0.4">
      <c r="A91" s="4">
        <f t="shared" si="2"/>
        <v>37</v>
      </c>
      <c r="B91" s="34" t="s">
        <v>85</v>
      </c>
      <c r="E91" s="15">
        <f>E65+E78+E89</f>
        <v>0</v>
      </c>
      <c r="G91" s="4" t="s">
        <v>86</v>
      </c>
      <c r="H91" s="4">
        <f t="shared" si="3"/>
        <v>37</v>
      </c>
    </row>
    <row r="92" spans="1:8" ht="16" thickTop="1" x14ac:dyDescent="0.35">
      <c r="A92" s="4">
        <f t="shared" si="2"/>
        <v>38</v>
      </c>
      <c r="C92" s="267"/>
      <c r="D92" s="267"/>
      <c r="E92" s="16"/>
      <c r="G92" s="4"/>
      <c r="H92" s="4">
        <f t="shared" si="3"/>
        <v>38</v>
      </c>
    </row>
    <row r="93" spans="1:8" ht="18.5" thickBot="1" x14ac:dyDescent="0.4">
      <c r="A93" s="4">
        <f t="shared" si="2"/>
        <v>39</v>
      </c>
      <c r="B93" s="36" t="s">
        <v>87</v>
      </c>
      <c r="C93" s="267"/>
      <c r="D93" s="267"/>
      <c r="E93" s="15">
        <f>+E40+E91</f>
        <v>1004711.5451585753</v>
      </c>
      <c r="F93" s="1"/>
      <c r="G93" s="4" t="s">
        <v>88</v>
      </c>
      <c r="H93" s="4">
        <f t="shared" si="3"/>
        <v>39</v>
      </c>
    </row>
    <row r="94" spans="1:8" ht="16" thickTop="1" x14ac:dyDescent="0.35">
      <c r="A94" s="4"/>
      <c r="B94" s="36"/>
      <c r="C94" s="267"/>
      <c r="D94" s="267"/>
      <c r="E94" s="16"/>
      <c r="F94" s="1"/>
      <c r="G94" s="4"/>
    </row>
    <row r="95" spans="1:8" x14ac:dyDescent="0.35">
      <c r="A95" s="4"/>
      <c r="B95" s="36"/>
      <c r="C95" s="267"/>
      <c r="D95" s="267"/>
      <c r="E95" s="16"/>
      <c r="F95" s="1"/>
      <c r="G95" s="4"/>
    </row>
    <row r="96" spans="1:8" ht="18" x14ac:dyDescent="0.35">
      <c r="A96" s="261">
        <v>1</v>
      </c>
      <c r="B96" s="34" t="s">
        <v>50</v>
      </c>
      <c r="C96" s="267"/>
      <c r="D96" s="267"/>
      <c r="E96" s="16"/>
      <c r="G96" s="4"/>
    </row>
    <row r="97" spans="1:8" ht="18" x14ac:dyDescent="0.35">
      <c r="A97" s="261">
        <v>2</v>
      </c>
      <c r="B97" s="34" t="s">
        <v>89</v>
      </c>
      <c r="C97" s="267"/>
      <c r="D97" s="267"/>
      <c r="E97" s="21"/>
      <c r="F97" s="74"/>
      <c r="G97" s="4"/>
    </row>
    <row r="98" spans="1:8" ht="18" x14ac:dyDescent="0.35">
      <c r="A98" s="261">
        <v>3</v>
      </c>
      <c r="B98" s="34" t="s">
        <v>90</v>
      </c>
      <c r="C98" s="267"/>
      <c r="D98" s="267"/>
      <c r="E98" s="16"/>
      <c r="G98" s="4"/>
    </row>
    <row r="99" spans="1:8" x14ac:dyDescent="0.35">
      <c r="A99" s="4"/>
      <c r="B99" s="1"/>
      <c r="C99" s="267"/>
      <c r="D99" s="267"/>
      <c r="E99" s="16"/>
      <c r="G99" s="4"/>
    </row>
    <row r="100" spans="1:8" x14ac:dyDescent="0.35">
      <c r="A100" s="4"/>
      <c r="C100" s="267"/>
      <c r="D100" s="267"/>
      <c r="E100" s="16"/>
      <c r="G100" s="4"/>
    </row>
    <row r="101" spans="1:8" x14ac:dyDescent="0.35">
      <c r="A101" s="4"/>
      <c r="B101" s="1171" t="s">
        <v>0</v>
      </c>
      <c r="C101" s="1172"/>
      <c r="D101" s="1172"/>
      <c r="E101" s="1172"/>
      <c r="F101" s="1172"/>
      <c r="G101" s="1172"/>
    </row>
    <row r="102" spans="1:8" x14ac:dyDescent="0.35">
      <c r="A102" s="4"/>
      <c r="B102" s="1171" t="s">
        <v>2</v>
      </c>
      <c r="C102" s="1172"/>
      <c r="D102" s="1172"/>
      <c r="E102" s="1172"/>
      <c r="F102" s="1172"/>
      <c r="G102" s="1172"/>
    </row>
    <row r="103" spans="1:8" ht="18" x14ac:dyDescent="0.35">
      <c r="A103" s="4" t="s">
        <v>1</v>
      </c>
      <c r="B103" s="1171" t="s">
        <v>3</v>
      </c>
      <c r="C103" s="1173"/>
      <c r="D103" s="1173"/>
      <c r="E103" s="1173"/>
      <c r="F103" s="1173"/>
      <c r="G103" s="1173"/>
      <c r="H103" s="4" t="s">
        <v>1</v>
      </c>
    </row>
    <row r="104" spans="1:8" x14ac:dyDescent="0.35">
      <c r="A104" s="4"/>
      <c r="B104" s="1176" t="str">
        <f>B5</f>
        <v>For the Base Period &amp; True-Up Period Ending December 31, 2022</v>
      </c>
      <c r="C104" s="1177"/>
      <c r="D104" s="1177"/>
      <c r="E104" s="1177"/>
      <c r="F104" s="1177"/>
      <c r="G104" s="1177"/>
    </row>
    <row r="105" spans="1:8" x14ac:dyDescent="0.35">
      <c r="A105" s="4"/>
      <c r="B105" s="1175" t="s">
        <v>5</v>
      </c>
      <c r="C105" s="1172"/>
      <c r="D105" s="1172"/>
      <c r="E105" s="1172"/>
      <c r="F105" s="1172"/>
      <c r="G105" s="1172"/>
    </row>
    <row r="106" spans="1:8" x14ac:dyDescent="0.35">
      <c r="A106" s="4"/>
      <c r="B106" s="272"/>
      <c r="C106" s="1"/>
      <c r="D106" s="1"/>
      <c r="E106" s="1"/>
      <c r="F106" s="1"/>
      <c r="G106" s="1"/>
    </row>
    <row r="107" spans="1:8" x14ac:dyDescent="0.35">
      <c r="A107" s="4" t="s">
        <v>6</v>
      </c>
      <c r="E107" s="27"/>
      <c r="G107" s="4"/>
      <c r="H107" s="4" t="s">
        <v>6</v>
      </c>
    </row>
    <row r="108" spans="1:8" x14ac:dyDescent="0.35">
      <c r="A108" s="4" t="s">
        <v>7</v>
      </c>
      <c r="B108" s="1" t="s">
        <v>1</v>
      </c>
      <c r="E108" s="965" t="s">
        <v>8</v>
      </c>
      <c r="G108" s="876" t="s">
        <v>9</v>
      </c>
      <c r="H108" s="4" t="s">
        <v>7</v>
      </c>
    </row>
    <row r="109" spans="1:8" x14ac:dyDescent="0.35">
      <c r="A109" s="4"/>
      <c r="B109" s="256" t="s">
        <v>91</v>
      </c>
      <c r="C109" s="270"/>
      <c r="D109" s="270"/>
      <c r="E109" s="270"/>
      <c r="G109" s="4"/>
    </row>
    <row r="110" spans="1:8" x14ac:dyDescent="0.35">
      <c r="A110" s="4">
        <v>1</v>
      </c>
      <c r="B110" s="258" t="s">
        <v>92</v>
      </c>
      <c r="C110" s="270"/>
      <c r="D110" s="270"/>
      <c r="E110" s="270"/>
      <c r="G110" s="4"/>
      <c r="H110" s="4">
        <f>A110</f>
        <v>1</v>
      </c>
    </row>
    <row r="111" spans="1:8" x14ac:dyDescent="0.35">
      <c r="A111" s="4">
        <f t="shared" ref="A111:A148" si="4">A110+1</f>
        <v>2</v>
      </c>
      <c r="B111" s="35" t="s">
        <v>93</v>
      </c>
      <c r="C111" s="270"/>
      <c r="D111" s="270"/>
      <c r="E111" s="22">
        <f>E179</f>
        <v>5742870.3885823078</v>
      </c>
      <c r="F111" s="74"/>
      <c r="G111" s="4" t="s">
        <v>94</v>
      </c>
      <c r="H111" s="4">
        <f t="shared" ref="H111:H147" si="5">H110+1</f>
        <v>2</v>
      </c>
    </row>
    <row r="112" spans="1:8" x14ac:dyDescent="0.35">
      <c r="A112" s="4">
        <f t="shared" si="4"/>
        <v>3</v>
      </c>
      <c r="B112" s="35" t="s">
        <v>95</v>
      </c>
      <c r="C112" s="270"/>
      <c r="D112" s="270"/>
      <c r="E112" s="23">
        <f>E180</f>
        <v>6027.5670815509511</v>
      </c>
      <c r="F112" s="74"/>
      <c r="G112" s="4" t="s">
        <v>96</v>
      </c>
      <c r="H112" s="4">
        <f t="shared" si="5"/>
        <v>3</v>
      </c>
    </row>
    <row r="113" spans="1:9" x14ac:dyDescent="0.35">
      <c r="A113" s="4">
        <f t="shared" si="4"/>
        <v>4</v>
      </c>
      <c r="B113" s="35" t="s">
        <v>97</v>
      </c>
      <c r="C113" s="270"/>
      <c r="D113" s="270"/>
      <c r="E113" s="23">
        <f>E181</f>
        <v>62222.482626642326</v>
      </c>
      <c r="G113" s="4" t="s">
        <v>98</v>
      </c>
      <c r="H113" s="4">
        <f t="shared" si="5"/>
        <v>4</v>
      </c>
    </row>
    <row r="114" spans="1:9" x14ac:dyDescent="0.35">
      <c r="A114" s="4">
        <f t="shared" si="4"/>
        <v>5</v>
      </c>
      <c r="B114" s="35" t="s">
        <v>99</v>
      </c>
      <c r="C114" s="270"/>
      <c r="D114" s="270"/>
      <c r="E114" s="969">
        <f>E182</f>
        <v>175604.14782214613</v>
      </c>
      <c r="G114" s="4" t="s">
        <v>100</v>
      </c>
      <c r="H114" s="4">
        <f t="shared" si="5"/>
        <v>5</v>
      </c>
    </row>
    <row r="115" spans="1:9" x14ac:dyDescent="0.35">
      <c r="A115" s="4">
        <f t="shared" si="4"/>
        <v>6</v>
      </c>
      <c r="B115" s="35" t="s">
        <v>101</v>
      </c>
      <c r="C115" s="4"/>
      <c r="D115" s="4"/>
      <c r="E115" s="966">
        <f>SUM(E111:E114)</f>
        <v>5986724.5861126473</v>
      </c>
      <c r="F115" s="74"/>
      <c r="G115" s="4" t="s">
        <v>102</v>
      </c>
      <c r="H115" s="4">
        <f t="shared" si="5"/>
        <v>6</v>
      </c>
    </row>
    <row r="116" spans="1:9" x14ac:dyDescent="0.35">
      <c r="A116" s="4">
        <f t="shared" si="4"/>
        <v>7</v>
      </c>
      <c r="C116" s="4"/>
      <c r="D116" s="4"/>
      <c r="E116" s="11"/>
      <c r="G116" s="4"/>
      <c r="H116" s="4">
        <f t="shared" si="5"/>
        <v>7</v>
      </c>
    </row>
    <row r="117" spans="1:9" x14ac:dyDescent="0.35">
      <c r="A117" s="4">
        <f t="shared" si="4"/>
        <v>8</v>
      </c>
      <c r="B117" s="258" t="s">
        <v>103</v>
      </c>
      <c r="C117" s="4"/>
      <c r="D117" s="4"/>
      <c r="E117" s="11"/>
      <c r="G117" s="4"/>
      <c r="H117" s="4">
        <f t="shared" si="5"/>
        <v>8</v>
      </c>
    </row>
    <row r="118" spans="1:9" x14ac:dyDescent="0.35">
      <c r="A118" s="4">
        <f t="shared" si="4"/>
        <v>9</v>
      </c>
      <c r="B118" s="35" t="s">
        <v>104</v>
      </c>
      <c r="C118" s="4"/>
      <c r="D118" s="4"/>
      <c r="E118" s="24">
        <f>'Stmt AG'!E11</f>
        <v>0</v>
      </c>
      <c r="F118" s="74"/>
      <c r="G118" s="4" t="s">
        <v>105</v>
      </c>
      <c r="H118" s="4">
        <f t="shared" si="5"/>
        <v>9</v>
      </c>
    </row>
    <row r="119" spans="1:9" x14ac:dyDescent="0.35">
      <c r="A119" s="4">
        <f t="shared" si="4"/>
        <v>10</v>
      </c>
      <c r="B119" s="35" t="s">
        <v>106</v>
      </c>
      <c r="C119" s="4"/>
      <c r="D119" s="4"/>
      <c r="E119" s="25">
        <f>'Stmt Misc.'!E12</f>
        <v>0</v>
      </c>
      <c r="G119" s="4" t="s">
        <v>107</v>
      </c>
      <c r="H119" s="4">
        <f t="shared" si="5"/>
        <v>10</v>
      </c>
    </row>
    <row r="120" spans="1:9" x14ac:dyDescent="0.35">
      <c r="A120" s="4">
        <f t="shared" si="4"/>
        <v>11</v>
      </c>
      <c r="B120" s="35" t="s">
        <v>108</v>
      </c>
      <c r="C120" s="4"/>
      <c r="D120" s="4"/>
      <c r="E120" s="970">
        <f>SUM(E118:E119)</f>
        <v>0</v>
      </c>
      <c r="F120" s="74"/>
      <c r="G120" s="4" t="s">
        <v>109</v>
      </c>
      <c r="H120" s="4">
        <f t="shared" si="5"/>
        <v>11</v>
      </c>
    </row>
    <row r="121" spans="1:9" x14ac:dyDescent="0.35">
      <c r="A121" s="4">
        <f t="shared" si="4"/>
        <v>12</v>
      </c>
      <c r="B121" s="35"/>
      <c r="C121" s="4"/>
      <c r="D121" s="4"/>
      <c r="E121" s="16"/>
      <c r="G121" s="4"/>
      <c r="H121" s="4">
        <f t="shared" si="5"/>
        <v>12</v>
      </c>
    </row>
    <row r="122" spans="1:9" x14ac:dyDescent="0.35">
      <c r="A122" s="4">
        <f t="shared" si="4"/>
        <v>13</v>
      </c>
      <c r="B122" s="258" t="s">
        <v>110</v>
      </c>
      <c r="E122" s="11"/>
      <c r="G122" s="4"/>
      <c r="H122" s="4">
        <f t="shared" si="5"/>
        <v>13</v>
      </c>
    </row>
    <row r="123" spans="1:9" ht="18" x14ac:dyDescent="0.35">
      <c r="A123" s="4">
        <f t="shared" si="4"/>
        <v>14</v>
      </c>
      <c r="B123" s="34" t="s">
        <v>111</v>
      </c>
      <c r="C123" s="4"/>
      <c r="D123" s="4"/>
      <c r="E123" s="7">
        <f>'Stmt AF'!I17</f>
        <v>-1060897.3885313731</v>
      </c>
      <c r="G123" s="4" t="s">
        <v>112</v>
      </c>
      <c r="H123" s="4">
        <f t="shared" si="5"/>
        <v>14</v>
      </c>
      <c r="I123" s="915"/>
    </row>
    <row r="124" spans="1:9" x14ac:dyDescent="0.35">
      <c r="A124" s="4">
        <f t="shared" si="4"/>
        <v>15</v>
      </c>
      <c r="B124" s="34" t="s">
        <v>113</v>
      </c>
      <c r="C124" s="4"/>
      <c r="D124" s="4"/>
      <c r="E124" s="9">
        <f>'Stmt AF'!I21</f>
        <v>0</v>
      </c>
      <c r="G124" s="4" t="s">
        <v>114</v>
      </c>
      <c r="H124" s="4">
        <f t="shared" si="5"/>
        <v>15</v>
      </c>
    </row>
    <row r="125" spans="1:9" x14ac:dyDescent="0.35">
      <c r="A125" s="4">
        <f t="shared" si="4"/>
        <v>16</v>
      </c>
      <c r="B125" s="35" t="s">
        <v>115</v>
      </c>
      <c r="C125" s="4"/>
      <c r="D125" s="4"/>
      <c r="E125" s="966">
        <f>SUM(E123:E124)</f>
        <v>-1060897.3885313731</v>
      </c>
      <c r="G125" s="4" t="s">
        <v>116</v>
      </c>
      <c r="H125" s="4">
        <f t="shared" si="5"/>
        <v>16</v>
      </c>
    </row>
    <row r="126" spans="1:9" x14ac:dyDescent="0.35">
      <c r="A126" s="4">
        <f t="shared" si="4"/>
        <v>17</v>
      </c>
      <c r="C126" s="4"/>
      <c r="D126" s="4"/>
      <c r="E126" s="8"/>
      <c r="G126" s="4"/>
      <c r="H126" s="4">
        <f t="shared" si="5"/>
        <v>17</v>
      </c>
    </row>
    <row r="127" spans="1:9" x14ac:dyDescent="0.35">
      <c r="A127" s="4">
        <f t="shared" si="4"/>
        <v>18</v>
      </c>
      <c r="B127" s="258" t="s">
        <v>117</v>
      </c>
      <c r="C127" s="4"/>
      <c r="D127" s="4"/>
      <c r="E127" s="8"/>
      <c r="G127" s="4"/>
      <c r="H127" s="4">
        <f t="shared" si="5"/>
        <v>18</v>
      </c>
    </row>
    <row r="128" spans="1:9" x14ac:dyDescent="0.35">
      <c r="A128" s="4">
        <f t="shared" si="4"/>
        <v>19</v>
      </c>
      <c r="B128" s="35" t="s">
        <v>118</v>
      </c>
      <c r="C128" s="4"/>
      <c r="D128" s="4"/>
      <c r="E128" s="22">
        <f>'Stmt AL'!G15</f>
        <v>46789.030824354108</v>
      </c>
      <c r="F128" s="74"/>
      <c r="G128" s="4" t="s">
        <v>119</v>
      </c>
      <c r="H128" s="4">
        <f t="shared" si="5"/>
        <v>19</v>
      </c>
    </row>
    <row r="129" spans="1:9" x14ac:dyDescent="0.35">
      <c r="A129" s="4">
        <f t="shared" si="4"/>
        <v>20</v>
      </c>
      <c r="B129" s="35" t="s">
        <v>120</v>
      </c>
      <c r="C129" s="4"/>
      <c r="D129" s="4"/>
      <c r="E129" s="23">
        <f>'Stmt AL'!G19</f>
        <v>44866.127949034191</v>
      </c>
      <c r="F129" s="74"/>
      <c r="G129" s="4" t="s">
        <v>121</v>
      </c>
      <c r="H129" s="4">
        <f t="shared" si="5"/>
        <v>20</v>
      </c>
    </row>
    <row r="130" spans="1:9" x14ac:dyDescent="0.35">
      <c r="A130" s="4">
        <f t="shared" si="4"/>
        <v>21</v>
      </c>
      <c r="B130" s="35" t="s">
        <v>122</v>
      </c>
      <c r="C130" s="4"/>
      <c r="D130" s="4"/>
      <c r="E130" s="969">
        <f>'Stmt AL'!E29</f>
        <v>25556.961312195795</v>
      </c>
      <c r="F130" s="1"/>
      <c r="G130" s="4" t="s">
        <v>123</v>
      </c>
      <c r="H130" s="4">
        <f t="shared" si="5"/>
        <v>21</v>
      </c>
    </row>
    <row r="131" spans="1:9" x14ac:dyDescent="0.35">
      <c r="A131" s="4">
        <f t="shared" si="4"/>
        <v>22</v>
      </c>
      <c r="B131" s="35" t="s">
        <v>124</v>
      </c>
      <c r="E131" s="966">
        <f>SUM(E128:E130)</f>
        <v>117212.1200855841</v>
      </c>
      <c r="F131" s="1"/>
      <c r="G131" s="4" t="s">
        <v>125</v>
      </c>
      <c r="H131" s="4">
        <f t="shared" si="5"/>
        <v>22</v>
      </c>
    </row>
    <row r="132" spans="1:9" x14ac:dyDescent="0.35">
      <c r="A132" s="4">
        <f t="shared" si="4"/>
        <v>23</v>
      </c>
      <c r="B132" s="35"/>
      <c r="E132" s="11"/>
      <c r="G132" s="4"/>
      <c r="H132" s="4">
        <f t="shared" si="5"/>
        <v>23</v>
      </c>
    </row>
    <row r="133" spans="1:9" x14ac:dyDescent="0.35">
      <c r="A133" s="4">
        <f t="shared" si="4"/>
        <v>24</v>
      </c>
      <c r="B133" s="35" t="s">
        <v>126</v>
      </c>
      <c r="E133" s="24">
        <f>'Stmt Misc.'!E14</f>
        <v>0</v>
      </c>
      <c r="G133" s="4" t="s">
        <v>127</v>
      </c>
      <c r="H133" s="4">
        <f t="shared" si="5"/>
        <v>24</v>
      </c>
    </row>
    <row r="134" spans="1:9" x14ac:dyDescent="0.35">
      <c r="A134" s="4">
        <f t="shared" si="4"/>
        <v>25</v>
      </c>
      <c r="B134" s="35" t="s">
        <v>128</v>
      </c>
      <c r="E134" s="870">
        <f>'Stmt Misc.'!E16</f>
        <v>-10934.227962302526</v>
      </c>
      <c r="G134" s="4" t="s">
        <v>129</v>
      </c>
      <c r="H134" s="4">
        <f t="shared" si="5"/>
        <v>25</v>
      </c>
    </row>
    <row r="135" spans="1:9" x14ac:dyDescent="0.35">
      <c r="A135" s="4">
        <f t="shared" si="4"/>
        <v>26</v>
      </c>
      <c r="B135" s="35"/>
      <c r="E135" s="11"/>
      <c r="G135" s="4"/>
      <c r="H135" s="4">
        <f t="shared" si="5"/>
        <v>26</v>
      </c>
    </row>
    <row r="136" spans="1:9" ht="16" thickBot="1" x14ac:dyDescent="0.4">
      <c r="A136" s="4">
        <f t="shared" si="4"/>
        <v>27</v>
      </c>
      <c r="B136" s="35" t="s">
        <v>130</v>
      </c>
      <c r="E136" s="26">
        <f>E133+E131+E125+E120+E115+E134</f>
        <v>5032105.0897045555</v>
      </c>
      <c r="F136" s="1"/>
      <c r="G136" s="4" t="s">
        <v>131</v>
      </c>
      <c r="H136" s="4">
        <f t="shared" si="5"/>
        <v>27</v>
      </c>
      <c r="I136" s="38"/>
    </row>
    <row r="137" spans="1:9" ht="16" thickTop="1" x14ac:dyDescent="0.35">
      <c r="A137" s="4">
        <f t="shared" si="4"/>
        <v>28</v>
      </c>
      <c r="B137" s="35"/>
      <c r="E137" s="10"/>
      <c r="G137" s="4"/>
      <c r="H137" s="4">
        <f t="shared" si="5"/>
        <v>28</v>
      </c>
    </row>
    <row r="138" spans="1:9" ht="18" x14ac:dyDescent="0.35">
      <c r="A138" s="4">
        <f t="shared" si="4"/>
        <v>29</v>
      </c>
      <c r="B138" s="256" t="s">
        <v>132</v>
      </c>
      <c r="E138" s="10"/>
      <c r="G138" s="4"/>
      <c r="H138" s="4">
        <f t="shared" si="5"/>
        <v>29</v>
      </c>
    </row>
    <row r="139" spans="1:9" x14ac:dyDescent="0.35">
      <c r="A139" s="4">
        <f t="shared" si="4"/>
        <v>30</v>
      </c>
      <c r="B139" s="35" t="s">
        <v>133</v>
      </c>
      <c r="E139" s="7">
        <f>E188</f>
        <v>0</v>
      </c>
      <c r="G139" s="4" t="s">
        <v>134</v>
      </c>
      <c r="H139" s="4">
        <f t="shared" si="5"/>
        <v>30</v>
      </c>
    </row>
    <row r="140" spans="1:9" x14ac:dyDescent="0.35">
      <c r="A140" s="4">
        <f t="shared" si="4"/>
        <v>31</v>
      </c>
      <c r="B140" s="35" t="s">
        <v>135</v>
      </c>
      <c r="E140" s="9">
        <f>'Stmt AF'!I19</f>
        <v>0</v>
      </c>
      <c r="G140" s="4" t="s">
        <v>136</v>
      </c>
      <c r="H140" s="4">
        <f t="shared" si="5"/>
        <v>31</v>
      </c>
    </row>
    <row r="141" spans="1:9" x14ac:dyDescent="0.35">
      <c r="A141" s="4">
        <f t="shared" si="4"/>
        <v>32</v>
      </c>
      <c r="B141" s="34" t="s">
        <v>137</v>
      </c>
      <c r="E141" s="966">
        <f>SUM(E139:E140)</f>
        <v>0</v>
      </c>
      <c r="G141" s="4" t="s">
        <v>138</v>
      </c>
      <c r="H141" s="4">
        <f t="shared" si="5"/>
        <v>32</v>
      </c>
    </row>
    <row r="142" spans="1:9" x14ac:dyDescent="0.35">
      <c r="A142" s="4">
        <f t="shared" si="4"/>
        <v>33</v>
      </c>
      <c r="B142" s="35"/>
      <c r="E142" s="10"/>
      <c r="G142" s="4"/>
      <c r="H142" s="4">
        <f t="shared" si="5"/>
        <v>33</v>
      </c>
    </row>
    <row r="143" spans="1:9" ht="18" x14ac:dyDescent="0.35">
      <c r="A143" s="4">
        <f t="shared" si="4"/>
        <v>34</v>
      </c>
      <c r="B143" s="256" t="s">
        <v>139</v>
      </c>
      <c r="E143" s="10"/>
      <c r="G143" s="4"/>
      <c r="H143" s="4">
        <f t="shared" si="5"/>
        <v>34</v>
      </c>
    </row>
    <row r="144" spans="1:9" x14ac:dyDescent="0.35">
      <c r="A144" s="4">
        <f t="shared" si="4"/>
        <v>35</v>
      </c>
      <c r="B144" s="35" t="s">
        <v>140</v>
      </c>
      <c r="E144" s="7">
        <f>'Stmt Misc.'!E18</f>
        <v>0</v>
      </c>
      <c r="G144" s="4" t="s">
        <v>141</v>
      </c>
      <c r="H144" s="4">
        <f t="shared" si="5"/>
        <v>35</v>
      </c>
    </row>
    <row r="145" spans="1:8" x14ac:dyDescent="0.35">
      <c r="A145" s="4">
        <f t="shared" si="4"/>
        <v>36</v>
      </c>
      <c r="B145" s="34" t="s">
        <v>142</v>
      </c>
      <c r="E145" s="868">
        <f>'Stmt AF'!I23</f>
        <v>0</v>
      </c>
      <c r="G145" s="4" t="s">
        <v>143</v>
      </c>
      <c r="H145" s="4">
        <f t="shared" si="5"/>
        <v>36</v>
      </c>
    </row>
    <row r="146" spans="1:8" x14ac:dyDescent="0.35">
      <c r="A146" s="4">
        <f t="shared" si="4"/>
        <v>37</v>
      </c>
      <c r="B146" s="34" t="s">
        <v>144</v>
      </c>
      <c r="E146" s="966">
        <f>SUM(E144:E145)</f>
        <v>0</v>
      </c>
      <c r="G146" s="4" t="s">
        <v>145</v>
      </c>
      <c r="H146" s="4">
        <f t="shared" si="5"/>
        <v>37</v>
      </c>
    </row>
    <row r="147" spans="1:8" x14ac:dyDescent="0.35">
      <c r="A147" s="4">
        <f t="shared" si="4"/>
        <v>38</v>
      </c>
      <c r="B147" s="35"/>
      <c r="E147" s="10"/>
      <c r="G147" s="4"/>
      <c r="H147" s="4">
        <f t="shared" si="5"/>
        <v>38</v>
      </c>
    </row>
    <row r="148" spans="1:8" ht="18" x14ac:dyDescent="0.35">
      <c r="A148" s="4">
        <f t="shared" si="4"/>
        <v>39</v>
      </c>
      <c r="B148" s="256" t="s">
        <v>146</v>
      </c>
      <c r="E148" s="7">
        <f>'Stmt AM'!E11</f>
        <v>0</v>
      </c>
      <c r="G148" s="4" t="s">
        <v>147</v>
      </c>
      <c r="H148" s="4">
        <f t="shared" ref="H148" si="6">H147+1</f>
        <v>39</v>
      </c>
    </row>
    <row r="149" spans="1:8" x14ac:dyDescent="0.35">
      <c r="A149" s="4"/>
      <c r="B149" s="35"/>
      <c r="E149" s="10"/>
      <c r="G149" s="4"/>
    </row>
    <row r="150" spans="1:8" x14ac:dyDescent="0.35">
      <c r="A150" s="4"/>
      <c r="B150" s="35"/>
      <c r="E150" s="10"/>
      <c r="G150" s="4"/>
    </row>
    <row r="151" spans="1:8" ht="18" x14ac:dyDescent="0.35">
      <c r="A151" s="261">
        <v>1</v>
      </c>
      <c r="B151" s="35" t="s">
        <v>148</v>
      </c>
      <c r="E151" s="10"/>
      <c r="G151" s="4"/>
    </row>
    <row r="152" spans="1:8" ht="18" x14ac:dyDescent="0.35">
      <c r="A152" s="261">
        <v>2</v>
      </c>
      <c r="B152" s="34" t="s">
        <v>89</v>
      </c>
      <c r="E152" s="10"/>
      <c r="G152" s="4"/>
    </row>
    <row r="153" spans="1:8" x14ac:dyDescent="0.35">
      <c r="A153" s="4"/>
      <c r="B153" s="1"/>
      <c r="E153" s="10"/>
      <c r="G153" s="4"/>
    </row>
    <row r="154" spans="1:8" x14ac:dyDescent="0.35">
      <c r="A154" s="4"/>
      <c r="B154" s="1"/>
      <c r="E154" s="10"/>
      <c r="G154" s="4"/>
    </row>
    <row r="155" spans="1:8" x14ac:dyDescent="0.35">
      <c r="A155" s="4"/>
      <c r="B155" s="1171" t="s">
        <v>0</v>
      </c>
      <c r="C155" s="1172"/>
      <c r="D155" s="1172"/>
      <c r="E155" s="1172"/>
      <c r="F155" s="1172"/>
      <c r="G155" s="1172"/>
    </row>
    <row r="156" spans="1:8" x14ac:dyDescent="0.35">
      <c r="A156" s="4" t="s">
        <v>1</v>
      </c>
      <c r="B156" s="1171" t="s">
        <v>2</v>
      </c>
      <c r="C156" s="1172"/>
      <c r="D156" s="1172"/>
      <c r="E156" s="1172"/>
      <c r="F156" s="1172"/>
      <c r="G156" s="1172"/>
    </row>
    <row r="157" spans="1:8" ht="18" x14ac:dyDescent="0.35">
      <c r="A157" s="4"/>
      <c r="B157" s="1171" t="s">
        <v>3</v>
      </c>
      <c r="C157" s="1173"/>
      <c r="D157" s="1173"/>
      <c r="E157" s="1173"/>
      <c r="F157" s="1173"/>
      <c r="G157" s="1173"/>
    </row>
    <row r="158" spans="1:8" x14ac:dyDescent="0.35">
      <c r="A158" s="4"/>
      <c r="B158" s="1176" t="str">
        <f>B5</f>
        <v>For the Base Period &amp; True-Up Period Ending December 31, 2022</v>
      </c>
      <c r="C158" s="1177"/>
      <c r="D158" s="1177"/>
      <c r="E158" s="1177"/>
      <c r="F158" s="1177"/>
      <c r="G158" s="1177"/>
    </row>
    <row r="159" spans="1:8" x14ac:dyDescent="0.35">
      <c r="A159" s="4"/>
      <c r="B159" s="1175" t="s">
        <v>5</v>
      </c>
      <c r="C159" s="1172"/>
      <c r="D159" s="1172"/>
      <c r="E159" s="1172"/>
      <c r="F159" s="1172"/>
      <c r="G159" s="1172"/>
    </row>
    <row r="160" spans="1:8" x14ac:dyDescent="0.35">
      <c r="A160" s="4"/>
      <c r="B160" s="37"/>
    </row>
    <row r="161" spans="1:10" x14ac:dyDescent="0.35">
      <c r="A161" s="4" t="s">
        <v>6</v>
      </c>
      <c r="E161" s="27"/>
      <c r="G161" s="4"/>
      <c r="H161" s="4" t="s">
        <v>6</v>
      </c>
    </row>
    <row r="162" spans="1:10" x14ac:dyDescent="0.35">
      <c r="A162" s="4" t="s">
        <v>7</v>
      </c>
      <c r="B162" s="1" t="s">
        <v>1</v>
      </c>
      <c r="E162" s="965" t="s">
        <v>8</v>
      </c>
      <c r="G162" s="876" t="s">
        <v>9</v>
      </c>
      <c r="H162" s="4" t="s">
        <v>7</v>
      </c>
    </row>
    <row r="163" spans="1:10" x14ac:dyDescent="0.35">
      <c r="A163" s="4"/>
      <c r="B163" s="256" t="s">
        <v>149</v>
      </c>
      <c r="E163" s="27"/>
      <c r="G163" s="4"/>
    </row>
    <row r="164" spans="1:10" x14ac:dyDescent="0.35">
      <c r="A164" s="4">
        <v>1</v>
      </c>
      <c r="B164" s="258" t="s">
        <v>150</v>
      </c>
      <c r="E164" s="27"/>
      <c r="G164" s="4"/>
      <c r="H164" s="4">
        <f>A164</f>
        <v>1</v>
      </c>
    </row>
    <row r="165" spans="1:10" x14ac:dyDescent="0.35">
      <c r="A165" s="4">
        <f t="shared" ref="A165:A188" si="7">A164+1</f>
        <v>2</v>
      </c>
      <c r="B165" s="35" t="s">
        <v>93</v>
      </c>
      <c r="E165" s="7">
        <f>'Stmt AD'!I21</f>
        <v>7476381.1074746149</v>
      </c>
      <c r="F165" s="74"/>
      <c r="G165" s="4" t="s">
        <v>151</v>
      </c>
      <c r="H165" s="4">
        <f t="shared" ref="H165:H188" si="8">H164+1</f>
        <v>2</v>
      </c>
      <c r="I165" s="752"/>
    </row>
    <row r="166" spans="1:10" x14ac:dyDescent="0.35">
      <c r="A166" s="4">
        <f t="shared" si="7"/>
        <v>3</v>
      </c>
      <c r="B166" s="35" t="s">
        <v>152</v>
      </c>
      <c r="E166" s="9">
        <f>'Stmt AD'!I37</f>
        <v>30189.464512731291</v>
      </c>
      <c r="F166" s="74"/>
      <c r="G166" s="4" t="s">
        <v>153</v>
      </c>
      <c r="H166" s="4">
        <f t="shared" si="8"/>
        <v>3</v>
      </c>
      <c r="I166" s="260"/>
    </row>
    <row r="167" spans="1:10" x14ac:dyDescent="0.35">
      <c r="A167" s="4">
        <f t="shared" si="7"/>
        <v>4</v>
      </c>
      <c r="B167" s="35" t="s">
        <v>97</v>
      </c>
      <c r="E167" s="9">
        <f>'Stmt AD'!I39</f>
        <v>108045.72119347638</v>
      </c>
      <c r="F167" s="1"/>
      <c r="G167" s="4" t="s">
        <v>154</v>
      </c>
      <c r="H167" s="4">
        <f t="shared" si="8"/>
        <v>4</v>
      </c>
      <c r="J167" s="50"/>
    </row>
    <row r="168" spans="1:10" x14ac:dyDescent="0.35">
      <c r="A168" s="4">
        <f t="shared" si="7"/>
        <v>5</v>
      </c>
      <c r="B168" s="35" t="s">
        <v>99</v>
      </c>
      <c r="C168" s="4"/>
      <c r="D168" s="4"/>
      <c r="E168" s="868">
        <f>'Stmt AD'!I41</f>
        <v>303088.79978315468</v>
      </c>
      <c r="F168" s="1"/>
      <c r="G168" s="4" t="s">
        <v>155</v>
      </c>
      <c r="H168" s="4">
        <f t="shared" si="8"/>
        <v>5</v>
      </c>
    </row>
    <row r="169" spans="1:10" x14ac:dyDescent="0.35">
      <c r="A169" s="4">
        <f t="shared" si="7"/>
        <v>6</v>
      </c>
      <c r="B169" s="35" t="s">
        <v>156</v>
      </c>
      <c r="E169" s="971">
        <f>SUM(E165:E168)</f>
        <v>7917705.0929639768</v>
      </c>
      <c r="F169" s="74"/>
      <c r="G169" s="4" t="s">
        <v>102</v>
      </c>
      <c r="H169" s="4">
        <f t="shared" si="8"/>
        <v>6</v>
      </c>
      <c r="I169" s="260"/>
    </row>
    <row r="170" spans="1:10" x14ac:dyDescent="0.35">
      <c r="A170" s="4">
        <f t="shared" si="7"/>
        <v>7</v>
      </c>
      <c r="C170" s="4"/>
      <c r="D170" s="4"/>
      <c r="E170" s="27"/>
      <c r="G170" s="4"/>
      <c r="H170" s="4">
        <f t="shared" si="8"/>
        <v>7</v>
      </c>
    </row>
    <row r="171" spans="1:10" x14ac:dyDescent="0.35">
      <c r="A171" s="4">
        <f t="shared" si="7"/>
        <v>8</v>
      </c>
      <c r="B171" s="259" t="s">
        <v>157</v>
      </c>
      <c r="E171" s="27"/>
      <c r="G171" s="4"/>
      <c r="H171" s="4">
        <f t="shared" si="8"/>
        <v>8</v>
      </c>
    </row>
    <row r="172" spans="1:10" x14ac:dyDescent="0.35">
      <c r="A172" s="4">
        <f t="shared" si="7"/>
        <v>9</v>
      </c>
      <c r="B172" s="34" t="s">
        <v>158</v>
      </c>
      <c r="E172" s="7">
        <f>'Stmt AE'!I11</f>
        <v>1733510.7188923075</v>
      </c>
      <c r="F172" s="74"/>
      <c r="G172" s="4" t="s">
        <v>159</v>
      </c>
      <c r="H172" s="4">
        <f t="shared" si="8"/>
        <v>9</v>
      </c>
    </row>
    <row r="173" spans="1:10" x14ac:dyDescent="0.35">
      <c r="A173" s="4">
        <f t="shared" si="7"/>
        <v>10</v>
      </c>
      <c r="B173" s="34" t="s">
        <v>160</v>
      </c>
      <c r="E173" s="9">
        <f>'Stmt AE'!I21</f>
        <v>24161.897431180339</v>
      </c>
      <c r="F173" s="74"/>
      <c r="G173" s="4" t="s">
        <v>161</v>
      </c>
      <c r="H173" s="4">
        <f t="shared" si="8"/>
        <v>10</v>
      </c>
    </row>
    <row r="174" spans="1:10" x14ac:dyDescent="0.35">
      <c r="A174" s="4">
        <f t="shared" si="7"/>
        <v>11</v>
      </c>
      <c r="B174" s="34" t="s">
        <v>162</v>
      </c>
      <c r="E174" s="9">
        <f>'Stmt AE'!I23</f>
        <v>45823.23856683405</v>
      </c>
      <c r="F174" s="1"/>
      <c r="G174" s="4" t="s">
        <v>163</v>
      </c>
      <c r="H174" s="4">
        <f t="shared" si="8"/>
        <v>11</v>
      </c>
    </row>
    <row r="175" spans="1:10" x14ac:dyDescent="0.35">
      <c r="A175" s="4">
        <f t="shared" si="7"/>
        <v>12</v>
      </c>
      <c r="B175" s="34" t="s">
        <v>164</v>
      </c>
      <c r="E175" s="868">
        <f>'Stmt AE'!I25</f>
        <v>127484.65196100857</v>
      </c>
      <c r="F175" s="1"/>
      <c r="G175" s="4" t="s">
        <v>165</v>
      </c>
      <c r="H175" s="4">
        <f t="shared" si="8"/>
        <v>12</v>
      </c>
    </row>
    <row r="176" spans="1:10" x14ac:dyDescent="0.35">
      <c r="A176" s="4">
        <f t="shared" si="7"/>
        <v>13</v>
      </c>
      <c r="B176" s="260" t="s">
        <v>166</v>
      </c>
      <c r="C176" s="260"/>
      <c r="D176" s="260"/>
      <c r="E176" s="971">
        <f>SUM(E172:E175)</f>
        <v>1930980.5068513304</v>
      </c>
      <c r="F176" s="74"/>
      <c r="G176" s="4" t="s">
        <v>167</v>
      </c>
      <c r="H176" s="4">
        <f t="shared" si="8"/>
        <v>13</v>
      </c>
    </row>
    <row r="177" spans="1:8" x14ac:dyDescent="0.35">
      <c r="A177" s="4">
        <f t="shared" si="7"/>
        <v>14</v>
      </c>
      <c r="B177" s="260"/>
      <c r="C177" s="260"/>
      <c r="D177" s="260"/>
      <c r="E177" s="8"/>
      <c r="G177" s="4"/>
      <c r="H177" s="4">
        <f t="shared" si="8"/>
        <v>14</v>
      </c>
    </row>
    <row r="178" spans="1:8" x14ac:dyDescent="0.35">
      <c r="A178" s="4">
        <f t="shared" si="7"/>
        <v>15</v>
      </c>
      <c r="B178" s="258" t="s">
        <v>92</v>
      </c>
      <c r="C178" s="260"/>
      <c r="D178" s="260"/>
      <c r="E178" s="8"/>
      <c r="G178" s="4"/>
      <c r="H178" s="4">
        <f t="shared" si="8"/>
        <v>15</v>
      </c>
    </row>
    <row r="179" spans="1:8" x14ac:dyDescent="0.35">
      <c r="A179" s="4">
        <f t="shared" si="7"/>
        <v>16</v>
      </c>
      <c r="B179" s="35" t="s">
        <v>93</v>
      </c>
      <c r="E179" s="10">
        <f>+E165-E172</f>
        <v>5742870.3885823078</v>
      </c>
      <c r="F179" s="74"/>
      <c r="G179" s="4" t="s">
        <v>168</v>
      </c>
      <c r="H179" s="4">
        <f t="shared" si="8"/>
        <v>16</v>
      </c>
    </row>
    <row r="180" spans="1:8" x14ac:dyDescent="0.35">
      <c r="A180" s="4">
        <f t="shared" si="7"/>
        <v>17</v>
      </c>
      <c r="B180" s="35" t="s">
        <v>95</v>
      </c>
      <c r="E180" s="8">
        <f>+E166-E173</f>
        <v>6027.5670815509511</v>
      </c>
      <c r="F180" s="74"/>
      <c r="G180" s="4" t="s">
        <v>169</v>
      </c>
      <c r="H180" s="4">
        <f t="shared" si="8"/>
        <v>17</v>
      </c>
    </row>
    <row r="181" spans="1:8" x14ac:dyDescent="0.35">
      <c r="A181" s="4">
        <f t="shared" si="7"/>
        <v>18</v>
      </c>
      <c r="B181" s="35" t="s">
        <v>97</v>
      </c>
      <c r="E181" s="8">
        <f>+E167-E174</f>
        <v>62222.482626642326</v>
      </c>
      <c r="G181" s="4" t="s">
        <v>170</v>
      </c>
      <c r="H181" s="4">
        <f t="shared" si="8"/>
        <v>18</v>
      </c>
    </row>
    <row r="182" spans="1:8" x14ac:dyDescent="0.35">
      <c r="A182" s="4">
        <f t="shared" si="7"/>
        <v>19</v>
      </c>
      <c r="B182" s="35" t="s">
        <v>99</v>
      </c>
      <c r="E182" s="972">
        <f>+E168-E175</f>
        <v>175604.14782214613</v>
      </c>
      <c r="G182" s="4" t="s">
        <v>171</v>
      </c>
      <c r="H182" s="4">
        <f t="shared" si="8"/>
        <v>19</v>
      </c>
    </row>
    <row r="183" spans="1:8" ht="16" thickBot="1" x14ac:dyDescent="0.4">
      <c r="A183" s="4">
        <f t="shared" si="7"/>
        <v>20</v>
      </c>
      <c r="B183" s="34" t="s">
        <v>101</v>
      </c>
      <c r="E183" s="18">
        <f>SUM(E179:E182)</f>
        <v>5986724.5861126473</v>
      </c>
      <c r="F183" s="74"/>
      <c r="G183" s="4" t="s">
        <v>172</v>
      </c>
      <c r="H183" s="4">
        <f t="shared" si="8"/>
        <v>20</v>
      </c>
    </row>
    <row r="184" spans="1:8" ht="16" thickTop="1" x14ac:dyDescent="0.35">
      <c r="A184" s="4">
        <f t="shared" si="7"/>
        <v>21</v>
      </c>
      <c r="E184" s="10"/>
      <c r="G184" s="4"/>
      <c r="H184" s="4">
        <f t="shared" si="8"/>
        <v>21</v>
      </c>
    </row>
    <row r="185" spans="1:8" ht="18" x14ac:dyDescent="0.35">
      <c r="A185" s="4">
        <f t="shared" si="7"/>
        <v>22</v>
      </c>
      <c r="B185" s="256" t="s">
        <v>173</v>
      </c>
      <c r="E185" s="10"/>
      <c r="G185" s="4"/>
      <c r="H185" s="4">
        <f t="shared" si="8"/>
        <v>22</v>
      </c>
    </row>
    <row r="186" spans="1:8" x14ac:dyDescent="0.35">
      <c r="A186" s="4">
        <f t="shared" si="7"/>
        <v>23</v>
      </c>
      <c r="B186" s="35" t="s">
        <v>174</v>
      </c>
      <c r="E186" s="7">
        <f>'Stmt AD'!I23</f>
        <v>0</v>
      </c>
      <c r="G186" s="4" t="s">
        <v>175</v>
      </c>
      <c r="H186" s="4">
        <f t="shared" si="8"/>
        <v>23</v>
      </c>
    </row>
    <row r="187" spans="1:8" x14ac:dyDescent="0.35">
      <c r="A187" s="4">
        <f t="shared" si="7"/>
        <v>24</v>
      </c>
      <c r="B187" s="34" t="s">
        <v>176</v>
      </c>
      <c r="E187" s="868">
        <f>'Stmt AE'!I29</f>
        <v>0</v>
      </c>
      <c r="G187" s="4" t="s">
        <v>177</v>
      </c>
      <c r="H187" s="4">
        <f t="shared" si="8"/>
        <v>24</v>
      </c>
    </row>
    <row r="188" spans="1:8" ht="16" thickBot="1" x14ac:dyDescent="0.4">
      <c r="A188" s="4">
        <f t="shared" si="7"/>
        <v>25</v>
      </c>
      <c r="B188" s="35" t="s">
        <v>178</v>
      </c>
      <c r="E188" s="26">
        <f>E186-E187</f>
        <v>0</v>
      </c>
      <c r="G188" s="4" t="s">
        <v>179</v>
      </c>
      <c r="H188" s="4">
        <f t="shared" si="8"/>
        <v>25</v>
      </c>
    </row>
    <row r="189" spans="1:8" ht="16" thickTop="1" x14ac:dyDescent="0.35">
      <c r="A189" s="4"/>
      <c r="B189" s="35"/>
      <c r="E189" s="10"/>
      <c r="G189" s="4"/>
    </row>
    <row r="190" spans="1:8" x14ac:dyDescent="0.35">
      <c r="A190" s="4"/>
      <c r="B190" s="35"/>
      <c r="E190" s="10"/>
      <c r="G190" s="4"/>
    </row>
    <row r="191" spans="1:8" ht="18" x14ac:dyDescent="0.35">
      <c r="A191" s="261">
        <v>1</v>
      </c>
      <c r="B191" s="34" t="s">
        <v>180</v>
      </c>
      <c r="E191" s="10"/>
      <c r="G191" s="4"/>
    </row>
    <row r="192" spans="1:8" x14ac:dyDescent="0.35">
      <c r="A192" s="4"/>
      <c r="E192" s="10"/>
      <c r="G192" s="4"/>
    </row>
    <row r="193" spans="1:8" x14ac:dyDescent="0.35">
      <c r="A193" s="74"/>
      <c r="E193" s="10"/>
      <c r="G193" s="4"/>
    </row>
    <row r="194" spans="1:8" x14ac:dyDescent="0.35">
      <c r="A194" s="4"/>
      <c r="B194" s="1171" t="s">
        <v>0</v>
      </c>
      <c r="C194" s="1172"/>
      <c r="D194" s="1172"/>
      <c r="E194" s="1172"/>
      <c r="F194" s="1172"/>
      <c r="G194" s="1172"/>
    </row>
    <row r="195" spans="1:8" x14ac:dyDescent="0.35">
      <c r="A195" s="4"/>
      <c r="B195" s="1171" t="s">
        <v>2</v>
      </c>
      <c r="C195" s="1172"/>
      <c r="D195" s="1172"/>
      <c r="E195" s="1172"/>
      <c r="F195" s="1172"/>
      <c r="G195" s="1172"/>
    </row>
    <row r="196" spans="1:8" ht="18" x14ac:dyDescent="0.35">
      <c r="A196" s="4"/>
      <c r="B196" s="1171" t="s">
        <v>181</v>
      </c>
      <c r="C196" s="1173"/>
      <c r="D196" s="1173"/>
      <c r="E196" s="1173"/>
      <c r="F196" s="1173"/>
      <c r="G196" s="1173"/>
    </row>
    <row r="197" spans="1:8" x14ac:dyDescent="0.35">
      <c r="A197" s="4"/>
      <c r="B197" s="1174" t="s">
        <v>182</v>
      </c>
      <c r="C197" s="1178"/>
      <c r="D197" s="1178"/>
      <c r="E197" s="1178"/>
      <c r="F197" s="1178"/>
      <c r="G197" s="1178"/>
    </row>
    <row r="198" spans="1:8" x14ac:dyDescent="0.35">
      <c r="A198" s="4"/>
      <c r="B198" s="1175" t="s">
        <v>5</v>
      </c>
      <c r="C198" s="1172"/>
      <c r="D198" s="1172"/>
      <c r="E198" s="1172"/>
      <c r="F198" s="1172"/>
      <c r="G198" s="1172"/>
    </row>
    <row r="199" spans="1:8" x14ac:dyDescent="0.35">
      <c r="A199" s="4"/>
      <c r="B199" s="272"/>
      <c r="C199" s="1"/>
      <c r="D199" s="1"/>
      <c r="E199" s="1"/>
      <c r="F199" s="1"/>
      <c r="G199" s="1"/>
    </row>
    <row r="200" spans="1:8" x14ac:dyDescent="0.35">
      <c r="A200" s="4" t="s">
        <v>6</v>
      </c>
      <c r="E200" s="27"/>
      <c r="G200" s="4"/>
      <c r="H200" s="4" t="s">
        <v>6</v>
      </c>
    </row>
    <row r="201" spans="1:8" x14ac:dyDescent="0.35">
      <c r="A201" s="4" t="s">
        <v>7</v>
      </c>
      <c r="B201" s="1" t="s">
        <v>1</v>
      </c>
      <c r="E201" s="965" t="s">
        <v>8</v>
      </c>
      <c r="G201" s="876" t="s">
        <v>9</v>
      </c>
      <c r="H201" s="4" t="s">
        <v>7</v>
      </c>
    </row>
    <row r="202" spans="1:8" x14ac:dyDescent="0.35">
      <c r="A202" s="4"/>
      <c r="B202" s="36" t="s">
        <v>183</v>
      </c>
      <c r="E202" s="271"/>
      <c r="G202" s="4"/>
    </row>
    <row r="203" spans="1:8" ht="18" x14ac:dyDescent="0.35">
      <c r="A203" s="4"/>
      <c r="B203" s="36" t="s">
        <v>184</v>
      </c>
      <c r="E203" s="13"/>
      <c r="G203" s="4"/>
    </row>
    <row r="204" spans="1:8" x14ac:dyDescent="0.35">
      <c r="A204" s="4"/>
      <c r="B204" s="36" t="s">
        <v>185</v>
      </c>
      <c r="E204" s="13"/>
      <c r="G204" s="4"/>
    </row>
    <row r="205" spans="1:8" ht="17.5" x14ac:dyDescent="0.35">
      <c r="A205" s="4">
        <v>1</v>
      </c>
      <c r="B205" s="34" t="s">
        <v>186</v>
      </c>
      <c r="E205" s="7">
        <f>E40</f>
        <v>1004711.5451585753</v>
      </c>
      <c r="F205" s="226"/>
      <c r="G205" s="4" t="s">
        <v>187</v>
      </c>
      <c r="H205" s="4">
        <f>A205</f>
        <v>1</v>
      </c>
    </row>
    <row r="206" spans="1:8" x14ac:dyDescent="0.35">
      <c r="A206" s="4">
        <f t="shared" ref="A206:A224" si="9">A205+1</f>
        <v>2</v>
      </c>
      <c r="B206" s="34" t="s">
        <v>188</v>
      </c>
      <c r="E206" s="9">
        <f>(-E11)*0.5</f>
        <v>-52488.700250000002</v>
      </c>
      <c r="F206" s="74"/>
      <c r="G206" s="4" t="s">
        <v>189</v>
      </c>
      <c r="H206" s="4">
        <f t="shared" ref="H206:H224" si="10">H205+1</f>
        <v>2</v>
      </c>
    </row>
    <row r="207" spans="1:8" x14ac:dyDescent="0.35">
      <c r="A207" s="4">
        <f t="shared" si="9"/>
        <v>3</v>
      </c>
      <c r="B207" s="34" t="s">
        <v>190</v>
      </c>
      <c r="E207" s="9">
        <f>(-E13)*0.5</f>
        <v>-49739.14499878318</v>
      </c>
      <c r="F207" s="226"/>
      <c r="G207" s="4" t="s">
        <v>191</v>
      </c>
      <c r="H207" s="4">
        <f t="shared" si="10"/>
        <v>3</v>
      </c>
    </row>
    <row r="208" spans="1:8" x14ac:dyDescent="0.35">
      <c r="A208" s="4">
        <f t="shared" si="9"/>
        <v>4</v>
      </c>
      <c r="B208" s="35" t="s">
        <v>15</v>
      </c>
      <c r="E208" s="9">
        <f>-E15</f>
        <v>0</v>
      </c>
      <c r="G208" s="4" t="s">
        <v>192</v>
      </c>
      <c r="H208" s="4">
        <f t="shared" si="10"/>
        <v>4</v>
      </c>
    </row>
    <row r="209" spans="1:10" x14ac:dyDescent="0.35">
      <c r="A209" s="4">
        <f t="shared" si="9"/>
        <v>5</v>
      </c>
      <c r="B209" s="34" t="s">
        <v>40</v>
      </c>
      <c r="E209" s="9">
        <f>-E35</f>
        <v>-1304.0991895338727</v>
      </c>
      <c r="G209" s="4" t="s">
        <v>193</v>
      </c>
      <c r="H209" s="4">
        <f t="shared" si="10"/>
        <v>5</v>
      </c>
      <c r="I209" s="35"/>
    </row>
    <row r="210" spans="1:10" x14ac:dyDescent="0.35">
      <c r="A210" s="4">
        <f t="shared" si="9"/>
        <v>6</v>
      </c>
      <c r="B210" s="257" t="s">
        <v>46</v>
      </c>
      <c r="E210" s="25">
        <f>-E38</f>
        <v>0</v>
      </c>
      <c r="G210" s="4" t="s">
        <v>194</v>
      </c>
      <c r="H210" s="4">
        <f t="shared" si="10"/>
        <v>6</v>
      </c>
    </row>
    <row r="211" spans="1:10" ht="17.5" x14ac:dyDescent="0.35">
      <c r="A211" s="4">
        <f t="shared" si="9"/>
        <v>7</v>
      </c>
      <c r="B211" s="34" t="s">
        <v>195</v>
      </c>
      <c r="E211" s="966">
        <f>SUM(E205:E210)</f>
        <v>901179.60072025831</v>
      </c>
      <c r="F211" s="226"/>
      <c r="G211" s="4" t="s">
        <v>196</v>
      </c>
      <c r="H211" s="4">
        <f t="shared" si="10"/>
        <v>7</v>
      </c>
    </row>
    <row r="212" spans="1:10" x14ac:dyDescent="0.35">
      <c r="A212" s="4">
        <f t="shared" si="9"/>
        <v>8</v>
      </c>
      <c r="E212" s="8"/>
      <c r="G212" s="4"/>
      <c r="H212" s="4">
        <f t="shared" si="10"/>
        <v>8</v>
      </c>
    </row>
    <row r="213" spans="1:10" x14ac:dyDescent="0.35">
      <c r="A213" s="4">
        <f t="shared" si="9"/>
        <v>9</v>
      </c>
      <c r="B213" s="35" t="s">
        <v>197</v>
      </c>
      <c r="E213" s="870">
        <f>E183</f>
        <v>5986724.5861126473</v>
      </c>
      <c r="F213" s="74"/>
      <c r="G213" s="4" t="s">
        <v>198</v>
      </c>
      <c r="H213" s="4">
        <f t="shared" si="10"/>
        <v>9</v>
      </c>
    </row>
    <row r="214" spans="1:10" x14ac:dyDescent="0.35">
      <c r="A214" s="4">
        <f t="shared" si="9"/>
        <v>10</v>
      </c>
      <c r="E214" s="13"/>
      <c r="G214" s="4"/>
      <c r="H214" s="4">
        <f t="shared" si="10"/>
        <v>10</v>
      </c>
    </row>
    <row r="215" spans="1:10" ht="17.5" x14ac:dyDescent="0.35">
      <c r="A215" s="4">
        <f t="shared" si="9"/>
        <v>11</v>
      </c>
      <c r="B215" s="34" t="s">
        <v>199</v>
      </c>
      <c r="E215" s="28">
        <f>E211/E213</f>
        <v>0.15052965737069596</v>
      </c>
      <c r="F215" s="226"/>
      <c r="G215" s="4" t="s">
        <v>200</v>
      </c>
      <c r="H215" s="4">
        <f t="shared" si="10"/>
        <v>11</v>
      </c>
    </row>
    <row r="216" spans="1:10" x14ac:dyDescent="0.35">
      <c r="A216" s="4">
        <f t="shared" si="9"/>
        <v>12</v>
      </c>
      <c r="E216" s="29"/>
      <c r="G216" s="4"/>
      <c r="H216" s="4">
        <f t="shared" si="10"/>
        <v>12</v>
      </c>
    </row>
    <row r="217" spans="1:10" ht="31" x14ac:dyDescent="0.35">
      <c r="A217" s="4">
        <f t="shared" si="9"/>
        <v>13</v>
      </c>
      <c r="B217" s="34" t="s">
        <v>201</v>
      </c>
      <c r="E217" s="973">
        <f>'Summary of HV-LV Splits'!I15</f>
        <v>522664.68875541457</v>
      </c>
      <c r="F217" s="226"/>
      <c r="G217" s="95" t="s">
        <v>202</v>
      </c>
      <c r="H217" s="4">
        <f t="shared" si="10"/>
        <v>13</v>
      </c>
      <c r="J217" s="38"/>
    </row>
    <row r="218" spans="1:10" x14ac:dyDescent="0.35">
      <c r="A218" s="4">
        <f t="shared" si="9"/>
        <v>14</v>
      </c>
      <c r="E218" s="38"/>
      <c r="F218" s="226"/>
      <c r="G218" s="95"/>
      <c r="H218" s="4">
        <f t="shared" si="10"/>
        <v>14</v>
      </c>
      <c r="J218" s="38"/>
    </row>
    <row r="219" spans="1:10" x14ac:dyDescent="0.35">
      <c r="A219" s="4">
        <f t="shared" si="9"/>
        <v>15</v>
      </c>
      <c r="B219" s="34" t="s">
        <v>203</v>
      </c>
      <c r="E219" s="974">
        <f>'AJ-1B'!F43</f>
        <v>3.0252774124494328E-2</v>
      </c>
      <c r="F219" s="226"/>
      <c r="G219" s="95" t="s">
        <v>204</v>
      </c>
      <c r="H219" s="4">
        <f t="shared" si="10"/>
        <v>15</v>
      </c>
      <c r="J219" s="38"/>
    </row>
    <row r="220" spans="1:10" x14ac:dyDescent="0.35">
      <c r="A220" s="4">
        <f t="shared" si="9"/>
        <v>16</v>
      </c>
      <c r="B220" s="34" t="s">
        <v>205</v>
      </c>
      <c r="E220" s="38">
        <f>E217*E219</f>
        <v>15812.056771766687</v>
      </c>
      <c r="F220" s="226"/>
      <c r="G220" s="95" t="s">
        <v>206</v>
      </c>
      <c r="H220" s="4">
        <f t="shared" si="10"/>
        <v>16</v>
      </c>
      <c r="J220" s="38"/>
    </row>
    <row r="221" spans="1:10" x14ac:dyDescent="0.35">
      <c r="A221" s="4">
        <f t="shared" si="9"/>
        <v>17</v>
      </c>
      <c r="E221" s="38"/>
      <c r="F221" s="226"/>
      <c r="G221" s="623" t="s">
        <v>207</v>
      </c>
      <c r="H221" s="4">
        <f t="shared" si="10"/>
        <v>17</v>
      </c>
      <c r="J221" s="38"/>
    </row>
    <row r="222" spans="1:10" x14ac:dyDescent="0.35">
      <c r="A222" s="4">
        <f t="shared" si="9"/>
        <v>18</v>
      </c>
      <c r="B222" s="34" t="s">
        <v>208</v>
      </c>
      <c r="E222" s="975">
        <f>E217-E220</f>
        <v>506852.63198364788</v>
      </c>
      <c r="F222" s="226"/>
      <c r="G222" s="95" t="s">
        <v>209</v>
      </c>
      <c r="H222" s="4">
        <f t="shared" si="10"/>
        <v>18</v>
      </c>
      <c r="J222" s="38"/>
    </row>
    <row r="223" spans="1:10" x14ac:dyDescent="0.35">
      <c r="A223" s="4">
        <f t="shared" si="9"/>
        <v>19</v>
      </c>
      <c r="B223" s="259"/>
      <c r="E223" s="29"/>
      <c r="G223" s="4"/>
      <c r="H223" s="4">
        <f t="shared" si="10"/>
        <v>19</v>
      </c>
    </row>
    <row r="224" spans="1:10" ht="16" thickBot="1" x14ac:dyDescent="0.4">
      <c r="A224" s="4">
        <f t="shared" si="9"/>
        <v>20</v>
      </c>
      <c r="B224" s="34" t="s">
        <v>210</v>
      </c>
      <c r="E224" s="26">
        <f>E215*E222</f>
        <v>76296.353029933962</v>
      </c>
      <c r="F224" s="226"/>
      <c r="G224" s="4" t="s">
        <v>211</v>
      </c>
      <c r="H224" s="4">
        <f t="shared" si="10"/>
        <v>20</v>
      </c>
    </row>
    <row r="225" spans="1:8" ht="16" thickTop="1" x14ac:dyDescent="0.35">
      <c r="A225" s="4"/>
      <c r="E225" s="10"/>
      <c r="G225" s="4"/>
    </row>
    <row r="226" spans="1:8" x14ac:dyDescent="0.35">
      <c r="A226" s="4"/>
      <c r="B226" s="1"/>
      <c r="E226" s="29"/>
      <c r="G226" s="4"/>
    </row>
    <row r="227" spans="1:8" x14ac:dyDescent="0.35">
      <c r="A227" s="4"/>
      <c r="B227" s="1171" t="s">
        <v>0</v>
      </c>
      <c r="C227" s="1172"/>
      <c r="D227" s="1172"/>
      <c r="E227" s="1172"/>
      <c r="F227" s="1172"/>
      <c r="G227" s="1172"/>
    </row>
    <row r="228" spans="1:8" x14ac:dyDescent="0.35">
      <c r="A228" s="4" t="s">
        <v>1</v>
      </c>
      <c r="B228" s="1171" t="s">
        <v>2</v>
      </c>
      <c r="C228" s="1172"/>
      <c r="D228" s="1172"/>
      <c r="E228" s="1172"/>
      <c r="F228" s="1172"/>
      <c r="G228" s="1172"/>
    </row>
    <row r="229" spans="1:8" ht="18" x14ac:dyDescent="0.35">
      <c r="A229" s="4"/>
      <c r="B229" s="1171" t="s">
        <v>181</v>
      </c>
      <c r="C229" s="1173"/>
      <c r="D229" s="1173"/>
      <c r="E229" s="1173"/>
      <c r="F229" s="1173"/>
      <c r="G229" s="1173"/>
    </row>
    <row r="230" spans="1:8" x14ac:dyDescent="0.35">
      <c r="A230" s="4"/>
      <c r="B230" s="1176" t="str">
        <f>B197</f>
        <v>For the Forecast Period January 1, 2023 - December 31, 2024</v>
      </c>
      <c r="C230" s="1177"/>
      <c r="D230" s="1177"/>
      <c r="E230" s="1177"/>
      <c r="F230" s="1177"/>
      <c r="G230" s="1177"/>
    </row>
    <row r="231" spans="1:8" x14ac:dyDescent="0.35">
      <c r="A231" s="4"/>
      <c r="B231" s="1175" t="s">
        <v>5</v>
      </c>
      <c r="C231" s="1172"/>
      <c r="D231" s="1172"/>
      <c r="E231" s="1172"/>
      <c r="F231" s="1172"/>
      <c r="G231" s="1172"/>
    </row>
    <row r="232" spans="1:8" x14ac:dyDescent="0.35">
      <c r="A232" s="4"/>
      <c r="B232" s="272"/>
      <c r="C232" s="1"/>
      <c r="D232" s="1"/>
      <c r="E232" s="1"/>
      <c r="F232" s="1"/>
      <c r="G232" s="1"/>
    </row>
    <row r="233" spans="1:8" x14ac:dyDescent="0.35">
      <c r="A233" s="4" t="s">
        <v>6</v>
      </c>
      <c r="E233" s="27"/>
      <c r="G233" s="4"/>
      <c r="H233" s="4" t="s">
        <v>6</v>
      </c>
    </row>
    <row r="234" spans="1:8" x14ac:dyDescent="0.35">
      <c r="A234" s="4" t="s">
        <v>7</v>
      </c>
      <c r="B234" s="1" t="s">
        <v>1</v>
      </c>
      <c r="E234" s="965" t="s">
        <v>8</v>
      </c>
      <c r="G234" s="876" t="s">
        <v>9</v>
      </c>
      <c r="H234" s="4" t="s">
        <v>7</v>
      </c>
    </row>
    <row r="235" spans="1:8" x14ac:dyDescent="0.35">
      <c r="A235" s="4"/>
      <c r="B235" s="36" t="s">
        <v>212</v>
      </c>
      <c r="E235" s="49"/>
      <c r="G235" s="4"/>
    </row>
    <row r="236" spans="1:8" x14ac:dyDescent="0.35">
      <c r="A236" s="4"/>
      <c r="B236" s="36" t="s">
        <v>213</v>
      </c>
      <c r="E236" s="49"/>
      <c r="G236" s="4"/>
    </row>
    <row r="237" spans="1:8" ht="18" x14ac:dyDescent="0.35">
      <c r="A237" s="4"/>
      <c r="B237" s="36" t="s">
        <v>214</v>
      </c>
      <c r="E237" s="29"/>
      <c r="G237" s="4"/>
    </row>
    <row r="238" spans="1:8" x14ac:dyDescent="0.35">
      <c r="A238" s="4"/>
      <c r="B238" s="36" t="s">
        <v>215</v>
      </c>
      <c r="E238" s="29"/>
      <c r="G238" s="4"/>
    </row>
    <row r="239" spans="1:8" ht="17.5" x14ac:dyDescent="0.35">
      <c r="A239" s="4">
        <v>1</v>
      </c>
      <c r="B239" s="34" t="s">
        <v>216</v>
      </c>
      <c r="E239" s="7">
        <f>E40+E65</f>
        <v>1004711.5451585753</v>
      </c>
      <c r="F239" s="226"/>
      <c r="G239" s="4" t="s">
        <v>217</v>
      </c>
      <c r="H239" s="4">
        <f>A239</f>
        <v>1</v>
      </c>
    </row>
    <row r="240" spans="1:8" x14ac:dyDescent="0.35">
      <c r="A240" s="4">
        <f t="shared" ref="A240:A273" si="11">A239+1</f>
        <v>2</v>
      </c>
      <c r="B240" s="34" t="s">
        <v>188</v>
      </c>
      <c r="E240" s="9">
        <f>(-E11)*0.5</f>
        <v>-52488.700250000002</v>
      </c>
      <c r="F240" s="74"/>
      <c r="G240" s="4" t="s">
        <v>189</v>
      </c>
      <c r="H240" s="4">
        <f t="shared" ref="H240:H273" si="12">H239+1</f>
        <v>2</v>
      </c>
    </row>
    <row r="241" spans="1:9" x14ac:dyDescent="0.35">
      <c r="A241" s="4">
        <f t="shared" si="11"/>
        <v>3</v>
      </c>
      <c r="B241" s="34" t="s">
        <v>190</v>
      </c>
      <c r="E241" s="9">
        <f>(-E13*0.5)</f>
        <v>-49739.14499878318</v>
      </c>
      <c r="F241" s="226"/>
      <c r="G241" s="4" t="s">
        <v>191</v>
      </c>
      <c r="H241" s="4">
        <f t="shared" si="12"/>
        <v>3</v>
      </c>
    </row>
    <row r="242" spans="1:9" x14ac:dyDescent="0.35">
      <c r="A242" s="4">
        <f t="shared" si="11"/>
        <v>4</v>
      </c>
      <c r="B242" s="35" t="s">
        <v>15</v>
      </c>
      <c r="E242" s="9">
        <f>-E15</f>
        <v>0</v>
      </c>
      <c r="G242" s="4" t="s">
        <v>192</v>
      </c>
      <c r="H242" s="4">
        <f t="shared" si="12"/>
        <v>4</v>
      </c>
    </row>
    <row r="243" spans="1:9" x14ac:dyDescent="0.35">
      <c r="A243" s="4">
        <f t="shared" si="11"/>
        <v>5</v>
      </c>
      <c r="B243" s="34" t="s">
        <v>40</v>
      </c>
      <c r="E243" s="9">
        <f>-E35</f>
        <v>-1304.0991895338727</v>
      </c>
      <c r="G243" s="4" t="s">
        <v>193</v>
      </c>
      <c r="H243" s="4">
        <f t="shared" si="12"/>
        <v>5</v>
      </c>
      <c r="I243" s="35"/>
    </row>
    <row r="244" spans="1:9" x14ac:dyDescent="0.35">
      <c r="A244" s="4">
        <f t="shared" si="11"/>
        <v>6</v>
      </c>
      <c r="B244" s="257" t="s">
        <v>46</v>
      </c>
      <c r="E244" s="25">
        <f>-E38</f>
        <v>0</v>
      </c>
      <c r="G244" s="4" t="s">
        <v>194</v>
      </c>
      <c r="H244" s="4">
        <f t="shared" si="12"/>
        <v>6</v>
      </c>
    </row>
    <row r="245" spans="1:9" ht="17.5" x14ac:dyDescent="0.35">
      <c r="A245" s="4">
        <f t="shared" si="11"/>
        <v>7</v>
      </c>
      <c r="B245" s="34" t="s">
        <v>218</v>
      </c>
      <c r="E245" s="966">
        <f>SUM(E239:E244)</f>
        <v>901179.60072025831</v>
      </c>
      <c r="F245" s="226"/>
      <c r="G245" s="4" t="s">
        <v>196</v>
      </c>
      <c r="H245" s="4">
        <f t="shared" si="12"/>
        <v>7</v>
      </c>
    </row>
    <row r="246" spans="1:9" x14ac:dyDescent="0.35">
      <c r="A246" s="4">
        <f t="shared" si="11"/>
        <v>8</v>
      </c>
      <c r="E246" s="29"/>
      <c r="G246" s="4"/>
      <c r="H246" s="4">
        <f t="shared" si="12"/>
        <v>8</v>
      </c>
    </row>
    <row r="247" spans="1:9" x14ac:dyDescent="0.35">
      <c r="A247" s="4">
        <f t="shared" si="11"/>
        <v>9</v>
      </c>
      <c r="B247" s="35" t="s">
        <v>219</v>
      </c>
      <c r="E247" s="870">
        <f>+E183+E188</f>
        <v>5986724.5861126473</v>
      </c>
      <c r="F247" s="74"/>
      <c r="G247" s="4" t="s">
        <v>220</v>
      </c>
      <c r="H247" s="4">
        <f t="shared" si="12"/>
        <v>9</v>
      </c>
    </row>
    <row r="248" spans="1:9" x14ac:dyDescent="0.35">
      <c r="A248" s="4">
        <f t="shared" si="11"/>
        <v>10</v>
      </c>
      <c r="E248" s="13"/>
      <c r="G248" s="4"/>
      <c r="H248" s="4">
        <f t="shared" si="12"/>
        <v>10</v>
      </c>
    </row>
    <row r="249" spans="1:9" ht="18" x14ac:dyDescent="0.35">
      <c r="A249" s="4">
        <f t="shared" si="11"/>
        <v>11</v>
      </c>
      <c r="B249" s="34" t="s">
        <v>221</v>
      </c>
      <c r="E249" s="28">
        <f>E245/E247</f>
        <v>0.15052965737069596</v>
      </c>
      <c r="F249" s="226"/>
      <c r="G249" s="4" t="s">
        <v>200</v>
      </c>
      <c r="H249" s="4">
        <f t="shared" si="12"/>
        <v>11</v>
      </c>
    </row>
    <row r="250" spans="1:9" x14ac:dyDescent="0.35">
      <c r="A250" s="4">
        <f t="shared" si="11"/>
        <v>12</v>
      </c>
      <c r="E250" s="29"/>
      <c r="G250" s="4"/>
      <c r="H250" s="4">
        <f t="shared" si="12"/>
        <v>12</v>
      </c>
    </row>
    <row r="251" spans="1:9" ht="31" x14ac:dyDescent="0.35">
      <c r="A251" s="4">
        <f t="shared" si="11"/>
        <v>13</v>
      </c>
      <c r="B251" s="34" t="s">
        <v>222</v>
      </c>
      <c r="E251" s="973">
        <f>'Summary of HV-LV Splits'!I18</f>
        <v>0</v>
      </c>
      <c r="G251" s="95" t="s">
        <v>223</v>
      </c>
      <c r="H251" s="4">
        <f t="shared" si="12"/>
        <v>13</v>
      </c>
    </row>
    <row r="252" spans="1:9" x14ac:dyDescent="0.35">
      <c r="A252" s="4">
        <f t="shared" si="11"/>
        <v>14</v>
      </c>
      <c r="E252" s="38"/>
      <c r="G252" s="95"/>
      <c r="H252" s="4">
        <f t="shared" si="12"/>
        <v>14</v>
      </c>
    </row>
    <row r="253" spans="1:9" x14ac:dyDescent="0.35">
      <c r="A253" s="4">
        <f t="shared" si="11"/>
        <v>15</v>
      </c>
      <c r="B253" s="34" t="s">
        <v>203</v>
      </c>
      <c r="E253" s="976">
        <f>E219</f>
        <v>3.0252774124494328E-2</v>
      </c>
      <c r="G253" s="95" t="s">
        <v>224</v>
      </c>
      <c r="H253" s="4">
        <f t="shared" si="12"/>
        <v>15</v>
      </c>
    </row>
    <row r="254" spans="1:9" x14ac:dyDescent="0.35">
      <c r="A254" s="4">
        <f t="shared" si="11"/>
        <v>16</v>
      </c>
      <c r="B254" s="34" t="s">
        <v>205</v>
      </c>
      <c r="E254" s="38">
        <f>E251*E253</f>
        <v>0</v>
      </c>
      <c r="G254" s="95" t="s">
        <v>206</v>
      </c>
      <c r="H254" s="4">
        <f t="shared" si="12"/>
        <v>16</v>
      </c>
    </row>
    <row r="255" spans="1:9" x14ac:dyDescent="0.35">
      <c r="A255" s="4">
        <f t="shared" si="11"/>
        <v>17</v>
      </c>
      <c r="E255" s="38"/>
      <c r="G255" s="95"/>
      <c r="H255" s="4">
        <f t="shared" si="12"/>
        <v>17</v>
      </c>
    </row>
    <row r="256" spans="1:9" x14ac:dyDescent="0.35">
      <c r="A256" s="4">
        <f t="shared" si="11"/>
        <v>18</v>
      </c>
      <c r="B256" s="34" t="s">
        <v>208</v>
      </c>
      <c r="E256" s="975">
        <f>E251-E254</f>
        <v>0</v>
      </c>
      <c r="G256" s="95" t="s">
        <v>209</v>
      </c>
      <c r="H256" s="4">
        <f t="shared" si="12"/>
        <v>18</v>
      </c>
    </row>
    <row r="257" spans="1:9" x14ac:dyDescent="0.35">
      <c r="A257" s="4">
        <f t="shared" si="11"/>
        <v>19</v>
      </c>
      <c r="B257" s="259"/>
      <c r="E257" s="29"/>
      <c r="G257" s="4"/>
      <c r="H257" s="4">
        <f t="shared" si="12"/>
        <v>19</v>
      </c>
    </row>
    <row r="258" spans="1:9" ht="18" thickBot="1" x14ac:dyDescent="0.4">
      <c r="A258" s="4">
        <f t="shared" si="11"/>
        <v>20</v>
      </c>
      <c r="B258" s="34" t="s">
        <v>225</v>
      </c>
      <c r="E258" s="26">
        <f>E249*E256</f>
        <v>0</v>
      </c>
      <c r="G258" s="4" t="s">
        <v>211</v>
      </c>
      <c r="H258" s="4">
        <f t="shared" si="12"/>
        <v>20</v>
      </c>
    </row>
    <row r="259" spans="1:9" ht="16" thickTop="1" x14ac:dyDescent="0.35">
      <c r="A259" s="4">
        <f t="shared" si="11"/>
        <v>21</v>
      </c>
      <c r="E259" s="10"/>
      <c r="G259" s="4"/>
      <c r="H259" s="4">
        <f t="shared" si="12"/>
        <v>21</v>
      </c>
      <c r="I259" s="38"/>
    </row>
    <row r="260" spans="1:9" x14ac:dyDescent="0.35">
      <c r="A260" s="4">
        <f t="shared" si="11"/>
        <v>22</v>
      </c>
      <c r="B260" s="36" t="s">
        <v>226</v>
      </c>
      <c r="E260" s="10"/>
      <c r="G260" s="4"/>
      <c r="H260" s="4">
        <f t="shared" si="12"/>
        <v>22</v>
      </c>
      <c r="I260" s="38"/>
    </row>
    <row r="261" spans="1:9" ht="31" x14ac:dyDescent="0.35">
      <c r="A261" s="4">
        <f t="shared" si="11"/>
        <v>23</v>
      </c>
      <c r="B261" s="34" t="s">
        <v>227</v>
      </c>
      <c r="E261" s="30">
        <f>'Summary of HV-LV Splits'!I20+'Summary of HV-LV Splits'!I22</f>
        <v>0</v>
      </c>
      <c r="G261" s="95" t="s">
        <v>228</v>
      </c>
      <c r="H261" s="4">
        <f t="shared" si="12"/>
        <v>23</v>
      </c>
    </row>
    <row r="262" spans="1:9" x14ac:dyDescent="0.35">
      <c r="A262" s="4">
        <f t="shared" si="11"/>
        <v>24</v>
      </c>
      <c r="E262" s="10"/>
      <c r="G262" s="4"/>
      <c r="H262" s="4">
        <f t="shared" si="12"/>
        <v>24</v>
      </c>
      <c r="I262" s="38"/>
    </row>
    <row r="263" spans="1:9" ht="17.5" x14ac:dyDescent="0.35">
      <c r="A263" s="4">
        <f t="shared" si="11"/>
        <v>25</v>
      </c>
      <c r="B263" s="34" t="s">
        <v>29</v>
      </c>
      <c r="E263" s="914">
        <f>'Stmt AV'!G148</f>
        <v>9.2134790657702317E-2</v>
      </c>
      <c r="F263" s="226"/>
      <c r="G263" s="4" t="s">
        <v>30</v>
      </c>
      <c r="H263" s="4">
        <f t="shared" si="12"/>
        <v>25</v>
      </c>
      <c r="I263" s="38"/>
    </row>
    <row r="264" spans="1:9" x14ac:dyDescent="0.35">
      <c r="A264" s="4">
        <f t="shared" si="11"/>
        <v>26</v>
      </c>
      <c r="E264" s="10"/>
      <c r="G264" s="4"/>
      <c r="H264" s="4">
        <f t="shared" si="12"/>
        <v>26</v>
      </c>
      <c r="I264" s="38"/>
    </row>
    <row r="265" spans="1:9" ht="16" thickBot="1" x14ac:dyDescent="0.4">
      <c r="A265" s="4">
        <f t="shared" si="11"/>
        <v>27</v>
      </c>
      <c r="B265" s="34" t="s">
        <v>229</v>
      </c>
      <c r="E265" s="26">
        <f>E261*E263</f>
        <v>0</v>
      </c>
      <c r="G265" s="4" t="s">
        <v>230</v>
      </c>
      <c r="H265" s="4">
        <f t="shared" si="12"/>
        <v>27</v>
      </c>
      <c r="I265" s="38"/>
    </row>
    <row r="266" spans="1:9" ht="16" thickTop="1" x14ac:dyDescent="0.35">
      <c r="A266" s="4">
        <f t="shared" si="11"/>
        <v>28</v>
      </c>
      <c r="E266" s="10"/>
      <c r="G266" s="4"/>
      <c r="H266" s="4">
        <f t="shared" si="12"/>
        <v>28</v>
      </c>
      <c r="I266" s="38"/>
    </row>
    <row r="267" spans="1:9" ht="31" x14ac:dyDescent="0.35">
      <c r="A267" s="4">
        <f t="shared" si="11"/>
        <v>29</v>
      </c>
      <c r="B267" s="34" t="s">
        <v>227</v>
      </c>
      <c r="E267" s="30">
        <f>'Summary of HV-LV Splits'!I20+'Summary of HV-LV Splits'!I22</f>
        <v>0</v>
      </c>
      <c r="G267" s="95" t="s">
        <v>228</v>
      </c>
      <c r="H267" s="4">
        <f t="shared" si="12"/>
        <v>29</v>
      </c>
      <c r="I267" s="38"/>
    </row>
    <row r="268" spans="1:9" x14ac:dyDescent="0.35">
      <c r="A268" s="4">
        <f t="shared" si="11"/>
        <v>30</v>
      </c>
      <c r="E268" s="10"/>
      <c r="G268" s="4"/>
      <c r="H268" s="4">
        <f t="shared" si="12"/>
        <v>30</v>
      </c>
      <c r="I268" s="38"/>
    </row>
    <row r="269" spans="1:9" ht="17.5" x14ac:dyDescent="0.35">
      <c r="A269" s="4">
        <f t="shared" si="11"/>
        <v>31</v>
      </c>
      <c r="B269" s="34" t="s">
        <v>35</v>
      </c>
      <c r="E269" s="914">
        <f>'Stmt AV'!G182</f>
        <v>3.7378308604841285E-3</v>
      </c>
      <c r="G269" s="4" t="s">
        <v>36</v>
      </c>
      <c r="H269" s="4">
        <f t="shared" si="12"/>
        <v>31</v>
      </c>
      <c r="I269" s="38"/>
    </row>
    <row r="270" spans="1:9" x14ac:dyDescent="0.35">
      <c r="A270" s="4">
        <f t="shared" si="11"/>
        <v>32</v>
      </c>
      <c r="E270" s="10"/>
      <c r="G270" s="4"/>
      <c r="H270" s="4">
        <f t="shared" si="12"/>
        <v>32</v>
      </c>
      <c r="I270" s="38"/>
    </row>
    <row r="271" spans="1:9" ht="16" thickBot="1" x14ac:dyDescent="0.4">
      <c r="A271" s="4">
        <f t="shared" si="11"/>
        <v>33</v>
      </c>
      <c r="B271" s="34" t="s">
        <v>231</v>
      </c>
      <c r="E271" s="26">
        <f>E267*E269</f>
        <v>0</v>
      </c>
      <c r="G271" s="4" t="s">
        <v>232</v>
      </c>
      <c r="H271" s="4">
        <f t="shared" si="12"/>
        <v>33</v>
      </c>
      <c r="I271" s="38"/>
    </row>
    <row r="272" spans="1:9" ht="16" thickTop="1" x14ac:dyDescent="0.35">
      <c r="A272" s="4">
        <f t="shared" si="11"/>
        <v>34</v>
      </c>
      <c r="E272" s="10"/>
      <c r="G272" s="4"/>
      <c r="H272" s="4">
        <f t="shared" si="12"/>
        <v>34</v>
      </c>
      <c r="I272" s="38"/>
    </row>
    <row r="273" spans="1:9" ht="16" thickBot="1" x14ac:dyDescent="0.4">
      <c r="A273" s="4">
        <f t="shared" si="11"/>
        <v>35</v>
      </c>
      <c r="B273" s="34" t="s">
        <v>233</v>
      </c>
      <c r="E273" s="26">
        <f>E265+E271</f>
        <v>0</v>
      </c>
      <c r="G273" s="4" t="s">
        <v>234</v>
      </c>
      <c r="H273" s="4">
        <f t="shared" si="12"/>
        <v>35</v>
      </c>
      <c r="I273" s="38"/>
    </row>
    <row r="274" spans="1:9" ht="16" thickTop="1" x14ac:dyDescent="0.35">
      <c r="A274" s="4"/>
      <c r="E274" s="10"/>
      <c r="G274" s="4"/>
      <c r="I274" s="38"/>
    </row>
    <row r="275" spans="1:9" x14ac:dyDescent="0.35">
      <c r="A275" s="4"/>
      <c r="E275" s="10"/>
      <c r="G275" s="4"/>
      <c r="I275" s="38"/>
    </row>
    <row r="276" spans="1:9" ht="18" x14ac:dyDescent="0.35">
      <c r="A276" s="261">
        <v>1</v>
      </c>
      <c r="B276" s="34" t="s">
        <v>235</v>
      </c>
      <c r="E276" s="10"/>
      <c r="G276" s="4"/>
      <c r="I276" s="38"/>
    </row>
    <row r="277" spans="1:9" x14ac:dyDescent="0.35">
      <c r="A277" s="4"/>
      <c r="E277" s="10"/>
      <c r="G277" s="4"/>
      <c r="I277" s="38"/>
    </row>
    <row r="278" spans="1:9" x14ac:dyDescent="0.35">
      <c r="A278" s="4"/>
      <c r="E278" s="10"/>
      <c r="G278" s="4"/>
      <c r="I278" s="38"/>
    </row>
    <row r="279" spans="1:9" x14ac:dyDescent="0.35">
      <c r="A279" s="4"/>
      <c r="B279" s="1171" t="s">
        <v>0</v>
      </c>
      <c r="C279" s="1172"/>
      <c r="D279" s="1172"/>
      <c r="E279" s="1172"/>
      <c r="F279" s="1172"/>
      <c r="G279" s="1172"/>
      <c r="I279" s="38"/>
    </row>
    <row r="280" spans="1:9" x14ac:dyDescent="0.35">
      <c r="A280" s="4"/>
      <c r="B280" s="1171" t="s">
        <v>2</v>
      </c>
      <c r="C280" s="1172"/>
      <c r="D280" s="1172"/>
      <c r="E280" s="1172"/>
      <c r="F280" s="1172"/>
      <c r="G280" s="1172"/>
      <c r="I280" s="38"/>
    </row>
    <row r="281" spans="1:9" ht="18" x14ac:dyDescent="0.35">
      <c r="A281" s="4"/>
      <c r="B281" s="1171" t="s">
        <v>236</v>
      </c>
      <c r="C281" s="1173"/>
      <c r="D281" s="1173"/>
      <c r="E281" s="1173"/>
      <c r="F281" s="1173"/>
      <c r="G281" s="1173"/>
      <c r="I281" s="38"/>
    </row>
    <row r="282" spans="1:9" x14ac:dyDescent="0.35">
      <c r="A282" s="4"/>
      <c r="B282" s="1174" t="s">
        <v>237</v>
      </c>
      <c r="C282" s="1179"/>
      <c r="D282" s="1179"/>
      <c r="E282" s="1179"/>
      <c r="F282" s="1179"/>
      <c r="G282" s="1179"/>
    </row>
    <row r="283" spans="1:9" x14ac:dyDescent="0.35">
      <c r="A283" s="4"/>
      <c r="B283" s="1175" t="s">
        <v>5</v>
      </c>
      <c r="C283" s="1172"/>
      <c r="D283" s="1172"/>
      <c r="E283" s="1172"/>
      <c r="F283" s="1172"/>
      <c r="G283" s="1172"/>
    </row>
    <row r="284" spans="1:9" x14ac:dyDescent="0.35">
      <c r="A284" s="4"/>
      <c r="B284" s="37"/>
      <c r="I284" s="38"/>
    </row>
    <row r="285" spans="1:9" x14ac:dyDescent="0.35">
      <c r="A285" s="4" t="s">
        <v>6</v>
      </c>
      <c r="E285" s="27"/>
      <c r="G285" s="4"/>
      <c r="H285" s="4" t="s">
        <v>6</v>
      </c>
      <c r="I285" s="38"/>
    </row>
    <row r="286" spans="1:9" x14ac:dyDescent="0.35">
      <c r="A286" s="4" t="s">
        <v>7</v>
      </c>
      <c r="B286" s="1" t="s">
        <v>1</v>
      </c>
      <c r="E286" s="965" t="s">
        <v>8</v>
      </c>
      <c r="G286" s="876" t="s">
        <v>9</v>
      </c>
      <c r="H286" s="4" t="s">
        <v>7</v>
      </c>
      <c r="I286" s="38"/>
    </row>
    <row r="287" spans="1:9" x14ac:dyDescent="0.35">
      <c r="A287" s="4"/>
      <c r="E287" s="271"/>
      <c r="G287" s="226"/>
      <c r="I287" s="38"/>
    </row>
    <row r="288" spans="1:9" ht="18" x14ac:dyDescent="0.35">
      <c r="A288" s="4"/>
      <c r="B288" s="36" t="s">
        <v>238</v>
      </c>
      <c r="G288" s="4"/>
      <c r="I288" s="38"/>
    </row>
    <row r="289" spans="1:9" x14ac:dyDescent="0.35">
      <c r="A289" s="4">
        <v>1</v>
      </c>
      <c r="B289" s="36"/>
      <c r="G289" s="4"/>
      <c r="H289" s="4">
        <f>A289</f>
        <v>1</v>
      </c>
      <c r="I289" s="38"/>
    </row>
    <row r="290" spans="1:9" ht="17.5" x14ac:dyDescent="0.35">
      <c r="A290" s="4">
        <f t="shared" ref="A290:A313" si="13">A289+1</f>
        <v>2</v>
      </c>
      <c r="B290" s="34" t="s">
        <v>239</v>
      </c>
      <c r="C290" s="34" t="s">
        <v>1</v>
      </c>
      <c r="E290" s="7">
        <f>E40</f>
        <v>1004711.5451585753</v>
      </c>
      <c r="F290" s="226"/>
      <c r="G290" s="4" t="s">
        <v>187</v>
      </c>
      <c r="H290" s="4">
        <f t="shared" ref="H290:H313" si="14">H289+1</f>
        <v>2</v>
      </c>
      <c r="I290" s="38"/>
    </row>
    <row r="291" spans="1:9" x14ac:dyDescent="0.35">
      <c r="A291" s="4">
        <f t="shared" si="13"/>
        <v>3</v>
      </c>
      <c r="E291" s="31"/>
      <c r="G291" s="4"/>
      <c r="H291" s="4">
        <f t="shared" si="14"/>
        <v>3</v>
      </c>
    </row>
    <row r="292" spans="1:9" ht="17.5" x14ac:dyDescent="0.35">
      <c r="A292" s="4">
        <f t="shared" si="13"/>
        <v>4</v>
      </c>
      <c r="B292" s="34" t="s">
        <v>240</v>
      </c>
      <c r="E292" s="9">
        <f>E91</f>
        <v>0</v>
      </c>
      <c r="G292" s="4" t="s">
        <v>241</v>
      </c>
      <c r="H292" s="4">
        <f t="shared" si="14"/>
        <v>4</v>
      </c>
    </row>
    <row r="293" spans="1:9" x14ac:dyDescent="0.35">
      <c r="A293" s="4">
        <f t="shared" si="13"/>
        <v>5</v>
      </c>
      <c r="E293" s="8"/>
      <c r="G293" s="4"/>
      <c r="H293" s="4">
        <f t="shared" si="14"/>
        <v>5</v>
      </c>
    </row>
    <row r="294" spans="1:9" x14ac:dyDescent="0.35">
      <c r="A294" s="4">
        <f t="shared" si="13"/>
        <v>6</v>
      </c>
      <c r="B294" s="34" t="s">
        <v>242</v>
      </c>
      <c r="C294" s="463"/>
      <c r="E294" s="9">
        <f>'True-Up'!M34</f>
        <v>-81600.269564864153</v>
      </c>
      <c r="F294" s="226"/>
      <c r="G294" s="4" t="s">
        <v>243</v>
      </c>
      <c r="H294" s="4">
        <f t="shared" si="14"/>
        <v>6</v>
      </c>
    </row>
    <row r="295" spans="1:9" x14ac:dyDescent="0.35">
      <c r="A295" s="4">
        <f t="shared" si="13"/>
        <v>7</v>
      </c>
      <c r="E295" s="6"/>
      <c r="G295" s="4"/>
      <c r="H295" s="4">
        <f t="shared" si="14"/>
        <v>7</v>
      </c>
    </row>
    <row r="296" spans="1:9" x14ac:dyDescent="0.35">
      <c r="A296" s="4">
        <f t="shared" si="13"/>
        <v>8</v>
      </c>
      <c r="B296" s="34" t="s">
        <v>244</v>
      </c>
      <c r="E296" s="12">
        <f>'Interest TU CY'!D31</f>
        <v>4648.5174862669382</v>
      </c>
      <c r="G296" s="4" t="s">
        <v>245</v>
      </c>
      <c r="H296" s="4">
        <f t="shared" si="14"/>
        <v>8</v>
      </c>
    </row>
    <row r="297" spans="1:9" x14ac:dyDescent="0.35">
      <c r="A297" s="4">
        <f t="shared" si="13"/>
        <v>9</v>
      </c>
      <c r="E297" s="6"/>
      <c r="G297" s="4"/>
      <c r="H297" s="4">
        <f t="shared" si="14"/>
        <v>9</v>
      </c>
    </row>
    <row r="298" spans="1:9" x14ac:dyDescent="0.35">
      <c r="A298" s="4">
        <f>A297+1</f>
        <v>10</v>
      </c>
      <c r="B298" s="34" t="s">
        <v>246</v>
      </c>
      <c r="E298" s="9">
        <f>E224</f>
        <v>76296.353029933962</v>
      </c>
      <c r="F298" s="226"/>
      <c r="G298" s="4" t="s">
        <v>247</v>
      </c>
      <c r="H298" s="4">
        <f t="shared" si="14"/>
        <v>10</v>
      </c>
    </row>
    <row r="299" spans="1:9" x14ac:dyDescent="0.35">
      <c r="A299" s="4">
        <f t="shared" si="13"/>
        <v>11</v>
      </c>
      <c r="E299" s="6"/>
      <c r="G299" s="4"/>
      <c r="H299" s="4">
        <f t="shared" si="14"/>
        <v>11</v>
      </c>
    </row>
    <row r="300" spans="1:9" ht="17.5" x14ac:dyDescent="0.35">
      <c r="A300" s="4">
        <f t="shared" si="13"/>
        <v>12</v>
      </c>
      <c r="B300" s="34" t="s">
        <v>248</v>
      </c>
      <c r="E300" s="9">
        <f>E258</f>
        <v>0</v>
      </c>
      <c r="G300" s="4" t="s">
        <v>249</v>
      </c>
      <c r="H300" s="4">
        <f t="shared" si="14"/>
        <v>12</v>
      </c>
    </row>
    <row r="301" spans="1:9" x14ac:dyDescent="0.35">
      <c r="A301" s="4">
        <f t="shared" si="13"/>
        <v>13</v>
      </c>
      <c r="E301" s="6"/>
      <c r="G301" s="4"/>
      <c r="H301" s="4">
        <f t="shared" si="14"/>
        <v>13</v>
      </c>
    </row>
    <row r="302" spans="1:9" x14ac:dyDescent="0.35">
      <c r="A302" s="4">
        <f t="shared" si="13"/>
        <v>14</v>
      </c>
      <c r="B302" s="34" t="s">
        <v>250</v>
      </c>
      <c r="E302" s="868">
        <f>E273</f>
        <v>0</v>
      </c>
      <c r="G302" s="4" t="s">
        <v>251</v>
      </c>
      <c r="H302" s="4">
        <f t="shared" si="14"/>
        <v>14</v>
      </c>
    </row>
    <row r="303" spans="1:9" x14ac:dyDescent="0.35">
      <c r="A303" s="4">
        <f t="shared" si="13"/>
        <v>15</v>
      </c>
      <c r="E303" s="6"/>
      <c r="G303" s="4"/>
      <c r="H303" s="4">
        <f t="shared" si="14"/>
        <v>15</v>
      </c>
    </row>
    <row r="304" spans="1:9" ht="18" x14ac:dyDescent="0.35">
      <c r="A304" s="4">
        <f t="shared" si="13"/>
        <v>16</v>
      </c>
      <c r="B304" s="36" t="s">
        <v>252</v>
      </c>
      <c r="C304" s="38"/>
      <c r="E304" s="10">
        <f>E290+E292+E294+E296+E298+E300+E302</f>
        <v>1004056.1461099121</v>
      </c>
      <c r="F304" s="226"/>
      <c r="G304" s="4" t="s">
        <v>253</v>
      </c>
      <c r="H304" s="4">
        <f t="shared" si="14"/>
        <v>16</v>
      </c>
    </row>
    <row r="305" spans="1:13" x14ac:dyDescent="0.35">
      <c r="A305" s="4">
        <f t="shared" si="13"/>
        <v>17</v>
      </c>
      <c r="E305" s="6"/>
      <c r="G305" s="4"/>
      <c r="H305" s="4">
        <f t="shared" si="14"/>
        <v>17</v>
      </c>
    </row>
    <row r="306" spans="1:13" x14ac:dyDescent="0.35">
      <c r="A306" s="4">
        <f t="shared" si="13"/>
        <v>18</v>
      </c>
      <c r="B306" s="35" t="s">
        <v>254</v>
      </c>
      <c r="C306" s="33">
        <v>1.0207000000000001E-2</v>
      </c>
      <c r="E306" s="10">
        <f>$E$304*C306</f>
        <v>10248.401083343873</v>
      </c>
      <c r="F306" s="226"/>
      <c r="G306" s="4" t="s">
        <v>255</v>
      </c>
      <c r="H306" s="4">
        <f t="shared" si="14"/>
        <v>18</v>
      </c>
      <c r="J306"/>
      <c r="K306"/>
      <c r="L306"/>
      <c r="M306"/>
    </row>
    <row r="307" spans="1:13" x14ac:dyDescent="0.35">
      <c r="A307" s="4">
        <f t="shared" si="13"/>
        <v>19</v>
      </c>
      <c r="B307" s="35" t="s">
        <v>256</v>
      </c>
      <c r="C307" s="33">
        <v>2.0500000000000002E-3</v>
      </c>
      <c r="E307" s="972">
        <f>$E$304*C307</f>
        <v>2058.31509952532</v>
      </c>
      <c r="F307" s="226"/>
      <c r="G307" s="4" t="s">
        <v>257</v>
      </c>
      <c r="H307" s="4">
        <f t="shared" si="14"/>
        <v>19</v>
      </c>
      <c r="J307" s="28"/>
    </row>
    <row r="308" spans="1:13" x14ac:dyDescent="0.35">
      <c r="A308" s="4">
        <f t="shared" si="13"/>
        <v>20</v>
      </c>
      <c r="E308" s="8"/>
      <c r="G308" s="4"/>
      <c r="H308" s="4">
        <f t="shared" si="14"/>
        <v>20</v>
      </c>
      <c r="I308" s="951"/>
      <c r="J308" s="4"/>
      <c r="K308" s="4"/>
      <c r="L308" s="4"/>
    </row>
    <row r="309" spans="1:13" ht="18" x14ac:dyDescent="0.35">
      <c r="A309" s="4">
        <f t="shared" si="13"/>
        <v>21</v>
      </c>
      <c r="B309" s="36" t="s">
        <v>258</v>
      </c>
      <c r="C309" s="38"/>
      <c r="E309" s="10">
        <f>SUM(E304:E307)</f>
        <v>1016362.8622927812</v>
      </c>
      <c r="F309" s="226"/>
      <c r="G309" s="4" t="s">
        <v>172</v>
      </c>
      <c r="H309" s="4">
        <f t="shared" si="14"/>
        <v>21</v>
      </c>
      <c r="I309" s="922"/>
      <c r="J309" s="38"/>
      <c r="K309" s="922"/>
      <c r="L309" s="922"/>
    </row>
    <row r="310" spans="1:13" x14ac:dyDescent="0.35">
      <c r="A310" s="4">
        <f t="shared" si="13"/>
        <v>22</v>
      </c>
      <c r="B310" s="1"/>
      <c r="E310" s="32"/>
      <c r="G310" s="4"/>
      <c r="H310" s="4">
        <f t="shared" si="14"/>
        <v>22</v>
      </c>
      <c r="I310" s="922"/>
      <c r="K310" s="922"/>
      <c r="L310" s="922"/>
    </row>
    <row r="311" spans="1:13" ht="18" x14ac:dyDescent="0.35">
      <c r="A311" s="4">
        <f t="shared" si="13"/>
        <v>23</v>
      </c>
      <c r="B311" s="36" t="s">
        <v>259</v>
      </c>
      <c r="E311" s="977">
        <f>-13304+3766+8977</f>
        <v>-561</v>
      </c>
      <c r="G311" s="95" t="s">
        <v>260</v>
      </c>
      <c r="H311" s="4">
        <f t="shared" si="14"/>
        <v>23</v>
      </c>
      <c r="I311" s="922"/>
      <c r="J311" s="38"/>
      <c r="K311" s="922"/>
      <c r="L311" s="922"/>
    </row>
    <row r="312" spans="1:13" x14ac:dyDescent="0.35">
      <c r="A312" s="4">
        <f t="shared" si="13"/>
        <v>24</v>
      </c>
      <c r="B312" s="34" t="s">
        <v>1</v>
      </c>
      <c r="H312" s="4">
        <f t="shared" si="14"/>
        <v>24</v>
      </c>
      <c r="I312" s="922"/>
      <c r="K312" s="922"/>
      <c r="L312" s="922"/>
    </row>
    <row r="313" spans="1:13" ht="18.5" thickBot="1" x14ac:dyDescent="0.4">
      <c r="A313" s="4">
        <f t="shared" si="13"/>
        <v>25</v>
      </c>
      <c r="B313" s="36" t="s">
        <v>261</v>
      </c>
      <c r="E313" s="40">
        <f>E309+E311</f>
        <v>1015801.8622927812</v>
      </c>
      <c r="G313" s="4" t="s">
        <v>262</v>
      </c>
      <c r="H313" s="4">
        <f t="shared" si="14"/>
        <v>25</v>
      </c>
      <c r="I313" s="922"/>
      <c r="J313" s="38"/>
      <c r="K313" s="922"/>
      <c r="L313" s="922"/>
    </row>
    <row r="314" spans="1:13" ht="16" thickTop="1" x14ac:dyDescent="0.35">
      <c r="J314" s="898"/>
      <c r="L314" s="898"/>
    </row>
    <row r="315" spans="1:13" x14ac:dyDescent="0.35">
      <c r="E315" s="38"/>
    </row>
    <row r="317" spans="1:13" x14ac:dyDescent="0.35">
      <c r="E317" s="952"/>
    </row>
    <row r="319" spans="1:13" x14ac:dyDescent="0.35">
      <c r="E319" s="38"/>
    </row>
  </sheetData>
  <mergeCells count="35">
    <mergeCell ref="B283:G283"/>
    <mergeCell ref="B197:G197"/>
    <mergeCell ref="B198:G198"/>
    <mergeCell ref="B227:G227"/>
    <mergeCell ref="B228:G228"/>
    <mergeCell ref="B229:G229"/>
    <mergeCell ref="B230:G230"/>
    <mergeCell ref="B231:G231"/>
    <mergeCell ref="B279:G279"/>
    <mergeCell ref="B280:G280"/>
    <mergeCell ref="B281:G281"/>
    <mergeCell ref="B282:G282"/>
    <mergeCell ref="B196:G196"/>
    <mergeCell ref="B102:G102"/>
    <mergeCell ref="B103:G103"/>
    <mergeCell ref="B104:G104"/>
    <mergeCell ref="B105:G105"/>
    <mergeCell ref="B155:G155"/>
    <mergeCell ref="B156:G156"/>
    <mergeCell ref="B157:G157"/>
    <mergeCell ref="B158:G158"/>
    <mergeCell ref="B159:G159"/>
    <mergeCell ref="B194:G194"/>
    <mergeCell ref="B195:G195"/>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fitToHeight="0" orientation="portrait" r:id="rId1"/>
  <headerFooter scaleWithDoc="0">
    <oddFooter>&amp;C&amp;"Times New Roman,Regular"&amp;10BK-1
Page &amp;P of 7</oddFooter>
  </headerFooter>
  <rowBreaks count="6" manualBreakCount="6">
    <brk id="44" max="7" man="1"/>
    <brk id="99" max="8" man="1"/>
    <brk id="153" max="8" man="1"/>
    <brk id="192" max="8" man="1"/>
    <brk id="225" max="8" man="1"/>
    <brk id="277" max="8"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170"/>
  <sheetViews>
    <sheetView zoomScale="80" zoomScaleNormal="80" workbookViewId="0"/>
  </sheetViews>
  <sheetFormatPr defaultColWidth="9.08984375" defaultRowHeight="15.5" x14ac:dyDescent="0.35"/>
  <cols>
    <col min="1" max="1" width="5.08984375" style="4" customWidth="1"/>
    <col min="2" max="2" width="11.08984375" style="4" customWidth="1"/>
    <col min="3" max="3" width="32.453125" style="34" customWidth="1"/>
    <col min="4" max="10" width="18.54296875" style="6" customWidth="1"/>
    <col min="11" max="11" width="18.54296875" style="34" customWidth="1"/>
    <col min="12" max="12" width="24" style="34" customWidth="1"/>
    <col min="13" max="13" width="5.08984375" style="4" customWidth="1"/>
    <col min="14" max="14" width="11.90625" style="34" bestFit="1" customWidth="1"/>
    <col min="15" max="15" width="13.08984375" style="34" customWidth="1"/>
    <col min="16" max="16384" width="9.08984375" style="34"/>
  </cols>
  <sheetData>
    <row r="2" spans="1:13" s="1" customFormat="1" ht="15" x14ac:dyDescent="0.35">
      <c r="A2" s="226"/>
      <c r="B2" s="1171" t="s">
        <v>0</v>
      </c>
      <c r="C2" s="1171"/>
      <c r="D2" s="1171"/>
      <c r="E2" s="1171"/>
      <c r="F2" s="1171"/>
      <c r="G2" s="1171"/>
      <c r="H2" s="1171"/>
      <c r="I2" s="1171"/>
      <c r="J2" s="1171"/>
      <c r="K2" s="1171"/>
      <c r="L2" s="1171"/>
      <c r="M2" s="226"/>
    </row>
    <row r="3" spans="1:13" s="1" customFormat="1" ht="15" x14ac:dyDescent="0.35">
      <c r="A3" s="226"/>
      <c r="B3" s="1171" t="s">
        <v>407</v>
      </c>
      <c r="C3" s="1171"/>
      <c r="D3" s="1171"/>
      <c r="E3" s="1171"/>
      <c r="F3" s="1171"/>
      <c r="G3" s="1171"/>
      <c r="H3" s="1171"/>
      <c r="I3" s="1171"/>
      <c r="J3" s="1171"/>
      <c r="K3" s="1171"/>
      <c r="L3" s="1171"/>
      <c r="M3" s="226"/>
    </row>
    <row r="4" spans="1:13" x14ac:dyDescent="0.35">
      <c r="B4" s="1171" t="s">
        <v>408</v>
      </c>
      <c r="C4" s="1171"/>
      <c r="D4" s="1171"/>
      <c r="E4" s="1171"/>
      <c r="F4" s="1171"/>
      <c r="G4" s="1171"/>
      <c r="H4" s="1171"/>
      <c r="I4" s="1171"/>
      <c r="J4" s="1171"/>
      <c r="K4" s="1171"/>
      <c r="L4" s="1171"/>
    </row>
    <row r="5" spans="1:13" x14ac:dyDescent="0.35">
      <c r="B5" s="1175" t="s">
        <v>409</v>
      </c>
      <c r="C5" s="1175"/>
      <c r="D5" s="1175"/>
      <c r="E5" s="1175"/>
      <c r="F5" s="1175"/>
      <c r="G5" s="1175"/>
      <c r="H5" s="1175"/>
      <c r="I5" s="1175"/>
      <c r="J5" s="1175"/>
      <c r="K5" s="1175"/>
      <c r="L5" s="1175"/>
    </row>
    <row r="6" spans="1:13" x14ac:dyDescent="0.35">
      <c r="B6" s="1175" t="s">
        <v>5</v>
      </c>
      <c r="C6" s="1171"/>
      <c r="D6" s="1171"/>
      <c r="E6" s="1171"/>
      <c r="F6" s="1171"/>
      <c r="G6" s="1171"/>
      <c r="H6" s="1171"/>
      <c r="I6" s="1171"/>
      <c r="J6" s="1171"/>
      <c r="K6" s="1171"/>
      <c r="L6" s="1171"/>
    </row>
    <row r="7" spans="1:13" x14ac:dyDescent="0.35">
      <c r="C7" s="277"/>
      <c r="D7" s="278"/>
      <c r="E7" s="304"/>
      <c r="F7" s="304"/>
      <c r="G7" s="304"/>
      <c r="H7" s="304"/>
      <c r="I7" s="304"/>
      <c r="J7" s="304"/>
    </row>
    <row r="8" spans="1:13" s="226" customFormat="1" ht="15" x14ac:dyDescent="0.35">
      <c r="B8" s="988"/>
      <c r="C8" s="1006"/>
      <c r="D8" s="1007" t="s">
        <v>410</v>
      </c>
      <c r="E8" s="1007" t="s">
        <v>411</v>
      </c>
      <c r="F8" s="1007" t="s">
        <v>412</v>
      </c>
      <c r="G8" s="1007" t="s">
        <v>413</v>
      </c>
      <c r="H8" s="1007" t="s">
        <v>414</v>
      </c>
      <c r="I8" s="1007" t="s">
        <v>415</v>
      </c>
      <c r="J8" s="1007" t="s">
        <v>416</v>
      </c>
      <c r="K8" s="1007" t="s">
        <v>417</v>
      </c>
      <c r="L8" s="988"/>
      <c r="M8" s="226" t="s">
        <v>1</v>
      </c>
    </row>
    <row r="9" spans="1:13" x14ac:dyDescent="0.35">
      <c r="B9" s="1008"/>
      <c r="C9" s="989"/>
      <c r="D9" s="305"/>
      <c r="E9" s="305"/>
      <c r="F9" s="305"/>
      <c r="G9" s="305"/>
      <c r="H9" s="305"/>
      <c r="I9" s="305"/>
      <c r="J9" s="305"/>
      <c r="K9" s="306" t="s">
        <v>265</v>
      </c>
      <c r="L9" s="1008"/>
      <c r="M9" s="4" t="s">
        <v>1</v>
      </c>
    </row>
    <row r="10" spans="1:13" x14ac:dyDescent="0.35">
      <c r="B10" s="307"/>
      <c r="C10" s="242"/>
      <c r="D10" s="305"/>
      <c r="E10" s="305" t="s">
        <v>418</v>
      </c>
      <c r="F10" s="305" t="s">
        <v>401</v>
      </c>
      <c r="G10" s="305" t="s">
        <v>406</v>
      </c>
      <c r="H10" s="305" t="s">
        <v>406</v>
      </c>
      <c r="I10" s="305" t="s">
        <v>406</v>
      </c>
      <c r="J10" s="305" t="s">
        <v>406</v>
      </c>
      <c r="K10" s="305" t="s">
        <v>406</v>
      </c>
      <c r="L10" s="995"/>
      <c r="M10" s="4" t="s">
        <v>1</v>
      </c>
    </row>
    <row r="11" spans="1:13" x14ac:dyDescent="0.35">
      <c r="B11" s="308"/>
      <c r="C11" s="288"/>
      <c r="D11" s="309" t="s">
        <v>265</v>
      </c>
      <c r="E11" s="305" t="s">
        <v>419</v>
      </c>
      <c r="F11" s="305" t="s">
        <v>419</v>
      </c>
      <c r="G11" s="305" t="s">
        <v>419</v>
      </c>
      <c r="H11" s="305" t="s">
        <v>419</v>
      </c>
      <c r="I11" s="305" t="s">
        <v>419</v>
      </c>
      <c r="J11" s="305" t="s">
        <v>419</v>
      </c>
      <c r="K11" s="305" t="s">
        <v>402</v>
      </c>
      <c r="L11" s="280"/>
    </row>
    <row r="12" spans="1:13" x14ac:dyDescent="0.35">
      <c r="A12" s="4" t="s">
        <v>6</v>
      </c>
      <c r="B12" s="308"/>
      <c r="C12" s="280"/>
      <c r="D12" s="309" t="s">
        <v>406</v>
      </c>
      <c r="E12" s="305" t="s">
        <v>420</v>
      </c>
      <c r="F12" s="310" t="s">
        <v>420</v>
      </c>
      <c r="G12" s="305" t="s">
        <v>420</v>
      </c>
      <c r="H12" s="305" t="s">
        <v>420</v>
      </c>
      <c r="I12" s="305" t="s">
        <v>420</v>
      </c>
      <c r="J12" s="305" t="s">
        <v>420</v>
      </c>
      <c r="K12" s="305" t="s">
        <v>421</v>
      </c>
      <c r="L12" s="280"/>
      <c r="M12" s="4" t="s">
        <v>6</v>
      </c>
    </row>
    <row r="13" spans="1:13" x14ac:dyDescent="0.35">
      <c r="A13" s="4" t="s">
        <v>7</v>
      </c>
      <c r="B13" s="285" t="s">
        <v>422</v>
      </c>
      <c r="C13" s="285" t="s">
        <v>423</v>
      </c>
      <c r="D13" s="311" t="s">
        <v>419</v>
      </c>
      <c r="E13" s="311" t="s">
        <v>424</v>
      </c>
      <c r="F13" s="311" t="s">
        <v>425</v>
      </c>
      <c r="G13" s="311" t="s">
        <v>426</v>
      </c>
      <c r="H13" s="311" t="s">
        <v>427</v>
      </c>
      <c r="I13" s="311" t="s">
        <v>395</v>
      </c>
      <c r="J13" s="1009" t="s">
        <v>428</v>
      </c>
      <c r="K13" s="285" t="s">
        <v>429</v>
      </c>
      <c r="L13" s="285" t="s">
        <v>9</v>
      </c>
      <c r="M13" s="4" t="s">
        <v>7</v>
      </c>
    </row>
    <row r="14" spans="1:13" x14ac:dyDescent="0.35">
      <c r="B14" s="995"/>
      <c r="C14" s="242" t="s">
        <v>430</v>
      </c>
      <c r="D14" s="242"/>
      <c r="E14" s="242"/>
      <c r="F14" s="242"/>
      <c r="G14" s="242"/>
      <c r="H14" s="242"/>
      <c r="I14" s="242"/>
      <c r="J14" s="242"/>
      <c r="K14" s="65"/>
      <c r="L14" s="995"/>
    </row>
    <row r="15" spans="1:13" x14ac:dyDescent="0.35">
      <c r="A15" s="4">
        <v>1</v>
      </c>
      <c r="B15" s="1010">
        <v>303</v>
      </c>
      <c r="C15" s="242" t="s">
        <v>431</v>
      </c>
      <c r="D15" s="240">
        <v>0</v>
      </c>
      <c r="E15" s="240">
        <v>0</v>
      </c>
      <c r="F15" s="240">
        <v>0</v>
      </c>
      <c r="G15" s="240">
        <v>0</v>
      </c>
      <c r="H15" s="240">
        <v>0</v>
      </c>
      <c r="I15" s="240">
        <v>0</v>
      </c>
      <c r="J15" s="240">
        <v>0</v>
      </c>
      <c r="K15" s="61">
        <f>SUM(D15:J15)</f>
        <v>0</v>
      </c>
      <c r="L15" s="995" t="s">
        <v>372</v>
      </c>
      <c r="M15" s="4">
        <f>A15</f>
        <v>1</v>
      </c>
    </row>
    <row r="16" spans="1:13" x14ac:dyDescent="0.35">
      <c r="A16" s="4">
        <f t="shared" ref="A16:A35" si="0">A15+1</f>
        <v>2</v>
      </c>
      <c r="B16" s="995">
        <v>310.10000000000002</v>
      </c>
      <c r="C16" s="242" t="s">
        <v>432</v>
      </c>
      <c r="D16" s="241">
        <v>0</v>
      </c>
      <c r="E16" s="241">
        <v>0</v>
      </c>
      <c r="F16" s="241">
        <v>0</v>
      </c>
      <c r="G16" s="241">
        <v>0</v>
      </c>
      <c r="H16" s="241">
        <v>0</v>
      </c>
      <c r="I16" s="241">
        <v>0</v>
      </c>
      <c r="J16" s="241">
        <v>0</v>
      </c>
      <c r="K16" s="55">
        <f>SUM(D16:J16)</f>
        <v>0</v>
      </c>
      <c r="L16" s="995" t="s">
        <v>372</v>
      </c>
      <c r="M16" s="4">
        <f>M15+1</f>
        <v>2</v>
      </c>
    </row>
    <row r="17" spans="1:13" x14ac:dyDescent="0.35">
      <c r="A17" s="4">
        <f t="shared" si="0"/>
        <v>3</v>
      </c>
      <c r="B17" s="1010">
        <v>340</v>
      </c>
      <c r="C17" s="1011" t="s">
        <v>433</v>
      </c>
      <c r="D17" s="241">
        <v>0</v>
      </c>
      <c r="E17" s="241">
        <v>4.5990200000000003</v>
      </c>
      <c r="F17" s="241">
        <v>0</v>
      </c>
      <c r="G17" s="241">
        <v>0</v>
      </c>
      <c r="H17" s="241">
        <v>0</v>
      </c>
      <c r="I17" s="241">
        <v>0</v>
      </c>
      <c r="J17" s="241">
        <v>0</v>
      </c>
      <c r="K17" s="55">
        <f>SUM(D17:J17)</f>
        <v>4.5990200000000003</v>
      </c>
      <c r="L17" s="995" t="s">
        <v>372</v>
      </c>
      <c r="M17" s="4">
        <f t="shared" ref="M17:M35" si="1">M16+1</f>
        <v>3</v>
      </c>
    </row>
    <row r="18" spans="1:13" x14ac:dyDescent="0.35">
      <c r="A18" s="4">
        <f t="shared" si="0"/>
        <v>4</v>
      </c>
      <c r="B18" s="1010">
        <v>360</v>
      </c>
      <c r="C18" s="1011" t="s">
        <v>433</v>
      </c>
      <c r="D18" s="241">
        <v>0</v>
      </c>
      <c r="E18" s="241">
        <v>0</v>
      </c>
      <c r="F18" s="241">
        <v>3626.3653199999999</v>
      </c>
      <c r="G18" s="241">
        <v>0</v>
      </c>
      <c r="H18" s="241">
        <v>0</v>
      </c>
      <c r="I18" s="241">
        <v>0</v>
      </c>
      <c r="J18" s="241">
        <v>0</v>
      </c>
      <c r="K18" s="55">
        <f>SUM(D18:J18)</f>
        <v>3626.3653199999999</v>
      </c>
      <c r="L18" s="995" t="s">
        <v>372</v>
      </c>
      <c r="M18" s="4">
        <f t="shared" si="1"/>
        <v>4</v>
      </c>
    </row>
    <row r="19" spans="1:13" x14ac:dyDescent="0.35">
      <c r="A19" s="4">
        <f t="shared" si="0"/>
        <v>5</v>
      </c>
      <c r="B19" s="1010">
        <v>361</v>
      </c>
      <c r="C19" s="242" t="s">
        <v>434</v>
      </c>
      <c r="D19" s="241">
        <v>0</v>
      </c>
      <c r="E19" s="241">
        <v>0</v>
      </c>
      <c r="F19" s="241">
        <v>1492.2876200000001</v>
      </c>
      <c r="G19" s="241">
        <v>0</v>
      </c>
      <c r="H19" s="241">
        <v>0</v>
      </c>
      <c r="I19" s="241">
        <v>0</v>
      </c>
      <c r="J19" s="241">
        <v>0</v>
      </c>
      <c r="K19" s="55">
        <f>SUM(D19:J19)</f>
        <v>1492.2876200000001</v>
      </c>
      <c r="L19" s="995" t="s">
        <v>372</v>
      </c>
      <c r="M19" s="4">
        <f t="shared" si="1"/>
        <v>5</v>
      </c>
    </row>
    <row r="20" spans="1:13" x14ac:dyDescent="0.35">
      <c r="A20" s="4">
        <f t="shared" si="0"/>
        <v>6</v>
      </c>
      <c r="B20" s="995"/>
      <c r="C20" s="242"/>
      <c r="D20" s="242"/>
      <c r="E20" s="242"/>
      <c r="F20" s="242"/>
      <c r="G20" s="242"/>
      <c r="H20" s="242"/>
      <c r="I20" s="242"/>
      <c r="J20" s="242"/>
      <c r="K20" s="65"/>
      <c r="L20" s="995"/>
      <c r="M20" s="4">
        <f t="shared" si="1"/>
        <v>6</v>
      </c>
    </row>
    <row r="21" spans="1:13" s="1" customFormat="1" x14ac:dyDescent="0.35">
      <c r="A21" s="4">
        <f t="shared" si="0"/>
        <v>7</v>
      </c>
      <c r="B21" s="1012" t="s">
        <v>435</v>
      </c>
      <c r="C21" s="1013" t="s">
        <v>436</v>
      </c>
      <c r="D21" s="1014">
        <f t="shared" ref="D21:K21" si="2">SUM(D15:D20)</f>
        <v>0</v>
      </c>
      <c r="E21" s="1014">
        <f t="shared" si="2"/>
        <v>4.5990200000000003</v>
      </c>
      <c r="F21" s="1014">
        <f t="shared" si="2"/>
        <v>5118.6529399999999</v>
      </c>
      <c r="G21" s="1014">
        <f t="shared" si="2"/>
        <v>0</v>
      </c>
      <c r="H21" s="1014">
        <f t="shared" si="2"/>
        <v>0</v>
      </c>
      <c r="I21" s="1014">
        <f t="shared" si="2"/>
        <v>0</v>
      </c>
      <c r="J21" s="1014">
        <f t="shared" si="2"/>
        <v>0</v>
      </c>
      <c r="K21" s="244">
        <f t="shared" si="2"/>
        <v>5123.2519599999996</v>
      </c>
      <c r="L21" s="1015" t="s">
        <v>18</v>
      </c>
      <c r="M21" s="4">
        <f t="shared" si="1"/>
        <v>7</v>
      </c>
    </row>
    <row r="22" spans="1:13" x14ac:dyDescent="0.35">
      <c r="A22" s="4">
        <f t="shared" si="0"/>
        <v>8</v>
      </c>
      <c r="B22" s="995"/>
      <c r="C22" s="242"/>
      <c r="D22" s="241"/>
      <c r="E22" s="241"/>
      <c r="F22" s="241"/>
      <c r="G22" s="241"/>
      <c r="H22" s="241"/>
      <c r="I22" s="241"/>
      <c r="J22" s="241"/>
      <c r="K22" s="65"/>
      <c r="L22" s="995"/>
      <c r="M22" s="4">
        <f t="shared" si="1"/>
        <v>8</v>
      </c>
    </row>
    <row r="23" spans="1:13" x14ac:dyDescent="0.35">
      <c r="A23" s="4">
        <f t="shared" si="0"/>
        <v>9</v>
      </c>
      <c r="B23" s="1010">
        <v>350</v>
      </c>
      <c r="C23" s="242" t="s">
        <v>433</v>
      </c>
      <c r="D23" s="1016">
        <v>256451.00883000001</v>
      </c>
      <c r="E23" s="240">
        <v>0</v>
      </c>
      <c r="F23" s="240"/>
      <c r="G23" s="240">
        <v>0</v>
      </c>
      <c r="H23" s="240">
        <v>0</v>
      </c>
      <c r="I23" s="240">
        <v>0</v>
      </c>
      <c r="J23" s="240">
        <v>-13536.05595</v>
      </c>
      <c r="K23" s="61">
        <f t="shared" ref="K23:K31" si="3">SUM(D23:J23)</f>
        <v>242914.95288</v>
      </c>
      <c r="L23" s="995" t="s">
        <v>372</v>
      </c>
      <c r="M23" s="4">
        <f t="shared" si="1"/>
        <v>9</v>
      </c>
    </row>
    <row r="24" spans="1:13" x14ac:dyDescent="0.35">
      <c r="A24" s="4">
        <f t="shared" si="0"/>
        <v>10</v>
      </c>
      <c r="B24" s="1010">
        <v>352</v>
      </c>
      <c r="C24" s="242" t="s">
        <v>434</v>
      </c>
      <c r="D24" s="1017">
        <v>751849.02706999995</v>
      </c>
      <c r="E24" s="241">
        <v>0</v>
      </c>
      <c r="F24" s="241"/>
      <c r="G24" s="241">
        <v>-1928.27782</v>
      </c>
      <c r="H24" s="241">
        <v>0</v>
      </c>
      <c r="I24" s="241">
        <v>0</v>
      </c>
      <c r="J24" s="241">
        <v>-108169.02635</v>
      </c>
      <c r="K24" s="55">
        <f t="shared" si="3"/>
        <v>641751.72289999994</v>
      </c>
      <c r="L24" s="995" t="s">
        <v>372</v>
      </c>
      <c r="M24" s="4">
        <f t="shared" si="1"/>
        <v>10</v>
      </c>
    </row>
    <row r="25" spans="1:13" x14ac:dyDescent="0.35">
      <c r="A25" s="4">
        <f t="shared" si="0"/>
        <v>11</v>
      </c>
      <c r="B25" s="1010">
        <v>353</v>
      </c>
      <c r="C25" s="242" t="s">
        <v>437</v>
      </c>
      <c r="D25" s="1017">
        <v>2172726.4284100002</v>
      </c>
      <c r="E25" s="241">
        <v>0</v>
      </c>
      <c r="F25" s="241"/>
      <c r="G25" s="241">
        <v>-12009.877780000001</v>
      </c>
      <c r="H25" s="241">
        <v>-1420.3928800000001</v>
      </c>
      <c r="I25" s="241">
        <v>0</v>
      </c>
      <c r="J25" s="241">
        <v>-2429.9854399999999</v>
      </c>
      <c r="K25" s="55">
        <f t="shared" si="3"/>
        <v>2156866.1723099998</v>
      </c>
      <c r="L25" s="995" t="s">
        <v>372</v>
      </c>
      <c r="M25" s="4">
        <f t="shared" si="1"/>
        <v>11</v>
      </c>
    </row>
    <row r="26" spans="1:13" x14ac:dyDescent="0.35">
      <c r="A26" s="4">
        <f t="shared" si="0"/>
        <v>12</v>
      </c>
      <c r="B26" s="1010">
        <v>354</v>
      </c>
      <c r="C26" s="242" t="s">
        <v>438</v>
      </c>
      <c r="D26" s="1017">
        <v>929375.37323000003</v>
      </c>
      <c r="E26" s="241">
        <v>0</v>
      </c>
      <c r="F26" s="241"/>
      <c r="G26" s="241">
        <v>0</v>
      </c>
      <c r="H26" s="241">
        <v>0</v>
      </c>
      <c r="I26" s="241">
        <v>0</v>
      </c>
      <c r="J26" s="241">
        <v>0</v>
      </c>
      <c r="K26" s="55">
        <f t="shared" si="3"/>
        <v>929375.37323000003</v>
      </c>
      <c r="L26" s="995" t="s">
        <v>372</v>
      </c>
      <c r="M26" s="4">
        <f t="shared" si="1"/>
        <v>12</v>
      </c>
    </row>
    <row r="27" spans="1:13" x14ac:dyDescent="0.35">
      <c r="A27" s="4">
        <f t="shared" si="0"/>
        <v>13</v>
      </c>
      <c r="B27" s="1010">
        <v>355</v>
      </c>
      <c r="C27" s="242" t="s">
        <v>439</v>
      </c>
      <c r="D27" s="1017">
        <v>982049.69038000004</v>
      </c>
      <c r="E27" s="241">
        <v>0</v>
      </c>
      <c r="F27" s="241"/>
      <c r="G27" s="241">
        <v>0</v>
      </c>
      <c r="H27" s="241">
        <v>0</v>
      </c>
      <c r="I27" s="241">
        <v>0</v>
      </c>
      <c r="J27" s="241">
        <v>0</v>
      </c>
      <c r="K27" s="55">
        <f t="shared" si="3"/>
        <v>982049.69038000004</v>
      </c>
      <c r="L27" s="995" t="s">
        <v>372</v>
      </c>
      <c r="M27" s="4">
        <f t="shared" si="1"/>
        <v>13</v>
      </c>
    </row>
    <row r="28" spans="1:13" x14ac:dyDescent="0.35">
      <c r="A28" s="4">
        <f t="shared" si="0"/>
        <v>14</v>
      </c>
      <c r="B28" s="1010">
        <v>356</v>
      </c>
      <c r="C28" s="242" t="s">
        <v>440</v>
      </c>
      <c r="D28" s="1017">
        <v>867149.75026</v>
      </c>
      <c r="E28" s="241">
        <v>0</v>
      </c>
      <c r="F28" s="241"/>
      <c r="G28" s="241">
        <v>0</v>
      </c>
      <c r="H28" s="241">
        <v>0</v>
      </c>
      <c r="I28" s="241">
        <v>0</v>
      </c>
      <c r="J28" s="241">
        <v>0</v>
      </c>
      <c r="K28" s="55">
        <f t="shared" si="3"/>
        <v>867149.75026</v>
      </c>
      <c r="L28" s="995" t="s">
        <v>372</v>
      </c>
      <c r="M28" s="4">
        <f t="shared" si="1"/>
        <v>14</v>
      </c>
    </row>
    <row r="29" spans="1:13" x14ac:dyDescent="0.35">
      <c r="A29" s="4">
        <f t="shared" si="0"/>
        <v>15</v>
      </c>
      <c r="B29" s="1010">
        <v>357</v>
      </c>
      <c r="C29" s="242" t="s">
        <v>441</v>
      </c>
      <c r="D29" s="1017">
        <v>560488.23855999997</v>
      </c>
      <c r="E29" s="241">
        <v>0</v>
      </c>
      <c r="F29" s="241"/>
      <c r="G29" s="241">
        <v>0</v>
      </c>
      <c r="H29" s="241">
        <v>0</v>
      </c>
      <c r="I29" s="241">
        <v>0</v>
      </c>
      <c r="J29" s="241">
        <v>0</v>
      </c>
      <c r="K29" s="55">
        <f t="shared" si="3"/>
        <v>560488.23855999997</v>
      </c>
      <c r="L29" s="995" t="s">
        <v>372</v>
      </c>
      <c r="M29" s="4">
        <f t="shared" si="1"/>
        <v>15</v>
      </c>
    </row>
    <row r="30" spans="1:13" x14ac:dyDescent="0.35">
      <c r="A30" s="4">
        <f t="shared" si="0"/>
        <v>16</v>
      </c>
      <c r="B30" s="1010">
        <v>358</v>
      </c>
      <c r="C30" s="242" t="s">
        <v>442</v>
      </c>
      <c r="D30" s="1017">
        <v>570072.43382999999</v>
      </c>
      <c r="E30" s="241">
        <v>0</v>
      </c>
      <c r="F30" s="241"/>
      <c r="G30" s="241">
        <v>-1726.37997</v>
      </c>
      <c r="H30" s="241">
        <v>0</v>
      </c>
      <c r="I30" s="241">
        <v>0</v>
      </c>
      <c r="J30" s="241">
        <v>0</v>
      </c>
      <c r="K30" s="55">
        <f t="shared" si="3"/>
        <v>568346.05385999999</v>
      </c>
      <c r="L30" s="995" t="s">
        <v>372</v>
      </c>
      <c r="M30" s="4">
        <f t="shared" si="1"/>
        <v>16</v>
      </c>
    </row>
    <row r="31" spans="1:13" x14ac:dyDescent="0.35">
      <c r="A31" s="4">
        <f t="shared" si="0"/>
        <v>17</v>
      </c>
      <c r="B31" s="1010">
        <v>359</v>
      </c>
      <c r="C31" s="242" t="s">
        <v>443</v>
      </c>
      <c r="D31" s="1017">
        <v>380158.92129000003</v>
      </c>
      <c r="E31" s="241">
        <v>0</v>
      </c>
      <c r="F31" s="241"/>
      <c r="G31" s="241">
        <v>0</v>
      </c>
      <c r="H31" s="241">
        <v>0</v>
      </c>
      <c r="I31" s="241">
        <v>0</v>
      </c>
      <c r="J31" s="241">
        <v>0</v>
      </c>
      <c r="K31" s="55">
        <f t="shared" si="3"/>
        <v>380158.92129000003</v>
      </c>
      <c r="L31" s="995" t="s">
        <v>372</v>
      </c>
      <c r="M31" s="4">
        <f t="shared" si="1"/>
        <v>17</v>
      </c>
    </row>
    <row r="32" spans="1:13" x14ac:dyDescent="0.35">
      <c r="A32" s="4">
        <f t="shared" si="0"/>
        <v>18</v>
      </c>
      <c r="B32" s="1010"/>
      <c r="C32" s="242"/>
      <c r="D32" s="241"/>
      <c r="F32" s="98"/>
      <c r="G32" s="98"/>
      <c r="H32" s="98"/>
      <c r="I32" s="98"/>
      <c r="J32" s="241"/>
      <c r="K32" s="56"/>
      <c r="L32" s="1010"/>
      <c r="M32" s="4">
        <f t="shared" si="1"/>
        <v>18</v>
      </c>
    </row>
    <row r="33" spans="1:13" x14ac:dyDescent="0.35">
      <c r="A33" s="4">
        <f t="shared" si="0"/>
        <v>19</v>
      </c>
      <c r="B33" s="1018" t="s">
        <v>435</v>
      </c>
      <c r="C33" s="1013" t="s">
        <v>405</v>
      </c>
      <c r="D33" s="1014">
        <f>SUM(D23:D32)</f>
        <v>7470320.8718600003</v>
      </c>
      <c r="E33" s="1014">
        <f>SUM(E23:E32)</f>
        <v>0</v>
      </c>
      <c r="F33" s="1014">
        <f>SUM(F23:F32)</f>
        <v>0</v>
      </c>
      <c r="G33" s="1014">
        <f t="shared" ref="G33:H33" si="4">SUM(G23:G32)</f>
        <v>-15664.53557</v>
      </c>
      <c r="H33" s="1014">
        <f t="shared" si="4"/>
        <v>-1420.3928800000001</v>
      </c>
      <c r="I33" s="1014">
        <f>SUM(I23:I32)</f>
        <v>0</v>
      </c>
      <c r="J33" s="1014">
        <f>SUM(J23:J32)</f>
        <v>-124135.06774</v>
      </c>
      <c r="K33" s="244">
        <f>SUM(K23:K32)</f>
        <v>7329100.875669999</v>
      </c>
      <c r="L33" s="1019" t="s">
        <v>444</v>
      </c>
      <c r="M33" s="4">
        <f t="shared" si="1"/>
        <v>19</v>
      </c>
    </row>
    <row r="34" spans="1:13" x14ac:dyDescent="0.35">
      <c r="A34" s="4">
        <f t="shared" si="0"/>
        <v>20</v>
      </c>
      <c r="B34" s="307"/>
      <c r="D34" s="34"/>
      <c r="K34" s="6"/>
      <c r="L34" s="312"/>
      <c r="M34" s="4">
        <f t="shared" si="1"/>
        <v>20</v>
      </c>
    </row>
    <row r="35" spans="1:13" x14ac:dyDescent="0.35">
      <c r="A35" s="4">
        <f t="shared" si="0"/>
        <v>21</v>
      </c>
      <c r="B35" s="313" t="s">
        <v>445</v>
      </c>
      <c r="C35" s="1020"/>
      <c r="D35" s="595">
        <f t="shared" ref="D35:K35" si="5">D33+D21</f>
        <v>7470320.8718600003</v>
      </c>
      <c r="E35" s="595">
        <f t="shared" si="5"/>
        <v>4.5990200000000003</v>
      </c>
      <c r="F35" s="595">
        <f t="shared" si="5"/>
        <v>5118.6529399999999</v>
      </c>
      <c r="G35" s="595">
        <f t="shared" si="5"/>
        <v>-15664.53557</v>
      </c>
      <c r="H35" s="595">
        <f t="shared" si="5"/>
        <v>-1420.3928800000001</v>
      </c>
      <c r="I35" s="595">
        <f t="shared" si="5"/>
        <v>0</v>
      </c>
      <c r="J35" s="595">
        <f t="shared" si="5"/>
        <v>-124135.06774</v>
      </c>
      <c r="K35" s="66">
        <f t="shared" si="5"/>
        <v>7334224.1276299991</v>
      </c>
      <c r="L35" s="1015" t="s">
        <v>446</v>
      </c>
      <c r="M35" s="4">
        <f t="shared" si="1"/>
        <v>21</v>
      </c>
    </row>
    <row r="36" spans="1:13" x14ac:dyDescent="0.35">
      <c r="D36" s="34"/>
    </row>
    <row r="37" spans="1:13" x14ac:dyDescent="0.35">
      <c r="D37" s="34"/>
    </row>
    <row r="38" spans="1:13" x14ac:dyDescent="0.35">
      <c r="B38" s="35" t="s">
        <v>447</v>
      </c>
      <c r="D38" s="34"/>
    </row>
    <row r="39" spans="1:13" x14ac:dyDescent="0.35">
      <c r="D39" s="34"/>
      <c r="K39" s="6"/>
      <c r="L39" s="6"/>
    </row>
    <row r="40" spans="1:13" x14ac:dyDescent="0.35">
      <c r="D40" s="34"/>
    </row>
    <row r="41" spans="1:13" x14ac:dyDescent="0.35">
      <c r="D41" s="34"/>
    </row>
    <row r="42" spans="1:13" x14ac:dyDescent="0.35">
      <c r="D42" s="34"/>
    </row>
    <row r="43" spans="1:13" x14ac:dyDescent="0.35">
      <c r="D43" s="34"/>
    </row>
    <row r="44" spans="1:13" x14ac:dyDescent="0.35">
      <c r="D44" s="34"/>
    </row>
    <row r="45" spans="1:13" x14ac:dyDescent="0.35">
      <c r="D45" s="34"/>
    </row>
    <row r="46" spans="1:13" x14ac:dyDescent="0.35">
      <c r="D46" s="34"/>
    </row>
    <row r="47" spans="1:13" x14ac:dyDescent="0.35">
      <c r="D47" s="34"/>
    </row>
    <row r="48" spans="1:13" x14ac:dyDescent="0.35">
      <c r="D48" s="34"/>
    </row>
    <row r="49" spans="4:4" x14ac:dyDescent="0.35">
      <c r="D49" s="34"/>
    </row>
    <row r="50" spans="4:4" x14ac:dyDescent="0.35">
      <c r="D50" s="34"/>
    </row>
    <row r="51" spans="4:4" x14ac:dyDescent="0.35">
      <c r="D51" s="34"/>
    </row>
    <row r="52" spans="4:4" x14ac:dyDescent="0.35">
      <c r="D52" s="34"/>
    </row>
    <row r="53" spans="4:4" x14ac:dyDescent="0.35">
      <c r="D53" s="34"/>
    </row>
    <row r="54" spans="4:4" x14ac:dyDescent="0.35">
      <c r="D54" s="34"/>
    </row>
    <row r="55" spans="4:4" x14ac:dyDescent="0.35">
      <c r="D55" s="34"/>
    </row>
    <row r="56" spans="4:4" x14ac:dyDescent="0.35">
      <c r="D56" s="34"/>
    </row>
    <row r="57" spans="4:4" x14ac:dyDescent="0.35">
      <c r="D57" s="34"/>
    </row>
    <row r="58" spans="4:4" x14ac:dyDescent="0.35">
      <c r="D58" s="34"/>
    </row>
    <row r="59" spans="4:4" x14ac:dyDescent="0.35">
      <c r="D59" s="34"/>
    </row>
    <row r="60" spans="4:4" x14ac:dyDescent="0.35">
      <c r="D60" s="34"/>
    </row>
    <row r="61" spans="4:4" x14ac:dyDescent="0.35">
      <c r="D61" s="34"/>
    </row>
    <row r="62" spans="4:4" x14ac:dyDescent="0.35">
      <c r="D62" s="34"/>
    </row>
    <row r="63" spans="4:4" x14ac:dyDescent="0.35">
      <c r="D63" s="34"/>
    </row>
    <row r="64" spans="4:4" x14ac:dyDescent="0.35">
      <c r="D64" s="34"/>
    </row>
    <row r="65" spans="4:4" x14ac:dyDescent="0.35">
      <c r="D65" s="34"/>
    </row>
    <row r="66" spans="4:4" x14ac:dyDescent="0.35">
      <c r="D66" s="34"/>
    </row>
    <row r="67" spans="4:4" x14ac:dyDescent="0.35">
      <c r="D67" s="34"/>
    </row>
    <row r="68" spans="4:4" x14ac:dyDescent="0.35">
      <c r="D68" s="34"/>
    </row>
    <row r="69" spans="4:4" x14ac:dyDescent="0.35">
      <c r="D69" s="34"/>
    </row>
    <row r="70" spans="4:4" x14ac:dyDescent="0.35">
      <c r="D70" s="34"/>
    </row>
    <row r="71" spans="4:4" x14ac:dyDescent="0.35">
      <c r="D71" s="34"/>
    </row>
    <row r="72" spans="4:4" x14ac:dyDescent="0.35">
      <c r="D72" s="34"/>
    </row>
    <row r="73" spans="4:4" x14ac:dyDescent="0.35">
      <c r="D73" s="34"/>
    </row>
    <row r="74" spans="4:4" x14ac:dyDescent="0.35">
      <c r="D74" s="34"/>
    </row>
    <row r="75" spans="4:4" x14ac:dyDescent="0.35">
      <c r="D75" s="34"/>
    </row>
    <row r="76" spans="4:4" x14ac:dyDescent="0.35">
      <c r="D76" s="34"/>
    </row>
    <row r="77" spans="4:4" x14ac:dyDescent="0.35">
      <c r="D77" s="34"/>
    </row>
    <row r="78" spans="4:4" x14ac:dyDescent="0.35">
      <c r="D78" s="34"/>
    </row>
    <row r="79" spans="4:4" x14ac:dyDescent="0.35">
      <c r="D79" s="34"/>
    </row>
    <row r="80" spans="4:4" x14ac:dyDescent="0.35">
      <c r="D80" s="34"/>
    </row>
    <row r="81" spans="4:4" x14ac:dyDescent="0.35">
      <c r="D81" s="34"/>
    </row>
    <row r="82" spans="4:4" x14ac:dyDescent="0.35">
      <c r="D82" s="34"/>
    </row>
    <row r="83" spans="4:4" x14ac:dyDescent="0.35">
      <c r="D83" s="34"/>
    </row>
    <row r="84" spans="4:4" x14ac:dyDescent="0.35">
      <c r="D84" s="34"/>
    </row>
    <row r="85" spans="4:4" x14ac:dyDescent="0.35">
      <c r="D85" s="34"/>
    </row>
    <row r="86" spans="4:4" x14ac:dyDescent="0.35">
      <c r="D86" s="34"/>
    </row>
    <row r="87" spans="4:4" x14ac:dyDescent="0.35">
      <c r="D87" s="34"/>
    </row>
    <row r="88" spans="4:4" x14ac:dyDescent="0.35">
      <c r="D88" s="34"/>
    </row>
    <row r="89" spans="4:4" x14ac:dyDescent="0.35">
      <c r="D89" s="34"/>
    </row>
    <row r="90" spans="4:4" x14ac:dyDescent="0.35">
      <c r="D90" s="34"/>
    </row>
    <row r="91" spans="4:4" x14ac:dyDescent="0.35">
      <c r="D91" s="34"/>
    </row>
    <row r="92" spans="4:4" x14ac:dyDescent="0.35">
      <c r="D92" s="34"/>
    </row>
    <row r="93" spans="4:4" x14ac:dyDescent="0.35">
      <c r="D93" s="34"/>
    </row>
    <row r="94" spans="4:4" x14ac:dyDescent="0.35">
      <c r="D94" s="34"/>
    </row>
    <row r="95" spans="4:4" x14ac:dyDescent="0.35">
      <c r="D95" s="34"/>
    </row>
    <row r="96" spans="4:4" x14ac:dyDescent="0.35">
      <c r="D96" s="34"/>
    </row>
    <row r="97" spans="4:4" x14ac:dyDescent="0.35">
      <c r="D97" s="34"/>
    </row>
    <row r="98" spans="4:4" x14ac:dyDescent="0.35">
      <c r="D98" s="34"/>
    </row>
    <row r="99" spans="4:4" x14ac:dyDescent="0.35">
      <c r="D99" s="34"/>
    </row>
    <row r="100" spans="4:4" x14ac:dyDescent="0.35">
      <c r="D100" s="34"/>
    </row>
    <row r="101" spans="4:4" x14ac:dyDescent="0.35">
      <c r="D101" s="34"/>
    </row>
    <row r="102" spans="4:4" x14ac:dyDescent="0.35">
      <c r="D102" s="34"/>
    </row>
    <row r="103" spans="4:4" x14ac:dyDescent="0.35">
      <c r="D103" s="34"/>
    </row>
    <row r="104" spans="4:4" x14ac:dyDescent="0.35">
      <c r="D104" s="34"/>
    </row>
    <row r="105" spans="4:4" x14ac:dyDescent="0.35">
      <c r="D105" s="34"/>
    </row>
    <row r="106" spans="4:4" x14ac:dyDescent="0.35">
      <c r="D106" s="34"/>
    </row>
    <row r="107" spans="4:4" x14ac:dyDescent="0.35">
      <c r="D107" s="34"/>
    </row>
    <row r="108" spans="4:4" x14ac:dyDescent="0.35">
      <c r="D108" s="34"/>
    </row>
    <row r="109" spans="4:4" x14ac:dyDescent="0.35">
      <c r="D109" s="34"/>
    </row>
    <row r="110" spans="4:4" x14ac:dyDescent="0.35">
      <c r="D110" s="34"/>
    </row>
    <row r="111" spans="4:4" x14ac:dyDescent="0.35">
      <c r="D111" s="34"/>
    </row>
    <row r="112" spans="4:4" x14ac:dyDescent="0.35">
      <c r="D112" s="34"/>
    </row>
    <row r="113" spans="4:4" x14ac:dyDescent="0.35">
      <c r="D113" s="34"/>
    </row>
    <row r="114" spans="4:4" x14ac:dyDescent="0.35">
      <c r="D114" s="34"/>
    </row>
    <row r="115" spans="4:4" x14ac:dyDescent="0.35">
      <c r="D115" s="34"/>
    </row>
    <row r="116" spans="4:4" x14ac:dyDescent="0.35">
      <c r="D116" s="34"/>
    </row>
    <row r="117" spans="4:4" x14ac:dyDescent="0.35">
      <c r="D117" s="34"/>
    </row>
    <row r="118" spans="4:4" x14ac:dyDescent="0.35">
      <c r="D118" s="34"/>
    </row>
    <row r="119" spans="4:4" x14ac:dyDescent="0.35">
      <c r="D119" s="34"/>
    </row>
    <row r="120" spans="4:4" x14ac:dyDescent="0.35">
      <c r="D120" s="34"/>
    </row>
    <row r="121" spans="4:4" x14ac:dyDescent="0.35">
      <c r="D121" s="34"/>
    </row>
    <row r="122" spans="4:4" x14ac:dyDescent="0.35">
      <c r="D122" s="34"/>
    </row>
    <row r="123" spans="4:4" x14ac:dyDescent="0.35">
      <c r="D123" s="34"/>
    </row>
    <row r="124" spans="4:4" x14ac:dyDescent="0.35">
      <c r="D124" s="34"/>
    </row>
    <row r="125" spans="4:4" x14ac:dyDescent="0.35">
      <c r="D125" s="34"/>
    </row>
    <row r="126" spans="4:4" x14ac:dyDescent="0.35">
      <c r="D126" s="34"/>
    </row>
    <row r="127" spans="4:4" x14ac:dyDescent="0.35">
      <c r="D127" s="34"/>
    </row>
    <row r="128" spans="4:4" x14ac:dyDescent="0.35">
      <c r="D128" s="34"/>
    </row>
    <row r="129" spans="4:4" x14ac:dyDescent="0.35">
      <c r="D129" s="34"/>
    </row>
    <row r="130" spans="4:4" x14ac:dyDescent="0.35">
      <c r="D130" s="34"/>
    </row>
    <row r="131" spans="4:4" x14ac:dyDescent="0.35">
      <c r="D131" s="34"/>
    </row>
    <row r="132" spans="4:4" x14ac:dyDescent="0.35">
      <c r="D132" s="34"/>
    </row>
    <row r="133" spans="4:4" x14ac:dyDescent="0.35">
      <c r="D133" s="34"/>
    </row>
    <row r="134" spans="4:4" x14ac:dyDescent="0.35">
      <c r="D134" s="34"/>
    </row>
    <row r="135" spans="4:4" x14ac:dyDescent="0.35">
      <c r="D135" s="34"/>
    </row>
    <row r="136" spans="4:4" x14ac:dyDescent="0.35">
      <c r="D136" s="34"/>
    </row>
    <row r="137" spans="4:4" x14ac:dyDescent="0.35">
      <c r="D137" s="34"/>
    </row>
    <row r="138" spans="4:4" x14ac:dyDescent="0.35">
      <c r="D138" s="34"/>
    </row>
    <row r="139" spans="4:4" x14ac:dyDescent="0.35">
      <c r="D139" s="34"/>
    </row>
    <row r="140" spans="4:4" x14ac:dyDescent="0.35">
      <c r="D140" s="34"/>
    </row>
    <row r="141" spans="4:4" x14ac:dyDescent="0.35">
      <c r="D141" s="34"/>
    </row>
    <row r="142" spans="4:4" x14ac:dyDescent="0.35">
      <c r="D142" s="34"/>
    </row>
    <row r="143" spans="4:4" x14ac:dyDescent="0.35">
      <c r="D143" s="34"/>
    </row>
    <row r="144" spans="4:4" x14ac:dyDescent="0.35">
      <c r="D144" s="34"/>
    </row>
    <row r="145" spans="4:4" x14ac:dyDescent="0.35">
      <c r="D145" s="34"/>
    </row>
    <row r="146" spans="4:4" x14ac:dyDescent="0.35">
      <c r="D146" s="34"/>
    </row>
    <row r="147" spans="4:4" x14ac:dyDescent="0.35">
      <c r="D147" s="34"/>
    </row>
    <row r="148" spans="4:4" x14ac:dyDescent="0.35">
      <c r="D148" s="34"/>
    </row>
    <row r="149" spans="4:4" x14ac:dyDescent="0.35">
      <c r="D149" s="34"/>
    </row>
    <row r="150" spans="4:4" x14ac:dyDescent="0.35">
      <c r="D150" s="34"/>
    </row>
    <row r="151" spans="4:4" x14ac:dyDescent="0.35">
      <c r="D151" s="34"/>
    </row>
    <row r="152" spans="4:4" x14ac:dyDescent="0.35">
      <c r="D152" s="34"/>
    </row>
    <row r="153" spans="4:4" x14ac:dyDescent="0.35">
      <c r="D153" s="34"/>
    </row>
    <row r="154" spans="4:4" x14ac:dyDescent="0.35">
      <c r="D154" s="34"/>
    </row>
    <row r="155" spans="4:4" x14ac:dyDescent="0.35">
      <c r="D155" s="34"/>
    </row>
    <row r="156" spans="4:4" x14ac:dyDescent="0.35">
      <c r="D156" s="34"/>
    </row>
    <row r="157" spans="4:4" x14ac:dyDescent="0.35">
      <c r="D157" s="34"/>
    </row>
    <row r="158" spans="4:4" x14ac:dyDescent="0.35">
      <c r="D158" s="34"/>
    </row>
    <row r="159" spans="4:4" x14ac:dyDescent="0.35">
      <c r="D159" s="34"/>
    </row>
    <row r="160" spans="4:4" x14ac:dyDescent="0.35">
      <c r="D160" s="34"/>
    </row>
    <row r="161" spans="4:4" x14ac:dyDescent="0.35">
      <c r="D161" s="34"/>
    </row>
    <row r="162" spans="4:4" x14ac:dyDescent="0.35">
      <c r="D162" s="34"/>
    </row>
    <row r="163" spans="4:4" x14ac:dyDescent="0.35">
      <c r="D163" s="34"/>
    </row>
    <row r="164" spans="4:4" x14ac:dyDescent="0.35">
      <c r="D164" s="34"/>
    </row>
    <row r="165" spans="4:4" x14ac:dyDescent="0.35">
      <c r="D165" s="34"/>
    </row>
    <row r="166" spans="4:4" x14ac:dyDescent="0.35">
      <c r="D166" s="34"/>
    </row>
    <row r="167" spans="4:4" x14ac:dyDescent="0.35">
      <c r="D167" s="34"/>
    </row>
    <row r="168" spans="4:4" x14ac:dyDescent="0.35">
      <c r="D168" s="34"/>
    </row>
    <row r="169" spans="4:4" x14ac:dyDescent="0.35">
      <c r="D169" s="34"/>
    </row>
    <row r="170" spans="4:4" x14ac:dyDescent="0.35">
      <c r="D170" s="34"/>
    </row>
  </sheetData>
  <mergeCells count="5">
    <mergeCell ref="B2:L2"/>
    <mergeCell ref="B3:L3"/>
    <mergeCell ref="B4:L4"/>
    <mergeCell ref="B5:L5"/>
    <mergeCell ref="B6:L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O169"/>
  <sheetViews>
    <sheetView zoomScale="80" zoomScaleNormal="80" workbookViewId="0"/>
  </sheetViews>
  <sheetFormatPr defaultColWidth="9.08984375" defaultRowHeight="15.5" x14ac:dyDescent="0.35"/>
  <cols>
    <col min="1" max="1" width="5.08984375" style="4" customWidth="1"/>
    <col min="2" max="2" width="11.08984375" style="4" customWidth="1"/>
    <col min="3" max="3" width="32.453125" style="34" customWidth="1"/>
    <col min="4" max="10" width="18.54296875" style="6" customWidth="1"/>
    <col min="11" max="11" width="18.54296875" style="34" customWidth="1"/>
    <col min="12" max="12" width="24" style="34" customWidth="1"/>
    <col min="13" max="13" width="5.08984375" style="4" customWidth="1"/>
    <col min="14" max="16384" width="9.08984375" style="34"/>
  </cols>
  <sheetData>
    <row r="2" spans="1:15" s="1" customFormat="1" ht="15" x14ac:dyDescent="0.35">
      <c r="A2" s="226"/>
      <c r="B2" s="1171" t="s">
        <v>0</v>
      </c>
      <c r="C2" s="1171"/>
      <c r="D2" s="1171"/>
      <c r="E2" s="1171"/>
      <c r="F2" s="1171"/>
      <c r="G2" s="1171"/>
      <c r="H2" s="1171"/>
      <c r="I2" s="1171"/>
      <c r="J2" s="1171"/>
      <c r="K2" s="1171"/>
      <c r="L2" s="1171"/>
      <c r="M2" s="226"/>
      <c r="O2"/>
    </row>
    <row r="3" spans="1:15" s="1" customFormat="1" ht="15" x14ac:dyDescent="0.35">
      <c r="A3" s="226"/>
      <c r="B3" s="1171" t="s">
        <v>407</v>
      </c>
      <c r="C3" s="1171"/>
      <c r="D3" s="1171"/>
      <c r="E3" s="1171"/>
      <c r="F3" s="1171"/>
      <c r="G3" s="1171"/>
      <c r="H3" s="1171"/>
      <c r="I3" s="1171"/>
      <c r="J3" s="1171"/>
      <c r="K3" s="1171"/>
      <c r="L3" s="1171"/>
      <c r="M3" s="226"/>
    </row>
    <row r="4" spans="1:15" x14ac:dyDescent="0.35">
      <c r="B4" s="1171" t="s">
        <v>408</v>
      </c>
      <c r="C4" s="1171"/>
      <c r="D4" s="1171"/>
      <c r="E4" s="1171"/>
      <c r="F4" s="1171"/>
      <c r="G4" s="1171"/>
      <c r="H4" s="1171"/>
      <c r="I4" s="1171"/>
      <c r="J4" s="1171"/>
      <c r="K4" s="1171"/>
      <c r="L4" s="1171"/>
    </row>
    <row r="5" spans="1:15" x14ac:dyDescent="0.35">
      <c r="B5" s="1175" t="s">
        <v>448</v>
      </c>
      <c r="C5" s="1175"/>
      <c r="D5" s="1175"/>
      <c r="E5" s="1175"/>
      <c r="F5" s="1175"/>
      <c r="G5" s="1175"/>
      <c r="H5" s="1175"/>
      <c r="I5" s="1175"/>
      <c r="J5" s="1175"/>
      <c r="K5" s="1175"/>
      <c r="L5" s="1175"/>
    </row>
    <row r="6" spans="1:15" x14ac:dyDescent="0.35">
      <c r="B6" s="1175" t="s">
        <v>5</v>
      </c>
      <c r="C6" s="1171"/>
      <c r="D6" s="1171"/>
      <c r="E6" s="1171"/>
      <c r="F6" s="1171"/>
      <c r="G6" s="1171"/>
      <c r="H6" s="1171"/>
      <c r="I6" s="1171"/>
      <c r="J6" s="1171"/>
      <c r="K6" s="1171"/>
      <c r="L6" s="1171"/>
    </row>
    <row r="7" spans="1:15" x14ac:dyDescent="0.35">
      <c r="C7" s="277"/>
      <c r="D7" s="278"/>
      <c r="E7" s="304"/>
      <c r="F7" s="304"/>
      <c r="G7" s="304"/>
      <c r="H7" s="304"/>
      <c r="I7" s="304"/>
      <c r="J7" s="304"/>
    </row>
    <row r="8" spans="1:15" s="226" customFormat="1" ht="15" x14ac:dyDescent="0.35">
      <c r="B8" s="988"/>
      <c r="C8" s="1006"/>
      <c r="D8" s="1007" t="s">
        <v>410</v>
      </c>
      <c r="E8" s="1007" t="s">
        <v>411</v>
      </c>
      <c r="F8" s="1007" t="s">
        <v>412</v>
      </c>
      <c r="G8" s="1007" t="s">
        <v>413</v>
      </c>
      <c r="H8" s="1007" t="s">
        <v>414</v>
      </c>
      <c r="I8" s="1007" t="s">
        <v>415</v>
      </c>
      <c r="J8" s="1021" t="s">
        <v>416</v>
      </c>
      <c r="K8" s="1021" t="s">
        <v>417</v>
      </c>
      <c r="L8" s="988"/>
      <c r="M8" s="226" t="s">
        <v>1</v>
      </c>
    </row>
    <row r="9" spans="1:15" x14ac:dyDescent="0.35">
      <c r="B9" s="1008"/>
      <c r="C9" s="989"/>
      <c r="D9" s="305"/>
      <c r="E9" s="305"/>
      <c r="F9" s="305"/>
      <c r="G9" s="305"/>
      <c r="H9" s="305"/>
      <c r="I9" s="305"/>
      <c r="J9" s="314"/>
      <c r="K9" s="315" t="s">
        <v>265</v>
      </c>
      <c r="L9" s="1008"/>
      <c r="M9" s="4" t="s">
        <v>1</v>
      </c>
    </row>
    <row r="10" spans="1:15" x14ac:dyDescent="0.35">
      <c r="B10" s="1008"/>
      <c r="C10" s="989"/>
      <c r="D10" s="305"/>
      <c r="E10" s="305" t="s">
        <v>418</v>
      </c>
      <c r="F10" s="305" t="s">
        <v>401</v>
      </c>
      <c r="G10" s="305" t="s">
        <v>406</v>
      </c>
      <c r="H10" s="305" t="s">
        <v>406</v>
      </c>
      <c r="I10" s="305" t="s">
        <v>406</v>
      </c>
      <c r="J10" s="314" t="s">
        <v>406</v>
      </c>
      <c r="K10" s="314" t="s">
        <v>406</v>
      </c>
      <c r="L10" s="995"/>
      <c r="M10" s="4" t="s">
        <v>1</v>
      </c>
    </row>
    <row r="11" spans="1:15" x14ac:dyDescent="0.35">
      <c r="B11" s="307"/>
      <c r="C11" s="242"/>
      <c r="D11" s="309" t="s">
        <v>265</v>
      </c>
      <c r="E11" s="305" t="s">
        <v>419</v>
      </c>
      <c r="F11" s="305" t="s">
        <v>419</v>
      </c>
      <c r="G11" s="305" t="s">
        <v>419</v>
      </c>
      <c r="H11" s="305" t="s">
        <v>419</v>
      </c>
      <c r="I11" s="305" t="s">
        <v>419</v>
      </c>
      <c r="J11" s="314" t="s">
        <v>419</v>
      </c>
      <c r="K11" s="314" t="s">
        <v>402</v>
      </c>
      <c r="L11" s="280"/>
    </row>
    <row r="12" spans="1:15" x14ac:dyDescent="0.35">
      <c r="A12" s="4" t="s">
        <v>6</v>
      </c>
      <c r="B12" s="308"/>
      <c r="C12" s="288"/>
      <c r="D12" s="309" t="s">
        <v>406</v>
      </c>
      <c r="E12" s="305" t="s">
        <v>420</v>
      </c>
      <c r="F12" s="305" t="s">
        <v>420</v>
      </c>
      <c r="G12" s="305" t="s">
        <v>420</v>
      </c>
      <c r="H12" s="305" t="s">
        <v>420</v>
      </c>
      <c r="I12" s="305" t="s">
        <v>420</v>
      </c>
      <c r="J12" s="314" t="s">
        <v>420</v>
      </c>
      <c r="K12" s="314" t="s">
        <v>421</v>
      </c>
      <c r="L12" s="280"/>
      <c r="M12" s="4" t="s">
        <v>6</v>
      </c>
    </row>
    <row r="13" spans="1:15" x14ac:dyDescent="0.35">
      <c r="A13" s="4" t="s">
        <v>7</v>
      </c>
      <c r="B13" s="316" t="s">
        <v>422</v>
      </c>
      <c r="C13" s="285" t="s">
        <v>423</v>
      </c>
      <c r="D13" s="317" t="s">
        <v>419</v>
      </c>
      <c r="E13" s="311" t="s">
        <v>424</v>
      </c>
      <c r="F13" s="311" t="s">
        <v>425</v>
      </c>
      <c r="G13" s="311" t="s">
        <v>426</v>
      </c>
      <c r="H13" s="311" t="s">
        <v>427</v>
      </c>
      <c r="I13" s="311" t="s">
        <v>395</v>
      </c>
      <c r="J13" s="318" t="s">
        <v>428</v>
      </c>
      <c r="K13" s="319" t="s">
        <v>429</v>
      </c>
      <c r="L13" s="285" t="s">
        <v>9</v>
      </c>
      <c r="M13" s="4" t="s">
        <v>7</v>
      </c>
    </row>
    <row r="14" spans="1:15" x14ac:dyDescent="0.35">
      <c r="B14" s="995"/>
      <c r="C14" s="242" t="s">
        <v>430</v>
      </c>
      <c r="D14" s="242"/>
      <c r="E14" s="242"/>
      <c r="F14" s="242"/>
      <c r="G14" s="242"/>
      <c r="H14" s="242"/>
      <c r="I14" s="242"/>
      <c r="J14" s="242"/>
      <c r="K14" s="65"/>
      <c r="L14" s="995"/>
    </row>
    <row r="15" spans="1:15" x14ac:dyDescent="0.35">
      <c r="A15" s="4">
        <v>1</v>
      </c>
      <c r="B15" s="1010">
        <v>303</v>
      </c>
      <c r="C15" s="242" t="s">
        <v>431</v>
      </c>
      <c r="D15" s="240">
        <v>0</v>
      </c>
      <c r="E15" s="240">
        <v>0</v>
      </c>
      <c r="F15" s="240">
        <v>0</v>
      </c>
      <c r="G15" s="240">
        <v>0</v>
      </c>
      <c r="H15" s="240">
        <v>0</v>
      </c>
      <c r="I15" s="240">
        <v>0</v>
      </c>
      <c r="J15" s="240">
        <v>0</v>
      </c>
      <c r="K15" s="61">
        <f>SUM(D15:J15)</f>
        <v>0</v>
      </c>
      <c r="L15" s="995" t="s">
        <v>372</v>
      </c>
      <c r="M15" s="4">
        <f>A15</f>
        <v>1</v>
      </c>
    </row>
    <row r="16" spans="1:15" x14ac:dyDescent="0.35">
      <c r="A16" s="4">
        <f>A15+1</f>
        <v>2</v>
      </c>
      <c r="B16" s="995">
        <v>310.10000000000002</v>
      </c>
      <c r="C16" s="242" t="s">
        <v>432</v>
      </c>
      <c r="D16" s="241">
        <v>0</v>
      </c>
      <c r="E16" s="241">
        <v>0</v>
      </c>
      <c r="F16" s="241">
        <v>0</v>
      </c>
      <c r="G16" s="241">
        <v>0</v>
      </c>
      <c r="H16" s="241">
        <v>0</v>
      </c>
      <c r="I16" s="241">
        <v>0</v>
      </c>
      <c r="J16" s="241">
        <v>0</v>
      </c>
      <c r="K16" s="55">
        <f>SUM(D16:J16)</f>
        <v>0</v>
      </c>
      <c r="L16" s="995" t="s">
        <v>372</v>
      </c>
      <c r="M16" s="4">
        <f>M15+1</f>
        <v>2</v>
      </c>
    </row>
    <row r="17" spans="1:13" x14ac:dyDescent="0.35">
      <c r="A17" s="4">
        <f t="shared" ref="A17:A35" si="0">A16+1</f>
        <v>3</v>
      </c>
      <c r="B17" s="1010">
        <v>340</v>
      </c>
      <c r="C17" s="1011" t="s">
        <v>433</v>
      </c>
      <c r="D17" s="241">
        <v>0</v>
      </c>
      <c r="E17" s="241">
        <v>4.5723099999999999</v>
      </c>
      <c r="F17" s="241">
        <v>0</v>
      </c>
      <c r="G17" s="241">
        <v>0</v>
      </c>
      <c r="H17" s="241">
        <v>0</v>
      </c>
      <c r="I17" s="241">
        <v>0</v>
      </c>
      <c r="J17" s="241">
        <v>0</v>
      </c>
      <c r="K17" s="55">
        <f>SUM(D17:J17)</f>
        <v>4.5723099999999999</v>
      </c>
      <c r="L17" s="995" t="s">
        <v>372</v>
      </c>
      <c r="M17" s="4">
        <f t="shared" ref="M17:M35" si="1">M16+1</f>
        <v>3</v>
      </c>
    </row>
    <row r="18" spans="1:13" x14ac:dyDescent="0.35">
      <c r="A18" s="4">
        <f t="shared" si="0"/>
        <v>4</v>
      </c>
      <c r="B18" s="1010">
        <v>360</v>
      </c>
      <c r="C18" s="1011" t="s">
        <v>433</v>
      </c>
      <c r="D18" s="241">
        <v>0</v>
      </c>
      <c r="E18" s="241">
        <v>0</v>
      </c>
      <c r="F18" s="241">
        <v>3626.3653099999997</v>
      </c>
      <c r="G18" s="241">
        <v>0</v>
      </c>
      <c r="H18" s="241">
        <v>0</v>
      </c>
      <c r="I18" s="241">
        <v>0</v>
      </c>
      <c r="J18" s="241">
        <v>0</v>
      </c>
      <c r="K18" s="55">
        <f>SUM(D18:J18)</f>
        <v>3626.3653099999997</v>
      </c>
      <c r="L18" s="995" t="s">
        <v>372</v>
      </c>
      <c r="M18" s="4">
        <f t="shared" si="1"/>
        <v>4</v>
      </c>
    </row>
    <row r="19" spans="1:13" x14ac:dyDescent="0.35">
      <c r="A19" s="4">
        <f t="shared" si="0"/>
        <v>5</v>
      </c>
      <c r="B19" s="1010">
        <v>361</v>
      </c>
      <c r="C19" s="242" t="s">
        <v>434</v>
      </c>
      <c r="D19" s="241">
        <v>0</v>
      </c>
      <c r="E19" s="241">
        <v>0</v>
      </c>
      <c r="F19" s="241">
        <v>1496.2538400000001</v>
      </c>
      <c r="G19" s="241">
        <v>0</v>
      </c>
      <c r="H19" s="241">
        <v>0</v>
      </c>
      <c r="I19" s="241">
        <v>0</v>
      </c>
      <c r="J19" s="241">
        <v>0</v>
      </c>
      <c r="K19" s="55">
        <f>SUM(D19:J19)</f>
        <v>1496.2538400000001</v>
      </c>
      <c r="L19" s="995" t="s">
        <v>372</v>
      </c>
      <c r="M19" s="4">
        <f t="shared" si="1"/>
        <v>5</v>
      </c>
    </row>
    <row r="20" spans="1:13" x14ac:dyDescent="0.35">
      <c r="A20" s="4">
        <f t="shared" si="0"/>
        <v>6</v>
      </c>
      <c r="B20" s="995"/>
      <c r="C20" s="242"/>
      <c r="D20" s="242"/>
      <c r="E20" s="242"/>
      <c r="F20" s="242"/>
      <c r="G20" s="242"/>
      <c r="H20" s="242"/>
      <c r="I20" s="242"/>
      <c r="J20" s="242"/>
      <c r="K20" s="65"/>
      <c r="L20" s="995"/>
      <c r="M20" s="4">
        <f t="shared" si="1"/>
        <v>6</v>
      </c>
    </row>
    <row r="21" spans="1:13" s="1" customFormat="1" x14ac:dyDescent="0.35">
      <c r="A21" s="4">
        <f t="shared" si="0"/>
        <v>7</v>
      </c>
      <c r="B21" s="1012" t="s">
        <v>435</v>
      </c>
      <c r="C21" s="1013" t="s">
        <v>436</v>
      </c>
      <c r="D21" s="1014">
        <f t="shared" ref="D21:I21" si="2">SUM(D15:D20)</f>
        <v>0</v>
      </c>
      <c r="E21" s="1014">
        <f t="shared" si="2"/>
        <v>4.5723099999999999</v>
      </c>
      <c r="F21" s="1014">
        <f t="shared" si="2"/>
        <v>5122.6191499999995</v>
      </c>
      <c r="G21" s="1014">
        <f t="shared" si="2"/>
        <v>0</v>
      </c>
      <c r="H21" s="1014">
        <f t="shared" si="2"/>
        <v>0</v>
      </c>
      <c r="I21" s="1014">
        <f t="shared" si="2"/>
        <v>0</v>
      </c>
      <c r="J21" s="1014">
        <f>SUM(J15:J20)</f>
        <v>0</v>
      </c>
      <c r="K21" s="244">
        <f>SUM(K15:K20)</f>
        <v>5127.19146</v>
      </c>
      <c r="L21" s="1015" t="s">
        <v>18</v>
      </c>
      <c r="M21" s="4">
        <f t="shared" si="1"/>
        <v>7</v>
      </c>
    </row>
    <row r="22" spans="1:13" x14ac:dyDescent="0.35">
      <c r="A22" s="4">
        <f t="shared" si="0"/>
        <v>8</v>
      </c>
      <c r="B22" s="995"/>
      <c r="C22" s="242"/>
      <c r="D22" s="241"/>
      <c r="E22" s="241"/>
      <c r="F22" s="241"/>
      <c r="G22" s="241"/>
      <c r="H22" s="241"/>
      <c r="I22" s="241"/>
      <c r="J22" s="241"/>
      <c r="K22" s="65"/>
      <c r="L22" s="995"/>
      <c r="M22" s="4">
        <f t="shared" si="1"/>
        <v>8</v>
      </c>
    </row>
    <row r="23" spans="1:13" x14ac:dyDescent="0.35">
      <c r="A23" s="4">
        <f t="shared" si="0"/>
        <v>9</v>
      </c>
      <c r="B23" s="1010">
        <v>350</v>
      </c>
      <c r="C23" s="242" t="s">
        <v>433</v>
      </c>
      <c r="D23" s="240">
        <v>256898.14848999999</v>
      </c>
      <c r="E23" s="240">
        <v>0</v>
      </c>
      <c r="F23" s="240"/>
      <c r="G23" s="240">
        <v>0</v>
      </c>
      <c r="H23" s="240">
        <v>0</v>
      </c>
      <c r="I23" s="240">
        <v>0</v>
      </c>
      <c r="J23" s="240">
        <v>-13536.05594</v>
      </c>
      <c r="K23" s="61">
        <f t="shared" ref="K23:K31" si="3">SUM(D23:J23)</f>
        <v>243362.09255</v>
      </c>
      <c r="L23" s="995" t="s">
        <v>372</v>
      </c>
      <c r="M23" s="4">
        <f t="shared" si="1"/>
        <v>9</v>
      </c>
    </row>
    <row r="24" spans="1:13" x14ac:dyDescent="0.35">
      <c r="A24" s="4">
        <f t="shared" si="0"/>
        <v>10</v>
      </c>
      <c r="B24" s="1010">
        <v>352</v>
      </c>
      <c r="C24" s="242" t="s">
        <v>434</v>
      </c>
      <c r="D24" s="241">
        <v>818920.32406999997</v>
      </c>
      <c r="E24" s="241">
        <v>0</v>
      </c>
      <c r="F24" s="241"/>
      <c r="G24" s="241">
        <v>-1928.27782</v>
      </c>
      <c r="H24" s="241">
        <v>0</v>
      </c>
      <c r="I24" s="241">
        <v>0</v>
      </c>
      <c r="J24" s="241">
        <v>-112635.03347000001</v>
      </c>
      <c r="K24" s="55">
        <f t="shared" si="3"/>
        <v>704357.01277999999</v>
      </c>
      <c r="L24" s="995" t="s">
        <v>372</v>
      </c>
      <c r="M24" s="4">
        <f t="shared" si="1"/>
        <v>10</v>
      </c>
    </row>
    <row r="25" spans="1:13" x14ac:dyDescent="0.35">
      <c r="A25" s="4">
        <f t="shared" si="0"/>
        <v>11</v>
      </c>
      <c r="B25" s="1010">
        <v>353</v>
      </c>
      <c r="C25" s="242" t="s">
        <v>437</v>
      </c>
      <c r="D25" s="241">
        <v>2277735.1889599999</v>
      </c>
      <c r="E25" s="241">
        <v>0</v>
      </c>
      <c r="F25" s="241"/>
      <c r="G25" s="241">
        <v>-12009.877780000001</v>
      </c>
      <c r="H25" s="241">
        <v>-1420.3928800000001</v>
      </c>
      <c r="I25" s="241">
        <v>0</v>
      </c>
      <c r="J25" s="241">
        <v>-2429.9854399999999</v>
      </c>
      <c r="K25" s="55">
        <f t="shared" si="3"/>
        <v>2261874.9328599996</v>
      </c>
      <c r="L25" s="995" t="s">
        <v>372</v>
      </c>
      <c r="M25" s="4">
        <f t="shared" si="1"/>
        <v>11</v>
      </c>
    </row>
    <row r="26" spans="1:13" x14ac:dyDescent="0.35">
      <c r="A26" s="4">
        <f t="shared" si="0"/>
        <v>12</v>
      </c>
      <c r="B26" s="1010">
        <v>354</v>
      </c>
      <c r="C26" s="242" t="s">
        <v>438</v>
      </c>
      <c r="D26" s="241">
        <v>930804.89881000004</v>
      </c>
      <c r="E26" s="241">
        <v>0</v>
      </c>
      <c r="F26" s="241"/>
      <c r="G26" s="241">
        <v>0</v>
      </c>
      <c r="H26" s="241">
        <v>0</v>
      </c>
      <c r="I26" s="241">
        <v>0</v>
      </c>
      <c r="J26" s="241">
        <v>0</v>
      </c>
      <c r="K26" s="55">
        <f t="shared" si="3"/>
        <v>930804.89881000004</v>
      </c>
      <c r="L26" s="995" t="s">
        <v>372</v>
      </c>
      <c r="M26" s="4">
        <f t="shared" si="1"/>
        <v>12</v>
      </c>
    </row>
    <row r="27" spans="1:13" x14ac:dyDescent="0.35">
      <c r="A27" s="4">
        <f t="shared" si="0"/>
        <v>13</v>
      </c>
      <c r="B27" s="1010">
        <v>355</v>
      </c>
      <c r="C27" s="242" t="s">
        <v>439</v>
      </c>
      <c r="D27" s="241">
        <v>1080815.14552</v>
      </c>
      <c r="E27" s="241">
        <v>0</v>
      </c>
      <c r="F27" s="241"/>
      <c r="G27" s="241">
        <v>0</v>
      </c>
      <c r="H27" s="241">
        <v>0</v>
      </c>
      <c r="I27" s="241">
        <v>0</v>
      </c>
      <c r="J27" s="241">
        <v>0</v>
      </c>
      <c r="K27" s="55">
        <f t="shared" si="3"/>
        <v>1080815.14552</v>
      </c>
      <c r="L27" s="995" t="s">
        <v>372</v>
      </c>
      <c r="M27" s="4">
        <f t="shared" si="1"/>
        <v>13</v>
      </c>
    </row>
    <row r="28" spans="1:13" x14ac:dyDescent="0.35">
      <c r="A28" s="4">
        <f t="shared" si="0"/>
        <v>14</v>
      </c>
      <c r="B28" s="1010">
        <v>356</v>
      </c>
      <c r="C28" s="242" t="s">
        <v>440</v>
      </c>
      <c r="D28" s="241">
        <v>940375.96794999996</v>
      </c>
      <c r="E28" s="241">
        <v>0</v>
      </c>
      <c r="F28" s="241"/>
      <c r="G28" s="241">
        <v>0</v>
      </c>
      <c r="H28" s="241">
        <v>0</v>
      </c>
      <c r="I28" s="241">
        <v>0</v>
      </c>
      <c r="J28" s="241">
        <v>0</v>
      </c>
      <c r="K28" s="55">
        <f t="shared" si="3"/>
        <v>940375.96794999996</v>
      </c>
      <c r="L28" s="995" t="s">
        <v>372</v>
      </c>
      <c r="M28" s="4">
        <f t="shared" si="1"/>
        <v>14</v>
      </c>
    </row>
    <row r="29" spans="1:13" x14ac:dyDescent="0.35">
      <c r="A29" s="4">
        <f t="shared" si="0"/>
        <v>15</v>
      </c>
      <c r="B29" s="1010">
        <v>357</v>
      </c>
      <c r="C29" s="242" t="s">
        <v>441</v>
      </c>
      <c r="D29" s="241">
        <v>635069.28517000005</v>
      </c>
      <c r="E29" s="241">
        <v>0</v>
      </c>
      <c r="F29" s="241"/>
      <c r="G29" s="241">
        <v>0</v>
      </c>
      <c r="H29" s="241">
        <v>0</v>
      </c>
      <c r="I29" s="241">
        <v>0</v>
      </c>
      <c r="J29" s="241">
        <v>0</v>
      </c>
      <c r="K29" s="55">
        <f t="shared" si="3"/>
        <v>635069.28517000005</v>
      </c>
      <c r="L29" s="995" t="s">
        <v>372</v>
      </c>
      <c r="M29" s="4">
        <f t="shared" si="1"/>
        <v>15</v>
      </c>
    </row>
    <row r="30" spans="1:13" x14ac:dyDescent="0.35">
      <c r="A30" s="4">
        <f t="shared" si="0"/>
        <v>16</v>
      </c>
      <c r="B30" s="1010">
        <v>358</v>
      </c>
      <c r="C30" s="242" t="s">
        <v>442</v>
      </c>
      <c r="D30" s="241">
        <v>611501.32154999999</v>
      </c>
      <c r="E30" s="241">
        <v>0</v>
      </c>
      <c r="F30" s="241"/>
      <c r="G30" s="241">
        <v>-1726.37997</v>
      </c>
      <c r="H30" s="241">
        <v>0</v>
      </c>
      <c r="I30" s="241">
        <v>0</v>
      </c>
      <c r="J30" s="241">
        <v>0</v>
      </c>
      <c r="K30" s="55">
        <f t="shared" si="3"/>
        <v>609774.94157999998</v>
      </c>
      <c r="L30" s="995" t="s">
        <v>372</v>
      </c>
      <c r="M30" s="4">
        <f t="shared" si="1"/>
        <v>16</v>
      </c>
    </row>
    <row r="31" spans="1:13" x14ac:dyDescent="0.35">
      <c r="A31" s="4">
        <f t="shared" si="0"/>
        <v>17</v>
      </c>
      <c r="B31" s="1010">
        <v>359</v>
      </c>
      <c r="C31" s="242" t="s">
        <v>443</v>
      </c>
      <c r="D31" s="241">
        <v>391358.77490999998</v>
      </c>
      <c r="E31" s="241">
        <v>0</v>
      </c>
      <c r="F31" s="241"/>
      <c r="G31" s="241">
        <v>0</v>
      </c>
      <c r="H31" s="241">
        <v>0</v>
      </c>
      <c r="I31" s="241">
        <v>0</v>
      </c>
      <c r="J31" s="241">
        <v>0</v>
      </c>
      <c r="K31" s="55">
        <f t="shared" si="3"/>
        <v>391358.77490999998</v>
      </c>
      <c r="L31" s="995" t="s">
        <v>372</v>
      </c>
      <c r="M31" s="4">
        <f t="shared" si="1"/>
        <v>17</v>
      </c>
    </row>
    <row r="32" spans="1:13" x14ac:dyDescent="0.35">
      <c r="A32" s="4">
        <f t="shared" si="0"/>
        <v>18</v>
      </c>
      <c r="B32" s="1010"/>
      <c r="C32" s="242"/>
      <c r="D32" s="241"/>
      <c r="F32" s="98"/>
      <c r="G32" s="98"/>
      <c r="H32" s="98"/>
      <c r="I32" s="98"/>
      <c r="J32" s="241"/>
      <c r="K32" s="56"/>
      <c r="L32" s="1010"/>
      <c r="M32" s="4">
        <f t="shared" si="1"/>
        <v>18</v>
      </c>
    </row>
    <row r="33" spans="1:13" x14ac:dyDescent="0.35">
      <c r="A33" s="4">
        <f t="shared" si="0"/>
        <v>19</v>
      </c>
      <c r="B33" s="1018" t="s">
        <v>435</v>
      </c>
      <c r="C33" s="1013" t="s">
        <v>405</v>
      </c>
      <c r="D33" s="1014">
        <f>SUM(D23:D32)</f>
        <v>7943479.0554299997</v>
      </c>
      <c r="E33" s="1014">
        <f t="shared" ref="E33:F33" si="4">SUM(E23:E32)</f>
        <v>0</v>
      </c>
      <c r="F33" s="1014">
        <f t="shared" si="4"/>
        <v>0</v>
      </c>
      <c r="G33" s="1014">
        <f>SUM(G23:G32)</f>
        <v>-15664.53557</v>
      </c>
      <c r="H33" s="1014">
        <f>SUM(H23:H32)</f>
        <v>-1420.3928800000001</v>
      </c>
      <c r="I33" s="1014">
        <f>SUM(I23:I32)</f>
        <v>0</v>
      </c>
      <c r="J33" s="1014">
        <f>SUM(J23:J32)</f>
        <v>-128601.07485000002</v>
      </c>
      <c r="K33" s="244">
        <f>SUM(K23:K32)</f>
        <v>7797793.0521300007</v>
      </c>
      <c r="L33" s="1019" t="s">
        <v>444</v>
      </c>
      <c r="M33" s="4">
        <f t="shared" si="1"/>
        <v>19</v>
      </c>
    </row>
    <row r="34" spans="1:13" x14ac:dyDescent="0.35">
      <c r="A34" s="4">
        <f t="shared" si="0"/>
        <v>20</v>
      </c>
      <c r="B34" s="307"/>
      <c r="D34" s="34"/>
      <c r="K34" s="6"/>
      <c r="L34" s="312"/>
      <c r="M34" s="4">
        <f t="shared" si="1"/>
        <v>20</v>
      </c>
    </row>
    <row r="35" spans="1:13" x14ac:dyDescent="0.35">
      <c r="A35" s="4">
        <f t="shared" si="0"/>
        <v>21</v>
      </c>
      <c r="B35" s="313" t="s">
        <v>445</v>
      </c>
      <c r="C35" s="1020"/>
      <c r="D35" s="595">
        <f>D33+D21</f>
        <v>7943479.0554299997</v>
      </c>
      <c r="E35" s="595">
        <f>E33+E21</f>
        <v>4.5723099999999999</v>
      </c>
      <c r="F35" s="595">
        <f t="shared" ref="F35" si="5">F33+F21</f>
        <v>5122.6191499999995</v>
      </c>
      <c r="G35" s="595">
        <f>G33+G21</f>
        <v>-15664.53557</v>
      </c>
      <c r="H35" s="595">
        <f>H33+H21</f>
        <v>-1420.3928800000001</v>
      </c>
      <c r="I35" s="595">
        <f>I33+I21</f>
        <v>0</v>
      </c>
      <c r="J35" s="595">
        <f>J33+J21</f>
        <v>-128601.07485000002</v>
      </c>
      <c r="K35" s="66">
        <f>K33+K21</f>
        <v>7802920.243590001</v>
      </c>
      <c r="L35" s="1015" t="s">
        <v>446</v>
      </c>
      <c r="M35" s="4">
        <f t="shared" si="1"/>
        <v>21</v>
      </c>
    </row>
    <row r="36" spans="1:13" x14ac:dyDescent="0.35">
      <c r="D36" s="34"/>
    </row>
    <row r="37" spans="1:13" x14ac:dyDescent="0.35">
      <c r="D37" s="34"/>
    </row>
    <row r="38" spans="1:13" x14ac:dyDescent="0.35">
      <c r="B38" s="35" t="s">
        <v>447</v>
      </c>
      <c r="D38" s="34"/>
      <c r="K38" s="6"/>
      <c r="L38" s="6"/>
    </row>
    <row r="39" spans="1:13" x14ac:dyDescent="0.35">
      <c r="D39" s="34"/>
    </row>
    <row r="40" spans="1:13" x14ac:dyDescent="0.35">
      <c r="D40" s="34"/>
    </row>
    <row r="41" spans="1:13" x14ac:dyDescent="0.35">
      <c r="D41" s="34"/>
    </row>
    <row r="42" spans="1:13" x14ac:dyDescent="0.35">
      <c r="D42" s="34"/>
    </row>
    <row r="43" spans="1:13" x14ac:dyDescent="0.35">
      <c r="D43" s="34"/>
    </row>
    <row r="44" spans="1:13" x14ac:dyDescent="0.35">
      <c r="D44" s="34"/>
    </row>
    <row r="45" spans="1:13" x14ac:dyDescent="0.35">
      <c r="D45" s="34"/>
    </row>
    <row r="46" spans="1:13" x14ac:dyDescent="0.35">
      <c r="D46" s="34"/>
    </row>
    <row r="47" spans="1:13" x14ac:dyDescent="0.35">
      <c r="D47" s="34"/>
    </row>
    <row r="48" spans="1:13" x14ac:dyDescent="0.35">
      <c r="D48" s="34"/>
    </row>
    <row r="49" spans="4:4" x14ac:dyDescent="0.35">
      <c r="D49" s="34"/>
    </row>
    <row r="50" spans="4:4" x14ac:dyDescent="0.35">
      <c r="D50" s="34"/>
    </row>
    <row r="51" spans="4:4" x14ac:dyDescent="0.35">
      <c r="D51" s="34"/>
    </row>
    <row r="52" spans="4:4" x14ac:dyDescent="0.35">
      <c r="D52" s="34"/>
    </row>
    <row r="53" spans="4:4" x14ac:dyDescent="0.35">
      <c r="D53" s="34"/>
    </row>
    <row r="54" spans="4:4" x14ac:dyDescent="0.35">
      <c r="D54" s="34"/>
    </row>
    <row r="55" spans="4:4" x14ac:dyDescent="0.35">
      <c r="D55" s="34"/>
    </row>
    <row r="56" spans="4:4" x14ac:dyDescent="0.35">
      <c r="D56" s="34"/>
    </row>
    <row r="57" spans="4:4" x14ac:dyDescent="0.35">
      <c r="D57" s="34"/>
    </row>
    <row r="58" spans="4:4" x14ac:dyDescent="0.35">
      <c r="D58" s="34"/>
    </row>
    <row r="59" spans="4:4" x14ac:dyDescent="0.35">
      <c r="D59" s="34"/>
    </row>
    <row r="60" spans="4:4" x14ac:dyDescent="0.35">
      <c r="D60" s="34"/>
    </row>
    <row r="61" spans="4:4" x14ac:dyDescent="0.35">
      <c r="D61" s="34"/>
    </row>
    <row r="62" spans="4:4" x14ac:dyDescent="0.35">
      <c r="D62" s="34"/>
    </row>
    <row r="63" spans="4:4" x14ac:dyDescent="0.35">
      <c r="D63" s="34"/>
    </row>
    <row r="64" spans="4:4" x14ac:dyDescent="0.35">
      <c r="D64" s="34"/>
    </row>
    <row r="65" spans="4:4" x14ac:dyDescent="0.35">
      <c r="D65" s="34"/>
    </row>
    <row r="66" spans="4:4" x14ac:dyDescent="0.35">
      <c r="D66" s="34"/>
    </row>
    <row r="67" spans="4:4" x14ac:dyDescent="0.35">
      <c r="D67" s="34"/>
    </row>
    <row r="68" spans="4:4" x14ac:dyDescent="0.35">
      <c r="D68" s="34"/>
    </row>
    <row r="69" spans="4:4" x14ac:dyDescent="0.35">
      <c r="D69" s="34"/>
    </row>
    <row r="70" spans="4:4" x14ac:dyDescent="0.35">
      <c r="D70" s="34"/>
    </row>
    <row r="71" spans="4:4" x14ac:dyDescent="0.35">
      <c r="D71" s="34"/>
    </row>
    <row r="72" spans="4:4" x14ac:dyDescent="0.35">
      <c r="D72" s="34"/>
    </row>
    <row r="73" spans="4:4" x14ac:dyDescent="0.35">
      <c r="D73" s="34"/>
    </row>
    <row r="74" spans="4:4" x14ac:dyDescent="0.35">
      <c r="D74" s="34"/>
    </row>
    <row r="75" spans="4:4" x14ac:dyDescent="0.35">
      <c r="D75" s="34"/>
    </row>
    <row r="76" spans="4:4" x14ac:dyDescent="0.35">
      <c r="D76" s="34"/>
    </row>
    <row r="77" spans="4:4" x14ac:dyDescent="0.35">
      <c r="D77" s="34"/>
    </row>
    <row r="78" spans="4:4" x14ac:dyDescent="0.35">
      <c r="D78" s="34"/>
    </row>
    <row r="79" spans="4:4" x14ac:dyDescent="0.35">
      <c r="D79" s="34"/>
    </row>
    <row r="80" spans="4:4" x14ac:dyDescent="0.35">
      <c r="D80" s="34"/>
    </row>
    <row r="81" spans="4:4" x14ac:dyDescent="0.35">
      <c r="D81" s="34"/>
    </row>
    <row r="82" spans="4:4" x14ac:dyDescent="0.35">
      <c r="D82" s="34"/>
    </row>
    <row r="83" spans="4:4" x14ac:dyDescent="0.35">
      <c r="D83" s="34"/>
    </row>
    <row r="84" spans="4:4" x14ac:dyDescent="0.35">
      <c r="D84" s="34"/>
    </row>
    <row r="85" spans="4:4" x14ac:dyDescent="0.35">
      <c r="D85" s="34"/>
    </row>
    <row r="86" spans="4:4" x14ac:dyDescent="0.35">
      <c r="D86" s="34"/>
    </row>
    <row r="87" spans="4:4" x14ac:dyDescent="0.35">
      <c r="D87" s="34"/>
    </row>
    <row r="88" spans="4:4" x14ac:dyDescent="0.35">
      <c r="D88" s="34"/>
    </row>
    <row r="89" spans="4:4" x14ac:dyDescent="0.35">
      <c r="D89" s="34"/>
    </row>
    <row r="90" spans="4:4" x14ac:dyDescent="0.35">
      <c r="D90" s="34"/>
    </row>
    <row r="91" spans="4:4" x14ac:dyDescent="0.35">
      <c r="D91" s="34"/>
    </row>
    <row r="92" spans="4:4" x14ac:dyDescent="0.35">
      <c r="D92" s="34"/>
    </row>
    <row r="93" spans="4:4" x14ac:dyDescent="0.35">
      <c r="D93" s="34"/>
    </row>
    <row r="94" spans="4:4" x14ac:dyDescent="0.35">
      <c r="D94" s="34"/>
    </row>
    <row r="95" spans="4:4" x14ac:dyDescent="0.35">
      <c r="D95" s="34"/>
    </row>
    <row r="96" spans="4:4" x14ac:dyDescent="0.35">
      <c r="D96" s="34"/>
    </row>
    <row r="97" spans="4:4" x14ac:dyDescent="0.35">
      <c r="D97" s="34"/>
    </row>
    <row r="98" spans="4:4" x14ac:dyDescent="0.35">
      <c r="D98" s="34"/>
    </row>
    <row r="99" spans="4:4" x14ac:dyDescent="0.35">
      <c r="D99" s="34"/>
    </row>
    <row r="100" spans="4:4" x14ac:dyDescent="0.35">
      <c r="D100" s="34"/>
    </row>
    <row r="101" spans="4:4" x14ac:dyDescent="0.35">
      <c r="D101" s="34"/>
    </row>
    <row r="102" spans="4:4" x14ac:dyDescent="0.35">
      <c r="D102" s="34"/>
    </row>
    <row r="103" spans="4:4" x14ac:dyDescent="0.35">
      <c r="D103" s="34"/>
    </row>
    <row r="104" spans="4:4" x14ac:dyDescent="0.35">
      <c r="D104" s="34"/>
    </row>
    <row r="105" spans="4:4" x14ac:dyDescent="0.35">
      <c r="D105" s="34"/>
    </row>
    <row r="106" spans="4:4" x14ac:dyDescent="0.35">
      <c r="D106" s="34"/>
    </row>
    <row r="107" spans="4:4" x14ac:dyDescent="0.35">
      <c r="D107" s="34"/>
    </row>
    <row r="108" spans="4:4" x14ac:dyDescent="0.35">
      <c r="D108" s="34"/>
    </row>
    <row r="109" spans="4:4" x14ac:dyDescent="0.35">
      <c r="D109" s="34"/>
    </row>
    <row r="110" spans="4:4" x14ac:dyDescent="0.35">
      <c r="D110" s="34"/>
    </row>
    <row r="111" spans="4:4" x14ac:dyDescent="0.35">
      <c r="D111" s="34"/>
    </row>
    <row r="112" spans="4:4" x14ac:dyDescent="0.35">
      <c r="D112" s="34"/>
    </row>
    <row r="113" spans="4:4" x14ac:dyDescent="0.35">
      <c r="D113" s="34"/>
    </row>
    <row r="114" spans="4:4" x14ac:dyDescent="0.35">
      <c r="D114" s="34"/>
    </row>
    <row r="115" spans="4:4" x14ac:dyDescent="0.35">
      <c r="D115" s="34"/>
    </row>
    <row r="116" spans="4:4" x14ac:dyDescent="0.35">
      <c r="D116" s="34"/>
    </row>
    <row r="117" spans="4:4" x14ac:dyDescent="0.35">
      <c r="D117" s="34"/>
    </row>
    <row r="118" spans="4:4" x14ac:dyDescent="0.35">
      <c r="D118" s="34"/>
    </row>
    <row r="119" spans="4:4" x14ac:dyDescent="0.35">
      <c r="D119" s="34"/>
    </row>
    <row r="120" spans="4:4" x14ac:dyDescent="0.35">
      <c r="D120" s="34"/>
    </row>
    <row r="121" spans="4:4" x14ac:dyDescent="0.35">
      <c r="D121" s="34"/>
    </row>
    <row r="122" spans="4:4" x14ac:dyDescent="0.35">
      <c r="D122" s="34"/>
    </row>
    <row r="123" spans="4:4" x14ac:dyDescent="0.35">
      <c r="D123" s="34"/>
    </row>
    <row r="124" spans="4:4" x14ac:dyDescent="0.35">
      <c r="D124" s="34"/>
    </row>
    <row r="125" spans="4:4" x14ac:dyDescent="0.35">
      <c r="D125" s="34"/>
    </row>
    <row r="126" spans="4:4" x14ac:dyDescent="0.35">
      <c r="D126" s="34"/>
    </row>
    <row r="127" spans="4:4" x14ac:dyDescent="0.35">
      <c r="D127" s="34"/>
    </row>
    <row r="128" spans="4:4" x14ac:dyDescent="0.35">
      <c r="D128" s="34"/>
    </row>
    <row r="129" spans="4:4" x14ac:dyDescent="0.35">
      <c r="D129" s="34"/>
    </row>
    <row r="130" spans="4:4" x14ac:dyDescent="0.35">
      <c r="D130" s="34"/>
    </row>
    <row r="131" spans="4:4" x14ac:dyDescent="0.35">
      <c r="D131" s="34"/>
    </row>
    <row r="132" spans="4:4" x14ac:dyDescent="0.35">
      <c r="D132" s="34"/>
    </row>
    <row r="133" spans="4:4" x14ac:dyDescent="0.35">
      <c r="D133" s="34"/>
    </row>
    <row r="134" spans="4:4" x14ac:dyDescent="0.35">
      <c r="D134" s="34"/>
    </row>
    <row r="135" spans="4:4" x14ac:dyDescent="0.35">
      <c r="D135" s="34"/>
    </row>
    <row r="136" spans="4:4" x14ac:dyDescent="0.35">
      <c r="D136" s="34"/>
    </row>
    <row r="137" spans="4:4" x14ac:dyDescent="0.35">
      <c r="D137" s="34"/>
    </row>
    <row r="138" spans="4:4" x14ac:dyDescent="0.35">
      <c r="D138" s="34"/>
    </row>
    <row r="139" spans="4:4" x14ac:dyDescent="0.35">
      <c r="D139" s="34"/>
    </row>
    <row r="140" spans="4:4" x14ac:dyDescent="0.35">
      <c r="D140" s="34"/>
    </row>
    <row r="141" spans="4:4" x14ac:dyDescent="0.35">
      <c r="D141" s="34"/>
    </row>
    <row r="142" spans="4:4" x14ac:dyDescent="0.35">
      <c r="D142" s="34"/>
    </row>
    <row r="143" spans="4:4" x14ac:dyDescent="0.35">
      <c r="D143" s="34"/>
    </row>
    <row r="144" spans="4:4" x14ac:dyDescent="0.35">
      <c r="D144" s="34"/>
    </row>
    <row r="145" spans="4:4" x14ac:dyDescent="0.35">
      <c r="D145" s="34"/>
    </row>
    <row r="146" spans="4:4" x14ac:dyDescent="0.35">
      <c r="D146" s="34"/>
    </row>
    <row r="147" spans="4:4" x14ac:dyDescent="0.35">
      <c r="D147" s="34"/>
    </row>
    <row r="148" spans="4:4" x14ac:dyDescent="0.35">
      <c r="D148" s="34"/>
    </row>
    <row r="149" spans="4:4" x14ac:dyDescent="0.35">
      <c r="D149" s="34"/>
    </row>
    <row r="150" spans="4:4" x14ac:dyDescent="0.35">
      <c r="D150" s="34"/>
    </row>
    <row r="151" spans="4:4" x14ac:dyDescent="0.35">
      <c r="D151" s="34"/>
    </row>
    <row r="152" spans="4:4" x14ac:dyDescent="0.35">
      <c r="D152" s="34"/>
    </row>
    <row r="153" spans="4:4" x14ac:dyDescent="0.35">
      <c r="D153" s="34"/>
    </row>
    <row r="154" spans="4:4" x14ac:dyDescent="0.35">
      <c r="D154" s="34"/>
    </row>
    <row r="155" spans="4:4" x14ac:dyDescent="0.35">
      <c r="D155" s="34"/>
    </row>
    <row r="156" spans="4:4" x14ac:dyDescent="0.35">
      <c r="D156" s="34"/>
    </row>
    <row r="157" spans="4:4" x14ac:dyDescent="0.35">
      <c r="D157" s="34"/>
    </row>
    <row r="158" spans="4:4" x14ac:dyDescent="0.35">
      <c r="D158" s="34"/>
    </row>
    <row r="159" spans="4:4" x14ac:dyDescent="0.35">
      <c r="D159" s="34"/>
    </row>
    <row r="160" spans="4:4" x14ac:dyDescent="0.35">
      <c r="D160" s="34"/>
    </row>
    <row r="161" spans="4:4" x14ac:dyDescent="0.35">
      <c r="D161" s="34"/>
    </row>
    <row r="162" spans="4:4" x14ac:dyDescent="0.35">
      <c r="D162" s="34"/>
    </row>
    <row r="163" spans="4:4" x14ac:dyDescent="0.35">
      <c r="D163" s="34"/>
    </row>
    <row r="164" spans="4:4" x14ac:dyDescent="0.35">
      <c r="D164" s="34"/>
    </row>
    <row r="165" spans="4:4" x14ac:dyDescent="0.35">
      <c r="D165" s="34"/>
    </row>
    <row r="166" spans="4:4" x14ac:dyDescent="0.35">
      <c r="D166" s="34"/>
    </row>
    <row r="167" spans="4:4" x14ac:dyDescent="0.35">
      <c r="D167" s="34"/>
    </row>
    <row r="168" spans="4:4" x14ac:dyDescent="0.35">
      <c r="D168" s="34"/>
    </row>
    <row r="169" spans="4:4" x14ac:dyDescent="0.35">
      <c r="D169" s="34"/>
    </row>
  </sheetData>
  <mergeCells count="5">
    <mergeCell ref="B2:L2"/>
    <mergeCell ref="B3:L3"/>
    <mergeCell ref="B4:L4"/>
    <mergeCell ref="B5:L5"/>
    <mergeCell ref="B6:L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9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1171" t="s">
        <v>0</v>
      </c>
      <c r="C2" s="1171"/>
      <c r="D2" s="1171"/>
      <c r="E2" s="1171"/>
      <c r="F2" s="1171"/>
    </row>
    <row r="3" spans="1:8" x14ac:dyDescent="0.35">
      <c r="B3" s="1171" t="s">
        <v>362</v>
      </c>
      <c r="C3" s="1171"/>
      <c r="D3" s="1171"/>
      <c r="E3" s="1171"/>
      <c r="F3" s="1171"/>
    </row>
    <row r="4" spans="1:8" x14ac:dyDescent="0.35">
      <c r="B4" s="1171" t="s">
        <v>363</v>
      </c>
      <c r="C4" s="1171"/>
      <c r="D4" s="1171"/>
      <c r="E4" s="1171"/>
      <c r="F4" s="1171"/>
    </row>
    <row r="5" spans="1:8" x14ac:dyDescent="0.35">
      <c r="B5" s="1171" t="s">
        <v>364</v>
      </c>
      <c r="C5" s="1171"/>
      <c r="D5" s="1171"/>
      <c r="E5" s="1171"/>
      <c r="F5" s="1171"/>
    </row>
    <row r="6" spans="1:8" x14ac:dyDescent="0.35">
      <c r="B6" s="1175" t="s">
        <v>5</v>
      </c>
      <c r="C6" s="1175"/>
      <c r="D6" s="1175"/>
      <c r="E6" s="1175"/>
      <c r="F6" s="1175"/>
    </row>
    <row r="7" spans="1:8" x14ac:dyDescent="0.35">
      <c r="B7" s="277"/>
      <c r="C7" s="278"/>
      <c r="D7" s="278"/>
      <c r="E7" s="277"/>
      <c r="F7" s="277"/>
    </row>
    <row r="8" spans="1:8" ht="15.5" x14ac:dyDescent="0.35">
      <c r="B8" s="1171" t="s">
        <v>449</v>
      </c>
      <c r="C8" s="1173"/>
      <c r="D8" s="1173"/>
      <c r="E8" s="1173"/>
      <c r="F8" s="1173"/>
    </row>
    <row r="10" spans="1:8" x14ac:dyDescent="0.35">
      <c r="B10" s="987"/>
      <c r="C10" s="279" t="s">
        <v>265</v>
      </c>
      <c r="D10" s="988"/>
      <c r="E10" s="279"/>
      <c r="F10" s="988"/>
    </row>
    <row r="11" spans="1:8" x14ac:dyDescent="0.35">
      <c r="B11" s="280"/>
      <c r="C11" s="284" t="s">
        <v>450</v>
      </c>
      <c r="D11" s="280"/>
      <c r="E11" s="284" t="s">
        <v>450</v>
      </c>
      <c r="F11" s="280"/>
    </row>
    <row r="12" spans="1:8" ht="15.5" x14ac:dyDescent="0.35">
      <c r="A12" s="4"/>
      <c r="B12" s="283"/>
      <c r="C12" s="226" t="s">
        <v>406</v>
      </c>
      <c r="D12" s="280"/>
      <c r="E12" s="284" t="s">
        <v>451</v>
      </c>
      <c r="F12" s="280"/>
      <c r="G12" s="4"/>
    </row>
    <row r="13" spans="1:8" ht="15.5" x14ac:dyDescent="0.35">
      <c r="A13" s="4" t="s">
        <v>6</v>
      </c>
      <c r="B13" s="283"/>
      <c r="C13" s="226" t="s">
        <v>402</v>
      </c>
      <c r="D13" s="280"/>
      <c r="E13" s="284" t="s">
        <v>402</v>
      </c>
      <c r="F13" s="280"/>
      <c r="G13" s="4" t="s">
        <v>6</v>
      </c>
    </row>
    <row r="14" spans="1:8" ht="15.5" x14ac:dyDescent="0.35">
      <c r="A14" s="4" t="s">
        <v>7</v>
      </c>
      <c r="B14" s="285" t="s">
        <v>368</v>
      </c>
      <c r="C14" s="990" t="s">
        <v>369</v>
      </c>
      <c r="D14" s="285" t="s">
        <v>9</v>
      </c>
      <c r="E14" s="286" t="s">
        <v>452</v>
      </c>
      <c r="F14" s="285" t="s">
        <v>9</v>
      </c>
      <c r="G14" s="4" t="s">
        <v>7</v>
      </c>
    </row>
    <row r="15" spans="1:8" ht="15.5" x14ac:dyDescent="0.35">
      <c r="A15" s="4">
        <v>1</v>
      </c>
      <c r="B15" s="991" t="str">
        <f>'AD-1'!B14</f>
        <v>Dec-21</v>
      </c>
      <c r="C15" s="61">
        <v>0</v>
      </c>
      <c r="D15" s="996" t="s">
        <v>372</v>
      </c>
      <c r="E15" s="67">
        <v>0</v>
      </c>
      <c r="F15" s="997" t="s">
        <v>372</v>
      </c>
      <c r="G15" s="4">
        <f>A15</f>
        <v>1</v>
      </c>
      <c r="H15" s="291"/>
    </row>
    <row r="16" spans="1:8" ht="15.5" x14ac:dyDescent="0.35">
      <c r="A16" s="4">
        <f>A15+1</f>
        <v>2</v>
      </c>
      <c r="B16" s="991" t="str">
        <f>'AD-1'!B15</f>
        <v>Jan-22</v>
      </c>
      <c r="C16" s="55">
        <v>0</v>
      </c>
      <c r="D16" s="998"/>
      <c r="E16" s="68">
        <v>0</v>
      </c>
      <c r="F16" s="997"/>
      <c r="G16" s="4">
        <f>G15+1</f>
        <v>2</v>
      </c>
      <c r="H16" s="291"/>
    </row>
    <row r="17" spans="1:8" ht="15.5" x14ac:dyDescent="0.35">
      <c r="A17" s="4">
        <f t="shared" ref="A17:A33" si="0">A16+1</f>
        <v>3</v>
      </c>
      <c r="B17" s="994" t="s">
        <v>375</v>
      </c>
      <c r="C17" s="55">
        <v>0</v>
      </c>
      <c r="D17" s="998"/>
      <c r="E17" s="68">
        <v>0</v>
      </c>
      <c r="F17" s="997"/>
      <c r="G17" s="4">
        <f t="shared" ref="G17:G33" si="1">G16+1</f>
        <v>3</v>
      </c>
      <c r="H17" s="291"/>
    </row>
    <row r="18" spans="1:8" ht="15.5" x14ac:dyDescent="0.35">
      <c r="A18" s="4">
        <f t="shared" si="0"/>
        <v>4</v>
      </c>
      <c r="B18" s="994" t="s">
        <v>376</v>
      </c>
      <c r="C18" s="55">
        <v>0</v>
      </c>
      <c r="D18" s="998"/>
      <c r="E18" s="68">
        <v>0</v>
      </c>
      <c r="F18" s="997"/>
      <c r="G18" s="4">
        <f t="shared" si="1"/>
        <v>4</v>
      </c>
      <c r="H18" s="291"/>
    </row>
    <row r="19" spans="1:8" ht="15.5" x14ac:dyDescent="0.35">
      <c r="A19" s="4">
        <f t="shared" si="0"/>
        <v>5</v>
      </c>
      <c r="B19" s="994" t="s">
        <v>377</v>
      </c>
      <c r="C19" s="55">
        <v>0</v>
      </c>
      <c r="D19" s="998"/>
      <c r="E19" s="68">
        <v>0</v>
      </c>
      <c r="F19" s="997"/>
      <c r="G19" s="4">
        <f t="shared" si="1"/>
        <v>5</v>
      </c>
      <c r="H19" s="291"/>
    </row>
    <row r="20" spans="1:8" ht="15.5" x14ac:dyDescent="0.35">
      <c r="A20" s="4">
        <f t="shared" si="0"/>
        <v>6</v>
      </c>
      <c r="B20" s="994" t="s">
        <v>378</v>
      </c>
      <c r="C20" s="55">
        <v>0</v>
      </c>
      <c r="D20" s="998"/>
      <c r="E20" s="68">
        <v>0</v>
      </c>
      <c r="F20" s="997"/>
      <c r="G20" s="4">
        <f t="shared" si="1"/>
        <v>6</v>
      </c>
      <c r="H20" s="291"/>
    </row>
    <row r="21" spans="1:8" ht="15.5" x14ac:dyDescent="0.35">
      <c r="A21" s="4">
        <f>A20+1</f>
        <v>7</v>
      </c>
      <c r="B21" s="994" t="s">
        <v>379</v>
      </c>
      <c r="C21" s="55">
        <v>0</v>
      </c>
      <c r="D21" s="998"/>
      <c r="E21" s="68">
        <v>0</v>
      </c>
      <c r="F21" s="997"/>
      <c r="G21" s="4">
        <f>G20+1</f>
        <v>7</v>
      </c>
      <c r="H21" s="291"/>
    </row>
    <row r="22" spans="1:8" ht="15.5" x14ac:dyDescent="0.35">
      <c r="A22" s="4">
        <f t="shared" si="0"/>
        <v>8</v>
      </c>
      <c r="B22" s="994" t="s">
        <v>380</v>
      </c>
      <c r="C22" s="55">
        <v>0</v>
      </c>
      <c r="D22" s="998"/>
      <c r="E22" s="68">
        <v>0</v>
      </c>
      <c r="F22" s="997"/>
      <c r="G22" s="4">
        <f t="shared" si="1"/>
        <v>8</v>
      </c>
      <c r="H22" s="291"/>
    </row>
    <row r="23" spans="1:8" ht="15.5" x14ac:dyDescent="0.35">
      <c r="A23" s="4">
        <f t="shared" si="0"/>
        <v>9</v>
      </c>
      <c r="B23" s="994" t="s">
        <v>381</v>
      </c>
      <c r="C23" s="55">
        <v>0</v>
      </c>
      <c r="D23" s="998"/>
      <c r="E23" s="68">
        <v>0</v>
      </c>
      <c r="F23" s="997"/>
      <c r="G23" s="4">
        <f t="shared" si="1"/>
        <v>9</v>
      </c>
      <c r="H23" s="291"/>
    </row>
    <row r="24" spans="1:8" ht="15.5" x14ac:dyDescent="0.35">
      <c r="A24" s="4">
        <f t="shared" si="0"/>
        <v>10</v>
      </c>
      <c r="B24" s="994" t="s">
        <v>382</v>
      </c>
      <c r="C24" s="55">
        <v>0</v>
      </c>
      <c r="D24" s="998"/>
      <c r="E24" s="68">
        <v>0</v>
      </c>
      <c r="F24" s="997"/>
      <c r="G24" s="4">
        <f t="shared" si="1"/>
        <v>10</v>
      </c>
      <c r="H24" s="291"/>
    </row>
    <row r="25" spans="1:8" ht="15.5" x14ac:dyDescent="0.35">
      <c r="A25" s="4">
        <f t="shared" si="0"/>
        <v>11</v>
      </c>
      <c r="B25" s="994" t="s">
        <v>383</v>
      </c>
      <c r="C25" s="55">
        <v>0</v>
      </c>
      <c r="D25" s="998"/>
      <c r="E25" s="68">
        <v>0</v>
      </c>
      <c r="F25" s="997"/>
      <c r="G25" s="4">
        <f t="shared" si="1"/>
        <v>11</v>
      </c>
      <c r="H25" s="291"/>
    </row>
    <row r="26" spans="1:8" ht="15.5" x14ac:dyDescent="0.35">
      <c r="A26" s="4">
        <f t="shared" si="0"/>
        <v>12</v>
      </c>
      <c r="B26" s="994" t="s">
        <v>384</v>
      </c>
      <c r="C26" s="55">
        <v>0</v>
      </c>
      <c r="D26" s="998"/>
      <c r="E26" s="68">
        <v>0</v>
      </c>
      <c r="F26" s="997"/>
      <c r="G26" s="4">
        <f t="shared" si="1"/>
        <v>12</v>
      </c>
      <c r="H26" s="291"/>
    </row>
    <row r="27" spans="1:8" ht="15.5" x14ac:dyDescent="0.35">
      <c r="A27" s="4">
        <f t="shared" si="0"/>
        <v>13</v>
      </c>
      <c r="B27" s="652" t="str">
        <f>'AD-1'!B26</f>
        <v>Dec-22</v>
      </c>
      <c r="C27" s="56">
        <v>0</v>
      </c>
      <c r="D27" s="71" t="s">
        <v>372</v>
      </c>
      <c r="E27" s="56">
        <v>0</v>
      </c>
      <c r="F27" s="609" t="s">
        <v>372</v>
      </c>
      <c r="G27" s="4">
        <f t="shared" si="1"/>
        <v>13</v>
      </c>
      <c r="H27" s="291"/>
    </row>
    <row r="28" spans="1:8" ht="15.5" x14ac:dyDescent="0.35">
      <c r="A28" s="4">
        <f t="shared" si="0"/>
        <v>14</v>
      </c>
      <c r="B28" s="288"/>
      <c r="C28" s="62"/>
      <c r="D28" s="364"/>
      <c r="E28" s="63"/>
      <c r="F28" s="999"/>
      <c r="G28" s="4">
        <f t="shared" si="1"/>
        <v>14</v>
      </c>
      <c r="H28" s="291"/>
    </row>
    <row r="29" spans="1:8" ht="15.5" x14ac:dyDescent="0.35">
      <c r="A29" s="4">
        <f t="shared" si="0"/>
        <v>15</v>
      </c>
      <c r="B29" s="288" t="s">
        <v>387</v>
      </c>
      <c r="C29" s="58">
        <f>SUM(C15:C27)</f>
        <v>0</v>
      </c>
      <c r="D29" s="996" t="s">
        <v>388</v>
      </c>
      <c r="E29" s="58">
        <f>SUM(E15:E27)</f>
        <v>0</v>
      </c>
      <c r="F29" s="997" t="s">
        <v>388</v>
      </c>
      <c r="G29" s="4">
        <f t="shared" si="1"/>
        <v>15</v>
      </c>
      <c r="H29" s="291"/>
    </row>
    <row r="30" spans="1:8" ht="15.5" x14ac:dyDescent="0.35">
      <c r="A30" s="4">
        <f t="shared" si="0"/>
        <v>16</v>
      </c>
      <c r="B30" s="124"/>
      <c r="C30" s="64"/>
      <c r="D30" s="98"/>
      <c r="E30" s="64"/>
      <c r="F30" s="320"/>
      <c r="G30" s="4">
        <f t="shared" si="1"/>
        <v>16</v>
      </c>
      <c r="H30" s="291"/>
    </row>
    <row r="31" spans="1:8" ht="15.5" x14ac:dyDescent="0.35">
      <c r="A31" s="4">
        <f t="shared" si="0"/>
        <v>17</v>
      </c>
      <c r="B31" s="288"/>
      <c r="C31" s="63"/>
      <c r="D31" s="241"/>
      <c r="E31" s="63"/>
      <c r="F31" s="1022"/>
      <c r="G31" s="4">
        <f t="shared" si="1"/>
        <v>17</v>
      </c>
      <c r="H31" s="291"/>
    </row>
    <row r="32" spans="1:8" ht="15.5" x14ac:dyDescent="0.35">
      <c r="A32" s="4">
        <f t="shared" si="0"/>
        <v>18</v>
      </c>
      <c r="B32" s="288" t="s">
        <v>389</v>
      </c>
      <c r="C32" s="58">
        <f>C29/13</f>
        <v>0</v>
      </c>
      <c r="D32" s="996" t="s">
        <v>390</v>
      </c>
      <c r="E32" s="58">
        <f>E29/13</f>
        <v>0</v>
      </c>
      <c r="F32" s="997" t="s">
        <v>390</v>
      </c>
      <c r="G32" s="4">
        <f t="shared" si="1"/>
        <v>18</v>
      </c>
      <c r="H32" s="291"/>
    </row>
    <row r="33" spans="1:8" ht="15.5" x14ac:dyDescent="0.35">
      <c r="A33" s="4">
        <f t="shared" si="0"/>
        <v>19</v>
      </c>
      <c r="B33" s="124"/>
      <c r="C33" s="64"/>
      <c r="D33" s="98"/>
      <c r="E33" s="64"/>
      <c r="F33" s="320"/>
      <c r="G33" s="4">
        <f t="shared" si="1"/>
        <v>19</v>
      </c>
      <c r="H33" s="291"/>
    </row>
    <row r="34" spans="1:8" ht="15.5" x14ac:dyDescent="0.35">
      <c r="B34" s="34"/>
      <c r="C34" s="6"/>
      <c r="D34" s="6"/>
      <c r="E34" s="6"/>
      <c r="F34" s="292"/>
      <c r="G34" s="601"/>
      <c r="H34" s="291"/>
    </row>
    <row r="35" spans="1:8" ht="15.5" x14ac:dyDescent="0.35">
      <c r="B35" s="303"/>
      <c r="C35" s="292"/>
      <c r="D35" s="292"/>
      <c r="E35" s="292"/>
      <c r="F35" s="292"/>
      <c r="G35" s="599"/>
      <c r="H35" s="291"/>
    </row>
    <row r="36" spans="1:8" ht="15.5" x14ac:dyDescent="0.35">
      <c r="B36" s="34"/>
      <c r="C36" s="292"/>
      <c r="D36" s="292"/>
      <c r="E36" s="292"/>
      <c r="F36" s="292"/>
      <c r="G36" s="599"/>
      <c r="H36" s="291"/>
    </row>
    <row r="37" spans="1:8" ht="15.5" x14ac:dyDescent="0.35">
      <c r="B37" s="34"/>
      <c r="C37" s="292"/>
      <c r="D37" s="292"/>
      <c r="E37" s="292"/>
      <c r="F37" s="292"/>
      <c r="G37" s="599"/>
      <c r="H37" s="291"/>
    </row>
    <row r="38" spans="1:8" ht="15.5" x14ac:dyDescent="0.35">
      <c r="B38" s="34"/>
      <c r="C38" s="292"/>
      <c r="D38" s="292"/>
      <c r="E38" s="292"/>
      <c r="F38" s="292"/>
      <c r="G38" s="599"/>
      <c r="H38" s="291"/>
    </row>
    <row r="39" spans="1:8" x14ac:dyDescent="0.35">
      <c r="C39" s="291"/>
      <c r="D39" s="291"/>
      <c r="E39" s="291"/>
      <c r="F39" s="291"/>
      <c r="G39" s="599"/>
      <c r="H39" s="291"/>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11" style="1" customWidth="1"/>
    <col min="7" max="7" width="7.08984375" style="1" customWidth="1"/>
    <col min="8" max="8" width="9.08984375" style="1" customWidth="1"/>
    <col min="9" max="9" width="14" style="1" customWidth="1"/>
    <col min="10" max="10" width="13.453125" style="1" customWidth="1"/>
    <col min="11" max="16384" width="9.08984375" style="1"/>
  </cols>
  <sheetData>
    <row r="2" spans="1:6" x14ac:dyDescent="0.35">
      <c r="B2" s="1171" t="s">
        <v>0</v>
      </c>
      <c r="C2" s="1171"/>
      <c r="D2" s="1171"/>
    </row>
    <row r="3" spans="1:6" x14ac:dyDescent="0.35">
      <c r="B3" s="1171" t="s">
        <v>362</v>
      </c>
      <c r="C3" s="1171"/>
      <c r="D3" s="1171"/>
    </row>
    <row r="4" spans="1:6" x14ac:dyDescent="0.35">
      <c r="B4" s="1171" t="s">
        <v>363</v>
      </c>
      <c r="C4" s="1171"/>
      <c r="D4" s="1171"/>
    </row>
    <row r="5" spans="1:6" x14ac:dyDescent="0.35">
      <c r="B5" s="1171" t="s">
        <v>364</v>
      </c>
      <c r="C5" s="1171"/>
      <c r="D5" s="1171"/>
    </row>
    <row r="6" spans="1:6" x14ac:dyDescent="0.35">
      <c r="B6" s="1175" t="s">
        <v>5</v>
      </c>
      <c r="C6" s="1175"/>
      <c r="D6" s="1175"/>
    </row>
    <row r="7" spans="1:6" x14ac:dyDescent="0.35">
      <c r="B7" s="277"/>
      <c r="C7" s="277"/>
      <c r="D7" s="277"/>
    </row>
    <row r="8" spans="1:6" x14ac:dyDescent="0.35">
      <c r="B8" s="1171" t="s">
        <v>453</v>
      </c>
      <c r="C8" s="1171"/>
      <c r="D8" s="1171"/>
    </row>
    <row r="10" spans="1:6" ht="15.5" x14ac:dyDescent="0.35">
      <c r="B10" s="321"/>
      <c r="C10" s="333" t="s">
        <v>454</v>
      </c>
      <c r="D10" s="322"/>
      <c r="E10" s="4"/>
    </row>
    <row r="11" spans="1:6" ht="15.5" x14ac:dyDescent="0.35">
      <c r="A11" s="4" t="s">
        <v>6</v>
      </c>
      <c r="B11" s="308"/>
      <c r="C11" s="280" t="s">
        <v>455</v>
      </c>
      <c r="D11" s="323"/>
      <c r="E11" s="4" t="s">
        <v>6</v>
      </c>
    </row>
    <row r="12" spans="1:6" ht="15.5" x14ac:dyDescent="0.35">
      <c r="A12" s="4" t="s">
        <v>7</v>
      </c>
      <c r="B12" s="316" t="s">
        <v>368</v>
      </c>
      <c r="C12" s="285" t="s">
        <v>456</v>
      </c>
      <c r="D12" s="286" t="s">
        <v>9</v>
      </c>
      <c r="E12" s="4" t="s">
        <v>7</v>
      </c>
    </row>
    <row r="13" spans="1:6" ht="15.5" x14ac:dyDescent="0.35">
      <c r="A13" s="4"/>
      <c r="B13" s="324"/>
      <c r="C13" s="1023"/>
      <c r="D13" s="325"/>
      <c r="E13" s="4"/>
    </row>
    <row r="14" spans="1:6" ht="15.5" x14ac:dyDescent="0.35">
      <c r="A14" s="4">
        <v>1</v>
      </c>
      <c r="B14" s="991" t="str">
        <f>'AD-5'!B15</f>
        <v>Dec-21</v>
      </c>
      <c r="C14" s="240">
        <v>191893.59429000001</v>
      </c>
      <c r="D14" s="326" t="s">
        <v>373</v>
      </c>
      <c r="E14" s="4">
        <f>A14</f>
        <v>1</v>
      </c>
      <c r="F14" s="287"/>
    </row>
    <row r="15" spans="1:6" ht="15.5" x14ac:dyDescent="0.35">
      <c r="A15" s="4">
        <f>A14+1</f>
        <v>2</v>
      </c>
      <c r="B15" s="994"/>
      <c r="C15" s="1005"/>
      <c r="D15" s="328"/>
      <c r="E15" s="4">
        <f>E14+1</f>
        <v>2</v>
      </c>
    </row>
    <row r="16" spans="1:6" ht="15.5" x14ac:dyDescent="0.35">
      <c r="A16" s="4">
        <f t="shared" ref="A16:A20" si="0">A15+1</f>
        <v>3</v>
      </c>
      <c r="B16" s="991" t="str">
        <f>'AD-5'!B17</f>
        <v>Dec-22</v>
      </c>
      <c r="C16" s="241">
        <v>112870.21666999999</v>
      </c>
      <c r="D16" s="326" t="s">
        <v>386</v>
      </c>
      <c r="E16" s="4">
        <f t="shared" ref="E16:E20" si="1">E15+1</f>
        <v>3</v>
      </c>
      <c r="F16" s="287"/>
    </row>
    <row r="17" spans="1:5" ht="15.5" x14ac:dyDescent="0.35">
      <c r="A17" s="4">
        <f t="shared" si="0"/>
        <v>4</v>
      </c>
      <c r="B17" s="329"/>
      <c r="C17" s="69"/>
      <c r="D17" s="330"/>
      <c r="E17" s="4">
        <f t="shared" si="1"/>
        <v>4</v>
      </c>
    </row>
    <row r="18" spans="1:5" ht="15.5" x14ac:dyDescent="0.35">
      <c r="A18" s="4">
        <f t="shared" si="0"/>
        <v>5</v>
      </c>
      <c r="B18" s="321"/>
      <c r="C18" s="1023"/>
      <c r="D18" s="325"/>
      <c r="E18" s="4">
        <f t="shared" si="1"/>
        <v>5</v>
      </c>
    </row>
    <row r="19" spans="1:5" ht="15.5" x14ac:dyDescent="0.35">
      <c r="A19" s="4">
        <f t="shared" si="0"/>
        <v>6</v>
      </c>
      <c r="B19" s="329" t="s">
        <v>403</v>
      </c>
      <c r="C19" s="1024">
        <f>(C14+C16)/2</f>
        <v>152381.90548000002</v>
      </c>
      <c r="D19" s="588" t="s">
        <v>404</v>
      </c>
      <c r="E19" s="4">
        <f t="shared" si="1"/>
        <v>6</v>
      </c>
    </row>
    <row r="20" spans="1:5" ht="15.5" x14ac:dyDescent="0.35">
      <c r="A20" s="4">
        <f t="shared" si="0"/>
        <v>7</v>
      </c>
      <c r="B20" s="338"/>
      <c r="C20" s="70"/>
      <c r="D20" s="64"/>
      <c r="E20" s="4">
        <f t="shared" si="1"/>
        <v>7</v>
      </c>
    </row>
    <row r="21" spans="1:5" ht="15.5" x14ac:dyDescent="0.35">
      <c r="A21" s="4"/>
      <c r="B21" s="34"/>
      <c r="C21" s="31"/>
      <c r="D21" s="34"/>
      <c r="E21" s="4"/>
    </row>
    <row r="22" spans="1:5" ht="15.5" x14ac:dyDescent="0.35">
      <c r="B22" s="34"/>
      <c r="C22" s="34"/>
      <c r="D22" s="34"/>
      <c r="E22" s="4"/>
    </row>
    <row r="23" spans="1:5" ht="15.5" x14ac:dyDescent="0.35">
      <c r="B23" s="34"/>
      <c r="C23" s="34"/>
      <c r="D23" s="34"/>
    </row>
    <row r="24" spans="1:5" ht="15.5" x14ac:dyDescent="0.35">
      <c r="B24" s="34"/>
      <c r="C24" s="34"/>
      <c r="D24" s="34"/>
    </row>
    <row r="25" spans="1:5" ht="15.5" x14ac:dyDescent="0.35">
      <c r="B25" s="34"/>
      <c r="C25" s="34"/>
      <c r="D25" s="34"/>
    </row>
    <row r="26" spans="1:5" ht="15.5" x14ac:dyDescent="0.35">
      <c r="B26" s="34"/>
      <c r="C26" s="34"/>
      <c r="D26" s="34"/>
    </row>
    <row r="27" spans="1:5" ht="15.5" x14ac:dyDescent="0.35">
      <c r="B27" s="34"/>
      <c r="C27" s="34"/>
      <c r="D27" s="34"/>
    </row>
    <row r="28" spans="1:5" ht="15.5" x14ac:dyDescent="0.35">
      <c r="B28" s="34"/>
      <c r="C28" s="34"/>
      <c r="D28" s="34"/>
    </row>
    <row r="29" spans="1:5" ht="15.5" x14ac:dyDescent="0.35">
      <c r="B29" s="34"/>
      <c r="C29" s="34"/>
      <c r="D29" s="34"/>
    </row>
    <row r="30" spans="1:5" ht="15.5" x14ac:dyDescent="0.35">
      <c r="B30" s="34"/>
      <c r="C30" s="34"/>
      <c r="D30" s="34"/>
    </row>
    <row r="31" spans="1:5" ht="15.5" x14ac:dyDescent="0.35">
      <c r="B31" s="34"/>
      <c r="C31" s="34"/>
      <c r="D31" s="34"/>
    </row>
    <row r="32" spans="1:5" ht="15.5" x14ac:dyDescent="0.35">
      <c r="B32" s="34"/>
      <c r="C32" s="34"/>
      <c r="D32" s="34"/>
    </row>
    <row r="33" spans="1:5" ht="15.5" x14ac:dyDescent="0.35">
      <c r="B33" s="34"/>
      <c r="C33" s="34"/>
      <c r="D33" s="34"/>
    </row>
    <row r="34" spans="1:5" ht="15.5" x14ac:dyDescent="0.35">
      <c r="B34" s="34"/>
      <c r="C34" s="34"/>
      <c r="D34" s="34"/>
    </row>
    <row r="35" spans="1:5" s="34" customFormat="1" ht="15.5" x14ac:dyDescent="0.35">
      <c r="A35" s="4"/>
      <c r="E35" s="4"/>
    </row>
    <row r="36" spans="1:5" s="34" customFormat="1" ht="15.5" x14ac:dyDescent="0.35">
      <c r="A36" s="4"/>
      <c r="E36" s="4"/>
    </row>
    <row r="37" spans="1:5" s="34" customFormat="1" ht="15.5" x14ac:dyDescent="0.35">
      <c r="A37" s="4"/>
      <c r="E37" s="4"/>
    </row>
    <row r="38" spans="1:5" s="34" customFormat="1" ht="15.5" x14ac:dyDescent="0.35">
      <c r="A38" s="4"/>
      <c r="E38" s="4"/>
    </row>
    <row r="39" spans="1:5" s="34" customFormat="1" ht="15.5" x14ac:dyDescent="0.35">
      <c r="A39" s="4"/>
      <c r="E39" s="4"/>
    </row>
    <row r="40" spans="1:5" s="34" customFormat="1" ht="15.5" x14ac:dyDescent="0.35">
      <c r="A40" s="4"/>
      <c r="E40" s="4"/>
    </row>
    <row r="41" spans="1:5" s="34" customFormat="1" ht="15.5" x14ac:dyDescent="0.3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25.08984375" style="1" customWidth="1"/>
    <col min="7" max="7" width="7.08984375" style="1" customWidth="1"/>
    <col min="8" max="8" width="17.453125" style="1" customWidth="1"/>
    <col min="9" max="9" width="14" style="1" customWidth="1"/>
    <col min="10" max="10" width="13.453125" style="1" customWidth="1"/>
    <col min="11" max="16384" width="9.08984375" style="1"/>
  </cols>
  <sheetData>
    <row r="2" spans="1:6" x14ac:dyDescent="0.35">
      <c r="B2" s="1171" t="s">
        <v>0</v>
      </c>
      <c r="C2" s="1171"/>
      <c r="D2" s="1171"/>
    </row>
    <row r="3" spans="1:6" x14ac:dyDescent="0.35">
      <c r="B3" s="1171" t="s">
        <v>362</v>
      </c>
      <c r="C3" s="1171"/>
      <c r="D3" s="1171"/>
    </row>
    <row r="4" spans="1:6" x14ac:dyDescent="0.35">
      <c r="B4" s="1171" t="s">
        <v>363</v>
      </c>
      <c r="C4" s="1171"/>
      <c r="D4" s="1171"/>
    </row>
    <row r="5" spans="1:6" x14ac:dyDescent="0.35">
      <c r="B5" s="1171" t="s">
        <v>364</v>
      </c>
      <c r="C5" s="1171"/>
      <c r="D5" s="1171"/>
    </row>
    <row r="6" spans="1:6" x14ac:dyDescent="0.35">
      <c r="B6" s="1175" t="s">
        <v>5</v>
      </c>
      <c r="C6" s="1175"/>
      <c r="D6" s="1175"/>
    </row>
    <row r="7" spans="1:6" x14ac:dyDescent="0.35">
      <c r="B7" s="277"/>
      <c r="C7" s="277"/>
      <c r="D7" s="277"/>
    </row>
    <row r="8" spans="1:6" ht="15.5" x14ac:dyDescent="0.35">
      <c r="B8" s="1171" t="s">
        <v>457</v>
      </c>
      <c r="C8" s="1171"/>
      <c r="D8" s="1171"/>
      <c r="E8" s="4"/>
    </row>
    <row r="9" spans="1:6" ht="15.5" x14ac:dyDescent="0.35">
      <c r="A9" s="4"/>
      <c r="E9" s="4"/>
    </row>
    <row r="10" spans="1:6" ht="15.5" x14ac:dyDescent="0.35">
      <c r="A10" s="4"/>
      <c r="B10" s="321"/>
      <c r="C10" s="333" t="s">
        <v>454</v>
      </c>
      <c r="D10" s="1025"/>
      <c r="E10" s="4"/>
    </row>
    <row r="11" spans="1:6" ht="15.5" x14ac:dyDescent="0.35">
      <c r="A11" s="4" t="s">
        <v>6</v>
      </c>
      <c r="B11" s="308"/>
      <c r="C11" s="280" t="s">
        <v>458</v>
      </c>
      <c r="D11" s="989"/>
      <c r="E11" s="4" t="s">
        <v>6</v>
      </c>
    </row>
    <row r="12" spans="1:6" ht="15.5" x14ac:dyDescent="0.35">
      <c r="A12" s="4" t="s">
        <v>7</v>
      </c>
      <c r="B12" s="316" t="s">
        <v>368</v>
      </c>
      <c r="C12" s="285" t="s">
        <v>456</v>
      </c>
      <c r="D12" s="285" t="s">
        <v>9</v>
      </c>
      <c r="E12" s="4" t="s">
        <v>7</v>
      </c>
    </row>
    <row r="13" spans="1:6" ht="15.5" x14ac:dyDescent="0.35">
      <c r="A13" s="4"/>
      <c r="B13" s="324"/>
      <c r="C13" s="1023"/>
      <c r="D13" s="1026"/>
      <c r="E13" s="4"/>
    </row>
    <row r="14" spans="1:6" ht="15.5" x14ac:dyDescent="0.35">
      <c r="A14" s="4">
        <v>1</v>
      </c>
      <c r="B14" s="991" t="str">
        <f>'AD-8'!B14</f>
        <v>Dec-21</v>
      </c>
      <c r="C14" s="240">
        <v>518902.72382000007</v>
      </c>
      <c r="D14" s="1001" t="s">
        <v>373</v>
      </c>
      <c r="E14" s="4">
        <f>A14</f>
        <v>1</v>
      </c>
      <c r="F14" s="287"/>
    </row>
    <row r="15" spans="1:6" ht="15.5" x14ac:dyDescent="0.35">
      <c r="A15" s="4">
        <f>A14+1</f>
        <v>2</v>
      </c>
      <c r="B15" s="994"/>
      <c r="C15" s="1005"/>
      <c r="D15" s="1005"/>
      <c r="E15" s="4">
        <f>E14+1</f>
        <v>2</v>
      </c>
    </row>
    <row r="16" spans="1:6" ht="15.5" x14ac:dyDescent="0.35">
      <c r="A16" s="4">
        <f t="shared" ref="A16:A20" si="0">A15+1</f>
        <v>3</v>
      </c>
      <c r="B16" s="991" t="str">
        <f>'AD-8'!B16</f>
        <v>Dec-22</v>
      </c>
      <c r="C16" s="241">
        <v>571823.00717</v>
      </c>
      <c r="D16" s="1001" t="s">
        <v>386</v>
      </c>
      <c r="E16" s="4">
        <f t="shared" ref="E16:E20" si="1">E15+1</f>
        <v>3</v>
      </c>
      <c r="F16" s="287"/>
    </row>
    <row r="17" spans="1:5" ht="15.5" x14ac:dyDescent="0.35">
      <c r="A17" s="4">
        <f t="shared" si="0"/>
        <v>4</v>
      </c>
      <c r="B17" s="329"/>
      <c r="C17" s="69"/>
      <c r="D17" s="69"/>
      <c r="E17" s="4">
        <f t="shared" si="1"/>
        <v>4</v>
      </c>
    </row>
    <row r="18" spans="1:5" ht="15.5" x14ac:dyDescent="0.35">
      <c r="A18" s="4">
        <f t="shared" si="0"/>
        <v>5</v>
      </c>
      <c r="B18" s="321"/>
      <c r="C18" s="1023"/>
      <c r="D18" s="1026"/>
      <c r="E18" s="4">
        <f t="shared" si="1"/>
        <v>5</v>
      </c>
    </row>
    <row r="19" spans="1:5" ht="15.5" x14ac:dyDescent="0.35">
      <c r="A19" s="4">
        <f t="shared" si="0"/>
        <v>6</v>
      </c>
      <c r="B19" s="329" t="s">
        <v>403</v>
      </c>
      <c r="C19" s="1024">
        <f>(C14+C16)/2</f>
        <v>545362.86549500003</v>
      </c>
      <c r="D19" s="1002" t="s">
        <v>404</v>
      </c>
      <c r="E19" s="4">
        <f t="shared" si="1"/>
        <v>6</v>
      </c>
    </row>
    <row r="20" spans="1:5" ht="15.5" x14ac:dyDescent="0.35">
      <c r="A20" s="4">
        <f t="shared" si="0"/>
        <v>7</v>
      </c>
      <c r="B20" s="338"/>
      <c r="C20" s="70"/>
      <c r="D20" s="97"/>
      <c r="E20" s="4">
        <f t="shared" si="1"/>
        <v>7</v>
      </c>
    </row>
    <row r="21" spans="1:5" ht="15.5" x14ac:dyDescent="0.35">
      <c r="A21" s="4"/>
      <c r="B21" s="34"/>
      <c r="C21" s="31"/>
      <c r="D21" s="34"/>
      <c r="E21" s="4"/>
    </row>
    <row r="22" spans="1:5" ht="15.5" x14ac:dyDescent="0.35">
      <c r="B22" s="34"/>
      <c r="C22" s="34"/>
      <c r="D22" s="34"/>
    </row>
    <row r="23" spans="1:5" ht="15.5" x14ac:dyDescent="0.35">
      <c r="B23" s="34"/>
      <c r="C23" s="34"/>
      <c r="D23" s="34"/>
    </row>
    <row r="24" spans="1:5" ht="15.5" x14ac:dyDescent="0.35">
      <c r="B24" s="34"/>
      <c r="C24" s="34"/>
      <c r="D24" s="34"/>
    </row>
    <row r="25" spans="1:5" ht="15.5" x14ac:dyDescent="0.35">
      <c r="B25" s="34"/>
      <c r="C25" s="34"/>
      <c r="D25" s="34"/>
    </row>
    <row r="26" spans="1:5" ht="15.5" x14ac:dyDescent="0.35">
      <c r="B26" s="34"/>
      <c r="C26" s="34"/>
      <c r="D26" s="34"/>
    </row>
    <row r="27" spans="1:5" ht="15.5" x14ac:dyDescent="0.35">
      <c r="B27" s="34"/>
      <c r="D27" s="34"/>
    </row>
    <row r="28" spans="1:5" ht="15.5" x14ac:dyDescent="0.35">
      <c r="B28" s="34"/>
      <c r="C28" s="34"/>
      <c r="D28" s="34"/>
    </row>
    <row r="29" spans="1:5" ht="15.5" x14ac:dyDescent="0.35">
      <c r="B29" s="34"/>
      <c r="C29" s="34"/>
      <c r="D29" s="34"/>
    </row>
    <row r="30" spans="1:5" ht="15.5" x14ac:dyDescent="0.35">
      <c r="B30" s="34"/>
      <c r="C30" s="34"/>
      <c r="D30" s="34"/>
    </row>
    <row r="31" spans="1:5" ht="15.5" x14ac:dyDescent="0.35">
      <c r="B31" s="34"/>
      <c r="C31" s="34"/>
      <c r="D31" s="34"/>
    </row>
    <row r="32" spans="1:5" ht="15.5" x14ac:dyDescent="0.35">
      <c r="B32" s="34"/>
      <c r="C32" s="34"/>
      <c r="D32" s="34"/>
    </row>
    <row r="33" spans="1:5" ht="15.5" x14ac:dyDescent="0.35">
      <c r="B33" s="34"/>
      <c r="C33" s="34"/>
      <c r="D33" s="34"/>
    </row>
    <row r="34" spans="1:5" ht="15.5" x14ac:dyDescent="0.35">
      <c r="B34" s="34"/>
      <c r="C34" s="34"/>
      <c r="D34" s="34"/>
    </row>
    <row r="35" spans="1:5" s="34" customFormat="1" ht="15.5" x14ac:dyDescent="0.35">
      <c r="A35" s="4"/>
      <c r="E35" s="4"/>
    </row>
    <row r="36" spans="1:5" s="34" customFormat="1" ht="15.5" x14ac:dyDescent="0.35">
      <c r="A36" s="4"/>
      <c r="E36" s="4"/>
    </row>
    <row r="37" spans="1:5" s="34" customFormat="1" ht="15.5" x14ac:dyDescent="0.35">
      <c r="A37" s="4"/>
      <c r="E37" s="4"/>
    </row>
    <row r="38" spans="1:5" s="34" customFormat="1" ht="15.5" x14ac:dyDescent="0.35">
      <c r="A38" s="4"/>
      <c r="E38" s="4"/>
    </row>
    <row r="39" spans="1:5" s="34" customFormat="1" ht="15.5" x14ac:dyDescent="0.35">
      <c r="A39" s="4"/>
      <c r="E39" s="4"/>
    </row>
    <row r="40" spans="1:5" s="34" customFormat="1" ht="15.5" x14ac:dyDescent="0.35">
      <c r="A40" s="4"/>
      <c r="E40" s="4"/>
    </row>
    <row r="41" spans="1:5" s="34" customFormat="1" ht="15.5" x14ac:dyDescent="0.3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zoomScale="80" zoomScaleNormal="80" workbookViewId="0"/>
  </sheetViews>
  <sheetFormatPr defaultColWidth="9.08984375" defaultRowHeight="15" x14ac:dyDescent="0.35"/>
  <cols>
    <col min="1" max="1" width="5.08984375" style="226" customWidth="1"/>
    <col min="2" max="2" width="8.54296875" style="1" customWidth="1"/>
    <col min="3" max="3" width="41.08984375" style="1" customWidth="1"/>
    <col min="4" max="4" width="18.54296875" style="1" customWidth="1"/>
    <col min="5" max="5" width="62.54296875" style="1" customWidth="1"/>
    <col min="6" max="6" width="5.08984375" style="226" customWidth="1"/>
    <col min="7" max="7" width="24" style="1" customWidth="1"/>
    <col min="8" max="8" width="11" style="1" customWidth="1"/>
    <col min="9" max="9" width="7.08984375" style="1" customWidth="1"/>
    <col min="10" max="10" width="9.08984375" style="1" customWidth="1"/>
    <col min="11" max="11" width="14" style="1" customWidth="1"/>
    <col min="12" max="12" width="13.453125" style="1" customWidth="1"/>
    <col min="13" max="16384" width="9.08984375" style="1"/>
  </cols>
  <sheetData>
    <row r="2" spans="1:7" x14ac:dyDescent="0.35">
      <c r="B2" s="1171" t="s">
        <v>0</v>
      </c>
      <c r="C2" s="1171"/>
      <c r="D2" s="1171"/>
      <c r="E2" s="1171"/>
      <c r="G2"/>
    </row>
    <row r="3" spans="1:7" x14ac:dyDescent="0.35">
      <c r="B3" s="1171" t="s">
        <v>362</v>
      </c>
      <c r="C3" s="1171"/>
      <c r="D3" s="1171"/>
      <c r="E3" s="1171"/>
    </row>
    <row r="4" spans="1:7" x14ac:dyDescent="0.35">
      <c r="B4" s="1171" t="s">
        <v>363</v>
      </c>
      <c r="C4" s="1171"/>
      <c r="D4" s="1171"/>
      <c r="E4" s="1171"/>
    </row>
    <row r="5" spans="1:7" x14ac:dyDescent="0.35">
      <c r="B5" s="1171" t="s">
        <v>364</v>
      </c>
      <c r="C5" s="1171"/>
      <c r="D5" s="1171"/>
      <c r="E5" s="1171"/>
    </row>
    <row r="6" spans="1:7" x14ac:dyDescent="0.35">
      <c r="B6" s="1175" t="s">
        <v>5</v>
      </c>
      <c r="C6" s="1175"/>
      <c r="D6" s="1175"/>
      <c r="E6" s="1175"/>
    </row>
    <row r="7" spans="1:7" x14ac:dyDescent="0.35">
      <c r="B7" s="277"/>
      <c r="C7" s="277"/>
      <c r="D7" s="277"/>
      <c r="E7" s="277"/>
    </row>
    <row r="8" spans="1:7" ht="15.5" x14ac:dyDescent="0.35">
      <c r="B8" s="1171" t="s">
        <v>459</v>
      </c>
      <c r="C8" s="1171"/>
      <c r="D8" s="1171"/>
      <c r="E8" s="1171"/>
      <c r="F8" s="4"/>
    </row>
    <row r="9" spans="1:7" ht="15.5" x14ac:dyDescent="0.35">
      <c r="A9" s="4"/>
      <c r="F9" s="4"/>
    </row>
    <row r="10" spans="1:7" ht="15.5" x14ac:dyDescent="0.35">
      <c r="A10" s="4" t="s">
        <v>6</v>
      </c>
      <c r="B10" s="331"/>
      <c r="C10" s="331"/>
      <c r="D10" s="332"/>
      <c r="E10" s="333"/>
      <c r="F10" s="4" t="s">
        <v>6</v>
      </c>
    </row>
    <row r="11" spans="1:7" ht="15.5" x14ac:dyDescent="0.35">
      <c r="A11" s="4" t="s">
        <v>7</v>
      </c>
      <c r="B11" s="316" t="s">
        <v>368</v>
      </c>
      <c r="C11" s="316" t="s">
        <v>423</v>
      </c>
      <c r="D11" s="316" t="s">
        <v>8</v>
      </c>
      <c r="E11" s="285" t="s">
        <v>9</v>
      </c>
      <c r="F11" s="4" t="s">
        <v>7</v>
      </c>
    </row>
    <row r="12" spans="1:7" ht="15.5" x14ac:dyDescent="0.35">
      <c r="A12" s="4"/>
      <c r="B12" s="334"/>
      <c r="C12" s="334"/>
      <c r="D12" s="995"/>
      <c r="E12" s="335"/>
      <c r="F12" s="4"/>
    </row>
    <row r="13" spans="1:7" ht="15.5" x14ac:dyDescent="0.35">
      <c r="A13" s="4">
        <v>1</v>
      </c>
      <c r="B13" s="651" t="str">
        <f>'AD-9'!B14</f>
        <v>Dec-21</v>
      </c>
      <c r="C13" s="336" t="s">
        <v>460</v>
      </c>
      <c r="D13" s="589">
        <v>2014291.9280000001</v>
      </c>
      <c r="E13" s="589" t="s">
        <v>461</v>
      </c>
      <c r="F13" s="4">
        <f>A13</f>
        <v>1</v>
      </c>
    </row>
    <row r="14" spans="1:7" ht="15.5" x14ac:dyDescent="0.35">
      <c r="A14" s="4">
        <f>A13+1</f>
        <v>2</v>
      </c>
      <c r="B14" s="336"/>
      <c r="C14" s="336" t="s">
        <v>462</v>
      </c>
      <c r="D14" s="255">
        <v>0.74670000000000003</v>
      </c>
      <c r="E14" s="1027" t="s">
        <v>463</v>
      </c>
      <c r="F14" s="4">
        <f>F13+1</f>
        <v>2</v>
      </c>
    </row>
    <row r="15" spans="1:7" ht="15.5" x14ac:dyDescent="0.35">
      <c r="A15" s="4">
        <f t="shared" ref="A15:A22" si="0">A14+1</f>
        <v>3</v>
      </c>
      <c r="B15" s="336"/>
      <c r="C15" s="336" t="s">
        <v>464</v>
      </c>
      <c r="D15" s="1028">
        <f>D13*D14</f>
        <v>1504071.7826376001</v>
      </c>
      <c r="E15" s="1001" t="s">
        <v>465</v>
      </c>
      <c r="F15" s="4">
        <f t="shared" ref="F15:F23" si="1">F14+1</f>
        <v>3</v>
      </c>
    </row>
    <row r="16" spans="1:7" ht="15.5" x14ac:dyDescent="0.35">
      <c r="A16" s="4">
        <f t="shared" si="0"/>
        <v>4</v>
      </c>
      <c r="B16" s="336"/>
      <c r="C16" s="336"/>
      <c r="D16" s="996"/>
      <c r="E16" s="1001"/>
      <c r="F16" s="4">
        <f t="shared" si="1"/>
        <v>4</v>
      </c>
    </row>
    <row r="17" spans="1:7" ht="15.5" x14ac:dyDescent="0.35">
      <c r="A17" s="4">
        <f t="shared" si="0"/>
        <v>5</v>
      </c>
      <c r="B17" s="651" t="str">
        <f>'AD-9'!B16</f>
        <v>Dec-22</v>
      </c>
      <c r="C17" s="336" t="s">
        <v>460</v>
      </c>
      <c r="D17" s="589">
        <v>2126037.125</v>
      </c>
      <c r="E17" s="589" t="s">
        <v>466</v>
      </c>
      <c r="F17" s="4">
        <f t="shared" si="1"/>
        <v>5</v>
      </c>
    </row>
    <row r="18" spans="1:7" ht="15.5" x14ac:dyDescent="0.35">
      <c r="A18" s="4">
        <f t="shared" si="0"/>
        <v>6</v>
      </c>
      <c r="B18" s="336"/>
      <c r="C18" s="336" t="s">
        <v>462</v>
      </c>
      <c r="D18" s="255">
        <v>0.73170000000000002</v>
      </c>
      <c r="E18" s="1027" t="s">
        <v>463</v>
      </c>
      <c r="F18" s="4">
        <f t="shared" si="1"/>
        <v>6</v>
      </c>
      <c r="G18" s="263"/>
    </row>
    <row r="19" spans="1:7" ht="15.5" x14ac:dyDescent="0.35">
      <c r="A19" s="4">
        <f t="shared" si="0"/>
        <v>7</v>
      </c>
      <c r="B19" s="336"/>
      <c r="C19" s="336" t="s">
        <v>464</v>
      </c>
      <c r="D19" s="589">
        <f>D17*D18</f>
        <v>1555621.3643625001</v>
      </c>
      <c r="E19" s="1002" t="s">
        <v>467</v>
      </c>
      <c r="F19" s="4">
        <f t="shared" si="1"/>
        <v>7</v>
      </c>
    </row>
    <row r="20" spans="1:7" ht="15.5" x14ac:dyDescent="0.35">
      <c r="A20" s="4">
        <f t="shared" si="0"/>
        <v>8</v>
      </c>
      <c r="B20" s="337"/>
      <c r="C20" s="316"/>
      <c r="D20" s="71"/>
      <c r="E20" s="301"/>
      <c r="F20" s="4">
        <f t="shared" si="1"/>
        <v>8</v>
      </c>
    </row>
    <row r="21" spans="1:7" ht="15.5" x14ac:dyDescent="0.35">
      <c r="A21" s="4">
        <f t="shared" si="0"/>
        <v>9</v>
      </c>
      <c r="B21" s="321"/>
      <c r="D21" s="364"/>
      <c r="E21" s="288"/>
      <c r="F21" s="4">
        <f t="shared" si="1"/>
        <v>9</v>
      </c>
    </row>
    <row r="22" spans="1:7" ht="15.5" x14ac:dyDescent="0.35">
      <c r="A22" s="4">
        <f t="shared" si="0"/>
        <v>10</v>
      </c>
      <c r="B22" s="329" t="s">
        <v>403</v>
      </c>
      <c r="D22" s="1024">
        <f>(D15+D19)/2</f>
        <v>1529846.5735000502</v>
      </c>
      <c r="E22" s="995" t="s">
        <v>468</v>
      </c>
      <c r="F22" s="4">
        <f t="shared" si="1"/>
        <v>10</v>
      </c>
    </row>
    <row r="23" spans="1:7" ht="15.5" x14ac:dyDescent="0.35">
      <c r="A23" s="4">
        <f t="shared" ref="A23" si="2">A22+1</f>
        <v>11</v>
      </c>
      <c r="B23" s="338"/>
      <c r="C23" s="1029"/>
      <c r="D23" s="70"/>
      <c r="E23" s="69"/>
      <c r="F23" s="4">
        <f t="shared" si="1"/>
        <v>11</v>
      </c>
    </row>
    <row r="24" spans="1:7" ht="15.5" x14ac:dyDescent="0.35">
      <c r="A24" s="4"/>
      <c r="B24" s="34"/>
      <c r="C24" s="34"/>
      <c r="D24" s="34"/>
      <c r="E24" s="34"/>
      <c r="F24" s="4"/>
    </row>
    <row r="25" spans="1:7" ht="15.5" x14ac:dyDescent="0.35">
      <c r="A25" s="4"/>
      <c r="B25" s="34"/>
      <c r="C25" s="34"/>
      <c r="D25" s="34"/>
      <c r="E25" s="34"/>
    </row>
    <row r="26" spans="1:7" ht="15.5" x14ac:dyDescent="0.35">
      <c r="A26" s="4"/>
      <c r="B26" s="34"/>
      <c r="C26" s="34"/>
      <c r="D26" s="34"/>
      <c r="E26" s="34"/>
    </row>
  </sheetData>
  <mergeCells count="6">
    <mergeCell ref="B8:E8"/>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90625" defaultRowHeight="15.5" x14ac:dyDescent="0.35"/>
  <cols>
    <col min="1" max="1" width="5.08984375" style="4" bestFit="1" customWidth="1"/>
    <col min="2" max="2" width="67.54296875" style="34" customWidth="1"/>
    <col min="3" max="3" width="25.54296875" style="4" bestFit="1" customWidth="1"/>
    <col min="4" max="4" width="1.54296875" style="34" customWidth="1"/>
    <col min="5" max="5" width="16.90625" style="34" customWidth="1"/>
    <col min="6" max="6" width="1.54296875" style="34" customWidth="1"/>
    <col min="7" max="7" width="16.90625" style="34" customWidth="1"/>
    <col min="8" max="8" width="1.54296875" style="34" customWidth="1"/>
    <col min="9" max="9" width="16.90625" style="34" customWidth="1"/>
    <col min="10" max="10" width="1.54296875" style="34" customWidth="1"/>
    <col min="11" max="11" width="34.54296875" style="34" customWidth="1"/>
    <col min="12" max="12" width="5.08984375" style="34" bestFit="1" customWidth="1"/>
    <col min="13" max="13" width="8.90625" style="34"/>
    <col min="14" max="14" width="33.453125" style="34" customWidth="1"/>
    <col min="15" max="16384" width="8.90625" style="34"/>
  </cols>
  <sheetData>
    <row r="1" spans="1:14" x14ac:dyDescent="0.35">
      <c r="H1" s="4"/>
      <c r="I1" s="4"/>
      <c r="J1" s="4"/>
      <c r="K1" s="4"/>
      <c r="L1" s="4"/>
    </row>
    <row r="2" spans="1:14" x14ac:dyDescent="0.35">
      <c r="B2" s="1171" t="s">
        <v>0</v>
      </c>
      <c r="C2" s="1171"/>
      <c r="D2" s="1171"/>
      <c r="E2" s="1171"/>
      <c r="F2" s="1171"/>
      <c r="G2" s="1171"/>
      <c r="H2" s="1171"/>
      <c r="I2" s="1171"/>
      <c r="J2" s="1171"/>
      <c r="K2" s="1171"/>
      <c r="L2" s="4"/>
    </row>
    <row r="3" spans="1:14" x14ac:dyDescent="0.35">
      <c r="B3" s="1171" t="s">
        <v>469</v>
      </c>
      <c r="C3" s="1171"/>
      <c r="D3" s="1171"/>
      <c r="E3" s="1171"/>
      <c r="F3" s="1171"/>
      <c r="G3" s="1171"/>
      <c r="H3" s="1171"/>
      <c r="I3" s="1171"/>
      <c r="J3" s="1171"/>
      <c r="K3" s="1171"/>
      <c r="L3" s="4"/>
    </row>
    <row r="4" spans="1:14" x14ac:dyDescent="0.35">
      <c r="B4" s="1171" t="s">
        <v>470</v>
      </c>
      <c r="C4" s="1171"/>
      <c r="D4" s="1171"/>
      <c r="E4" s="1171"/>
      <c r="F4" s="1171"/>
      <c r="G4" s="1171"/>
      <c r="H4" s="1171"/>
      <c r="I4" s="1171"/>
      <c r="J4" s="1171"/>
      <c r="K4" s="1171"/>
      <c r="L4" s="4"/>
    </row>
    <row r="5" spans="1:14" x14ac:dyDescent="0.35">
      <c r="B5" s="1176" t="str">
        <f>'Stmt AD'!B5</f>
        <v>Base Period &amp; True-Up Period 12 - Months Ending December 31, 2022</v>
      </c>
      <c r="C5" s="1176"/>
      <c r="D5" s="1176"/>
      <c r="E5" s="1176"/>
      <c r="F5" s="1176"/>
      <c r="G5" s="1176"/>
      <c r="H5" s="1176"/>
      <c r="I5" s="1176"/>
      <c r="J5" s="1176"/>
      <c r="K5" s="1176"/>
      <c r="L5" s="4"/>
      <c r="N5" s="1"/>
    </row>
    <row r="6" spans="1:14" x14ac:dyDescent="0.35">
      <c r="B6" s="1175" t="s">
        <v>5</v>
      </c>
      <c r="C6" s="1172"/>
      <c r="D6" s="1172"/>
      <c r="E6" s="1172"/>
      <c r="F6" s="1172"/>
      <c r="G6" s="1172"/>
      <c r="H6" s="1172"/>
      <c r="I6" s="1172"/>
      <c r="J6" s="1172"/>
      <c r="K6" s="1172"/>
      <c r="L6" s="4"/>
      <c r="N6" s="339"/>
    </row>
    <row r="7" spans="1:14" x14ac:dyDescent="0.35">
      <c r="B7" s="4"/>
      <c r="D7" s="4"/>
      <c r="E7" s="4"/>
      <c r="F7" s="4"/>
      <c r="G7" s="4"/>
      <c r="H7" s="226"/>
      <c r="I7" s="226"/>
      <c r="J7" s="226"/>
      <c r="K7" s="4"/>
      <c r="L7" s="4"/>
    </row>
    <row r="8" spans="1:14" x14ac:dyDescent="0.35">
      <c r="A8" s="4" t="s">
        <v>6</v>
      </c>
      <c r="B8" s="226"/>
      <c r="C8" s="4" t="s">
        <v>317</v>
      </c>
      <c r="D8" s="226"/>
      <c r="E8" s="37" t="s">
        <v>280</v>
      </c>
      <c r="F8" s="4"/>
      <c r="G8" s="37" t="s">
        <v>281</v>
      </c>
      <c r="H8" s="4"/>
      <c r="I8" s="37" t="s">
        <v>318</v>
      </c>
      <c r="J8" s="226"/>
      <c r="K8" s="4"/>
      <c r="L8" s="4" t="s">
        <v>6</v>
      </c>
    </row>
    <row r="9" spans="1:14" x14ac:dyDescent="0.35">
      <c r="A9" s="4" t="s">
        <v>7</v>
      </c>
      <c r="B9" s="226"/>
      <c r="C9" s="876" t="s">
        <v>319</v>
      </c>
      <c r="D9" s="226"/>
      <c r="E9" s="1030">
        <f>'Stmt AD'!E9</f>
        <v>44561</v>
      </c>
      <c r="F9" s="226"/>
      <c r="G9" s="1030">
        <f>'Stmt AD'!G9</f>
        <v>44926</v>
      </c>
      <c r="H9" s="226"/>
      <c r="I9" s="877" t="s">
        <v>320</v>
      </c>
      <c r="J9" s="226"/>
      <c r="K9" s="876" t="s">
        <v>9</v>
      </c>
      <c r="L9" s="4" t="s">
        <v>7</v>
      </c>
    </row>
    <row r="10" spans="1:14" x14ac:dyDescent="0.35">
      <c r="B10" s="4"/>
      <c r="D10" s="4"/>
      <c r="E10" s="4"/>
      <c r="F10" s="4"/>
      <c r="G10" s="4"/>
      <c r="H10" s="4"/>
      <c r="I10" s="4"/>
      <c r="J10" s="4"/>
      <c r="K10" s="4"/>
      <c r="L10" s="4"/>
    </row>
    <row r="11" spans="1:14" ht="18" x14ac:dyDescent="0.35">
      <c r="A11" s="4">
        <v>1</v>
      </c>
      <c r="B11" s="34" t="s">
        <v>471</v>
      </c>
      <c r="C11" s="4" t="s">
        <v>472</v>
      </c>
      <c r="D11" s="4"/>
      <c r="E11" s="72"/>
      <c r="F11" s="38"/>
      <c r="G11" s="72"/>
      <c r="H11" s="42"/>
      <c r="I11" s="43">
        <f>'AE-1'!F31</f>
        <v>1733510.7188923075</v>
      </c>
      <c r="J11" s="74"/>
      <c r="K11" s="4" t="s">
        <v>473</v>
      </c>
      <c r="L11" s="4">
        <f>A11</f>
        <v>1</v>
      </c>
    </row>
    <row r="12" spans="1:14" x14ac:dyDescent="0.35">
      <c r="A12" s="4">
        <f>A11+1</f>
        <v>2</v>
      </c>
      <c r="E12" s="73"/>
      <c r="G12" s="73"/>
      <c r="H12" s="44"/>
      <c r="I12" s="73"/>
      <c r="J12" s="44"/>
      <c r="K12" s="340"/>
      <c r="L12" s="4">
        <f>L11+1</f>
        <v>2</v>
      </c>
    </row>
    <row r="13" spans="1:14" ht="18" x14ac:dyDescent="0.35">
      <c r="A13" s="4">
        <f t="shared" ref="A13:A29" si="0">+A12+1</f>
        <v>3</v>
      </c>
      <c r="B13" s="34" t="s">
        <v>474</v>
      </c>
      <c r="E13" s="43">
        <f>'AE-2'!C14</f>
        <v>173963.95592000001</v>
      </c>
      <c r="F13" s="72"/>
      <c r="G13" s="43">
        <f>'AE-2'!C16</f>
        <v>69951.332410000003</v>
      </c>
      <c r="H13" s="74"/>
      <c r="I13" s="41">
        <f>(E13+G13)/2</f>
        <v>121957.64416500001</v>
      </c>
      <c r="J13" s="74"/>
      <c r="K13" s="4" t="s">
        <v>475</v>
      </c>
      <c r="L13" s="4">
        <f t="shared" ref="L13:L29" si="1">+L12+1</f>
        <v>3</v>
      </c>
    </row>
    <row r="14" spans="1:14" x14ac:dyDescent="0.35">
      <c r="A14" s="4">
        <f t="shared" si="0"/>
        <v>4</v>
      </c>
      <c r="E14" s="73"/>
      <c r="G14" s="73"/>
      <c r="H14" s="44"/>
      <c r="I14" s="41"/>
      <c r="J14" s="44"/>
      <c r="K14" s="47"/>
      <c r="L14" s="4">
        <f t="shared" si="1"/>
        <v>4</v>
      </c>
    </row>
    <row r="15" spans="1:14" ht="18" x14ac:dyDescent="0.35">
      <c r="A15" s="4">
        <f t="shared" si="0"/>
        <v>5</v>
      </c>
      <c r="B15" s="34" t="s">
        <v>476</v>
      </c>
      <c r="E15" s="45">
        <f>'AE-3'!C14</f>
        <v>219537.53417000003</v>
      </c>
      <c r="G15" s="45">
        <f>'AE-3'!C16</f>
        <v>243049.83005000002</v>
      </c>
      <c r="H15" s="42"/>
      <c r="I15" s="41">
        <f>(E15+G15)/2</f>
        <v>231293.68211000002</v>
      </c>
      <c r="J15" s="44"/>
      <c r="K15" s="4" t="s">
        <v>477</v>
      </c>
      <c r="L15" s="4">
        <f t="shared" si="1"/>
        <v>5</v>
      </c>
    </row>
    <row r="16" spans="1:14" x14ac:dyDescent="0.35">
      <c r="A16" s="4">
        <f t="shared" si="0"/>
        <v>6</v>
      </c>
      <c r="E16" s="41"/>
      <c r="G16" s="41"/>
      <c r="H16" s="44"/>
      <c r="I16" s="41"/>
      <c r="J16" s="44"/>
      <c r="K16" s="47"/>
      <c r="L16" s="4">
        <f t="shared" si="1"/>
        <v>6</v>
      </c>
    </row>
    <row r="17" spans="1:12" ht="18" x14ac:dyDescent="0.35">
      <c r="A17" s="4">
        <f t="shared" si="0"/>
        <v>7</v>
      </c>
      <c r="B17" s="34" t="s">
        <v>478</v>
      </c>
      <c r="E17" s="45">
        <f>'AE-4'!D15</f>
        <v>640617.78183810005</v>
      </c>
      <c r="G17" s="45">
        <f>'AE-4'!D19</f>
        <v>646344.7064883</v>
      </c>
      <c r="H17" s="42"/>
      <c r="I17" s="41">
        <f>(E17+G17)/2</f>
        <v>643481.24416320003</v>
      </c>
      <c r="J17" s="44"/>
      <c r="K17" s="4" t="s">
        <v>479</v>
      </c>
      <c r="L17" s="4">
        <f t="shared" si="1"/>
        <v>7</v>
      </c>
    </row>
    <row r="18" spans="1:12" x14ac:dyDescent="0.35">
      <c r="A18" s="4">
        <f t="shared" si="0"/>
        <v>8</v>
      </c>
      <c r="E18" s="73"/>
      <c r="G18" s="73"/>
      <c r="H18" s="44"/>
      <c r="I18" s="73"/>
      <c r="J18" s="44"/>
      <c r="K18" s="49"/>
      <c r="L18" s="4">
        <f t="shared" si="1"/>
        <v>8</v>
      </c>
    </row>
    <row r="19" spans="1:12" x14ac:dyDescent="0.35">
      <c r="A19" s="4">
        <f t="shared" si="0"/>
        <v>9</v>
      </c>
      <c r="B19" s="34" t="s">
        <v>345</v>
      </c>
      <c r="E19" s="75"/>
      <c r="G19" s="75"/>
      <c r="H19" s="76"/>
      <c r="I19" s="1031">
        <f>'Stmt AI'!E25</f>
        <v>0.19811712169916151</v>
      </c>
      <c r="J19" s="76"/>
      <c r="K19" s="47" t="s">
        <v>346</v>
      </c>
      <c r="L19" s="4">
        <f t="shared" si="1"/>
        <v>9</v>
      </c>
    </row>
    <row r="20" spans="1:12" x14ac:dyDescent="0.35">
      <c r="A20" s="4">
        <f t="shared" si="0"/>
        <v>10</v>
      </c>
      <c r="E20" s="73"/>
      <c r="G20" s="73"/>
      <c r="H20" s="44"/>
      <c r="I20" s="77"/>
      <c r="J20" s="44"/>
      <c r="K20" s="49"/>
      <c r="L20" s="4">
        <f t="shared" si="1"/>
        <v>10</v>
      </c>
    </row>
    <row r="21" spans="1:12" x14ac:dyDescent="0.35">
      <c r="A21" s="4">
        <f t="shared" si="0"/>
        <v>11</v>
      </c>
      <c r="B21" s="34" t="s">
        <v>160</v>
      </c>
      <c r="E21" s="73"/>
      <c r="G21" s="73"/>
      <c r="H21" s="44"/>
      <c r="I21" s="78">
        <f>I13*I19</f>
        <v>24161.897431180339</v>
      </c>
      <c r="J21" s="74"/>
      <c r="K21" s="49" t="s">
        <v>480</v>
      </c>
      <c r="L21" s="4">
        <f t="shared" si="1"/>
        <v>11</v>
      </c>
    </row>
    <row r="22" spans="1:12" x14ac:dyDescent="0.35">
      <c r="A22" s="4">
        <f t="shared" si="0"/>
        <v>12</v>
      </c>
      <c r="E22" s="73"/>
      <c r="G22" s="73"/>
      <c r="H22" s="44"/>
      <c r="I22" s="77"/>
      <c r="J22" s="44"/>
      <c r="K22" s="49"/>
      <c r="L22" s="4">
        <f t="shared" si="1"/>
        <v>12</v>
      </c>
    </row>
    <row r="23" spans="1:12" x14ac:dyDescent="0.35">
      <c r="A23" s="4">
        <f t="shared" si="0"/>
        <v>13</v>
      </c>
      <c r="B23" s="34" t="s">
        <v>481</v>
      </c>
      <c r="E23" s="41"/>
      <c r="F23" s="6"/>
      <c r="G23" s="41"/>
      <c r="H23" s="78"/>
      <c r="I23" s="79">
        <f>I15*I19</f>
        <v>45823.23856683405</v>
      </c>
      <c r="J23" s="44"/>
      <c r="K23" s="49" t="s">
        <v>482</v>
      </c>
      <c r="L23" s="4">
        <f t="shared" si="1"/>
        <v>13</v>
      </c>
    </row>
    <row r="24" spans="1:12" x14ac:dyDescent="0.35">
      <c r="A24" s="4">
        <f t="shared" si="0"/>
        <v>14</v>
      </c>
      <c r="E24" s="41"/>
      <c r="F24" s="6"/>
      <c r="G24" s="41"/>
      <c r="H24" s="42"/>
      <c r="I24" s="79"/>
      <c r="J24" s="44"/>
      <c r="K24" s="49"/>
      <c r="L24" s="4">
        <f t="shared" si="1"/>
        <v>14</v>
      </c>
    </row>
    <row r="25" spans="1:12" x14ac:dyDescent="0.35">
      <c r="A25" s="4">
        <f t="shared" si="0"/>
        <v>15</v>
      </c>
      <c r="B25" s="34" t="s">
        <v>483</v>
      </c>
      <c r="E25" s="79"/>
      <c r="F25" s="6"/>
      <c r="G25" s="79"/>
      <c r="H25" s="42"/>
      <c r="I25" s="1032">
        <f>I17*I19</f>
        <v>127484.65196100857</v>
      </c>
      <c r="J25" s="44"/>
      <c r="K25" s="49" t="s">
        <v>484</v>
      </c>
      <c r="L25" s="4">
        <f t="shared" si="1"/>
        <v>15</v>
      </c>
    </row>
    <row r="26" spans="1:12" x14ac:dyDescent="0.35">
      <c r="A26" s="4">
        <f t="shared" si="0"/>
        <v>16</v>
      </c>
      <c r="E26" s="79"/>
      <c r="F26" s="6"/>
      <c r="G26" s="79"/>
      <c r="H26" s="42"/>
      <c r="I26" s="79"/>
      <c r="J26" s="44"/>
      <c r="K26" s="49"/>
      <c r="L26" s="4">
        <f t="shared" si="1"/>
        <v>16</v>
      </c>
    </row>
    <row r="27" spans="1:12" ht="16" thickBot="1" x14ac:dyDescent="0.4">
      <c r="A27" s="4">
        <f t="shared" si="0"/>
        <v>17</v>
      </c>
      <c r="B27" s="34" t="s">
        <v>166</v>
      </c>
      <c r="E27" s="78"/>
      <c r="F27" s="6"/>
      <c r="G27" s="78"/>
      <c r="H27" s="42"/>
      <c r="I27" s="80">
        <f>I11+I21+I23+I25</f>
        <v>1930980.5068513304</v>
      </c>
      <c r="J27" s="74"/>
      <c r="K27" s="49" t="s">
        <v>485</v>
      </c>
      <c r="L27" s="4">
        <f t="shared" si="1"/>
        <v>17</v>
      </c>
    </row>
    <row r="28" spans="1:12" ht="16" thickTop="1" x14ac:dyDescent="0.35">
      <c r="A28" s="4">
        <f t="shared" si="0"/>
        <v>18</v>
      </c>
      <c r="G28" s="51"/>
      <c r="H28" s="44"/>
      <c r="I28" s="44"/>
      <c r="J28" s="44"/>
      <c r="K28" s="49"/>
      <c r="L28" s="4">
        <f t="shared" si="1"/>
        <v>18</v>
      </c>
    </row>
    <row r="29" spans="1:12" ht="18.5" thickBot="1" x14ac:dyDescent="0.4">
      <c r="A29" s="4">
        <f t="shared" si="0"/>
        <v>19</v>
      </c>
      <c r="B29" s="34" t="s">
        <v>486</v>
      </c>
      <c r="D29" s="4"/>
      <c r="E29" s="42"/>
      <c r="G29" s="42"/>
      <c r="H29" s="42"/>
      <c r="I29" s="81">
        <f>'AE-5'!E31</f>
        <v>0</v>
      </c>
      <c r="J29" s="4"/>
      <c r="K29" s="4" t="s">
        <v>487</v>
      </c>
      <c r="L29" s="4">
        <f t="shared" si="1"/>
        <v>19</v>
      </c>
    </row>
    <row r="30" spans="1:12" ht="16" thickTop="1" x14ac:dyDescent="0.35">
      <c r="G30" s="51"/>
      <c r="H30" s="44"/>
      <c r="I30" s="44"/>
      <c r="J30" s="44"/>
      <c r="K30" s="49"/>
      <c r="L30" s="4"/>
    </row>
    <row r="32" spans="1:12" ht="18" x14ac:dyDescent="0.35">
      <c r="A32" s="261">
        <v>1</v>
      </c>
      <c r="B32" s="34" t="s">
        <v>488</v>
      </c>
    </row>
    <row r="33" spans="1:2" ht="18" x14ac:dyDescent="0.35">
      <c r="A33" s="276">
        <v>2</v>
      </c>
      <c r="B33" s="34" t="s">
        <v>489</v>
      </c>
    </row>
    <row r="34" spans="1:2" ht="18" x14ac:dyDescent="0.35">
      <c r="A34" s="276">
        <v>3</v>
      </c>
      <c r="B34" s="34" t="s">
        <v>490</v>
      </c>
    </row>
    <row r="35" spans="1:2" ht="18" x14ac:dyDescent="0.35">
      <c r="A35" s="276">
        <v>4</v>
      </c>
      <c r="B35" s="34" t="s">
        <v>360</v>
      </c>
    </row>
    <row r="37" spans="1:2" ht="18" x14ac:dyDescent="0.35">
      <c r="A37" s="276"/>
    </row>
    <row r="39" spans="1:2" x14ac:dyDescent="0.35">
      <c r="A39" s="74"/>
      <c r="B39" s="1"/>
    </row>
  </sheetData>
  <mergeCells count="5">
    <mergeCell ref="B2:K2"/>
    <mergeCell ref="B3:K3"/>
    <mergeCell ref="B4:K4"/>
    <mergeCell ref="B5:K5"/>
    <mergeCell ref="B6:K6"/>
  </mergeCells>
  <printOptions horizontalCentered="1"/>
  <pageMargins left="0.5" right="0.5" top="0.5" bottom="0.5" header="0.25" footer="0.25"/>
  <pageSetup orientation="portrait" r:id="rId1"/>
  <headerFooter scaleWithDoc="0">
    <oddFooter>&amp;C&amp;"Times New Roman,Regular"&amp;10AE</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3" style="91" bestFit="1" customWidth="1"/>
    <col min="5" max="5" width="25.08984375" style="91" customWidth="1"/>
    <col min="6" max="6" width="18.54296875" style="1" customWidth="1"/>
    <col min="7" max="7" width="3" style="1" bestFit="1" customWidth="1"/>
    <col min="8" max="8" width="65" style="1" bestFit="1" customWidth="1"/>
    <col min="9" max="9" width="5.08984375" style="226" customWidth="1"/>
    <col min="10" max="10" width="24" style="1" customWidth="1"/>
    <col min="11" max="11" width="11" style="1" customWidth="1"/>
    <col min="12" max="12" width="7.08984375" style="1" customWidth="1"/>
    <col min="13" max="13" width="9.08984375" style="1" customWidth="1"/>
    <col min="14" max="14" width="14" style="1" customWidth="1"/>
    <col min="15" max="15" width="13.453125" style="1" customWidth="1"/>
    <col min="16" max="16384" width="9.08984375" style="1"/>
  </cols>
  <sheetData>
    <row r="2" spans="1:10" x14ac:dyDescent="0.35">
      <c r="B2" s="1171" t="s">
        <v>0</v>
      </c>
      <c r="C2" s="1171"/>
      <c r="D2" s="1171"/>
      <c r="E2" s="1171"/>
      <c r="F2" s="1171"/>
      <c r="G2" s="1171"/>
      <c r="H2" s="1171"/>
    </row>
    <row r="3" spans="1:10" x14ac:dyDescent="0.35">
      <c r="B3" s="1171" t="s">
        <v>491</v>
      </c>
      <c r="C3" s="1171"/>
      <c r="D3" s="1171"/>
      <c r="E3" s="1171"/>
      <c r="F3" s="1171"/>
      <c r="G3" s="1171"/>
      <c r="H3" s="1171"/>
    </row>
    <row r="4" spans="1:10" x14ac:dyDescent="0.35">
      <c r="B4" s="1171" t="s">
        <v>492</v>
      </c>
      <c r="C4" s="1171"/>
      <c r="D4" s="1171"/>
      <c r="E4" s="1171"/>
      <c r="F4" s="1171"/>
      <c r="G4" s="1171"/>
      <c r="H4" s="1171"/>
    </row>
    <row r="5" spans="1:10" x14ac:dyDescent="0.35">
      <c r="B5" s="1171" t="s">
        <v>364</v>
      </c>
      <c r="C5" s="1171"/>
      <c r="D5" s="1171"/>
      <c r="E5" s="1171"/>
      <c r="F5" s="1171"/>
      <c r="G5" s="1171"/>
      <c r="H5" s="1171"/>
    </row>
    <row r="6" spans="1:10" x14ac:dyDescent="0.35">
      <c r="B6" s="1175" t="s">
        <v>5</v>
      </c>
      <c r="C6" s="1175"/>
      <c r="D6" s="1175"/>
      <c r="E6" s="1175"/>
      <c r="F6" s="1175"/>
      <c r="G6" s="1175"/>
      <c r="H6" s="1175"/>
    </row>
    <row r="7" spans="1:10" x14ac:dyDescent="0.35">
      <c r="B7" s="277"/>
      <c r="C7" s="278"/>
      <c r="D7" s="278"/>
      <c r="E7" s="278"/>
      <c r="F7" s="277"/>
      <c r="G7" s="277"/>
      <c r="H7" s="277"/>
    </row>
    <row r="8" spans="1:10" x14ac:dyDescent="0.35">
      <c r="B8" s="1171" t="s">
        <v>405</v>
      </c>
      <c r="C8" s="1171"/>
      <c r="D8" s="1171"/>
      <c r="E8" s="1171"/>
      <c r="F8" s="1171"/>
      <c r="G8" s="1171"/>
      <c r="H8" s="1171"/>
    </row>
    <row r="9" spans="1:10" x14ac:dyDescent="0.35">
      <c r="C9" s="1107"/>
      <c r="G9" s="1029"/>
    </row>
    <row r="10" spans="1:10" ht="15.5" x14ac:dyDescent="0.35">
      <c r="A10" s="4"/>
      <c r="B10" s="321"/>
      <c r="C10" s="446" t="s">
        <v>265</v>
      </c>
      <c r="D10" s="279"/>
      <c r="E10" s="988"/>
      <c r="F10" s="1155"/>
      <c r="G10" s="272"/>
      <c r="H10" s="988"/>
    </row>
    <row r="11" spans="1:10" ht="15.5" x14ac:dyDescent="0.35">
      <c r="A11" s="4"/>
      <c r="B11" s="308"/>
      <c r="C11" s="308" t="s">
        <v>406</v>
      </c>
      <c r="D11" s="226"/>
      <c r="E11" s="280"/>
      <c r="F11" s="226" t="s">
        <v>406</v>
      </c>
      <c r="G11" s="226"/>
      <c r="H11" s="280"/>
    </row>
    <row r="12" spans="1:10" ht="15.5" x14ac:dyDescent="0.35">
      <c r="A12" s="4" t="s">
        <v>6</v>
      </c>
      <c r="B12" s="324"/>
      <c r="C12" s="308" t="s">
        <v>493</v>
      </c>
      <c r="D12" s="226"/>
      <c r="E12" s="989"/>
      <c r="F12" s="226" t="s">
        <v>493</v>
      </c>
      <c r="G12" s="226"/>
      <c r="H12" s="989"/>
      <c r="I12" s="4" t="s">
        <v>6</v>
      </c>
    </row>
    <row r="13" spans="1:10" ht="18" x14ac:dyDescent="0.35">
      <c r="A13" s="4" t="s">
        <v>7</v>
      </c>
      <c r="B13" s="316" t="s">
        <v>368</v>
      </c>
      <c r="C13" s="316" t="s">
        <v>369</v>
      </c>
      <c r="D13" s="990"/>
      <c r="E13" s="285" t="s">
        <v>9</v>
      </c>
      <c r="F13" s="990" t="s">
        <v>370</v>
      </c>
      <c r="G13" s="990"/>
      <c r="H13" s="285" t="s">
        <v>9</v>
      </c>
      <c r="I13" s="4" t="s">
        <v>7</v>
      </c>
    </row>
    <row r="14" spans="1:10" ht="18" x14ac:dyDescent="0.35">
      <c r="A14" s="4">
        <v>1</v>
      </c>
      <c r="B14" s="651" t="str">
        <f>'AD-1'!B14</f>
        <v>Dec-21</v>
      </c>
      <c r="C14" s="127">
        <v>1662868.65796</v>
      </c>
      <c r="D14" s="1166">
        <v>2</v>
      </c>
      <c r="E14" s="1001" t="s">
        <v>372</v>
      </c>
      <c r="F14" s="38">
        <v>1635135.3677999999</v>
      </c>
      <c r="G14" s="1166">
        <v>2</v>
      </c>
      <c r="H14" s="1001" t="s">
        <v>494</v>
      </c>
      <c r="I14" s="4">
        <f>A14</f>
        <v>1</v>
      </c>
      <c r="J14" s="287"/>
    </row>
    <row r="15" spans="1:10" ht="18" x14ac:dyDescent="0.35">
      <c r="A15" s="4">
        <f>A14+1</f>
        <v>2</v>
      </c>
      <c r="B15" s="651" t="str">
        <f>'AD-1'!B15</f>
        <v>Jan-22</v>
      </c>
      <c r="C15" s="132">
        <v>1678732.00538</v>
      </c>
      <c r="D15" s="1165"/>
      <c r="E15" s="1003"/>
      <c r="F15" s="11">
        <v>1650848.0354899999</v>
      </c>
      <c r="G15" s="11"/>
      <c r="H15" s="1003"/>
      <c r="I15" s="4">
        <f>I14+1</f>
        <v>2</v>
      </c>
    </row>
    <row r="16" spans="1:10" ht="15.5" x14ac:dyDescent="0.35">
      <c r="A16" s="4">
        <f t="shared" ref="A16:A32" si="0">A15+1</f>
        <v>3</v>
      </c>
      <c r="B16" s="336" t="s">
        <v>375</v>
      </c>
      <c r="C16" s="132">
        <v>1695018.1403099999</v>
      </c>
      <c r="D16" s="55"/>
      <c r="E16" s="1003"/>
      <c r="F16" s="11">
        <v>1666828.2505599998</v>
      </c>
      <c r="G16" s="11"/>
      <c r="H16" s="1003"/>
      <c r="I16" s="4">
        <f t="shared" ref="I16:I32" si="1">I15+1</f>
        <v>3</v>
      </c>
    </row>
    <row r="17" spans="1:10" ht="15.5" x14ac:dyDescent="0.35">
      <c r="A17" s="4">
        <f t="shared" si="0"/>
        <v>4</v>
      </c>
      <c r="B17" s="336" t="s">
        <v>376</v>
      </c>
      <c r="C17" s="132">
        <v>1712001.1455900001</v>
      </c>
      <c r="D17" s="55"/>
      <c r="E17" s="1003"/>
      <c r="F17" s="11">
        <v>1683939.73921</v>
      </c>
      <c r="G17" s="11"/>
      <c r="H17" s="1003"/>
      <c r="I17" s="4">
        <f t="shared" si="1"/>
        <v>4</v>
      </c>
    </row>
    <row r="18" spans="1:10" ht="15.5" x14ac:dyDescent="0.35">
      <c r="A18" s="4">
        <f t="shared" si="0"/>
        <v>5</v>
      </c>
      <c r="B18" s="336" t="s">
        <v>377</v>
      </c>
      <c r="C18" s="132">
        <v>1728444.90396</v>
      </c>
      <c r="D18" s="55"/>
      <c r="E18" s="1003"/>
      <c r="F18" s="11">
        <v>1700121.7176099999</v>
      </c>
      <c r="G18" s="11"/>
      <c r="H18" s="1003"/>
      <c r="I18" s="4">
        <f t="shared" si="1"/>
        <v>5</v>
      </c>
      <c r="J18" s="341"/>
    </row>
    <row r="19" spans="1:10" ht="15.5" x14ac:dyDescent="0.35">
      <c r="A19" s="4">
        <f t="shared" si="0"/>
        <v>6</v>
      </c>
      <c r="B19" s="336" t="s">
        <v>378</v>
      </c>
      <c r="C19" s="132">
        <v>1745459.0146999999</v>
      </c>
      <c r="D19" s="55"/>
      <c r="E19" s="1003"/>
      <c r="F19" s="11">
        <v>1716870.57433</v>
      </c>
      <c r="G19" s="11"/>
      <c r="H19" s="1003"/>
      <c r="I19" s="4">
        <f t="shared" si="1"/>
        <v>6</v>
      </c>
    </row>
    <row r="20" spans="1:10" ht="15.5" x14ac:dyDescent="0.35">
      <c r="A20" s="4">
        <f>A19+1</f>
        <v>7</v>
      </c>
      <c r="B20" s="336" t="s">
        <v>379</v>
      </c>
      <c r="C20" s="132">
        <v>1762449.6848200001</v>
      </c>
      <c r="D20" s="55"/>
      <c r="E20" s="1003"/>
      <c r="F20" s="11">
        <v>1733208.3164900001</v>
      </c>
      <c r="G20" s="11"/>
      <c r="H20" s="1003"/>
      <c r="I20" s="4">
        <f>I19+1</f>
        <v>7</v>
      </c>
    </row>
    <row r="21" spans="1:10" ht="15.5" x14ac:dyDescent="0.35">
      <c r="A21" s="4">
        <f t="shared" si="0"/>
        <v>8</v>
      </c>
      <c r="B21" s="336" t="s">
        <v>380</v>
      </c>
      <c r="C21" s="132">
        <v>1779826.2777499999</v>
      </c>
      <c r="D21" s="55"/>
      <c r="E21" s="1003"/>
      <c r="F21" s="11">
        <v>1750302.74587</v>
      </c>
      <c r="G21" s="11"/>
      <c r="H21" s="1003"/>
      <c r="I21" s="4">
        <f t="shared" si="1"/>
        <v>8</v>
      </c>
    </row>
    <row r="22" spans="1:10" ht="15.5" x14ac:dyDescent="0.35">
      <c r="A22" s="4">
        <f t="shared" si="0"/>
        <v>9</v>
      </c>
      <c r="B22" s="336" t="s">
        <v>381</v>
      </c>
      <c r="C22" s="132">
        <v>1796769.3136400001</v>
      </c>
      <c r="D22" s="55"/>
      <c r="E22" s="1003"/>
      <c r="F22" s="11">
        <v>1766985.48352</v>
      </c>
      <c r="G22" s="11"/>
      <c r="H22" s="1003"/>
      <c r="I22" s="4">
        <f t="shared" si="1"/>
        <v>9</v>
      </c>
    </row>
    <row r="23" spans="1:10" ht="15.5" x14ac:dyDescent="0.35">
      <c r="A23" s="4">
        <f t="shared" si="0"/>
        <v>10</v>
      </c>
      <c r="B23" s="336" t="s">
        <v>382</v>
      </c>
      <c r="C23" s="132">
        <v>1813706.4766899999</v>
      </c>
      <c r="D23" s="55"/>
      <c r="E23" s="1003"/>
      <c r="F23" s="11">
        <v>1783658.0374999999</v>
      </c>
      <c r="G23" s="11"/>
      <c r="H23" s="1003"/>
      <c r="I23" s="4">
        <f t="shared" si="1"/>
        <v>10</v>
      </c>
    </row>
    <row r="24" spans="1:10" ht="15.5" x14ac:dyDescent="0.35">
      <c r="A24" s="4">
        <f t="shared" si="0"/>
        <v>11</v>
      </c>
      <c r="B24" s="336" t="s">
        <v>383</v>
      </c>
      <c r="C24" s="132">
        <v>1830245.54015</v>
      </c>
      <c r="D24" s="55"/>
      <c r="E24" s="1003"/>
      <c r="F24" s="11">
        <v>1799937.8152000001</v>
      </c>
      <c r="G24" s="11"/>
      <c r="H24" s="1003"/>
      <c r="I24" s="4">
        <f t="shared" si="1"/>
        <v>11</v>
      </c>
    </row>
    <row r="25" spans="1:10" ht="15.5" x14ac:dyDescent="0.35">
      <c r="A25" s="4">
        <f t="shared" si="0"/>
        <v>12</v>
      </c>
      <c r="B25" s="336" t="s">
        <v>384</v>
      </c>
      <c r="C25" s="132">
        <v>1847702.3612800001</v>
      </c>
      <c r="D25" s="55"/>
      <c r="E25" s="1003"/>
      <c r="F25" s="11">
        <v>1817191.4926400001</v>
      </c>
      <c r="G25" s="11"/>
      <c r="H25" s="1003"/>
      <c r="I25" s="4">
        <f t="shared" si="1"/>
        <v>12</v>
      </c>
    </row>
    <row r="26" spans="1:10" ht="15.5" x14ac:dyDescent="0.35">
      <c r="A26" s="4">
        <f t="shared" si="0"/>
        <v>13</v>
      </c>
      <c r="B26" s="1159" t="str">
        <f>'AD-1'!B26</f>
        <v>Dec-22</v>
      </c>
      <c r="C26" s="953">
        <v>1861233.6263900001</v>
      </c>
      <c r="D26" s="56"/>
      <c r="E26" s="301" t="s">
        <v>372</v>
      </c>
      <c r="F26" s="928">
        <v>1830611.7693800002</v>
      </c>
      <c r="G26" s="56"/>
      <c r="H26" s="1001" t="s">
        <v>495</v>
      </c>
      <c r="I26" s="4">
        <f t="shared" si="1"/>
        <v>13</v>
      </c>
      <c r="J26" s="287"/>
    </row>
    <row r="27" spans="1:10" ht="15.5" x14ac:dyDescent="0.35">
      <c r="A27" s="4">
        <f t="shared" si="0"/>
        <v>14</v>
      </c>
      <c r="B27" s="329"/>
      <c r="C27" s="614"/>
      <c r="D27" s="62"/>
      <c r="E27" s="987"/>
      <c r="F27" s="91"/>
      <c r="G27" s="91"/>
      <c r="H27" s="987"/>
      <c r="I27" s="4">
        <f t="shared" si="1"/>
        <v>14</v>
      </c>
    </row>
    <row r="28" spans="1:10" ht="15.5" x14ac:dyDescent="0.35">
      <c r="A28" s="4">
        <f t="shared" si="0"/>
        <v>15</v>
      </c>
      <c r="B28" s="329" t="s">
        <v>387</v>
      </c>
      <c r="C28" s="1162">
        <f>SUM(C14:C26)</f>
        <v>22914457.148620002</v>
      </c>
      <c r="D28" s="58"/>
      <c r="E28" s="1002" t="s">
        <v>388</v>
      </c>
      <c r="F28" s="46">
        <f>SUM(F14:F26)</f>
        <v>22535639.345599998</v>
      </c>
      <c r="G28" s="46"/>
      <c r="H28" s="1002" t="s">
        <v>388</v>
      </c>
      <c r="I28" s="4">
        <f t="shared" si="1"/>
        <v>15</v>
      </c>
    </row>
    <row r="29" spans="1:10" ht="15.5" x14ac:dyDescent="0.35">
      <c r="A29" s="4">
        <f t="shared" si="0"/>
        <v>16</v>
      </c>
      <c r="B29" s="338"/>
      <c r="C29" s="1164"/>
      <c r="D29" s="59"/>
      <c r="E29" s="84"/>
      <c r="F29" s="1157"/>
      <c r="G29" s="59"/>
      <c r="H29" s="84"/>
      <c r="I29" s="4">
        <f t="shared" si="1"/>
        <v>16</v>
      </c>
    </row>
    <row r="30" spans="1:10" ht="15.5" x14ac:dyDescent="0.35">
      <c r="A30" s="4">
        <f t="shared" si="0"/>
        <v>17</v>
      </c>
      <c r="B30" s="329"/>
      <c r="C30" s="1163"/>
      <c r="D30" s="82"/>
      <c r="E30" s="696"/>
      <c r="F30" s="290"/>
      <c r="G30" s="290"/>
      <c r="H30" s="696"/>
      <c r="I30" s="4">
        <f t="shared" si="1"/>
        <v>17</v>
      </c>
    </row>
    <row r="31" spans="1:10" ht="15.5" x14ac:dyDescent="0.35">
      <c r="A31" s="4">
        <f t="shared" si="0"/>
        <v>18</v>
      </c>
      <c r="B31" s="329" t="s">
        <v>389</v>
      </c>
      <c r="C31" s="1162">
        <f>C28/13</f>
        <v>1762650.5498938463</v>
      </c>
      <c r="D31" s="58"/>
      <c r="E31" s="1002" t="s">
        <v>390</v>
      </c>
      <c r="F31" s="46">
        <f>F28/13</f>
        <v>1733510.7188923075</v>
      </c>
      <c r="G31" s="46"/>
      <c r="H31" s="1001" t="s">
        <v>495</v>
      </c>
      <c r="I31" s="4">
        <f t="shared" si="1"/>
        <v>18</v>
      </c>
      <c r="J31" s="287"/>
    </row>
    <row r="32" spans="1:10" ht="15.5" x14ac:dyDescent="0.35">
      <c r="A32" s="4">
        <f t="shared" si="0"/>
        <v>19</v>
      </c>
      <c r="B32" s="338"/>
      <c r="C32" s="1154"/>
      <c r="D32" s="289"/>
      <c r="E32" s="302"/>
      <c r="F32" s="1158"/>
      <c r="G32" s="289"/>
      <c r="H32" s="302"/>
      <c r="I32" s="4">
        <f t="shared" si="1"/>
        <v>19</v>
      </c>
    </row>
    <row r="33" spans="1:8" ht="15.5" x14ac:dyDescent="0.35">
      <c r="A33" s="4"/>
      <c r="B33" s="34"/>
      <c r="C33" s="34"/>
      <c r="D33" s="34"/>
      <c r="E33" s="34"/>
      <c r="F33" s="34"/>
      <c r="G33" s="34"/>
      <c r="H33" s="34"/>
    </row>
    <row r="34" spans="1:8" ht="15.5" x14ac:dyDescent="0.35">
      <c r="C34" s="34"/>
      <c r="D34" s="34"/>
      <c r="E34" s="34"/>
      <c r="F34" s="110"/>
      <c r="G34" s="110"/>
      <c r="H34" s="34"/>
    </row>
    <row r="35" spans="1:8" ht="18" x14ac:dyDescent="0.35">
      <c r="A35" s="276">
        <v>1</v>
      </c>
      <c r="B35" s="34" t="s">
        <v>496</v>
      </c>
      <c r="C35" s="34"/>
      <c r="D35" s="34"/>
      <c r="E35" s="34"/>
      <c r="F35" s="34"/>
      <c r="G35" s="34"/>
      <c r="H35" s="34"/>
    </row>
    <row r="36" spans="1:8" ht="15.5" x14ac:dyDescent="0.35">
      <c r="B36" s="34" t="s">
        <v>497</v>
      </c>
      <c r="C36" s="34"/>
      <c r="D36" s="34"/>
      <c r="E36" s="34"/>
      <c r="F36" s="34"/>
      <c r="G36" s="34"/>
      <c r="H36" s="34"/>
    </row>
    <row r="37" spans="1:8" ht="18" x14ac:dyDescent="0.35">
      <c r="A37" s="276">
        <v>2</v>
      </c>
      <c r="B37" s="34" t="s">
        <v>1827</v>
      </c>
      <c r="C37" s="34"/>
      <c r="D37" s="34"/>
      <c r="E37" s="34"/>
      <c r="F37" s="34"/>
      <c r="G37" s="34"/>
      <c r="H37" s="34"/>
    </row>
    <row r="38" spans="1:8" ht="15.5" x14ac:dyDescent="0.35">
      <c r="B38" s="34" t="s">
        <v>1826</v>
      </c>
      <c r="C38" s="34"/>
      <c r="D38" s="34"/>
      <c r="E38" s="34"/>
      <c r="F38" s="34"/>
      <c r="G38" s="34"/>
      <c r="H38" s="34"/>
    </row>
    <row r="39" spans="1:8" x14ac:dyDescent="0.35">
      <c r="A39" s="272"/>
    </row>
    <row r="40" spans="1:8" ht="15.5" x14ac:dyDescent="0.35">
      <c r="B40" s="34"/>
    </row>
    <row r="41" spans="1:8" ht="15.5" x14ac:dyDescent="0.35">
      <c r="B41" s="34"/>
    </row>
    <row r="42" spans="1:8" x14ac:dyDescent="0.35">
      <c r="A42" s="272"/>
    </row>
    <row r="45" spans="1:8" x14ac:dyDescent="0.35">
      <c r="A45" s="272"/>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71"/>
  <sheetViews>
    <sheetView zoomScale="80" zoomScaleNormal="80" workbookViewId="0"/>
  </sheetViews>
  <sheetFormatPr defaultColWidth="9.08984375" defaultRowHeight="15.5" x14ac:dyDescent="0.35"/>
  <cols>
    <col min="1" max="1" width="5.08984375" style="4" customWidth="1"/>
    <col min="2" max="2" width="11.08984375" style="34" customWidth="1"/>
    <col min="3" max="3" width="32.453125" style="34" customWidth="1"/>
    <col min="4" max="11" width="18.54296875" style="6" customWidth="1"/>
    <col min="12" max="12" width="24" style="6" customWidth="1"/>
    <col min="13" max="13" width="5.08984375" style="4" customWidth="1"/>
    <col min="14" max="14" width="14.453125" style="34" bestFit="1" customWidth="1"/>
    <col min="15" max="16384" width="9.08984375" style="34"/>
  </cols>
  <sheetData>
    <row r="1" spans="1:13" x14ac:dyDescent="0.35">
      <c r="M1" s="226"/>
    </row>
    <row r="2" spans="1:13" s="1" customFormat="1" ht="15.75" customHeight="1" x14ac:dyDescent="0.35">
      <c r="A2" s="226"/>
      <c r="B2" s="1171" t="s">
        <v>0</v>
      </c>
      <c r="C2" s="1171"/>
      <c r="D2" s="1171"/>
      <c r="E2" s="1171"/>
      <c r="F2" s="1171"/>
      <c r="G2" s="1171"/>
      <c r="H2" s="1171"/>
      <c r="I2" s="1171"/>
      <c r="J2" s="1171"/>
      <c r="K2" s="1171"/>
      <c r="L2" s="1171"/>
      <c r="M2" s="226"/>
    </row>
    <row r="3" spans="1:13" s="1" customFormat="1" ht="15" x14ac:dyDescent="0.35">
      <c r="A3" s="226"/>
      <c r="B3" s="1171" t="s">
        <v>407</v>
      </c>
      <c r="C3" s="1171"/>
      <c r="D3" s="1171"/>
      <c r="E3" s="1171"/>
      <c r="F3" s="1171"/>
      <c r="G3" s="1171"/>
      <c r="H3" s="1171"/>
      <c r="I3" s="1171"/>
      <c r="J3" s="1171"/>
      <c r="K3" s="1171"/>
      <c r="L3" s="1171"/>
      <c r="M3" s="226"/>
    </row>
    <row r="4" spans="1:13" x14ac:dyDescent="0.35">
      <c r="B4" s="1171" t="s">
        <v>498</v>
      </c>
      <c r="C4" s="1171"/>
      <c r="D4" s="1171"/>
      <c r="E4" s="1171"/>
      <c r="F4" s="1171"/>
      <c r="G4" s="1171"/>
      <c r="H4" s="1171"/>
      <c r="I4" s="1171"/>
      <c r="J4" s="1171"/>
      <c r="K4" s="1171"/>
      <c r="L4" s="1171"/>
    </row>
    <row r="5" spans="1:13" x14ac:dyDescent="0.35">
      <c r="B5" s="1171" t="s">
        <v>492</v>
      </c>
      <c r="C5" s="1171"/>
      <c r="D5" s="1171"/>
      <c r="E5" s="1171"/>
      <c r="F5" s="1171"/>
      <c r="G5" s="1171"/>
      <c r="H5" s="1171"/>
      <c r="I5" s="1171"/>
      <c r="J5" s="1171"/>
      <c r="K5" s="1171"/>
      <c r="L5" s="1171"/>
    </row>
    <row r="6" spans="1:13" x14ac:dyDescent="0.35">
      <c r="B6" s="1171" t="s">
        <v>409</v>
      </c>
      <c r="C6" s="1171"/>
      <c r="D6" s="1171"/>
      <c r="E6" s="1171"/>
      <c r="F6" s="1171"/>
      <c r="G6" s="1171"/>
      <c r="H6" s="1171"/>
      <c r="I6" s="1171"/>
      <c r="J6" s="1171"/>
      <c r="K6" s="1171"/>
      <c r="L6" s="1171"/>
    </row>
    <row r="7" spans="1:13" x14ac:dyDescent="0.35">
      <c r="B7" s="1175" t="s">
        <v>5</v>
      </c>
      <c r="C7" s="1171"/>
      <c r="D7" s="1171"/>
      <c r="E7" s="1171"/>
      <c r="F7" s="1171"/>
      <c r="G7" s="1171"/>
      <c r="H7" s="1171"/>
      <c r="I7" s="1171"/>
      <c r="J7" s="1171"/>
      <c r="K7" s="1171"/>
      <c r="L7" s="1171"/>
    </row>
    <row r="8" spans="1:13" x14ac:dyDescent="0.35">
      <c r="C8" s="277"/>
      <c r="D8" s="278"/>
      <c r="E8" s="304"/>
      <c r="F8" s="304"/>
      <c r="G8" s="304"/>
      <c r="H8" s="304"/>
      <c r="I8" s="304"/>
      <c r="J8" s="304"/>
      <c r="K8" s="304"/>
      <c r="L8" s="304"/>
    </row>
    <row r="9" spans="1:13" s="226" customFormat="1" ht="15" x14ac:dyDescent="0.35">
      <c r="B9" s="1025"/>
      <c r="C9" s="1006"/>
      <c r="D9" s="1007" t="s">
        <v>410</v>
      </c>
      <c r="E9" s="1007" t="s">
        <v>411</v>
      </c>
      <c r="F9" s="1007" t="s">
        <v>412</v>
      </c>
      <c r="G9" s="1007" t="s">
        <v>413</v>
      </c>
      <c r="H9" s="1007" t="s">
        <v>414</v>
      </c>
      <c r="I9" s="1007" t="s">
        <v>415</v>
      </c>
      <c r="J9" s="1007" t="s">
        <v>416</v>
      </c>
      <c r="K9" s="1007" t="s">
        <v>417</v>
      </c>
      <c r="L9" s="988"/>
      <c r="M9" s="226" t="s">
        <v>1</v>
      </c>
    </row>
    <row r="10" spans="1:13" x14ac:dyDescent="0.35">
      <c r="B10" s="1033"/>
      <c r="C10" s="989"/>
      <c r="D10" s="305"/>
      <c r="E10" s="305"/>
      <c r="F10" s="309"/>
      <c r="G10" s="305"/>
      <c r="H10" s="305"/>
      <c r="I10" s="305"/>
      <c r="J10" s="305"/>
      <c r="K10" s="305" t="s">
        <v>265</v>
      </c>
      <c r="L10" s="1008"/>
      <c r="M10" s="4" t="s">
        <v>1</v>
      </c>
    </row>
    <row r="11" spans="1:13" x14ac:dyDescent="0.35">
      <c r="B11" s="1033"/>
      <c r="C11" s="989"/>
      <c r="D11" s="305"/>
      <c r="E11" s="305" t="s">
        <v>418</v>
      </c>
      <c r="F11" s="309" t="s">
        <v>401</v>
      </c>
      <c r="G11" s="305" t="s">
        <v>406</v>
      </c>
      <c r="H11" s="305" t="s">
        <v>406</v>
      </c>
      <c r="I11" s="305" t="s">
        <v>406</v>
      </c>
      <c r="J11" s="305" t="s">
        <v>406</v>
      </c>
      <c r="K11" s="305" t="s">
        <v>406</v>
      </c>
      <c r="L11" s="995"/>
      <c r="M11" s="4" t="s">
        <v>1</v>
      </c>
    </row>
    <row r="12" spans="1:13" x14ac:dyDescent="0.35">
      <c r="B12" s="342"/>
      <c r="C12" s="242"/>
      <c r="D12" s="309" t="s">
        <v>265</v>
      </c>
      <c r="E12" s="305" t="s">
        <v>499</v>
      </c>
      <c r="F12" s="305" t="s">
        <v>499</v>
      </c>
      <c r="G12" s="305" t="s">
        <v>499</v>
      </c>
      <c r="H12" s="305" t="s">
        <v>499</v>
      </c>
      <c r="I12" s="305" t="s">
        <v>499</v>
      </c>
      <c r="J12" s="305" t="s">
        <v>499</v>
      </c>
      <c r="K12" s="305" t="s">
        <v>493</v>
      </c>
      <c r="L12" s="280"/>
    </row>
    <row r="13" spans="1:13" x14ac:dyDescent="0.35">
      <c r="A13" s="4" t="s">
        <v>6</v>
      </c>
      <c r="B13" s="329"/>
      <c r="C13" s="288"/>
      <c r="D13" s="309" t="s">
        <v>406</v>
      </c>
      <c r="E13" s="305" t="s">
        <v>500</v>
      </c>
      <c r="F13" s="305" t="s">
        <v>500</v>
      </c>
      <c r="G13" s="305" t="s">
        <v>500</v>
      </c>
      <c r="H13" s="305" t="s">
        <v>500</v>
      </c>
      <c r="I13" s="305" t="s">
        <v>500</v>
      </c>
      <c r="J13" s="305" t="s">
        <v>500</v>
      </c>
      <c r="K13" s="305" t="s">
        <v>452</v>
      </c>
      <c r="L13" s="280"/>
      <c r="M13" s="4" t="s">
        <v>6</v>
      </c>
    </row>
    <row r="14" spans="1:13" x14ac:dyDescent="0.35">
      <c r="A14" s="4" t="s">
        <v>7</v>
      </c>
      <c r="B14" s="316" t="s">
        <v>422</v>
      </c>
      <c r="C14" s="285" t="s">
        <v>423</v>
      </c>
      <c r="D14" s="317" t="s">
        <v>499</v>
      </c>
      <c r="E14" s="311" t="s">
        <v>424</v>
      </c>
      <c r="F14" s="311" t="s">
        <v>425</v>
      </c>
      <c r="G14" s="311" t="s">
        <v>501</v>
      </c>
      <c r="H14" s="311" t="s">
        <v>502</v>
      </c>
      <c r="I14" s="311" t="s">
        <v>503</v>
      </c>
      <c r="J14" s="311" t="s">
        <v>428</v>
      </c>
      <c r="K14" s="285" t="s">
        <v>429</v>
      </c>
      <c r="L14" s="285" t="s">
        <v>9</v>
      </c>
      <c r="M14" s="4" t="s">
        <v>7</v>
      </c>
    </row>
    <row r="15" spans="1:13" x14ac:dyDescent="0.35">
      <c r="B15" s="242"/>
      <c r="C15" s="242" t="s">
        <v>430</v>
      </c>
      <c r="D15" s="242"/>
      <c r="E15" s="242"/>
      <c r="F15" s="242"/>
      <c r="G15" s="242"/>
      <c r="H15" s="242"/>
      <c r="I15" s="242"/>
      <c r="J15" s="242"/>
      <c r="K15" s="242"/>
      <c r="L15" s="995"/>
    </row>
    <row r="16" spans="1:13" x14ac:dyDescent="0.35">
      <c r="A16" s="4">
        <v>1</v>
      </c>
      <c r="B16" s="1010">
        <v>303</v>
      </c>
      <c r="C16" s="242" t="s">
        <v>431</v>
      </c>
      <c r="D16" s="240">
        <v>0</v>
      </c>
      <c r="E16" s="240">
        <v>0</v>
      </c>
      <c r="F16" s="240">
        <v>0</v>
      </c>
      <c r="G16" s="240">
        <v>0</v>
      </c>
      <c r="H16" s="240">
        <v>0</v>
      </c>
      <c r="I16" s="240">
        <v>0</v>
      </c>
      <c r="J16" s="240">
        <v>0</v>
      </c>
      <c r="K16" s="240">
        <f>SUM(D16:J16)</f>
        <v>0</v>
      </c>
      <c r="L16" s="995" t="s">
        <v>372</v>
      </c>
      <c r="M16" s="4">
        <f>A16</f>
        <v>1</v>
      </c>
    </row>
    <row r="17" spans="1:16" x14ac:dyDescent="0.35">
      <c r="A17" s="4">
        <f>A16+1</f>
        <v>2</v>
      </c>
      <c r="B17" s="995">
        <v>310.10000000000002</v>
      </c>
      <c r="C17" s="242" t="s">
        <v>432</v>
      </c>
      <c r="D17" s="241">
        <v>0</v>
      </c>
      <c r="E17" s="241">
        <v>0</v>
      </c>
      <c r="F17" s="241">
        <v>0</v>
      </c>
      <c r="G17" s="241">
        <v>0</v>
      </c>
      <c r="H17" s="241">
        <v>0</v>
      </c>
      <c r="I17" s="241">
        <v>0</v>
      </c>
      <c r="J17" s="241">
        <v>0</v>
      </c>
      <c r="K17" s="241">
        <f>SUM(D17:J17)</f>
        <v>0</v>
      </c>
      <c r="L17" s="995" t="s">
        <v>372</v>
      </c>
      <c r="M17" s="4">
        <f>M16+1</f>
        <v>2</v>
      </c>
    </row>
    <row r="18" spans="1:16" x14ac:dyDescent="0.35">
      <c r="A18" s="4">
        <f t="shared" ref="A18:A36" si="0">A17+1</f>
        <v>3</v>
      </c>
      <c r="B18" s="1010">
        <v>340</v>
      </c>
      <c r="C18" s="1011" t="s">
        <v>433</v>
      </c>
      <c r="D18" s="241">
        <v>0</v>
      </c>
      <c r="E18" s="241">
        <v>1.1260899999999998</v>
      </c>
      <c r="F18" s="241">
        <v>0</v>
      </c>
      <c r="G18" s="241">
        <v>0</v>
      </c>
      <c r="H18" s="241">
        <v>0</v>
      </c>
      <c r="I18" s="241">
        <v>0</v>
      </c>
      <c r="J18" s="241">
        <v>0</v>
      </c>
      <c r="K18" s="241">
        <f>SUM(D18:J18)</f>
        <v>1.1260899999999998</v>
      </c>
      <c r="L18" s="995" t="s">
        <v>372</v>
      </c>
      <c r="M18" s="4">
        <f t="shared" ref="M18:M36" si="1">M17+1</f>
        <v>3</v>
      </c>
    </row>
    <row r="19" spans="1:16" x14ac:dyDescent="0.35">
      <c r="A19" s="4">
        <f t="shared" si="0"/>
        <v>4</v>
      </c>
      <c r="B19" s="1010">
        <v>360</v>
      </c>
      <c r="C19" s="1011" t="s">
        <v>433</v>
      </c>
      <c r="D19" s="241">
        <v>0</v>
      </c>
      <c r="E19" s="241">
        <v>0</v>
      </c>
      <c r="F19" s="241">
        <v>48.117260000000002</v>
      </c>
      <c r="G19" s="241">
        <v>0</v>
      </c>
      <c r="H19" s="241">
        <v>0</v>
      </c>
      <c r="I19" s="241">
        <v>0</v>
      </c>
      <c r="J19" s="241">
        <v>0</v>
      </c>
      <c r="K19" s="241">
        <f>SUM(D19:J19)</f>
        <v>48.117260000000002</v>
      </c>
      <c r="L19" s="995" t="s">
        <v>372</v>
      </c>
      <c r="M19" s="4">
        <f t="shared" si="1"/>
        <v>4</v>
      </c>
    </row>
    <row r="20" spans="1:16" x14ac:dyDescent="0.35">
      <c r="A20" s="4">
        <f t="shared" si="0"/>
        <v>5</v>
      </c>
      <c r="B20" s="1010">
        <v>361</v>
      </c>
      <c r="C20" s="242" t="s">
        <v>434</v>
      </c>
      <c r="D20" s="241">
        <v>0</v>
      </c>
      <c r="E20" s="241">
        <v>0</v>
      </c>
      <c r="F20" s="241">
        <v>591.56626000000006</v>
      </c>
      <c r="G20" s="241">
        <v>0</v>
      </c>
      <c r="H20" s="241">
        <v>0</v>
      </c>
      <c r="I20" s="241">
        <v>0</v>
      </c>
      <c r="J20" s="241">
        <v>0</v>
      </c>
      <c r="K20" s="241">
        <f>SUM(D20:J20)</f>
        <v>591.56626000000006</v>
      </c>
      <c r="L20" s="995" t="s">
        <v>372</v>
      </c>
      <c r="M20" s="4">
        <f t="shared" si="1"/>
        <v>5</v>
      </c>
    </row>
    <row r="21" spans="1:16" x14ac:dyDescent="0.35">
      <c r="A21" s="4">
        <f t="shared" si="0"/>
        <v>6</v>
      </c>
      <c r="B21" s="995"/>
      <c r="C21" s="242"/>
      <c r="D21" s="242"/>
      <c r="E21" s="242"/>
      <c r="F21" s="242"/>
      <c r="G21" s="242"/>
      <c r="H21" s="242"/>
      <c r="I21" s="242"/>
      <c r="J21" s="242"/>
      <c r="K21" s="241"/>
      <c r="L21" s="995"/>
      <c r="M21" s="4">
        <f t="shared" si="1"/>
        <v>6</v>
      </c>
    </row>
    <row r="22" spans="1:16" s="1" customFormat="1" x14ac:dyDescent="0.35">
      <c r="A22" s="4">
        <f t="shared" si="0"/>
        <v>7</v>
      </c>
      <c r="B22" s="1012" t="s">
        <v>435</v>
      </c>
      <c r="C22" s="1013" t="s">
        <v>436</v>
      </c>
      <c r="D22" s="1014">
        <f>SUM(D16:D21)</f>
        <v>0</v>
      </c>
      <c r="E22" s="1014">
        <f t="shared" ref="E22" si="2">SUM(E16:E21)</f>
        <v>1.1260899999999998</v>
      </c>
      <c r="F22" s="1014">
        <f t="shared" ref="F22" si="3">SUM(F16:F21)</f>
        <v>639.68352000000004</v>
      </c>
      <c r="G22" s="1014">
        <f t="shared" ref="G22" si="4">SUM(G16:G21)</f>
        <v>0</v>
      </c>
      <c r="H22" s="1014">
        <f t="shared" ref="H22" si="5">SUM(H16:H21)</f>
        <v>0</v>
      </c>
      <c r="I22" s="1014">
        <f t="shared" ref="I22" si="6">SUM(I16:I21)</f>
        <v>0</v>
      </c>
      <c r="J22" s="1014">
        <f>SUM(J16:J21)</f>
        <v>0</v>
      </c>
      <c r="K22" s="1014">
        <f>SUM(K16:K21)</f>
        <v>640.80961000000002</v>
      </c>
      <c r="L22" s="1015" t="s">
        <v>18</v>
      </c>
      <c r="M22" s="4">
        <f t="shared" si="1"/>
        <v>7</v>
      </c>
    </row>
    <row r="23" spans="1:16" x14ac:dyDescent="0.35">
      <c r="A23" s="4">
        <f t="shared" si="0"/>
        <v>8</v>
      </c>
      <c r="B23" s="995"/>
      <c r="C23" s="242"/>
      <c r="D23" s="241"/>
      <c r="E23" s="241"/>
      <c r="F23" s="241"/>
      <c r="G23" s="241"/>
      <c r="H23" s="241"/>
      <c r="I23" s="241"/>
      <c r="J23" s="241"/>
      <c r="K23" s="243"/>
      <c r="L23" s="995"/>
      <c r="M23" s="4">
        <f t="shared" si="1"/>
        <v>8</v>
      </c>
    </row>
    <row r="24" spans="1:16" x14ac:dyDescent="0.35">
      <c r="A24" s="4">
        <f t="shared" si="0"/>
        <v>9</v>
      </c>
      <c r="B24" s="1010">
        <v>350</v>
      </c>
      <c r="C24" s="242" t="s">
        <v>433</v>
      </c>
      <c r="D24" s="240">
        <v>30121.029480000001</v>
      </c>
      <c r="E24" s="240">
        <v>0</v>
      </c>
      <c r="F24" s="240">
        <v>0</v>
      </c>
      <c r="G24" s="240">
        <v>0</v>
      </c>
      <c r="H24" s="240">
        <v>0</v>
      </c>
      <c r="I24" s="240">
        <v>0</v>
      </c>
      <c r="J24" s="240">
        <v>-375.76431999999994</v>
      </c>
      <c r="K24" s="240">
        <f t="shared" ref="K24:K32" si="7">SUM(D24:J24)</f>
        <v>29745.265160000003</v>
      </c>
      <c r="L24" s="995" t="s">
        <v>372</v>
      </c>
      <c r="M24" s="4">
        <f t="shared" si="1"/>
        <v>9</v>
      </c>
    </row>
    <row r="25" spans="1:16" x14ac:dyDescent="0.35">
      <c r="A25" s="4">
        <f t="shared" si="0"/>
        <v>10</v>
      </c>
      <c r="B25" s="1010">
        <v>352</v>
      </c>
      <c r="C25" s="242" t="s">
        <v>434</v>
      </c>
      <c r="D25" s="241">
        <v>122728.35791000001</v>
      </c>
      <c r="E25" s="241">
        <v>0</v>
      </c>
      <c r="F25" s="241">
        <v>0</v>
      </c>
      <c r="G25" s="241">
        <v>-541.53980999999999</v>
      </c>
      <c r="H25" s="241">
        <v>0</v>
      </c>
      <c r="I25" s="241">
        <v>0</v>
      </c>
      <c r="J25" s="241">
        <v>-21174.891939999998</v>
      </c>
      <c r="K25" s="241">
        <f t="shared" si="7"/>
        <v>101011.92616</v>
      </c>
      <c r="L25" s="995" t="s">
        <v>372</v>
      </c>
      <c r="M25" s="4">
        <f t="shared" si="1"/>
        <v>10</v>
      </c>
      <c r="N25" s="2"/>
      <c r="P25" s="6"/>
    </row>
    <row r="26" spans="1:16" x14ac:dyDescent="0.35">
      <c r="A26" s="4">
        <f t="shared" si="0"/>
        <v>11</v>
      </c>
      <c r="B26" s="1010">
        <v>353</v>
      </c>
      <c r="C26" s="242" t="s">
        <v>437</v>
      </c>
      <c r="D26" s="241">
        <v>532734.98178000003</v>
      </c>
      <c r="E26" s="241">
        <v>0</v>
      </c>
      <c r="F26" s="241">
        <v>0</v>
      </c>
      <c r="G26" s="241">
        <v>-3527.4251399999998</v>
      </c>
      <c r="H26" s="241">
        <v>-545.20190000000002</v>
      </c>
      <c r="I26" s="241">
        <v>0</v>
      </c>
      <c r="J26" s="241">
        <v>-1598.00729</v>
      </c>
      <c r="K26" s="241">
        <f t="shared" si="7"/>
        <v>527064.34745000012</v>
      </c>
      <c r="L26" s="995" t="s">
        <v>372</v>
      </c>
      <c r="M26" s="4">
        <f t="shared" si="1"/>
        <v>11</v>
      </c>
    </row>
    <row r="27" spans="1:16" x14ac:dyDescent="0.35">
      <c r="A27" s="4">
        <f t="shared" si="0"/>
        <v>12</v>
      </c>
      <c r="B27" s="1010">
        <v>354</v>
      </c>
      <c r="C27" s="242" t="s">
        <v>438</v>
      </c>
      <c r="D27" s="241">
        <v>254068.40857999999</v>
      </c>
      <c r="E27" s="241">
        <v>0</v>
      </c>
      <c r="F27" s="241">
        <v>0</v>
      </c>
      <c r="G27" s="241">
        <v>0</v>
      </c>
      <c r="H27" s="241">
        <v>0</v>
      </c>
      <c r="I27" s="241">
        <v>0</v>
      </c>
      <c r="J27" s="241">
        <v>0</v>
      </c>
      <c r="K27" s="241">
        <f t="shared" si="7"/>
        <v>254068.40857999999</v>
      </c>
      <c r="L27" s="995" t="s">
        <v>372</v>
      </c>
      <c r="M27" s="4">
        <f t="shared" si="1"/>
        <v>12</v>
      </c>
    </row>
    <row r="28" spans="1:16" x14ac:dyDescent="0.35">
      <c r="A28" s="4">
        <f t="shared" si="0"/>
        <v>13</v>
      </c>
      <c r="B28" s="1010">
        <v>355</v>
      </c>
      <c r="C28" s="242" t="s">
        <v>439</v>
      </c>
      <c r="D28" s="241">
        <v>174687.89191999999</v>
      </c>
      <c r="E28" s="241">
        <v>0</v>
      </c>
      <c r="F28" s="241">
        <v>0</v>
      </c>
      <c r="G28" s="241">
        <v>0</v>
      </c>
      <c r="H28" s="241">
        <v>0</v>
      </c>
      <c r="I28" s="241">
        <v>0</v>
      </c>
      <c r="J28" s="241">
        <v>0</v>
      </c>
      <c r="K28" s="241">
        <f t="shared" si="7"/>
        <v>174687.89191999999</v>
      </c>
      <c r="L28" s="995" t="s">
        <v>372</v>
      </c>
      <c r="M28" s="4">
        <f t="shared" si="1"/>
        <v>13</v>
      </c>
    </row>
    <row r="29" spans="1:16" x14ac:dyDescent="0.35">
      <c r="A29" s="4">
        <f t="shared" si="0"/>
        <v>14</v>
      </c>
      <c r="B29" s="1010">
        <v>356</v>
      </c>
      <c r="C29" s="242" t="s">
        <v>440</v>
      </c>
      <c r="D29" s="241">
        <v>287529.21023999999</v>
      </c>
      <c r="E29" s="241">
        <v>0</v>
      </c>
      <c r="F29" s="241">
        <v>0</v>
      </c>
      <c r="G29" s="241">
        <v>0</v>
      </c>
      <c r="H29" s="241">
        <v>0</v>
      </c>
      <c r="I29" s="241">
        <v>0</v>
      </c>
      <c r="J29" s="241">
        <v>0</v>
      </c>
      <c r="K29" s="241">
        <f t="shared" si="7"/>
        <v>287529.21023999999</v>
      </c>
      <c r="L29" s="995" t="s">
        <v>372</v>
      </c>
      <c r="M29" s="4">
        <f t="shared" si="1"/>
        <v>14</v>
      </c>
    </row>
    <row r="30" spans="1:16" x14ac:dyDescent="0.35">
      <c r="A30" s="4">
        <f t="shared" si="0"/>
        <v>15</v>
      </c>
      <c r="B30" s="1010">
        <v>357</v>
      </c>
      <c r="C30" s="242" t="s">
        <v>441</v>
      </c>
      <c r="D30" s="241">
        <v>102870.26463000001</v>
      </c>
      <c r="E30" s="241">
        <v>0</v>
      </c>
      <c r="F30" s="241">
        <v>0</v>
      </c>
      <c r="G30" s="241">
        <v>0</v>
      </c>
      <c r="H30" s="241">
        <v>0</v>
      </c>
      <c r="I30" s="241">
        <v>0</v>
      </c>
      <c r="J30" s="241">
        <v>0</v>
      </c>
      <c r="K30" s="241">
        <f t="shared" si="7"/>
        <v>102870.26463000001</v>
      </c>
      <c r="L30" s="995" t="s">
        <v>372</v>
      </c>
      <c r="M30" s="4">
        <f t="shared" si="1"/>
        <v>15</v>
      </c>
    </row>
    <row r="31" spans="1:16" x14ac:dyDescent="0.35">
      <c r="A31" s="4">
        <f t="shared" si="0"/>
        <v>16</v>
      </c>
      <c r="B31" s="1010">
        <v>358</v>
      </c>
      <c r="C31" s="242" t="s">
        <v>442</v>
      </c>
      <c r="D31" s="241">
        <v>102689.34135</v>
      </c>
      <c r="E31" s="241">
        <v>0</v>
      </c>
      <c r="F31" s="241">
        <v>0</v>
      </c>
      <c r="G31" s="241">
        <v>-611.28782000000001</v>
      </c>
      <c r="H31" s="241">
        <v>0</v>
      </c>
      <c r="I31" s="241">
        <v>0</v>
      </c>
      <c r="J31" s="241">
        <v>0</v>
      </c>
      <c r="K31" s="241">
        <f t="shared" si="7"/>
        <v>102078.05353</v>
      </c>
      <c r="L31" s="995" t="s">
        <v>372</v>
      </c>
      <c r="M31" s="4">
        <f t="shared" si="1"/>
        <v>16</v>
      </c>
    </row>
    <row r="32" spans="1:16" x14ac:dyDescent="0.35">
      <c r="A32" s="4">
        <f t="shared" si="0"/>
        <v>17</v>
      </c>
      <c r="B32" s="1010">
        <v>359</v>
      </c>
      <c r="C32" s="242" t="s">
        <v>443</v>
      </c>
      <c r="D32" s="241">
        <v>55439.172070000001</v>
      </c>
      <c r="E32" s="241">
        <v>0</v>
      </c>
      <c r="F32" s="241">
        <v>0</v>
      </c>
      <c r="G32" s="241">
        <v>0</v>
      </c>
      <c r="H32" s="241">
        <v>0</v>
      </c>
      <c r="I32" s="241">
        <v>0</v>
      </c>
      <c r="J32" s="241">
        <v>0</v>
      </c>
      <c r="K32" s="241">
        <f t="shared" si="7"/>
        <v>55439.172070000001</v>
      </c>
      <c r="L32" s="995" t="s">
        <v>372</v>
      </c>
      <c r="M32" s="4">
        <f t="shared" si="1"/>
        <v>17</v>
      </c>
    </row>
    <row r="33" spans="1:13" x14ac:dyDescent="0.35">
      <c r="A33" s="4">
        <f t="shared" si="0"/>
        <v>18</v>
      </c>
      <c r="B33" s="1034"/>
      <c r="C33" s="242"/>
      <c r="D33" s="241"/>
      <c r="F33" s="98"/>
      <c r="G33" s="98"/>
      <c r="H33" s="98"/>
      <c r="I33" s="98"/>
      <c r="J33" s="241"/>
      <c r="K33" s="98"/>
      <c r="L33" s="1010"/>
      <c r="M33" s="4">
        <f t="shared" si="1"/>
        <v>18</v>
      </c>
    </row>
    <row r="34" spans="1:13" x14ac:dyDescent="0.35">
      <c r="A34" s="4">
        <f t="shared" si="0"/>
        <v>19</v>
      </c>
      <c r="B34" s="1018" t="s">
        <v>435</v>
      </c>
      <c r="C34" s="1013" t="s">
        <v>405</v>
      </c>
      <c r="D34" s="1014">
        <f t="shared" ref="D34:K34" si="8">SUM(D24:D33)</f>
        <v>1662868.6579600002</v>
      </c>
      <c r="E34" s="1014">
        <f t="shared" si="8"/>
        <v>0</v>
      </c>
      <c r="F34" s="1014">
        <f t="shared" si="8"/>
        <v>0</v>
      </c>
      <c r="G34" s="1014">
        <f t="shared" si="8"/>
        <v>-4680.2527699999991</v>
      </c>
      <c r="H34" s="1014">
        <f t="shared" si="8"/>
        <v>-545.20190000000002</v>
      </c>
      <c r="I34" s="1014">
        <f t="shared" si="8"/>
        <v>0</v>
      </c>
      <c r="J34" s="1014">
        <f t="shared" si="8"/>
        <v>-23148.663549999997</v>
      </c>
      <c r="K34" s="1014">
        <f t="shared" si="8"/>
        <v>1634494.5397400002</v>
      </c>
      <c r="L34" s="1019" t="s">
        <v>444</v>
      </c>
      <c r="M34" s="4">
        <f t="shared" si="1"/>
        <v>19</v>
      </c>
    </row>
    <row r="35" spans="1:13" x14ac:dyDescent="0.35">
      <c r="A35" s="4">
        <f t="shared" si="0"/>
        <v>20</v>
      </c>
      <c r="B35" s="342"/>
      <c r="D35" s="34"/>
      <c r="L35" s="312"/>
      <c r="M35" s="4">
        <f t="shared" si="1"/>
        <v>20</v>
      </c>
    </row>
    <row r="36" spans="1:13" x14ac:dyDescent="0.35">
      <c r="A36" s="4">
        <f t="shared" si="0"/>
        <v>21</v>
      </c>
      <c r="B36" s="343" t="s">
        <v>445</v>
      </c>
      <c r="C36" s="1020"/>
      <c r="D36" s="595">
        <f t="shared" ref="D36:K36" si="9">D34+D22</f>
        <v>1662868.6579600002</v>
      </c>
      <c r="E36" s="595">
        <f t="shared" si="9"/>
        <v>1.1260899999999998</v>
      </c>
      <c r="F36" s="595">
        <f t="shared" si="9"/>
        <v>639.68352000000004</v>
      </c>
      <c r="G36" s="595">
        <f t="shared" si="9"/>
        <v>-4680.2527699999991</v>
      </c>
      <c r="H36" s="595">
        <f t="shared" si="9"/>
        <v>-545.20190000000002</v>
      </c>
      <c r="I36" s="595">
        <f t="shared" si="9"/>
        <v>0</v>
      </c>
      <c r="J36" s="66">
        <f t="shared" si="9"/>
        <v>-23148.663549999997</v>
      </c>
      <c r="K36" s="595">
        <f t="shared" si="9"/>
        <v>1635135.3493500003</v>
      </c>
      <c r="L36" s="1015" t="s">
        <v>446</v>
      </c>
      <c r="M36" s="4">
        <f t="shared" si="1"/>
        <v>21</v>
      </c>
    </row>
    <row r="37" spans="1:13" x14ac:dyDescent="0.35">
      <c r="D37" s="34"/>
      <c r="K37" s="344"/>
      <c r="L37" s="344"/>
    </row>
    <row r="38" spans="1:13" x14ac:dyDescent="0.35">
      <c r="D38" s="34"/>
      <c r="K38" s="344"/>
      <c r="L38" s="344"/>
    </row>
    <row r="39" spans="1:13" x14ac:dyDescent="0.35">
      <c r="B39" s="34" t="s">
        <v>504</v>
      </c>
      <c r="D39" s="34"/>
    </row>
    <row r="40" spans="1:13" x14ac:dyDescent="0.35">
      <c r="D40" s="34"/>
    </row>
    <row r="41" spans="1:13" x14ac:dyDescent="0.35">
      <c r="D41" s="34"/>
    </row>
    <row r="42" spans="1:13" x14ac:dyDescent="0.35">
      <c r="D42" s="34"/>
    </row>
    <row r="43" spans="1:13" x14ac:dyDescent="0.35">
      <c r="D43" s="34"/>
    </row>
    <row r="44" spans="1:13" x14ac:dyDescent="0.35">
      <c r="D44" s="34"/>
    </row>
    <row r="45" spans="1:13" x14ac:dyDescent="0.35">
      <c r="D45" s="34"/>
    </row>
    <row r="46" spans="1:13" x14ac:dyDescent="0.35">
      <c r="D46" s="34"/>
    </row>
    <row r="47" spans="1:13" x14ac:dyDescent="0.35">
      <c r="D47" s="34"/>
    </row>
    <row r="48" spans="1:13" x14ac:dyDescent="0.35">
      <c r="D48" s="34"/>
    </row>
    <row r="49" spans="4:4" x14ac:dyDescent="0.35">
      <c r="D49" s="34"/>
    </row>
    <row r="50" spans="4:4" x14ac:dyDescent="0.35">
      <c r="D50" s="34"/>
    </row>
    <row r="51" spans="4:4" x14ac:dyDescent="0.35">
      <c r="D51" s="34"/>
    </row>
    <row r="52" spans="4:4" x14ac:dyDescent="0.35">
      <c r="D52" s="34"/>
    </row>
    <row r="53" spans="4:4" x14ac:dyDescent="0.35">
      <c r="D53" s="34"/>
    </row>
    <row r="54" spans="4:4" x14ac:dyDescent="0.35">
      <c r="D54" s="34"/>
    </row>
    <row r="55" spans="4:4" x14ac:dyDescent="0.35">
      <c r="D55" s="34"/>
    </row>
    <row r="56" spans="4:4" x14ac:dyDescent="0.35">
      <c r="D56" s="34"/>
    </row>
    <row r="57" spans="4:4" x14ac:dyDescent="0.35">
      <c r="D57" s="34"/>
    </row>
    <row r="58" spans="4:4" x14ac:dyDescent="0.35">
      <c r="D58" s="34"/>
    </row>
    <row r="59" spans="4:4" x14ac:dyDescent="0.35">
      <c r="D59" s="34"/>
    </row>
    <row r="60" spans="4:4" x14ac:dyDescent="0.35">
      <c r="D60" s="34"/>
    </row>
    <row r="61" spans="4:4" x14ac:dyDescent="0.35">
      <c r="D61" s="34"/>
    </row>
    <row r="62" spans="4:4" x14ac:dyDescent="0.35">
      <c r="D62" s="34"/>
    </row>
    <row r="63" spans="4:4" x14ac:dyDescent="0.35">
      <c r="D63" s="34"/>
    </row>
    <row r="64" spans="4:4" x14ac:dyDescent="0.35">
      <c r="D64" s="34"/>
    </row>
    <row r="65" spans="4:4" x14ac:dyDescent="0.35">
      <c r="D65" s="34"/>
    </row>
    <row r="66" spans="4:4" x14ac:dyDescent="0.35">
      <c r="D66" s="34"/>
    </row>
    <row r="67" spans="4:4" x14ac:dyDescent="0.35">
      <c r="D67" s="34"/>
    </row>
    <row r="68" spans="4:4" x14ac:dyDescent="0.35">
      <c r="D68" s="34"/>
    </row>
    <row r="69" spans="4:4" x14ac:dyDescent="0.35">
      <c r="D69" s="34"/>
    </row>
    <row r="70" spans="4:4" x14ac:dyDescent="0.35">
      <c r="D70" s="34"/>
    </row>
    <row r="71" spans="4:4" x14ac:dyDescent="0.35">
      <c r="D71" s="34"/>
    </row>
    <row r="72" spans="4:4" x14ac:dyDescent="0.35">
      <c r="D72" s="34"/>
    </row>
    <row r="73" spans="4:4" x14ac:dyDescent="0.35">
      <c r="D73" s="34"/>
    </row>
    <row r="74" spans="4:4" x14ac:dyDescent="0.35">
      <c r="D74" s="34"/>
    </row>
    <row r="75" spans="4:4" x14ac:dyDescent="0.35">
      <c r="D75" s="34"/>
    </row>
    <row r="76" spans="4:4" x14ac:dyDescent="0.35">
      <c r="D76" s="34"/>
    </row>
    <row r="77" spans="4:4" x14ac:dyDescent="0.35">
      <c r="D77" s="34"/>
    </row>
    <row r="78" spans="4:4" x14ac:dyDescent="0.35">
      <c r="D78" s="34"/>
    </row>
    <row r="79" spans="4:4" x14ac:dyDescent="0.35">
      <c r="D79" s="34"/>
    </row>
    <row r="80" spans="4:4" x14ac:dyDescent="0.35">
      <c r="D80" s="34"/>
    </row>
    <row r="81" spans="4:4" x14ac:dyDescent="0.35">
      <c r="D81" s="34"/>
    </row>
    <row r="82" spans="4:4" x14ac:dyDescent="0.35">
      <c r="D82" s="34"/>
    </row>
    <row r="83" spans="4:4" x14ac:dyDescent="0.35">
      <c r="D83" s="34"/>
    </row>
    <row r="84" spans="4:4" x14ac:dyDescent="0.35">
      <c r="D84" s="34"/>
    </row>
    <row r="85" spans="4:4" x14ac:dyDescent="0.35">
      <c r="D85" s="34"/>
    </row>
    <row r="86" spans="4:4" x14ac:dyDescent="0.35">
      <c r="D86" s="34"/>
    </row>
    <row r="87" spans="4:4" x14ac:dyDescent="0.35">
      <c r="D87" s="34"/>
    </row>
    <row r="88" spans="4:4" x14ac:dyDescent="0.35">
      <c r="D88" s="34"/>
    </row>
    <row r="89" spans="4:4" x14ac:dyDescent="0.35">
      <c r="D89" s="34"/>
    </row>
    <row r="90" spans="4:4" x14ac:dyDescent="0.35">
      <c r="D90" s="34"/>
    </row>
    <row r="91" spans="4:4" x14ac:dyDescent="0.35">
      <c r="D91" s="34"/>
    </row>
    <row r="92" spans="4:4" x14ac:dyDescent="0.35">
      <c r="D92" s="34"/>
    </row>
    <row r="93" spans="4:4" x14ac:dyDescent="0.35">
      <c r="D93" s="34"/>
    </row>
    <row r="94" spans="4:4" x14ac:dyDescent="0.35">
      <c r="D94" s="34"/>
    </row>
    <row r="95" spans="4:4" x14ac:dyDescent="0.35">
      <c r="D95" s="34"/>
    </row>
    <row r="96" spans="4:4" x14ac:dyDescent="0.35">
      <c r="D96" s="34"/>
    </row>
    <row r="97" spans="4:4" x14ac:dyDescent="0.35">
      <c r="D97" s="34"/>
    </row>
    <row r="98" spans="4:4" x14ac:dyDescent="0.35">
      <c r="D98" s="34"/>
    </row>
    <row r="99" spans="4:4" x14ac:dyDescent="0.35">
      <c r="D99" s="34"/>
    </row>
    <row r="100" spans="4:4" x14ac:dyDescent="0.35">
      <c r="D100" s="34"/>
    </row>
    <row r="101" spans="4:4" x14ac:dyDescent="0.35">
      <c r="D101" s="34"/>
    </row>
    <row r="102" spans="4:4" x14ac:dyDescent="0.35">
      <c r="D102" s="34"/>
    </row>
    <row r="103" spans="4:4" x14ac:dyDescent="0.35">
      <c r="D103" s="34"/>
    </row>
    <row r="104" spans="4:4" x14ac:dyDescent="0.35">
      <c r="D104" s="34"/>
    </row>
    <row r="105" spans="4:4" x14ac:dyDescent="0.35">
      <c r="D105" s="34"/>
    </row>
    <row r="106" spans="4:4" x14ac:dyDescent="0.35">
      <c r="D106" s="34"/>
    </row>
    <row r="107" spans="4:4" x14ac:dyDescent="0.35">
      <c r="D107" s="34"/>
    </row>
    <row r="108" spans="4:4" x14ac:dyDescent="0.35">
      <c r="D108" s="34"/>
    </row>
    <row r="109" spans="4:4" x14ac:dyDescent="0.35">
      <c r="D109" s="34"/>
    </row>
    <row r="110" spans="4:4" x14ac:dyDescent="0.35">
      <c r="D110" s="34"/>
    </row>
    <row r="111" spans="4:4" x14ac:dyDescent="0.35">
      <c r="D111" s="34"/>
    </row>
    <row r="112" spans="4:4" x14ac:dyDescent="0.35">
      <c r="D112" s="34"/>
    </row>
    <row r="113" spans="4:4" x14ac:dyDescent="0.35">
      <c r="D113" s="34"/>
    </row>
    <row r="114" spans="4:4" x14ac:dyDescent="0.35">
      <c r="D114" s="34"/>
    </row>
    <row r="115" spans="4:4" x14ac:dyDescent="0.35">
      <c r="D115" s="34"/>
    </row>
    <row r="116" spans="4:4" x14ac:dyDescent="0.35">
      <c r="D116" s="34"/>
    </row>
    <row r="117" spans="4:4" x14ac:dyDescent="0.35">
      <c r="D117" s="34"/>
    </row>
    <row r="118" spans="4:4" x14ac:dyDescent="0.35">
      <c r="D118" s="34"/>
    </row>
    <row r="119" spans="4:4" x14ac:dyDescent="0.35">
      <c r="D119" s="34"/>
    </row>
    <row r="120" spans="4:4" x14ac:dyDescent="0.35">
      <c r="D120" s="34"/>
    </row>
    <row r="121" spans="4:4" x14ac:dyDescent="0.35">
      <c r="D121" s="34"/>
    </row>
    <row r="122" spans="4:4" x14ac:dyDescent="0.35">
      <c r="D122" s="34"/>
    </row>
    <row r="123" spans="4:4" x14ac:dyDescent="0.35">
      <c r="D123" s="34"/>
    </row>
    <row r="124" spans="4:4" x14ac:dyDescent="0.35">
      <c r="D124" s="34"/>
    </row>
    <row r="125" spans="4:4" x14ac:dyDescent="0.35">
      <c r="D125" s="34"/>
    </row>
    <row r="126" spans="4:4" x14ac:dyDescent="0.35">
      <c r="D126" s="34"/>
    </row>
    <row r="127" spans="4:4" x14ac:dyDescent="0.35">
      <c r="D127" s="34"/>
    </row>
    <row r="128" spans="4:4" x14ac:dyDescent="0.35">
      <c r="D128" s="34"/>
    </row>
    <row r="129" spans="4:4" x14ac:dyDescent="0.35">
      <c r="D129" s="34"/>
    </row>
    <row r="130" spans="4:4" x14ac:dyDescent="0.35">
      <c r="D130" s="34"/>
    </row>
    <row r="131" spans="4:4" x14ac:dyDescent="0.35">
      <c r="D131" s="34"/>
    </row>
    <row r="132" spans="4:4" x14ac:dyDescent="0.35">
      <c r="D132" s="34"/>
    </row>
    <row r="133" spans="4:4" x14ac:dyDescent="0.35">
      <c r="D133" s="34"/>
    </row>
    <row r="134" spans="4:4" x14ac:dyDescent="0.35">
      <c r="D134" s="34"/>
    </row>
    <row r="135" spans="4:4" x14ac:dyDescent="0.35">
      <c r="D135" s="34"/>
    </row>
    <row r="136" spans="4:4" x14ac:dyDescent="0.35">
      <c r="D136" s="34"/>
    </row>
    <row r="137" spans="4:4" x14ac:dyDescent="0.35">
      <c r="D137" s="34"/>
    </row>
    <row r="138" spans="4:4" x14ac:dyDescent="0.35">
      <c r="D138" s="34"/>
    </row>
    <row r="139" spans="4:4" x14ac:dyDescent="0.35">
      <c r="D139" s="34"/>
    </row>
    <row r="140" spans="4:4" x14ac:dyDescent="0.35">
      <c r="D140" s="34"/>
    </row>
    <row r="141" spans="4:4" x14ac:dyDescent="0.35">
      <c r="D141" s="34"/>
    </row>
    <row r="142" spans="4:4" x14ac:dyDescent="0.35">
      <c r="D142" s="34"/>
    </row>
    <row r="143" spans="4:4" x14ac:dyDescent="0.35">
      <c r="D143" s="34"/>
    </row>
    <row r="144" spans="4:4" x14ac:dyDescent="0.35">
      <c r="D144" s="34"/>
    </row>
    <row r="145" spans="4:4" x14ac:dyDescent="0.35">
      <c r="D145" s="34"/>
    </row>
    <row r="146" spans="4:4" x14ac:dyDescent="0.35">
      <c r="D146" s="34"/>
    </row>
    <row r="147" spans="4:4" x14ac:dyDescent="0.35">
      <c r="D147" s="34"/>
    </row>
    <row r="148" spans="4:4" x14ac:dyDescent="0.35">
      <c r="D148" s="34"/>
    </row>
    <row r="149" spans="4:4" x14ac:dyDescent="0.35">
      <c r="D149" s="34"/>
    </row>
    <row r="150" spans="4:4" x14ac:dyDescent="0.35">
      <c r="D150" s="34"/>
    </row>
    <row r="151" spans="4:4" x14ac:dyDescent="0.35">
      <c r="D151" s="34"/>
    </row>
    <row r="152" spans="4:4" x14ac:dyDescent="0.35">
      <c r="D152" s="34"/>
    </row>
    <row r="153" spans="4:4" x14ac:dyDescent="0.35">
      <c r="D153" s="34"/>
    </row>
    <row r="154" spans="4:4" x14ac:dyDescent="0.35">
      <c r="D154" s="34"/>
    </row>
    <row r="155" spans="4:4" x14ac:dyDescent="0.35">
      <c r="D155" s="34"/>
    </row>
    <row r="156" spans="4:4" x14ac:dyDescent="0.35">
      <c r="D156" s="34"/>
    </row>
    <row r="157" spans="4:4" x14ac:dyDescent="0.35">
      <c r="D157" s="34"/>
    </row>
    <row r="158" spans="4:4" x14ac:dyDescent="0.35">
      <c r="D158" s="34"/>
    </row>
    <row r="159" spans="4:4" x14ac:dyDescent="0.35">
      <c r="D159" s="34"/>
    </row>
    <row r="160" spans="4:4" x14ac:dyDescent="0.35">
      <c r="D160" s="34"/>
    </row>
    <row r="161" spans="4:4" x14ac:dyDescent="0.35">
      <c r="D161" s="34"/>
    </row>
    <row r="162" spans="4:4" x14ac:dyDescent="0.35">
      <c r="D162" s="34"/>
    </row>
    <row r="163" spans="4:4" x14ac:dyDescent="0.35">
      <c r="D163" s="34"/>
    </row>
    <row r="164" spans="4:4" x14ac:dyDescent="0.35">
      <c r="D164" s="34"/>
    </row>
    <row r="165" spans="4:4" x14ac:dyDescent="0.35">
      <c r="D165" s="34"/>
    </row>
    <row r="166" spans="4:4" x14ac:dyDescent="0.35">
      <c r="D166" s="34"/>
    </row>
    <row r="167" spans="4:4" x14ac:dyDescent="0.35">
      <c r="D167" s="34"/>
    </row>
    <row r="168" spans="4:4" x14ac:dyDescent="0.35">
      <c r="D168" s="34"/>
    </row>
    <row r="169" spans="4:4" x14ac:dyDescent="0.35">
      <c r="D169" s="34"/>
    </row>
    <row r="170" spans="4:4" x14ac:dyDescent="0.35">
      <c r="D170" s="34"/>
    </row>
    <row r="171" spans="4:4" x14ac:dyDescent="0.35">
      <c r="D171" s="34"/>
    </row>
  </sheetData>
  <mergeCells count="6">
    <mergeCell ref="B6:L6"/>
    <mergeCell ref="B7:L7"/>
    <mergeCell ref="B2:L2"/>
    <mergeCell ref="B3:L3"/>
    <mergeCell ref="B4:L4"/>
    <mergeCell ref="B5:L5"/>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O171"/>
  <sheetViews>
    <sheetView zoomScale="80" zoomScaleNormal="80" workbookViewId="0"/>
  </sheetViews>
  <sheetFormatPr defaultColWidth="9.08984375" defaultRowHeight="15.5" x14ac:dyDescent="0.35"/>
  <cols>
    <col min="1" max="1" width="5.08984375" style="4" customWidth="1"/>
    <col min="2" max="2" width="11.08984375" style="34" customWidth="1"/>
    <col min="3" max="3" width="32.54296875" style="34" customWidth="1"/>
    <col min="4" max="11" width="18.54296875" style="6" customWidth="1"/>
    <col min="12" max="12" width="24" style="6" customWidth="1"/>
    <col min="13" max="13" width="5.08984375" style="4" customWidth="1"/>
    <col min="14" max="16384" width="9.08984375" style="34"/>
  </cols>
  <sheetData>
    <row r="2" spans="1:13" s="1" customFormat="1" ht="15" x14ac:dyDescent="0.35">
      <c r="A2" s="226"/>
      <c r="B2" s="1171" t="s">
        <v>0</v>
      </c>
      <c r="C2" s="1171"/>
      <c r="D2" s="1171"/>
      <c r="E2" s="1171"/>
      <c r="F2" s="1171"/>
      <c r="G2" s="1171"/>
      <c r="H2" s="1171"/>
      <c r="I2" s="1171"/>
      <c r="J2" s="1171"/>
      <c r="K2" s="1171"/>
      <c r="L2" s="1171"/>
      <c r="M2" s="226"/>
    </row>
    <row r="3" spans="1:13" s="1" customFormat="1" ht="15" x14ac:dyDescent="0.35">
      <c r="A3" s="226"/>
      <c r="B3" s="1171" t="s">
        <v>407</v>
      </c>
      <c r="C3" s="1171"/>
      <c r="D3" s="1171"/>
      <c r="E3" s="1171"/>
      <c r="F3" s="1171"/>
      <c r="G3" s="1171"/>
      <c r="H3" s="1171"/>
      <c r="I3" s="1171"/>
      <c r="J3" s="1171"/>
      <c r="K3" s="1171"/>
      <c r="L3" s="1171"/>
      <c r="M3" s="226"/>
    </row>
    <row r="4" spans="1:13" x14ac:dyDescent="0.35">
      <c r="B4" s="1171" t="s">
        <v>498</v>
      </c>
      <c r="C4" s="1171"/>
      <c r="D4" s="1171"/>
      <c r="E4" s="1171"/>
      <c r="F4" s="1171"/>
      <c r="G4" s="1171"/>
      <c r="H4" s="1171"/>
      <c r="I4" s="1171"/>
      <c r="J4" s="1171"/>
      <c r="K4" s="1171"/>
      <c r="L4" s="1171"/>
    </row>
    <row r="5" spans="1:13" x14ac:dyDescent="0.35">
      <c r="B5" s="1171" t="s">
        <v>492</v>
      </c>
      <c r="C5" s="1171"/>
      <c r="D5" s="1171"/>
      <c r="E5" s="1171"/>
      <c r="F5" s="1171"/>
      <c r="G5" s="1171"/>
      <c r="H5" s="1171"/>
      <c r="I5" s="1171"/>
      <c r="J5" s="1171"/>
      <c r="K5" s="1171"/>
      <c r="L5" s="1171"/>
    </row>
    <row r="6" spans="1:13" x14ac:dyDescent="0.35">
      <c r="B6" s="1171" t="s">
        <v>448</v>
      </c>
      <c r="C6" s="1171"/>
      <c r="D6" s="1171"/>
      <c r="E6" s="1171"/>
      <c r="F6" s="1171"/>
      <c r="G6" s="1171"/>
      <c r="H6" s="1171"/>
      <c r="I6" s="1171"/>
      <c r="J6" s="1171"/>
      <c r="K6" s="1171"/>
      <c r="L6" s="1171"/>
    </row>
    <row r="7" spans="1:13" x14ac:dyDescent="0.35">
      <c r="B7" s="1175" t="s">
        <v>5</v>
      </c>
      <c r="C7" s="1171"/>
      <c r="D7" s="1171"/>
      <c r="E7" s="1171"/>
      <c r="F7" s="1171"/>
      <c r="G7" s="1171"/>
      <c r="H7" s="1171"/>
      <c r="I7" s="1171"/>
      <c r="J7" s="1171"/>
      <c r="K7" s="1171"/>
      <c r="L7" s="1171"/>
    </row>
    <row r="8" spans="1:13" x14ac:dyDescent="0.35">
      <c r="C8" s="277"/>
      <c r="D8" s="278"/>
      <c r="E8" s="304"/>
      <c r="F8" s="304"/>
      <c r="G8" s="304"/>
      <c r="H8" s="304"/>
      <c r="I8" s="304"/>
      <c r="J8" s="304"/>
      <c r="K8" s="304"/>
      <c r="L8" s="304"/>
    </row>
    <row r="9" spans="1:13" s="226" customFormat="1" ht="15" x14ac:dyDescent="0.35">
      <c r="B9" s="1025"/>
      <c r="C9" s="1006"/>
      <c r="D9" s="1007" t="s">
        <v>410</v>
      </c>
      <c r="E9" s="1007" t="s">
        <v>411</v>
      </c>
      <c r="F9" s="1007" t="s">
        <v>412</v>
      </c>
      <c r="G9" s="1007" t="s">
        <v>413</v>
      </c>
      <c r="H9" s="1007" t="s">
        <v>414</v>
      </c>
      <c r="I9" s="1007" t="s">
        <v>415</v>
      </c>
      <c r="J9" s="1007" t="s">
        <v>416</v>
      </c>
      <c r="K9" s="345" t="s">
        <v>417</v>
      </c>
      <c r="L9" s="988"/>
    </row>
    <row r="10" spans="1:13" x14ac:dyDescent="0.35">
      <c r="B10" s="1033"/>
      <c r="C10" s="989"/>
      <c r="D10" s="305"/>
      <c r="E10" s="305"/>
      <c r="F10" s="309"/>
      <c r="G10" s="305"/>
      <c r="H10" s="305"/>
      <c r="I10" s="305"/>
      <c r="J10" s="305"/>
      <c r="K10" s="310" t="s">
        <v>265</v>
      </c>
      <c r="L10" s="1008"/>
    </row>
    <row r="11" spans="1:13" x14ac:dyDescent="0.35">
      <c r="B11" s="1033"/>
      <c r="C11" s="989"/>
      <c r="D11" s="305"/>
      <c r="E11" s="305" t="s">
        <v>418</v>
      </c>
      <c r="F11" s="309" t="s">
        <v>401</v>
      </c>
      <c r="G11" s="305" t="s">
        <v>406</v>
      </c>
      <c r="H11" s="305" t="s">
        <v>406</v>
      </c>
      <c r="I11" s="305" t="s">
        <v>406</v>
      </c>
      <c r="J11" s="305" t="s">
        <v>406</v>
      </c>
      <c r="K11" s="309" t="s">
        <v>406</v>
      </c>
      <c r="L11" s="995"/>
    </row>
    <row r="12" spans="1:13" x14ac:dyDescent="0.35">
      <c r="B12" s="342"/>
      <c r="C12" s="242"/>
      <c r="D12" s="309" t="s">
        <v>265</v>
      </c>
      <c r="E12" s="305" t="s">
        <v>499</v>
      </c>
      <c r="F12" s="305" t="s">
        <v>499</v>
      </c>
      <c r="G12" s="305" t="s">
        <v>499</v>
      </c>
      <c r="H12" s="305" t="s">
        <v>499</v>
      </c>
      <c r="I12" s="305" t="s">
        <v>499</v>
      </c>
      <c r="J12" s="305" t="s">
        <v>499</v>
      </c>
      <c r="K12" s="309" t="s">
        <v>493</v>
      </c>
      <c r="L12" s="280"/>
    </row>
    <row r="13" spans="1:13" x14ac:dyDescent="0.35">
      <c r="A13" s="4" t="s">
        <v>6</v>
      </c>
      <c r="B13" s="329"/>
      <c r="C13" s="288"/>
      <c r="D13" s="309" t="s">
        <v>406</v>
      </c>
      <c r="E13" s="305" t="s">
        <v>500</v>
      </c>
      <c r="F13" s="305" t="s">
        <v>500</v>
      </c>
      <c r="G13" s="305" t="s">
        <v>500</v>
      </c>
      <c r="H13" s="305" t="s">
        <v>500</v>
      </c>
      <c r="I13" s="305" t="s">
        <v>500</v>
      </c>
      <c r="J13" s="305" t="s">
        <v>500</v>
      </c>
      <c r="K13" s="309" t="s">
        <v>452</v>
      </c>
      <c r="L13" s="280"/>
      <c r="M13" s="4" t="s">
        <v>6</v>
      </c>
    </row>
    <row r="14" spans="1:13" x14ac:dyDescent="0.35">
      <c r="A14" s="4" t="s">
        <v>7</v>
      </c>
      <c r="B14" s="316" t="s">
        <v>422</v>
      </c>
      <c r="C14" s="285" t="s">
        <v>423</v>
      </c>
      <c r="D14" s="317" t="s">
        <v>499</v>
      </c>
      <c r="E14" s="311" t="s">
        <v>424</v>
      </c>
      <c r="F14" s="311" t="s">
        <v>425</v>
      </c>
      <c r="G14" s="311" t="s">
        <v>501</v>
      </c>
      <c r="H14" s="311" t="s">
        <v>502</v>
      </c>
      <c r="I14" s="311" t="s">
        <v>503</v>
      </c>
      <c r="J14" s="311" t="s">
        <v>428</v>
      </c>
      <c r="K14" s="286" t="s">
        <v>429</v>
      </c>
      <c r="L14" s="285" t="s">
        <v>9</v>
      </c>
      <c r="M14" s="4" t="s">
        <v>7</v>
      </c>
    </row>
    <row r="15" spans="1:13" x14ac:dyDescent="0.35">
      <c r="B15" s="242"/>
      <c r="C15" s="242" t="s">
        <v>430</v>
      </c>
      <c r="D15" s="242"/>
      <c r="E15" s="242"/>
      <c r="F15" s="242"/>
      <c r="G15" s="242"/>
      <c r="H15" s="242"/>
      <c r="I15" s="242"/>
      <c r="J15" s="242"/>
      <c r="K15" s="65"/>
      <c r="L15" s="995"/>
    </row>
    <row r="16" spans="1:13" x14ac:dyDescent="0.35">
      <c r="A16" s="4">
        <v>1</v>
      </c>
      <c r="B16" s="1010">
        <v>303</v>
      </c>
      <c r="C16" s="242" t="s">
        <v>431</v>
      </c>
      <c r="D16" s="240">
        <v>0</v>
      </c>
      <c r="E16" s="240">
        <v>0</v>
      </c>
      <c r="F16" s="240">
        <v>0</v>
      </c>
      <c r="G16" s="240">
        <v>0</v>
      </c>
      <c r="H16" s="240">
        <v>0</v>
      </c>
      <c r="I16" s="240">
        <v>0</v>
      </c>
      <c r="J16" s="240">
        <v>0</v>
      </c>
      <c r="K16" s="61">
        <f>SUM(D16:J16)</f>
        <v>0</v>
      </c>
      <c r="L16" s="995" t="s">
        <v>372</v>
      </c>
      <c r="M16" s="4">
        <f>A16</f>
        <v>1</v>
      </c>
    </row>
    <row r="17" spans="1:15" x14ac:dyDescent="0.35">
      <c r="A17" s="4">
        <f>A16+1</f>
        <v>2</v>
      </c>
      <c r="B17" s="995">
        <v>310.10000000000002</v>
      </c>
      <c r="C17" s="242" t="s">
        <v>432</v>
      </c>
      <c r="D17" s="241">
        <v>0</v>
      </c>
      <c r="E17" s="241">
        <v>0</v>
      </c>
      <c r="F17" s="241">
        <v>0</v>
      </c>
      <c r="G17" s="241">
        <v>0</v>
      </c>
      <c r="H17" s="241">
        <v>0</v>
      </c>
      <c r="I17" s="241">
        <v>0</v>
      </c>
      <c r="J17" s="241">
        <v>0</v>
      </c>
      <c r="K17" s="55">
        <f>SUM(D17:J17)</f>
        <v>0</v>
      </c>
      <c r="L17" s="995" t="s">
        <v>372</v>
      </c>
      <c r="M17" s="4">
        <f>M16+1</f>
        <v>2</v>
      </c>
    </row>
    <row r="18" spans="1:15" x14ac:dyDescent="0.35">
      <c r="A18" s="4">
        <f t="shared" ref="A18:A36" si="0">A17+1</f>
        <v>3</v>
      </c>
      <c r="B18" s="1010">
        <v>340</v>
      </c>
      <c r="C18" s="1011" t="s">
        <v>433</v>
      </c>
      <c r="D18" s="241">
        <v>0</v>
      </c>
      <c r="E18" s="241">
        <v>1.1178300000000001</v>
      </c>
      <c r="F18" s="241">
        <v>0</v>
      </c>
      <c r="G18" s="241">
        <v>0</v>
      </c>
      <c r="H18" s="241">
        <v>0</v>
      </c>
      <c r="I18" s="241">
        <v>0</v>
      </c>
      <c r="J18" s="241">
        <v>0</v>
      </c>
      <c r="K18" s="55">
        <f>SUM(D18:J18)</f>
        <v>1.1178300000000001</v>
      </c>
      <c r="L18" s="995" t="s">
        <v>372</v>
      </c>
      <c r="M18" s="4">
        <f t="shared" ref="M18:M36" si="1">M17+1</f>
        <v>3</v>
      </c>
    </row>
    <row r="19" spans="1:15" x14ac:dyDescent="0.35">
      <c r="A19" s="4">
        <f t="shared" si="0"/>
        <v>4</v>
      </c>
      <c r="B19" s="1010">
        <v>360</v>
      </c>
      <c r="C19" s="1011" t="s">
        <v>433</v>
      </c>
      <c r="D19" s="241">
        <v>0</v>
      </c>
      <c r="E19" s="241">
        <v>0</v>
      </c>
      <c r="F19" s="241">
        <v>48.730400000000003</v>
      </c>
      <c r="G19" s="241">
        <v>0</v>
      </c>
      <c r="H19" s="241">
        <v>0</v>
      </c>
      <c r="I19" s="241">
        <v>0</v>
      </c>
      <c r="J19" s="241">
        <v>0</v>
      </c>
      <c r="K19" s="55">
        <f>SUM(D19:J19)</f>
        <v>48.730400000000003</v>
      </c>
      <c r="L19" s="995" t="s">
        <v>372</v>
      </c>
      <c r="M19" s="4">
        <f t="shared" si="1"/>
        <v>4</v>
      </c>
    </row>
    <row r="20" spans="1:15" x14ac:dyDescent="0.35">
      <c r="A20" s="4">
        <f t="shared" si="0"/>
        <v>5</v>
      </c>
      <c r="B20" s="1010">
        <v>361</v>
      </c>
      <c r="C20" s="242" t="s">
        <v>434</v>
      </c>
      <c r="D20" s="241">
        <v>0</v>
      </c>
      <c r="E20" s="241">
        <v>0</v>
      </c>
      <c r="F20" s="241">
        <v>681.28647999999998</v>
      </c>
      <c r="G20" s="241">
        <v>0</v>
      </c>
      <c r="H20" s="241">
        <v>0</v>
      </c>
      <c r="I20" s="241">
        <v>0</v>
      </c>
      <c r="J20" s="241">
        <v>0</v>
      </c>
      <c r="K20" s="55">
        <f>SUM(D20:J20)</f>
        <v>681.28647999999998</v>
      </c>
      <c r="L20" s="995" t="s">
        <v>372</v>
      </c>
      <c r="M20" s="4">
        <f t="shared" si="1"/>
        <v>5</v>
      </c>
    </row>
    <row r="21" spans="1:15" x14ac:dyDescent="0.35">
      <c r="A21" s="4">
        <f t="shared" si="0"/>
        <v>6</v>
      </c>
      <c r="B21" s="995"/>
      <c r="C21" s="242"/>
      <c r="D21" s="242"/>
      <c r="E21" s="242"/>
      <c r="F21" s="242"/>
      <c r="G21" s="242"/>
      <c r="H21" s="242"/>
      <c r="I21" s="242"/>
      <c r="J21" s="242"/>
      <c r="K21" s="55"/>
      <c r="L21" s="995"/>
      <c r="M21" s="4">
        <f t="shared" si="1"/>
        <v>6</v>
      </c>
    </row>
    <row r="22" spans="1:15" s="1" customFormat="1" x14ac:dyDescent="0.35">
      <c r="A22" s="4">
        <f t="shared" si="0"/>
        <v>7</v>
      </c>
      <c r="B22" s="1012" t="s">
        <v>435</v>
      </c>
      <c r="C22" s="1013" t="s">
        <v>436</v>
      </c>
      <c r="D22" s="1014">
        <f t="shared" ref="D22:I22" si="2">SUM(D16:D21)</f>
        <v>0</v>
      </c>
      <c r="E22" s="1014">
        <f t="shared" si="2"/>
        <v>1.1178300000000001</v>
      </c>
      <c r="F22" s="1014">
        <f t="shared" si="2"/>
        <v>730.01688000000001</v>
      </c>
      <c r="G22" s="1014">
        <f t="shared" si="2"/>
        <v>0</v>
      </c>
      <c r="H22" s="1014">
        <f t="shared" si="2"/>
        <v>0</v>
      </c>
      <c r="I22" s="1014">
        <f t="shared" si="2"/>
        <v>0</v>
      </c>
      <c r="J22" s="1014">
        <f>SUM(J16:J21)</f>
        <v>0</v>
      </c>
      <c r="K22" s="244">
        <f>SUM(K16:K21)</f>
        <v>731.13471000000004</v>
      </c>
      <c r="L22" s="1015" t="s">
        <v>18</v>
      </c>
      <c r="M22" s="4">
        <f t="shared" si="1"/>
        <v>7</v>
      </c>
    </row>
    <row r="23" spans="1:15" x14ac:dyDescent="0.35">
      <c r="A23" s="4">
        <f t="shared" si="0"/>
        <v>8</v>
      </c>
      <c r="B23" s="995"/>
      <c r="C23" s="242"/>
      <c r="D23" s="241"/>
      <c r="E23" s="241"/>
      <c r="F23" s="241"/>
      <c r="G23" s="241"/>
      <c r="H23" s="241"/>
      <c r="I23" s="241"/>
      <c r="J23" s="241"/>
      <c r="K23" s="83"/>
      <c r="L23" s="995"/>
      <c r="M23" s="4">
        <f t="shared" si="1"/>
        <v>8</v>
      </c>
    </row>
    <row r="24" spans="1:15" x14ac:dyDescent="0.35">
      <c r="A24" s="4">
        <f t="shared" si="0"/>
        <v>9</v>
      </c>
      <c r="B24" s="1010">
        <v>350</v>
      </c>
      <c r="C24" s="242" t="s">
        <v>433</v>
      </c>
      <c r="D24" s="240">
        <v>32112.64817</v>
      </c>
      <c r="E24" s="240">
        <v>0</v>
      </c>
      <c r="F24" s="240">
        <v>0</v>
      </c>
      <c r="G24" s="240">
        <v>0</v>
      </c>
      <c r="H24" s="240">
        <v>0</v>
      </c>
      <c r="I24" s="240">
        <v>0</v>
      </c>
      <c r="J24" s="240">
        <v>-387.33722999999998</v>
      </c>
      <c r="K24" s="61">
        <f t="shared" ref="K24:K32" si="3">SUM(D24:J24)</f>
        <v>31725.310939999999</v>
      </c>
      <c r="L24" s="995" t="s">
        <v>372</v>
      </c>
      <c r="M24" s="4">
        <f t="shared" si="1"/>
        <v>9</v>
      </c>
    </row>
    <row r="25" spans="1:15" x14ac:dyDescent="0.35">
      <c r="A25" s="4">
        <f t="shared" si="0"/>
        <v>10</v>
      </c>
      <c r="B25" s="1010">
        <v>352</v>
      </c>
      <c r="C25" s="242" t="s">
        <v>434</v>
      </c>
      <c r="D25" s="241">
        <v>139587.35045999999</v>
      </c>
      <c r="E25" s="241">
        <v>0</v>
      </c>
      <c r="F25" s="241">
        <v>0</v>
      </c>
      <c r="G25" s="241">
        <v>-581.32852000000003</v>
      </c>
      <c r="H25" s="241">
        <v>0</v>
      </c>
      <c r="I25" s="241">
        <v>0</v>
      </c>
      <c r="J25" s="241">
        <v>-23517.656760000002</v>
      </c>
      <c r="K25" s="55">
        <f t="shared" si="3"/>
        <v>115488.36517999998</v>
      </c>
      <c r="L25" s="995" t="s">
        <v>372</v>
      </c>
      <c r="M25" s="4">
        <f t="shared" si="1"/>
        <v>10</v>
      </c>
      <c r="O25" s="6"/>
    </row>
    <row r="26" spans="1:15" x14ac:dyDescent="0.35">
      <c r="A26" s="4">
        <f t="shared" si="0"/>
        <v>11</v>
      </c>
      <c r="B26" s="1010">
        <v>353</v>
      </c>
      <c r="C26" s="242" t="s">
        <v>437</v>
      </c>
      <c r="D26" s="241">
        <v>603767.11250000005</v>
      </c>
      <c r="E26" s="241">
        <v>0</v>
      </c>
      <c r="F26" s="241">
        <v>0</v>
      </c>
      <c r="G26" s="241">
        <v>-3921.8576200000002</v>
      </c>
      <c r="H26" s="241">
        <v>-596.89500999999996</v>
      </c>
      <c r="I26" s="241">
        <v>0</v>
      </c>
      <c r="J26" s="241">
        <v>-1704.54414</v>
      </c>
      <c r="K26" s="55">
        <f t="shared" si="3"/>
        <v>597543.81573000003</v>
      </c>
      <c r="L26" s="995" t="s">
        <v>372</v>
      </c>
      <c r="M26" s="4">
        <f t="shared" si="1"/>
        <v>11</v>
      </c>
    </row>
    <row r="27" spans="1:15" x14ac:dyDescent="0.35">
      <c r="A27" s="4">
        <f t="shared" si="0"/>
        <v>12</v>
      </c>
      <c r="B27" s="1010">
        <v>354</v>
      </c>
      <c r="C27" s="242" t="s">
        <v>438</v>
      </c>
      <c r="D27" s="241">
        <v>277447.47269000002</v>
      </c>
      <c r="E27" s="241">
        <v>0</v>
      </c>
      <c r="F27" s="241">
        <v>0</v>
      </c>
      <c r="G27" s="241">
        <v>0</v>
      </c>
      <c r="H27" s="241">
        <v>0</v>
      </c>
      <c r="I27" s="241">
        <v>0</v>
      </c>
      <c r="J27" s="241">
        <v>0</v>
      </c>
      <c r="K27" s="55">
        <f t="shared" si="3"/>
        <v>277447.47269000002</v>
      </c>
      <c r="L27" s="995" t="s">
        <v>372</v>
      </c>
      <c r="M27" s="4">
        <f t="shared" si="1"/>
        <v>12</v>
      </c>
    </row>
    <row r="28" spans="1:15" x14ac:dyDescent="0.35">
      <c r="A28" s="4">
        <f t="shared" si="0"/>
        <v>13</v>
      </c>
      <c r="B28" s="1010">
        <v>355</v>
      </c>
      <c r="C28" s="242" t="s">
        <v>439</v>
      </c>
      <c r="D28" s="241">
        <v>209140.11919</v>
      </c>
      <c r="E28" s="241">
        <v>0</v>
      </c>
      <c r="F28" s="241">
        <v>0</v>
      </c>
      <c r="G28" s="241">
        <v>0</v>
      </c>
      <c r="H28" s="241">
        <v>0</v>
      </c>
      <c r="I28" s="241">
        <v>0</v>
      </c>
      <c r="J28" s="241">
        <v>0</v>
      </c>
      <c r="K28" s="55">
        <f t="shared" si="3"/>
        <v>209140.11919</v>
      </c>
      <c r="L28" s="995" t="s">
        <v>372</v>
      </c>
      <c r="M28" s="4">
        <f t="shared" si="1"/>
        <v>13</v>
      </c>
    </row>
    <row r="29" spans="1:15" x14ac:dyDescent="0.35">
      <c r="A29" s="4">
        <f t="shared" si="0"/>
        <v>14</v>
      </c>
      <c r="B29" s="1010">
        <v>356</v>
      </c>
      <c r="C29" s="242" t="s">
        <v>440</v>
      </c>
      <c r="D29" s="241">
        <v>307343.48389999999</v>
      </c>
      <c r="E29" s="241">
        <v>0</v>
      </c>
      <c r="F29" s="241">
        <v>0</v>
      </c>
      <c r="G29" s="241">
        <v>0</v>
      </c>
      <c r="H29" s="241">
        <v>0</v>
      </c>
      <c r="I29" s="241">
        <v>0</v>
      </c>
      <c r="J29" s="241">
        <v>0</v>
      </c>
      <c r="K29" s="55">
        <f t="shared" si="3"/>
        <v>307343.48389999999</v>
      </c>
      <c r="L29" s="995" t="s">
        <v>372</v>
      </c>
      <c r="M29" s="4">
        <f t="shared" si="1"/>
        <v>14</v>
      </c>
    </row>
    <row r="30" spans="1:15" x14ac:dyDescent="0.35">
      <c r="A30" s="4">
        <f t="shared" si="0"/>
        <v>15</v>
      </c>
      <c r="B30" s="1010">
        <v>357</v>
      </c>
      <c r="C30" s="242" t="s">
        <v>441</v>
      </c>
      <c r="D30" s="241">
        <v>115076.96838999999</v>
      </c>
      <c r="E30" s="241">
        <v>0</v>
      </c>
      <c r="F30" s="241">
        <v>0</v>
      </c>
      <c r="G30" s="241">
        <v>0</v>
      </c>
      <c r="H30" s="241">
        <v>0</v>
      </c>
      <c r="I30" s="241">
        <v>0</v>
      </c>
      <c r="J30" s="241">
        <v>0</v>
      </c>
      <c r="K30" s="55">
        <f t="shared" si="3"/>
        <v>115076.96838999999</v>
      </c>
      <c r="L30" s="995" t="s">
        <v>372</v>
      </c>
      <c r="M30" s="4">
        <f t="shared" si="1"/>
        <v>15</v>
      </c>
    </row>
    <row r="31" spans="1:15" x14ac:dyDescent="0.35">
      <c r="A31" s="4">
        <f t="shared" si="0"/>
        <v>16</v>
      </c>
      <c r="B31" s="1010">
        <v>358</v>
      </c>
      <c r="C31" s="242" t="s">
        <v>442</v>
      </c>
      <c r="D31" s="241">
        <v>114872.02962</v>
      </c>
      <c r="E31" s="241">
        <v>0</v>
      </c>
      <c r="F31" s="241">
        <v>0</v>
      </c>
      <c r="G31" s="241">
        <v>-643.37243999999998</v>
      </c>
      <c r="H31" s="241">
        <v>0</v>
      </c>
      <c r="I31" s="241">
        <v>0</v>
      </c>
      <c r="J31" s="241">
        <v>0</v>
      </c>
      <c r="K31" s="55">
        <f t="shared" si="3"/>
        <v>114228.65717999999</v>
      </c>
      <c r="L31" s="995" t="s">
        <v>372</v>
      </c>
      <c r="M31" s="4">
        <f t="shared" si="1"/>
        <v>16</v>
      </c>
    </row>
    <row r="32" spans="1:15" x14ac:dyDescent="0.35">
      <c r="A32" s="4">
        <f t="shared" si="0"/>
        <v>17</v>
      </c>
      <c r="B32" s="1010">
        <v>359</v>
      </c>
      <c r="C32" s="242" t="s">
        <v>443</v>
      </c>
      <c r="D32" s="241">
        <v>61886.441469999998</v>
      </c>
      <c r="E32" s="241">
        <v>0</v>
      </c>
      <c r="F32" s="241">
        <v>0</v>
      </c>
      <c r="G32" s="241">
        <v>0</v>
      </c>
      <c r="H32" s="241">
        <v>0</v>
      </c>
      <c r="I32" s="241">
        <v>0</v>
      </c>
      <c r="J32" s="241">
        <v>0</v>
      </c>
      <c r="K32" s="55">
        <f t="shared" si="3"/>
        <v>61886.441469999998</v>
      </c>
      <c r="L32" s="995" t="s">
        <v>372</v>
      </c>
      <c r="M32" s="4">
        <f t="shared" si="1"/>
        <v>17</v>
      </c>
    </row>
    <row r="33" spans="1:13" x14ac:dyDescent="0.35">
      <c r="A33" s="4">
        <f t="shared" si="0"/>
        <v>18</v>
      </c>
      <c r="B33" s="1034"/>
      <c r="C33" s="242"/>
      <c r="D33" s="241"/>
      <c r="F33" s="98"/>
      <c r="G33" s="98"/>
      <c r="H33" s="98"/>
      <c r="I33" s="98"/>
      <c r="J33" s="241"/>
      <c r="K33" s="56"/>
      <c r="L33" s="1010"/>
      <c r="M33" s="4">
        <f t="shared" si="1"/>
        <v>18</v>
      </c>
    </row>
    <row r="34" spans="1:13" x14ac:dyDescent="0.35">
      <c r="A34" s="4">
        <f t="shared" si="0"/>
        <v>19</v>
      </c>
      <c r="B34" s="1018" t="s">
        <v>435</v>
      </c>
      <c r="C34" s="1013" t="s">
        <v>405</v>
      </c>
      <c r="D34" s="1014">
        <f>SUM(D24:D33)</f>
        <v>1861233.6263900001</v>
      </c>
      <c r="E34" s="1014">
        <f>SUM(E24:E33)</f>
        <v>0</v>
      </c>
      <c r="F34" s="1014">
        <f>SUM(F24:F33)</f>
        <v>0</v>
      </c>
      <c r="G34" s="1014">
        <f>SUM(G24:G33)</f>
        <v>-5146.5585799999999</v>
      </c>
      <c r="H34" s="1014">
        <f>SUM(H24:H33)</f>
        <v>-596.89500999999996</v>
      </c>
      <c r="I34" s="1014">
        <f t="shared" ref="I34" si="4">SUM(I24:I33)</f>
        <v>0</v>
      </c>
      <c r="J34" s="1014">
        <f>SUM(J24:J33)</f>
        <v>-25609.538130000001</v>
      </c>
      <c r="K34" s="244">
        <f>SUM(K24:K33)</f>
        <v>1829880.6346700001</v>
      </c>
      <c r="L34" s="1019" t="s">
        <v>444</v>
      </c>
      <c r="M34" s="4">
        <f t="shared" si="1"/>
        <v>19</v>
      </c>
    </row>
    <row r="35" spans="1:13" x14ac:dyDescent="0.35">
      <c r="A35" s="4">
        <f t="shared" si="0"/>
        <v>20</v>
      </c>
      <c r="B35" s="342"/>
      <c r="D35" s="34"/>
      <c r="L35" s="312"/>
      <c r="M35" s="4">
        <f t="shared" si="1"/>
        <v>20</v>
      </c>
    </row>
    <row r="36" spans="1:13" x14ac:dyDescent="0.35">
      <c r="A36" s="4">
        <f t="shared" si="0"/>
        <v>21</v>
      </c>
      <c r="B36" s="343" t="s">
        <v>445</v>
      </c>
      <c r="C36" s="1020"/>
      <c r="D36" s="595">
        <f>D34+D22</f>
        <v>1861233.6263900001</v>
      </c>
      <c r="E36" s="595">
        <f>E34+E22</f>
        <v>1.1178300000000001</v>
      </c>
      <c r="F36" s="595">
        <f>F34+F22</f>
        <v>730.01688000000001</v>
      </c>
      <c r="G36" s="595">
        <f>G34+G22</f>
        <v>-5146.5585799999999</v>
      </c>
      <c r="H36" s="595">
        <f>H34+H22</f>
        <v>-596.89500999999996</v>
      </c>
      <c r="I36" s="595">
        <f t="shared" ref="I36" si="5">I34+I22</f>
        <v>0</v>
      </c>
      <c r="J36" s="595">
        <f>J34+J22</f>
        <v>-25609.538130000001</v>
      </c>
      <c r="K36" s="595">
        <f>K34+K22</f>
        <v>1830611.76938</v>
      </c>
      <c r="L36" s="1015" t="s">
        <v>446</v>
      </c>
      <c r="M36" s="4">
        <f t="shared" si="1"/>
        <v>21</v>
      </c>
    </row>
    <row r="37" spans="1:13" x14ac:dyDescent="0.35">
      <c r="D37" s="34"/>
      <c r="K37" s="344"/>
      <c r="L37" s="344"/>
    </row>
    <row r="38" spans="1:13" x14ac:dyDescent="0.35">
      <c r="D38" s="34"/>
      <c r="K38" s="344"/>
      <c r="L38" s="344"/>
    </row>
    <row r="39" spans="1:13" x14ac:dyDescent="0.35">
      <c r="B39" s="34" t="s">
        <v>504</v>
      </c>
      <c r="D39" s="34"/>
    </row>
    <row r="40" spans="1:13" x14ac:dyDescent="0.35">
      <c r="D40" s="34"/>
    </row>
    <row r="41" spans="1:13" x14ac:dyDescent="0.35">
      <c r="D41" s="34"/>
    </row>
    <row r="42" spans="1:13" x14ac:dyDescent="0.35">
      <c r="D42" s="34"/>
    </row>
    <row r="43" spans="1:13" x14ac:dyDescent="0.35">
      <c r="D43" s="34"/>
    </row>
    <row r="44" spans="1:13" x14ac:dyDescent="0.35">
      <c r="D44" s="34"/>
    </row>
    <row r="45" spans="1:13" x14ac:dyDescent="0.35">
      <c r="D45" s="34"/>
    </row>
    <row r="46" spans="1:13" x14ac:dyDescent="0.35">
      <c r="D46" s="34"/>
    </row>
    <row r="47" spans="1:13" x14ac:dyDescent="0.35">
      <c r="D47" s="34"/>
    </row>
    <row r="48" spans="1:13" x14ac:dyDescent="0.35">
      <c r="D48" s="34"/>
    </row>
    <row r="49" spans="4:4" x14ac:dyDescent="0.35">
      <c r="D49" s="34"/>
    </row>
    <row r="50" spans="4:4" x14ac:dyDescent="0.35">
      <c r="D50" s="34"/>
    </row>
    <row r="51" spans="4:4" x14ac:dyDescent="0.35">
      <c r="D51" s="34"/>
    </row>
    <row r="52" spans="4:4" x14ac:dyDescent="0.35">
      <c r="D52" s="34"/>
    </row>
    <row r="53" spans="4:4" x14ac:dyDescent="0.35">
      <c r="D53" s="34"/>
    </row>
    <row r="54" spans="4:4" x14ac:dyDescent="0.35">
      <c r="D54" s="34"/>
    </row>
    <row r="55" spans="4:4" x14ac:dyDescent="0.35">
      <c r="D55" s="34"/>
    </row>
    <row r="56" spans="4:4" x14ac:dyDescent="0.35">
      <c r="D56" s="34"/>
    </row>
    <row r="57" spans="4:4" x14ac:dyDescent="0.35">
      <c r="D57" s="34"/>
    </row>
    <row r="58" spans="4:4" x14ac:dyDescent="0.35">
      <c r="D58" s="34"/>
    </row>
    <row r="59" spans="4:4" x14ac:dyDescent="0.35">
      <c r="D59" s="34"/>
    </row>
    <row r="60" spans="4:4" x14ac:dyDescent="0.35">
      <c r="D60" s="34"/>
    </row>
    <row r="61" spans="4:4" x14ac:dyDescent="0.35">
      <c r="D61" s="34"/>
    </row>
    <row r="62" spans="4:4" x14ac:dyDescent="0.35">
      <c r="D62" s="34"/>
    </row>
    <row r="63" spans="4:4" x14ac:dyDescent="0.35">
      <c r="D63" s="34"/>
    </row>
    <row r="64" spans="4:4" x14ac:dyDescent="0.35">
      <c r="D64" s="34"/>
    </row>
    <row r="65" spans="4:4" x14ac:dyDescent="0.35">
      <c r="D65" s="34"/>
    </row>
    <row r="66" spans="4:4" x14ac:dyDescent="0.35">
      <c r="D66" s="34"/>
    </row>
    <row r="67" spans="4:4" x14ac:dyDescent="0.35">
      <c r="D67" s="34"/>
    </row>
    <row r="68" spans="4:4" x14ac:dyDescent="0.35">
      <c r="D68" s="34"/>
    </row>
    <row r="69" spans="4:4" x14ac:dyDescent="0.35">
      <c r="D69" s="34"/>
    </row>
    <row r="70" spans="4:4" x14ac:dyDescent="0.35">
      <c r="D70" s="34"/>
    </row>
    <row r="71" spans="4:4" x14ac:dyDescent="0.35">
      <c r="D71" s="34"/>
    </row>
    <row r="72" spans="4:4" x14ac:dyDescent="0.35">
      <c r="D72" s="34"/>
    </row>
    <row r="73" spans="4:4" x14ac:dyDescent="0.35">
      <c r="D73" s="34"/>
    </row>
    <row r="74" spans="4:4" x14ac:dyDescent="0.35">
      <c r="D74" s="34"/>
    </row>
    <row r="75" spans="4:4" x14ac:dyDescent="0.35">
      <c r="D75" s="34"/>
    </row>
    <row r="76" spans="4:4" x14ac:dyDescent="0.35">
      <c r="D76" s="34"/>
    </row>
    <row r="77" spans="4:4" x14ac:dyDescent="0.35">
      <c r="D77" s="34"/>
    </row>
    <row r="78" spans="4:4" x14ac:dyDescent="0.35">
      <c r="D78" s="34"/>
    </row>
    <row r="79" spans="4:4" x14ac:dyDescent="0.35">
      <c r="D79" s="34"/>
    </row>
    <row r="80" spans="4:4" x14ac:dyDescent="0.35">
      <c r="D80" s="34"/>
    </row>
    <row r="81" spans="4:4" x14ac:dyDescent="0.35">
      <c r="D81" s="34"/>
    </row>
    <row r="82" spans="4:4" x14ac:dyDescent="0.35">
      <c r="D82" s="34"/>
    </row>
    <row r="83" spans="4:4" x14ac:dyDescent="0.35">
      <c r="D83" s="34"/>
    </row>
    <row r="84" spans="4:4" x14ac:dyDescent="0.35">
      <c r="D84" s="34"/>
    </row>
    <row r="85" spans="4:4" x14ac:dyDescent="0.35">
      <c r="D85" s="34"/>
    </row>
    <row r="86" spans="4:4" x14ac:dyDescent="0.35">
      <c r="D86" s="34"/>
    </row>
    <row r="87" spans="4:4" x14ac:dyDescent="0.35">
      <c r="D87" s="34"/>
    </row>
    <row r="88" spans="4:4" x14ac:dyDescent="0.35">
      <c r="D88" s="34"/>
    </row>
    <row r="89" spans="4:4" x14ac:dyDescent="0.35">
      <c r="D89" s="34"/>
    </row>
    <row r="90" spans="4:4" x14ac:dyDescent="0.35">
      <c r="D90" s="34"/>
    </row>
    <row r="91" spans="4:4" x14ac:dyDescent="0.35">
      <c r="D91" s="34"/>
    </row>
    <row r="92" spans="4:4" x14ac:dyDescent="0.35">
      <c r="D92" s="34"/>
    </row>
    <row r="93" spans="4:4" x14ac:dyDescent="0.35">
      <c r="D93" s="34"/>
    </row>
    <row r="94" spans="4:4" x14ac:dyDescent="0.35">
      <c r="D94" s="34"/>
    </row>
    <row r="95" spans="4:4" x14ac:dyDescent="0.35">
      <c r="D95" s="34"/>
    </row>
    <row r="96" spans="4:4" x14ac:dyDescent="0.35">
      <c r="D96" s="34"/>
    </row>
    <row r="97" spans="4:4" x14ac:dyDescent="0.35">
      <c r="D97" s="34"/>
    </row>
    <row r="98" spans="4:4" x14ac:dyDescent="0.35">
      <c r="D98" s="34"/>
    </row>
    <row r="99" spans="4:4" x14ac:dyDescent="0.35">
      <c r="D99" s="34"/>
    </row>
    <row r="100" spans="4:4" x14ac:dyDescent="0.35">
      <c r="D100" s="34"/>
    </row>
    <row r="101" spans="4:4" x14ac:dyDescent="0.35">
      <c r="D101" s="34"/>
    </row>
    <row r="102" spans="4:4" x14ac:dyDescent="0.35">
      <c r="D102" s="34"/>
    </row>
    <row r="103" spans="4:4" x14ac:dyDescent="0.35">
      <c r="D103" s="34"/>
    </row>
    <row r="104" spans="4:4" x14ac:dyDescent="0.35">
      <c r="D104" s="34"/>
    </row>
    <row r="105" spans="4:4" x14ac:dyDescent="0.35">
      <c r="D105" s="34"/>
    </row>
    <row r="106" spans="4:4" x14ac:dyDescent="0.35">
      <c r="D106" s="34"/>
    </row>
    <row r="107" spans="4:4" x14ac:dyDescent="0.35">
      <c r="D107" s="34"/>
    </row>
    <row r="108" spans="4:4" x14ac:dyDescent="0.35">
      <c r="D108" s="34"/>
    </row>
    <row r="109" spans="4:4" x14ac:dyDescent="0.35">
      <c r="D109" s="34"/>
    </row>
    <row r="110" spans="4:4" x14ac:dyDescent="0.35">
      <c r="D110" s="34"/>
    </row>
    <row r="111" spans="4:4" x14ac:dyDescent="0.35">
      <c r="D111" s="34"/>
    </row>
    <row r="112" spans="4:4" x14ac:dyDescent="0.35">
      <c r="D112" s="34"/>
    </row>
    <row r="113" spans="4:4" x14ac:dyDescent="0.35">
      <c r="D113" s="34"/>
    </row>
    <row r="114" spans="4:4" x14ac:dyDescent="0.35">
      <c r="D114" s="34"/>
    </row>
    <row r="115" spans="4:4" x14ac:dyDescent="0.35">
      <c r="D115" s="34"/>
    </row>
    <row r="116" spans="4:4" x14ac:dyDescent="0.35">
      <c r="D116" s="34"/>
    </row>
    <row r="117" spans="4:4" x14ac:dyDescent="0.35">
      <c r="D117" s="34"/>
    </row>
    <row r="118" spans="4:4" x14ac:dyDescent="0.35">
      <c r="D118" s="34"/>
    </row>
    <row r="119" spans="4:4" x14ac:dyDescent="0.35">
      <c r="D119" s="34"/>
    </row>
    <row r="120" spans="4:4" x14ac:dyDescent="0.35">
      <c r="D120" s="34"/>
    </row>
    <row r="121" spans="4:4" x14ac:dyDescent="0.35">
      <c r="D121" s="34"/>
    </row>
    <row r="122" spans="4:4" x14ac:dyDescent="0.35">
      <c r="D122" s="34"/>
    </row>
    <row r="123" spans="4:4" x14ac:dyDescent="0.35">
      <c r="D123" s="34"/>
    </row>
    <row r="124" spans="4:4" x14ac:dyDescent="0.35">
      <c r="D124" s="34"/>
    </row>
    <row r="125" spans="4:4" x14ac:dyDescent="0.35">
      <c r="D125" s="34"/>
    </row>
    <row r="126" spans="4:4" x14ac:dyDescent="0.35">
      <c r="D126" s="34"/>
    </row>
    <row r="127" spans="4:4" x14ac:dyDescent="0.35">
      <c r="D127" s="34"/>
    </row>
    <row r="128" spans="4:4" x14ac:dyDescent="0.35">
      <c r="D128" s="34"/>
    </row>
    <row r="129" spans="4:4" x14ac:dyDescent="0.35">
      <c r="D129" s="34"/>
    </row>
    <row r="130" spans="4:4" x14ac:dyDescent="0.35">
      <c r="D130" s="34"/>
    </row>
    <row r="131" spans="4:4" x14ac:dyDescent="0.35">
      <c r="D131" s="34"/>
    </row>
    <row r="132" spans="4:4" x14ac:dyDescent="0.35">
      <c r="D132" s="34"/>
    </row>
    <row r="133" spans="4:4" x14ac:dyDescent="0.35">
      <c r="D133" s="34"/>
    </row>
    <row r="134" spans="4:4" x14ac:dyDescent="0.35">
      <c r="D134" s="34"/>
    </row>
    <row r="135" spans="4:4" x14ac:dyDescent="0.35">
      <c r="D135" s="34"/>
    </row>
    <row r="136" spans="4:4" x14ac:dyDescent="0.35">
      <c r="D136" s="34"/>
    </row>
    <row r="137" spans="4:4" x14ac:dyDescent="0.35">
      <c r="D137" s="34"/>
    </row>
    <row r="138" spans="4:4" x14ac:dyDescent="0.35">
      <c r="D138" s="34"/>
    </row>
    <row r="139" spans="4:4" x14ac:dyDescent="0.35">
      <c r="D139" s="34"/>
    </row>
    <row r="140" spans="4:4" x14ac:dyDescent="0.35">
      <c r="D140" s="34"/>
    </row>
    <row r="141" spans="4:4" x14ac:dyDescent="0.35">
      <c r="D141" s="34"/>
    </row>
    <row r="142" spans="4:4" x14ac:dyDescent="0.35">
      <c r="D142" s="34"/>
    </row>
    <row r="143" spans="4:4" x14ac:dyDescent="0.35">
      <c r="D143" s="34"/>
    </row>
    <row r="144" spans="4:4" x14ac:dyDescent="0.35">
      <c r="D144" s="34"/>
    </row>
    <row r="145" spans="4:4" x14ac:dyDescent="0.35">
      <c r="D145" s="34"/>
    </row>
    <row r="146" spans="4:4" x14ac:dyDescent="0.35">
      <c r="D146" s="34"/>
    </row>
    <row r="147" spans="4:4" x14ac:dyDescent="0.35">
      <c r="D147" s="34"/>
    </row>
    <row r="148" spans="4:4" x14ac:dyDescent="0.35">
      <c r="D148" s="34"/>
    </row>
    <row r="149" spans="4:4" x14ac:dyDescent="0.35">
      <c r="D149" s="34"/>
    </row>
    <row r="150" spans="4:4" x14ac:dyDescent="0.35">
      <c r="D150" s="34"/>
    </row>
    <row r="151" spans="4:4" x14ac:dyDescent="0.35">
      <c r="D151" s="34"/>
    </row>
    <row r="152" spans="4:4" x14ac:dyDescent="0.35">
      <c r="D152" s="34"/>
    </row>
    <row r="153" spans="4:4" x14ac:dyDescent="0.35">
      <c r="D153" s="34"/>
    </row>
    <row r="154" spans="4:4" x14ac:dyDescent="0.35">
      <c r="D154" s="34"/>
    </row>
    <row r="155" spans="4:4" x14ac:dyDescent="0.35">
      <c r="D155" s="34"/>
    </row>
    <row r="156" spans="4:4" x14ac:dyDescent="0.35">
      <c r="D156" s="34"/>
    </row>
    <row r="157" spans="4:4" x14ac:dyDescent="0.35">
      <c r="D157" s="34"/>
    </row>
    <row r="158" spans="4:4" x14ac:dyDescent="0.35">
      <c r="D158" s="34"/>
    </row>
    <row r="159" spans="4:4" x14ac:dyDescent="0.35">
      <c r="D159" s="34"/>
    </row>
    <row r="160" spans="4:4" x14ac:dyDescent="0.35">
      <c r="D160" s="34"/>
    </row>
    <row r="161" spans="4:4" x14ac:dyDescent="0.35">
      <c r="D161" s="34"/>
    </row>
    <row r="162" spans="4:4" x14ac:dyDescent="0.35">
      <c r="D162" s="34"/>
    </row>
    <row r="163" spans="4:4" x14ac:dyDescent="0.35">
      <c r="D163" s="34"/>
    </row>
    <row r="164" spans="4:4" x14ac:dyDescent="0.35">
      <c r="D164" s="34"/>
    </row>
    <row r="165" spans="4:4" x14ac:dyDescent="0.35">
      <c r="D165" s="34"/>
    </row>
    <row r="166" spans="4:4" x14ac:dyDescent="0.35">
      <c r="D166" s="34"/>
    </row>
    <row r="167" spans="4:4" x14ac:dyDescent="0.35">
      <c r="D167" s="34"/>
    </row>
    <row r="168" spans="4:4" x14ac:dyDescent="0.35">
      <c r="D168" s="34"/>
    </row>
    <row r="169" spans="4:4" x14ac:dyDescent="0.35">
      <c r="D169" s="34"/>
    </row>
    <row r="170" spans="4:4" x14ac:dyDescent="0.35">
      <c r="D170" s="34"/>
    </row>
    <row r="171" spans="4:4" x14ac:dyDescent="0.35">
      <c r="D171" s="34"/>
    </row>
  </sheetData>
  <mergeCells count="6">
    <mergeCell ref="B7:L7"/>
    <mergeCell ref="B2:L2"/>
    <mergeCell ref="B3:L3"/>
    <mergeCell ref="B4:L4"/>
    <mergeCell ref="B5:L5"/>
    <mergeCell ref="B6:L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47"/>
  <sheetViews>
    <sheetView zoomScale="80" zoomScaleNormal="80" workbookViewId="0"/>
  </sheetViews>
  <sheetFormatPr defaultColWidth="15.453125" defaultRowHeight="15.5" x14ac:dyDescent="0.35"/>
  <cols>
    <col min="1" max="1" width="5.08984375" style="4" customWidth="1"/>
    <col min="2" max="2" width="73.90625" style="34" customWidth="1"/>
    <col min="3" max="3" width="10.453125" style="34" customWidth="1"/>
    <col min="4" max="4" width="1.54296875" style="34" customWidth="1"/>
    <col min="5" max="5" width="16.90625" style="34" customWidth="1"/>
    <col min="6" max="6" width="1.54296875" style="34" customWidth="1"/>
    <col min="7" max="7" width="15.90625" style="34" customWidth="1"/>
    <col min="8" max="8" width="15.54296875" style="34" customWidth="1"/>
    <col min="9" max="9" width="41" style="34" customWidth="1"/>
    <col min="10" max="10" width="5.08984375" style="4" bestFit="1" customWidth="1"/>
    <col min="11" max="11" width="11.453125" style="34" bestFit="1" customWidth="1"/>
    <col min="12" max="12" width="9.453125" style="34" bestFit="1" customWidth="1"/>
    <col min="13" max="13" width="11.453125" style="34" bestFit="1" customWidth="1"/>
    <col min="14" max="14" width="9.90625" style="34" bestFit="1" customWidth="1"/>
    <col min="15" max="15" width="7.90625" style="34" bestFit="1" customWidth="1"/>
    <col min="16" max="16384" width="15.453125" style="34"/>
  </cols>
  <sheetData>
    <row r="2" spans="1:10" x14ac:dyDescent="0.35">
      <c r="B2" s="1171" t="s">
        <v>0</v>
      </c>
      <c r="C2" s="1171"/>
      <c r="D2" s="1171"/>
      <c r="E2" s="1172"/>
      <c r="F2" s="1172"/>
      <c r="G2" s="1172"/>
      <c r="H2" s="1172"/>
      <c r="I2" s="1172"/>
    </row>
    <row r="3" spans="1:10" x14ac:dyDescent="0.35">
      <c r="B3" s="1171" t="s">
        <v>263</v>
      </c>
      <c r="C3" s="1171"/>
      <c r="D3" s="1171"/>
      <c r="E3" s="1172"/>
      <c r="F3" s="1172"/>
      <c r="G3" s="1172"/>
      <c r="H3" s="1172"/>
      <c r="I3" s="1172"/>
    </row>
    <row r="4" spans="1:10" ht="18" x14ac:dyDescent="0.35">
      <c r="B4" s="1171" t="s">
        <v>264</v>
      </c>
      <c r="C4" s="1171"/>
      <c r="D4" s="1171"/>
      <c r="E4" s="1172"/>
      <c r="F4" s="1172"/>
      <c r="G4" s="1172"/>
      <c r="H4" s="1172"/>
      <c r="I4" s="1172"/>
    </row>
    <row r="5" spans="1:10" x14ac:dyDescent="0.35">
      <c r="B5" s="1176" t="str">
        <f>'BK-1 Retail TRR'!B282:G282</f>
        <v>For the Rate Effective Period January 1, 2024 - December 31, 2024</v>
      </c>
      <c r="C5" s="1176"/>
      <c r="D5" s="1176"/>
      <c r="E5" s="1177"/>
      <c r="F5" s="1177"/>
      <c r="G5" s="1177"/>
      <c r="H5" s="1177"/>
      <c r="I5" s="1177"/>
    </row>
    <row r="6" spans="1:10" x14ac:dyDescent="0.35">
      <c r="B6" s="1175" t="s">
        <v>5</v>
      </c>
      <c r="C6" s="1175"/>
      <c r="D6" s="1175"/>
      <c r="E6" s="1172"/>
      <c r="F6" s="1172"/>
      <c r="G6" s="1172"/>
      <c r="H6" s="1172"/>
      <c r="I6" s="1172"/>
    </row>
    <row r="7" spans="1:10" x14ac:dyDescent="0.35">
      <c r="B7" s="36"/>
      <c r="C7" s="36"/>
      <c r="D7" s="36"/>
      <c r="E7" s="10"/>
      <c r="H7" s="35"/>
      <c r="I7" s="4"/>
    </row>
    <row r="8" spans="1:10" x14ac:dyDescent="0.35">
      <c r="A8" s="4" t="s">
        <v>6</v>
      </c>
      <c r="B8" s="36"/>
      <c r="C8" s="36"/>
      <c r="D8" s="36"/>
      <c r="E8" s="10"/>
      <c r="H8" s="35"/>
      <c r="I8" s="4"/>
      <c r="J8" s="4" t="s">
        <v>6</v>
      </c>
    </row>
    <row r="9" spans="1:10" x14ac:dyDescent="0.35">
      <c r="A9" s="4" t="s">
        <v>7</v>
      </c>
      <c r="B9" s="36"/>
      <c r="C9" s="262"/>
      <c r="D9" s="262"/>
      <c r="E9" s="978" t="s">
        <v>265</v>
      </c>
      <c r="G9" s="1181" t="s">
        <v>9</v>
      </c>
      <c r="H9" s="1181"/>
      <c r="I9" s="979"/>
      <c r="J9" s="4" t="s">
        <v>7</v>
      </c>
    </row>
    <row r="10" spans="1:10" x14ac:dyDescent="0.35">
      <c r="B10" s="36" t="s">
        <v>266</v>
      </c>
      <c r="C10" s="36"/>
      <c r="D10" s="36"/>
      <c r="E10" s="47"/>
      <c r="G10" s="4"/>
      <c r="H10" s="35"/>
    </row>
    <row r="11" spans="1:10" x14ac:dyDescent="0.35">
      <c r="A11" s="4">
        <v>1</v>
      </c>
      <c r="B11" s="34" t="s">
        <v>267</v>
      </c>
      <c r="E11" s="7">
        <f>'BK-1 Retail TRR'!E304</f>
        <v>1004056.1461099121</v>
      </c>
      <c r="F11" s="226"/>
      <c r="G11" s="1180" t="s">
        <v>268</v>
      </c>
      <c r="H11" s="1180"/>
      <c r="I11" s="35"/>
      <c r="J11" s="4">
        <f>A11</f>
        <v>1</v>
      </c>
    </row>
    <row r="12" spans="1:10" x14ac:dyDescent="0.35">
      <c r="A12" s="4">
        <f>A11+1</f>
        <v>2</v>
      </c>
      <c r="B12" s="35"/>
      <c r="C12" s="35"/>
      <c r="D12" s="35"/>
      <c r="G12" s="35"/>
      <c r="H12" s="35"/>
      <c r="I12" s="35"/>
      <c r="J12" s="4">
        <f>J11+1</f>
        <v>2</v>
      </c>
    </row>
    <row r="13" spans="1:10" x14ac:dyDescent="0.35">
      <c r="A13" s="4">
        <f t="shared" ref="A13:A42" si="0">A12+1</f>
        <v>3</v>
      </c>
      <c r="B13" s="35" t="s">
        <v>269</v>
      </c>
      <c r="C13" s="35"/>
      <c r="D13" s="35"/>
      <c r="E13" s="9">
        <f>-'BK-1 Retail TRR'!E15</f>
        <v>0</v>
      </c>
      <c r="G13" s="1180" t="s">
        <v>270</v>
      </c>
      <c r="H13" s="1180"/>
      <c r="I13" s="1180"/>
      <c r="J13" s="4">
        <f t="shared" ref="J13:J42" si="1">J12+1</f>
        <v>3</v>
      </c>
    </row>
    <row r="14" spans="1:10" x14ac:dyDescent="0.35">
      <c r="A14" s="4">
        <f t="shared" si="0"/>
        <v>4</v>
      </c>
      <c r="B14" s="35"/>
      <c r="C14" s="35"/>
      <c r="D14" s="35"/>
      <c r="E14" s="8"/>
      <c r="G14" s="35"/>
      <c r="H14" s="35"/>
      <c r="I14" s="35"/>
      <c r="J14" s="4">
        <f t="shared" si="1"/>
        <v>4</v>
      </c>
    </row>
    <row r="15" spans="1:10" x14ac:dyDescent="0.35">
      <c r="A15" s="4">
        <f t="shared" si="0"/>
        <v>5</v>
      </c>
      <c r="B15" s="34" t="s">
        <v>271</v>
      </c>
      <c r="C15" s="35"/>
      <c r="D15" s="35"/>
      <c r="E15" s="9">
        <f>-'Stmt AL'!E40</f>
        <v>0</v>
      </c>
      <c r="G15" s="34" t="s">
        <v>272</v>
      </c>
      <c r="I15" s="35"/>
      <c r="J15" s="4">
        <f t="shared" si="1"/>
        <v>5</v>
      </c>
    </row>
    <row r="16" spans="1:10" x14ac:dyDescent="0.35">
      <c r="A16" s="4">
        <f t="shared" si="0"/>
        <v>6</v>
      </c>
      <c r="C16" s="35"/>
      <c r="D16" s="35"/>
      <c r="E16" s="8"/>
      <c r="G16" s="35"/>
      <c r="H16" s="35"/>
      <c r="I16" s="35"/>
      <c r="J16" s="4">
        <f t="shared" si="1"/>
        <v>6</v>
      </c>
    </row>
    <row r="17" spans="1:11" x14ac:dyDescent="0.35">
      <c r="A17" s="4">
        <f t="shared" si="0"/>
        <v>7</v>
      </c>
      <c r="B17" s="34" t="s">
        <v>273</v>
      </c>
      <c r="C17" s="35"/>
      <c r="D17" s="35"/>
      <c r="E17" s="9">
        <f>-'Stmt AL'!E44</f>
        <v>0</v>
      </c>
      <c r="G17" s="34" t="s">
        <v>274</v>
      </c>
      <c r="I17" s="35"/>
      <c r="J17" s="4">
        <f t="shared" si="1"/>
        <v>7</v>
      </c>
    </row>
    <row r="18" spans="1:11" x14ac:dyDescent="0.35">
      <c r="A18" s="4">
        <f t="shared" si="0"/>
        <v>8</v>
      </c>
      <c r="B18" s="256"/>
      <c r="C18" s="35"/>
      <c r="D18" s="35"/>
      <c r="E18" s="8"/>
      <c r="G18" s="35"/>
      <c r="H18" s="35"/>
      <c r="I18" s="35"/>
      <c r="J18" s="4">
        <f t="shared" si="1"/>
        <v>8</v>
      </c>
    </row>
    <row r="19" spans="1:11" x14ac:dyDescent="0.35">
      <c r="A19" s="4">
        <f t="shared" si="0"/>
        <v>9</v>
      </c>
      <c r="B19" s="35" t="s">
        <v>275</v>
      </c>
      <c r="C19" s="35"/>
      <c r="D19" s="35"/>
      <c r="E19" s="868">
        <f>-'Stmt AQ'!E11</f>
        <v>-1304.0991895338727</v>
      </c>
      <c r="G19" s="34" t="s">
        <v>276</v>
      </c>
      <c r="I19" s="35"/>
      <c r="J19" s="4">
        <f t="shared" si="1"/>
        <v>9</v>
      </c>
    </row>
    <row r="20" spans="1:11" x14ac:dyDescent="0.35">
      <c r="A20" s="4">
        <f t="shared" si="0"/>
        <v>10</v>
      </c>
      <c r="E20" s="10"/>
      <c r="G20" s="35"/>
      <c r="H20" s="35"/>
      <c r="I20" s="35"/>
      <c r="J20" s="4">
        <f t="shared" si="1"/>
        <v>10</v>
      </c>
      <c r="K20" s="263"/>
    </row>
    <row r="21" spans="1:11" ht="16" thickBot="1" x14ac:dyDescent="0.4">
      <c r="A21" s="4">
        <f t="shared" si="0"/>
        <v>11</v>
      </c>
      <c r="B21" s="34" t="s">
        <v>277</v>
      </c>
      <c r="E21" s="26">
        <f>SUM(E11:E19)</f>
        <v>1002752.0469203782</v>
      </c>
      <c r="F21" s="226"/>
      <c r="G21" s="1180" t="s">
        <v>278</v>
      </c>
      <c r="H21" s="1180"/>
      <c r="I21" s="35"/>
      <c r="J21" s="4">
        <f t="shared" si="1"/>
        <v>11</v>
      </c>
    </row>
    <row r="22" spans="1:11" ht="16" thickTop="1" x14ac:dyDescent="0.35">
      <c r="A22" s="4">
        <f t="shared" si="0"/>
        <v>12</v>
      </c>
      <c r="B22" s="36"/>
      <c r="C22" s="36"/>
      <c r="D22" s="36"/>
      <c r="E22" s="10"/>
      <c r="G22" s="643"/>
      <c r="H22" s="643"/>
      <c r="I22" s="4"/>
      <c r="J22" s="4">
        <f t="shared" si="1"/>
        <v>12</v>
      </c>
    </row>
    <row r="23" spans="1:11" ht="18" x14ac:dyDescent="0.35">
      <c r="A23" s="4">
        <f t="shared" si="0"/>
        <v>13</v>
      </c>
      <c r="B23" s="36" t="s">
        <v>279</v>
      </c>
      <c r="C23" s="36"/>
      <c r="D23" s="36"/>
      <c r="E23" s="37" t="s">
        <v>280</v>
      </c>
      <c r="F23" s="4"/>
      <c r="G23" s="4" t="s">
        <v>281</v>
      </c>
      <c r="H23" s="4" t="s">
        <v>282</v>
      </c>
      <c r="I23" s="4"/>
      <c r="J23" s="4">
        <f t="shared" si="1"/>
        <v>13</v>
      </c>
    </row>
    <row r="24" spans="1:11" x14ac:dyDescent="0.35">
      <c r="A24" s="4">
        <f t="shared" si="0"/>
        <v>14</v>
      </c>
      <c r="B24" s="1" t="s">
        <v>283</v>
      </c>
      <c r="C24" s="1"/>
      <c r="D24" s="1"/>
      <c r="E24" s="876" t="s">
        <v>265</v>
      </c>
      <c r="F24" s="4"/>
      <c r="G24" s="876" t="s">
        <v>284</v>
      </c>
      <c r="H24" s="876" t="s">
        <v>285</v>
      </c>
      <c r="I24" s="876" t="s">
        <v>9</v>
      </c>
      <c r="J24" s="4">
        <f t="shared" si="1"/>
        <v>14</v>
      </c>
    </row>
    <row r="25" spans="1:11" x14ac:dyDescent="0.35">
      <c r="A25" s="4">
        <f t="shared" si="0"/>
        <v>15</v>
      </c>
      <c r="B25" s="1" t="s">
        <v>286</v>
      </c>
      <c r="C25" s="1"/>
      <c r="D25" s="1"/>
      <c r="I25" s="4"/>
      <c r="J25" s="4">
        <f t="shared" si="1"/>
        <v>15</v>
      </c>
      <c r="K25" s="263"/>
    </row>
    <row r="26" spans="1:11" ht="31" x14ac:dyDescent="0.35">
      <c r="A26" s="4">
        <f t="shared" si="0"/>
        <v>16</v>
      </c>
      <c r="B26" s="34" t="s">
        <v>287</v>
      </c>
      <c r="E26" s="29">
        <f>G26+H26</f>
        <v>1</v>
      </c>
      <c r="F26" s="29"/>
      <c r="G26" s="586">
        <f>'HV-LV Plant Study'!F50</f>
        <v>0.51140181433178933</v>
      </c>
      <c r="H26" s="586">
        <f>'HV-LV Plant Study'!E50</f>
        <v>0.48859818566821062</v>
      </c>
      <c r="I26" s="95" t="s">
        <v>288</v>
      </c>
      <c r="J26" s="4">
        <f t="shared" si="1"/>
        <v>16</v>
      </c>
      <c r="K26" s="263"/>
    </row>
    <row r="27" spans="1:11" x14ac:dyDescent="0.35">
      <c r="A27" s="4">
        <f t="shared" si="0"/>
        <v>17</v>
      </c>
      <c r="B27" s="34" t="s">
        <v>289</v>
      </c>
      <c r="E27" s="966">
        <f>E21-E31</f>
        <v>926455.69389044424</v>
      </c>
      <c r="F27" s="226"/>
      <c r="G27" s="966">
        <f>G26*E27</f>
        <v>473791.12275359</v>
      </c>
      <c r="H27" s="966">
        <f>H26*E27</f>
        <v>452664.57113685418</v>
      </c>
      <c r="I27" s="4" t="s">
        <v>290</v>
      </c>
      <c r="J27" s="4">
        <f t="shared" si="1"/>
        <v>17</v>
      </c>
    </row>
    <row r="28" spans="1:11" x14ac:dyDescent="0.35">
      <c r="A28" s="4">
        <f t="shared" si="0"/>
        <v>18</v>
      </c>
      <c r="E28" s="38"/>
      <c r="G28" s="38"/>
      <c r="H28" s="10"/>
      <c r="I28" s="4" t="s">
        <v>291</v>
      </c>
      <c r="J28" s="4">
        <f t="shared" si="1"/>
        <v>18</v>
      </c>
    </row>
    <row r="29" spans="1:11" ht="15.75" customHeight="1" x14ac:dyDescent="0.35">
      <c r="A29" s="4">
        <f t="shared" si="0"/>
        <v>19</v>
      </c>
      <c r="B29" s="1" t="s">
        <v>292</v>
      </c>
      <c r="C29" s="1"/>
      <c r="D29" s="1"/>
      <c r="H29" s="31"/>
      <c r="I29" s="264"/>
      <c r="J29" s="4">
        <f t="shared" si="1"/>
        <v>19</v>
      </c>
      <c r="K29" s="263"/>
    </row>
    <row r="30" spans="1:11" ht="31" x14ac:dyDescent="0.35">
      <c r="A30" s="4">
        <f t="shared" si="0"/>
        <v>20</v>
      </c>
      <c r="B30" s="34" t="s">
        <v>293</v>
      </c>
      <c r="E30" s="29">
        <f>+G30+H30</f>
        <v>1</v>
      </c>
      <c r="F30" s="4"/>
      <c r="G30" s="140">
        <f>'Summary of HV-LV Splits'!G29</f>
        <v>0.19230238968024593</v>
      </c>
      <c r="H30" s="140">
        <f>'Summary of HV-LV Splits'!H29</f>
        <v>0.80769761031975418</v>
      </c>
      <c r="I30" s="95" t="s">
        <v>294</v>
      </c>
      <c r="J30" s="4">
        <f t="shared" si="1"/>
        <v>20</v>
      </c>
      <c r="K30" s="587"/>
    </row>
    <row r="31" spans="1:11" ht="31" x14ac:dyDescent="0.35">
      <c r="A31" s="4">
        <f t="shared" si="0"/>
        <v>21</v>
      </c>
      <c r="B31" s="34" t="s">
        <v>295</v>
      </c>
      <c r="E31" s="980">
        <f>'BK-1 Retail TRR'!E298+'BK-1 Retail TRR'!E300+'BK-1 Retail TRR'!E302</f>
        <v>76296.353029933962</v>
      </c>
      <c r="F31" s="4"/>
      <c r="G31" s="966">
        <f>G30*E31</f>
        <v>14671.971011543974</v>
      </c>
      <c r="H31" s="966">
        <f>H30*E31</f>
        <v>61624.382018389995</v>
      </c>
      <c r="I31" s="95" t="s">
        <v>296</v>
      </c>
      <c r="J31" s="4">
        <f t="shared" si="1"/>
        <v>21</v>
      </c>
    </row>
    <row r="32" spans="1:11" x14ac:dyDescent="0.35">
      <c r="A32" s="4">
        <f t="shared" si="0"/>
        <v>22</v>
      </c>
      <c r="E32" s="38"/>
      <c r="I32" s="4" t="s">
        <v>297</v>
      </c>
      <c r="J32" s="4">
        <f t="shared" si="1"/>
        <v>22</v>
      </c>
      <c r="K32" s="263"/>
    </row>
    <row r="33" spans="1:15" x14ac:dyDescent="0.35">
      <c r="A33" s="4">
        <f t="shared" si="0"/>
        <v>23</v>
      </c>
      <c r="B33" s="36" t="s">
        <v>298</v>
      </c>
      <c r="C33" s="643"/>
      <c r="D33" s="643"/>
      <c r="I33" s="4"/>
      <c r="J33" s="4">
        <f t="shared" si="1"/>
        <v>23</v>
      </c>
    </row>
    <row r="34" spans="1:15" x14ac:dyDescent="0.35">
      <c r="A34" s="4">
        <f t="shared" si="0"/>
        <v>24</v>
      </c>
      <c r="B34" s="36" t="s">
        <v>299</v>
      </c>
      <c r="C34" s="643"/>
      <c r="D34" s="643"/>
      <c r="I34" s="4"/>
      <c r="J34" s="4">
        <f t="shared" si="1"/>
        <v>24</v>
      </c>
      <c r="K34" s="1"/>
    </row>
    <row r="35" spans="1:15" ht="17.5" x14ac:dyDescent="0.35">
      <c r="A35" s="4">
        <f t="shared" si="0"/>
        <v>25</v>
      </c>
      <c r="B35" s="34" t="s">
        <v>300</v>
      </c>
      <c r="E35" s="10">
        <f>+E27+E31</f>
        <v>1002752.0469203782</v>
      </c>
      <c r="F35" s="4"/>
      <c r="G35" s="10">
        <f>+G27+G31</f>
        <v>488463.09376513399</v>
      </c>
      <c r="H35" s="10">
        <f>+H27+H31</f>
        <v>514288.95315524418</v>
      </c>
      <c r="I35" s="4" t="s">
        <v>301</v>
      </c>
      <c r="J35" s="4">
        <f t="shared" si="1"/>
        <v>25</v>
      </c>
      <c r="K35" s="1"/>
    </row>
    <row r="36" spans="1:15" ht="18" x14ac:dyDescent="0.35">
      <c r="A36" s="4">
        <f t="shared" si="0"/>
        <v>26</v>
      </c>
      <c r="B36" s="34" t="s">
        <v>302</v>
      </c>
      <c r="C36" s="33">
        <v>1.0207000000000001E-2</v>
      </c>
      <c r="E36" s="972">
        <f>G36+H36</f>
        <v>10235.0901429163</v>
      </c>
      <c r="F36" s="4"/>
      <c r="G36" s="972">
        <f>G35*C36</f>
        <v>4985.7427980607226</v>
      </c>
      <c r="H36" s="972">
        <f>H35*C36</f>
        <v>5249.3473448555778</v>
      </c>
      <c r="I36" s="4" t="s">
        <v>303</v>
      </c>
      <c r="J36" s="4">
        <f t="shared" si="1"/>
        <v>26</v>
      </c>
      <c r="K36" s="951"/>
      <c r="L36"/>
      <c r="M36"/>
      <c r="N36"/>
      <c r="O36"/>
    </row>
    <row r="37" spans="1:15" x14ac:dyDescent="0.35">
      <c r="A37" s="4">
        <f t="shared" si="0"/>
        <v>27</v>
      </c>
      <c r="B37" s="34" t="s">
        <v>304</v>
      </c>
      <c r="E37" s="10">
        <f>E35+E36</f>
        <v>1012987.1370632945</v>
      </c>
      <c r="F37" s="4"/>
      <c r="G37" s="10">
        <f>G35+G36</f>
        <v>493448.83656319469</v>
      </c>
      <c r="H37" s="10">
        <f>H35+H36</f>
        <v>519538.30050009978</v>
      </c>
      <c r="I37" s="4" t="s">
        <v>305</v>
      </c>
      <c r="J37" s="4">
        <f t="shared" si="1"/>
        <v>27</v>
      </c>
      <c r="K37" s="922"/>
      <c r="L37" s="38"/>
      <c r="M37" s="922"/>
      <c r="N37" s="922"/>
    </row>
    <row r="38" spans="1:15" x14ac:dyDescent="0.35">
      <c r="A38" s="4">
        <f t="shared" si="0"/>
        <v>28</v>
      </c>
      <c r="E38" s="10"/>
      <c r="F38" s="4"/>
      <c r="G38" s="10"/>
      <c r="H38" s="10"/>
      <c r="I38" s="4"/>
      <c r="J38" s="4">
        <f t="shared" si="1"/>
        <v>28</v>
      </c>
      <c r="K38" s="922"/>
      <c r="M38" s="922"/>
      <c r="N38" s="922"/>
    </row>
    <row r="39" spans="1:15" x14ac:dyDescent="0.35">
      <c r="A39" s="4">
        <f t="shared" si="0"/>
        <v>29</v>
      </c>
      <c r="B39" s="36" t="s">
        <v>306</v>
      </c>
      <c r="E39" s="981">
        <f>-13281+3760+8962</f>
        <v>-559</v>
      </c>
      <c r="F39" s="265"/>
      <c r="G39" s="982">
        <f>E39*G26</f>
        <v>-285.87361421147023</v>
      </c>
      <c r="H39" s="982">
        <f>E39*H26</f>
        <v>-273.12638578852972</v>
      </c>
      <c r="I39" s="95" t="s">
        <v>307</v>
      </c>
      <c r="J39" s="4">
        <f t="shared" si="1"/>
        <v>29</v>
      </c>
      <c r="K39" s="922"/>
      <c r="L39" s="6"/>
      <c r="M39" s="922"/>
      <c r="N39" s="922"/>
    </row>
    <row r="40" spans="1:15" x14ac:dyDescent="0.35">
      <c r="A40" s="4">
        <f t="shared" si="0"/>
        <v>30</v>
      </c>
      <c r="E40" s="6"/>
      <c r="F40" s="265"/>
      <c r="G40" s="6"/>
      <c r="H40" s="6"/>
      <c r="I40" s="4" t="s">
        <v>308</v>
      </c>
      <c r="J40" s="4">
        <f t="shared" si="1"/>
        <v>30</v>
      </c>
      <c r="K40" s="922"/>
      <c r="M40" s="922"/>
      <c r="N40" s="922"/>
    </row>
    <row r="41" spans="1:15" x14ac:dyDescent="0.35">
      <c r="A41" s="4">
        <f t="shared" si="0"/>
        <v>31</v>
      </c>
      <c r="E41" s="6"/>
      <c r="F41" s="265"/>
      <c r="G41" s="6"/>
      <c r="H41" s="6"/>
      <c r="I41" s="4"/>
      <c r="J41" s="4">
        <f t="shared" si="1"/>
        <v>31</v>
      </c>
      <c r="K41" s="922"/>
      <c r="M41" s="922"/>
      <c r="N41" s="922"/>
    </row>
    <row r="42" spans="1:15" ht="18.5" thickBot="1" x14ac:dyDescent="0.4">
      <c r="A42" s="4">
        <f t="shared" si="0"/>
        <v>32</v>
      </c>
      <c r="B42" s="36" t="s">
        <v>309</v>
      </c>
      <c r="E42" s="40">
        <f>E37+E39</f>
        <v>1012428.1370632945</v>
      </c>
      <c r="F42" s="265"/>
      <c r="G42" s="40">
        <f>G37+G39</f>
        <v>493162.96294898324</v>
      </c>
      <c r="H42" s="40">
        <f>H37+H39</f>
        <v>519265.17411431123</v>
      </c>
      <c r="I42" s="95" t="s">
        <v>310</v>
      </c>
      <c r="J42" s="4">
        <f t="shared" si="1"/>
        <v>32</v>
      </c>
      <c r="K42" s="922"/>
      <c r="L42" s="38"/>
      <c r="M42" s="922"/>
      <c r="N42" s="922"/>
    </row>
    <row r="43" spans="1:15" ht="16" thickTop="1" x14ac:dyDescent="0.35">
      <c r="B43" s="36"/>
      <c r="C43" s="36"/>
      <c r="D43" s="36"/>
      <c r="E43" s="46"/>
      <c r="F43" s="74"/>
      <c r="G43" s="46"/>
      <c r="H43" s="46"/>
      <c r="I43" s="266"/>
      <c r="L43" s="898"/>
      <c r="N43" s="898"/>
    </row>
    <row r="44" spans="1:15" x14ac:dyDescent="0.35">
      <c r="E44" s="38"/>
      <c r="F44" s="38"/>
      <c r="G44" s="38"/>
      <c r="H44" s="38"/>
      <c r="I44" s="266"/>
    </row>
    <row r="45" spans="1:15" ht="18" x14ac:dyDescent="0.35">
      <c r="A45" s="261">
        <v>1</v>
      </c>
      <c r="B45" s="34" t="s">
        <v>311</v>
      </c>
      <c r="I45" s="4"/>
    </row>
    <row r="46" spans="1:15" ht="18" x14ac:dyDescent="0.35">
      <c r="A46" s="261">
        <v>2</v>
      </c>
      <c r="B46" s="34" t="s">
        <v>312</v>
      </c>
    </row>
    <row r="47" spans="1:15" ht="18" x14ac:dyDescent="0.35">
      <c r="A47" s="261">
        <v>3</v>
      </c>
      <c r="B47" s="34" t="s">
        <v>313</v>
      </c>
    </row>
  </sheetData>
  <mergeCells count="9">
    <mergeCell ref="G21:H21"/>
    <mergeCell ref="B2:I2"/>
    <mergeCell ref="B3:I3"/>
    <mergeCell ref="B4:I4"/>
    <mergeCell ref="B5:I5"/>
    <mergeCell ref="B6:I6"/>
    <mergeCell ref="G11:H11"/>
    <mergeCell ref="G9:H9"/>
    <mergeCell ref="G13:I13"/>
  </mergeCells>
  <printOptions horizontalCentered="1"/>
  <pageMargins left="0.5" right="0.5" top="0.5" bottom="0.5" header="0.25" footer="0.25"/>
  <pageSetup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11" style="1" customWidth="1"/>
    <col min="7" max="7" width="7.08984375" style="1" customWidth="1"/>
    <col min="8" max="8" width="9.08984375" style="1" customWidth="1"/>
    <col min="9" max="9" width="14" style="1" customWidth="1"/>
    <col min="10" max="10" width="13.453125" style="1" customWidth="1"/>
    <col min="11" max="16384" width="9.08984375" style="1"/>
  </cols>
  <sheetData>
    <row r="2" spans="1:6" x14ac:dyDescent="0.35">
      <c r="B2" s="1171" t="s">
        <v>0</v>
      </c>
      <c r="C2" s="1171"/>
      <c r="D2" s="1171"/>
    </row>
    <row r="3" spans="1:6" x14ac:dyDescent="0.35">
      <c r="B3" s="1171" t="s">
        <v>491</v>
      </c>
      <c r="C3" s="1171"/>
      <c r="D3" s="1171"/>
    </row>
    <row r="4" spans="1:6" x14ac:dyDescent="0.35">
      <c r="B4" s="1171" t="s">
        <v>492</v>
      </c>
      <c r="C4" s="1171"/>
      <c r="D4" s="1171"/>
    </row>
    <row r="5" spans="1:6" x14ac:dyDescent="0.35">
      <c r="B5" s="1171" t="s">
        <v>364</v>
      </c>
      <c r="C5" s="1171"/>
      <c r="D5" s="1171"/>
    </row>
    <row r="6" spans="1:6" x14ac:dyDescent="0.35">
      <c r="B6" s="1175" t="s">
        <v>5</v>
      </c>
      <c r="C6" s="1175"/>
      <c r="D6" s="1175"/>
    </row>
    <row r="7" spans="1:6" x14ac:dyDescent="0.35">
      <c r="B7" s="277"/>
      <c r="C7" s="277"/>
      <c r="D7" s="277"/>
    </row>
    <row r="8" spans="1:6" x14ac:dyDescent="0.35">
      <c r="B8" s="1171" t="s">
        <v>453</v>
      </c>
      <c r="C8" s="1171"/>
      <c r="D8" s="1171"/>
    </row>
    <row r="9" spans="1:6" ht="15.5" x14ac:dyDescent="0.35">
      <c r="A9" s="4"/>
    </row>
    <row r="10" spans="1:6" ht="15.5" x14ac:dyDescent="0.35">
      <c r="A10" s="4"/>
      <c r="B10" s="321"/>
      <c r="C10" s="333" t="s">
        <v>454</v>
      </c>
      <c r="D10" s="1025"/>
      <c r="E10" s="4"/>
    </row>
    <row r="11" spans="1:6" ht="15.5" x14ac:dyDescent="0.35">
      <c r="A11" s="4" t="s">
        <v>6</v>
      </c>
      <c r="B11" s="308"/>
      <c r="C11" s="280" t="s">
        <v>505</v>
      </c>
      <c r="D11" s="989"/>
      <c r="E11" s="4" t="s">
        <v>6</v>
      </c>
    </row>
    <row r="12" spans="1:6" ht="15.5" x14ac:dyDescent="0.35">
      <c r="A12" s="4" t="s">
        <v>7</v>
      </c>
      <c r="B12" s="316" t="s">
        <v>368</v>
      </c>
      <c r="C12" s="285" t="s">
        <v>456</v>
      </c>
      <c r="D12" s="285" t="s">
        <v>9</v>
      </c>
      <c r="E12" s="4" t="s">
        <v>7</v>
      </c>
    </row>
    <row r="13" spans="1:6" ht="15.5" x14ac:dyDescent="0.35">
      <c r="A13" s="4"/>
      <c r="B13" s="324"/>
      <c r="C13" s="1023"/>
      <c r="D13" s="1026"/>
      <c r="E13" s="4"/>
    </row>
    <row r="14" spans="1:6" ht="15.5" x14ac:dyDescent="0.35">
      <c r="A14" s="4">
        <v>1</v>
      </c>
      <c r="B14" s="651" t="str">
        <f>'AE-1'!B14</f>
        <v>Dec-21</v>
      </c>
      <c r="C14" s="240">
        <v>173963.95592000001</v>
      </c>
      <c r="D14" s="1001" t="s">
        <v>494</v>
      </c>
      <c r="E14" s="4">
        <f>A14</f>
        <v>1</v>
      </c>
      <c r="F14" s="287"/>
    </row>
    <row r="15" spans="1:6" ht="15.5" x14ac:dyDescent="0.35">
      <c r="A15" s="4">
        <f>A14+1</f>
        <v>2</v>
      </c>
      <c r="B15" s="327"/>
      <c r="C15" s="1005"/>
      <c r="D15" s="1005"/>
      <c r="E15" s="4">
        <f>E14+1</f>
        <v>2</v>
      </c>
    </row>
    <row r="16" spans="1:6" ht="15.5" x14ac:dyDescent="0.35">
      <c r="A16" s="4">
        <f t="shared" ref="A16:A20" si="0">A15+1</f>
        <v>3</v>
      </c>
      <c r="B16" s="651" t="str">
        <f>'AE-1'!B26</f>
        <v>Dec-22</v>
      </c>
      <c r="C16" s="241">
        <v>69951.332410000003</v>
      </c>
      <c r="D16" s="1001" t="s">
        <v>495</v>
      </c>
      <c r="E16" s="4">
        <f t="shared" ref="E16:E20" si="1">E15+1</f>
        <v>3</v>
      </c>
      <c r="F16" s="287"/>
    </row>
    <row r="17" spans="1:7" ht="15.5" x14ac:dyDescent="0.35">
      <c r="A17" s="4">
        <f t="shared" si="0"/>
        <v>4</v>
      </c>
      <c r="B17" s="342"/>
      <c r="C17" s="84"/>
      <c r="D17" s="84"/>
      <c r="E17" s="4">
        <f t="shared" si="1"/>
        <v>4</v>
      </c>
    </row>
    <row r="18" spans="1:7" ht="15.5" x14ac:dyDescent="0.35">
      <c r="A18" s="4">
        <f t="shared" si="0"/>
        <v>5</v>
      </c>
      <c r="B18" s="321"/>
      <c r="C18" s="1023"/>
      <c r="D18" s="1026"/>
      <c r="E18" s="4">
        <f t="shared" si="1"/>
        <v>5</v>
      </c>
    </row>
    <row r="19" spans="1:7" ht="15.5" x14ac:dyDescent="0.35">
      <c r="A19" s="4">
        <f t="shared" si="0"/>
        <v>6</v>
      </c>
      <c r="B19" s="329" t="s">
        <v>403</v>
      </c>
      <c r="C19" s="1024">
        <f>(C14+C16)/2</f>
        <v>121957.64416500001</v>
      </c>
      <c r="D19" s="1002" t="s">
        <v>404</v>
      </c>
      <c r="E19" s="4">
        <f t="shared" si="1"/>
        <v>6</v>
      </c>
    </row>
    <row r="20" spans="1:7" ht="15.5" x14ac:dyDescent="0.35">
      <c r="A20" s="4">
        <f t="shared" si="0"/>
        <v>7</v>
      </c>
      <c r="B20" s="338"/>
      <c r="C20" s="70"/>
      <c r="D20" s="97"/>
      <c r="E20" s="4">
        <f t="shared" si="1"/>
        <v>7</v>
      </c>
    </row>
    <row r="21" spans="1:7" ht="15.5" x14ac:dyDescent="0.35">
      <c r="A21" s="4"/>
      <c r="B21" s="34"/>
      <c r="C21" s="31"/>
      <c r="D21" s="34"/>
      <c r="E21" s="4"/>
    </row>
    <row r="22" spans="1:7" ht="15.5" x14ac:dyDescent="0.35">
      <c r="A22" s="4"/>
      <c r="B22" s="34"/>
      <c r="C22" s="34"/>
      <c r="D22" s="34"/>
    </row>
    <row r="23" spans="1:7" ht="18" x14ac:dyDescent="0.35">
      <c r="A23" s="920"/>
      <c r="B23"/>
      <c r="C23"/>
      <c r="D23"/>
      <c r="E23"/>
      <c r="G23" s="263"/>
    </row>
    <row r="24" spans="1:7" x14ac:dyDescent="0.35">
      <c r="A24" s="921"/>
      <c r="B24"/>
      <c r="C24"/>
      <c r="D24"/>
      <c r="E24"/>
    </row>
    <row r="25" spans="1:7" x14ac:dyDescent="0.35">
      <c r="A25" s="921"/>
      <c r="B25"/>
      <c r="C25"/>
      <c r="D25"/>
      <c r="E25"/>
    </row>
    <row r="26" spans="1:7" ht="15.5" x14ac:dyDescent="0.35">
      <c r="B26" s="34"/>
      <c r="C26" s="34"/>
      <c r="D26" s="34"/>
    </row>
    <row r="27" spans="1:7" ht="15.5" x14ac:dyDescent="0.35">
      <c r="B27" s="34"/>
      <c r="C27" s="34"/>
      <c r="D27" s="34"/>
    </row>
    <row r="28" spans="1:7" ht="15.5" x14ac:dyDescent="0.35">
      <c r="B28" s="34"/>
      <c r="C28" s="34"/>
      <c r="D28" s="34"/>
    </row>
    <row r="29" spans="1:7" ht="15.5" x14ac:dyDescent="0.35">
      <c r="B29" s="34"/>
      <c r="C29" s="34"/>
      <c r="D29" s="34"/>
    </row>
    <row r="30" spans="1:7" ht="15.5" x14ac:dyDescent="0.35">
      <c r="B30" s="34"/>
      <c r="C30" s="34"/>
      <c r="D30" s="34"/>
    </row>
    <row r="31" spans="1:7" ht="15.5" x14ac:dyDescent="0.35">
      <c r="B31" s="34"/>
      <c r="C31" s="34"/>
      <c r="D31" s="34"/>
    </row>
    <row r="32" spans="1:7" ht="15.5" x14ac:dyDescent="0.35">
      <c r="B32" s="34"/>
      <c r="C32" s="34"/>
      <c r="D32" s="34"/>
    </row>
    <row r="33" spans="1:5" ht="15.5" x14ac:dyDescent="0.35">
      <c r="B33" s="34"/>
      <c r="C33" s="34"/>
      <c r="D33" s="34"/>
    </row>
    <row r="34" spans="1:5" ht="15.5" x14ac:dyDescent="0.35">
      <c r="B34" s="34"/>
      <c r="C34" s="34"/>
      <c r="D34" s="34"/>
    </row>
    <row r="35" spans="1:5" s="34" customFormat="1" ht="15.5" x14ac:dyDescent="0.35">
      <c r="A35" s="4"/>
      <c r="E35" s="4"/>
    </row>
    <row r="36" spans="1:5" s="34" customFormat="1" ht="15.5" x14ac:dyDescent="0.35">
      <c r="A36" s="4"/>
      <c r="E36" s="4"/>
    </row>
    <row r="37" spans="1:5" s="34" customFormat="1" ht="15.5" x14ac:dyDescent="0.35">
      <c r="A37" s="4"/>
      <c r="E37" s="4"/>
    </row>
    <row r="38" spans="1:5" s="34" customFormat="1" ht="15.5" x14ac:dyDescent="0.35">
      <c r="A38" s="4"/>
      <c r="E38" s="4"/>
    </row>
    <row r="39" spans="1:5" s="34" customFormat="1" ht="15.5" x14ac:dyDescent="0.35">
      <c r="A39" s="4"/>
      <c r="E39" s="4"/>
    </row>
    <row r="40" spans="1:5" s="34" customFormat="1" ht="15.5" x14ac:dyDescent="0.35">
      <c r="A40" s="4"/>
      <c r="E40" s="4"/>
    </row>
    <row r="41" spans="1:5" s="34" customFormat="1" ht="15.5" x14ac:dyDescent="0.3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11" style="1" customWidth="1"/>
    <col min="7" max="7" width="7.08984375" style="1" customWidth="1"/>
    <col min="8" max="8" width="9.08984375" style="1" customWidth="1"/>
    <col min="9" max="9" width="14" style="1" customWidth="1"/>
    <col min="10" max="10" width="13.453125" style="1" customWidth="1"/>
    <col min="11" max="16384" width="9.08984375" style="1"/>
  </cols>
  <sheetData>
    <row r="2" spans="1:6" x14ac:dyDescent="0.35">
      <c r="B2" s="1171" t="s">
        <v>0</v>
      </c>
      <c r="C2" s="1171"/>
      <c r="D2" s="1171"/>
    </row>
    <row r="3" spans="1:6" x14ac:dyDescent="0.35">
      <c r="B3" s="1171" t="s">
        <v>491</v>
      </c>
      <c r="C3" s="1171"/>
      <c r="D3" s="1171"/>
    </row>
    <row r="4" spans="1:6" x14ac:dyDescent="0.35">
      <c r="B4" s="1171" t="s">
        <v>492</v>
      </c>
      <c r="C4" s="1171"/>
      <c r="D4" s="1171"/>
    </row>
    <row r="5" spans="1:6" x14ac:dyDescent="0.35">
      <c r="B5" s="1171" t="s">
        <v>364</v>
      </c>
      <c r="C5" s="1171"/>
      <c r="D5" s="1171"/>
    </row>
    <row r="6" spans="1:6" x14ac:dyDescent="0.35">
      <c r="B6" s="1175" t="s">
        <v>5</v>
      </c>
      <c r="C6" s="1175"/>
      <c r="D6" s="1175"/>
    </row>
    <row r="7" spans="1:6" x14ac:dyDescent="0.35">
      <c r="B7" s="277"/>
      <c r="C7" s="277"/>
      <c r="D7" s="277"/>
    </row>
    <row r="8" spans="1:6" ht="15.5" x14ac:dyDescent="0.35">
      <c r="A8" s="4"/>
      <c r="B8" s="1171" t="s">
        <v>457</v>
      </c>
      <c r="C8" s="1171"/>
      <c r="D8" s="1171"/>
    </row>
    <row r="9" spans="1:6" ht="15.5" x14ac:dyDescent="0.35">
      <c r="A9" s="4"/>
      <c r="E9" s="4"/>
    </row>
    <row r="10" spans="1:6" ht="15.5" x14ac:dyDescent="0.35">
      <c r="A10" s="4"/>
      <c r="B10" s="321"/>
      <c r="C10" s="1035" t="s">
        <v>454</v>
      </c>
      <c r="D10" s="1025"/>
      <c r="E10" s="4"/>
    </row>
    <row r="11" spans="1:6" ht="15.5" x14ac:dyDescent="0.35">
      <c r="A11" s="4" t="s">
        <v>6</v>
      </c>
      <c r="B11" s="308"/>
      <c r="C11" s="280" t="s">
        <v>506</v>
      </c>
      <c r="D11" s="989"/>
      <c r="E11" s="4" t="s">
        <v>6</v>
      </c>
    </row>
    <row r="12" spans="1:6" ht="15.5" x14ac:dyDescent="0.35">
      <c r="A12" s="4" t="s">
        <v>7</v>
      </c>
      <c r="B12" s="316" t="s">
        <v>368</v>
      </c>
      <c r="C12" s="285" t="s">
        <v>456</v>
      </c>
      <c r="D12" s="285" t="s">
        <v>9</v>
      </c>
      <c r="E12" s="4" t="s">
        <v>7</v>
      </c>
    </row>
    <row r="13" spans="1:6" ht="15.5" x14ac:dyDescent="0.35">
      <c r="A13" s="4"/>
      <c r="B13" s="324"/>
      <c r="C13" s="1023"/>
      <c r="D13" s="1026"/>
      <c r="E13" s="4"/>
    </row>
    <row r="14" spans="1:6" ht="15.5" x14ac:dyDescent="0.35">
      <c r="A14" s="4">
        <v>1</v>
      </c>
      <c r="B14" s="651" t="str">
        <f>'AE-2'!B14</f>
        <v>Dec-21</v>
      </c>
      <c r="C14" s="240">
        <v>219537.53417000003</v>
      </c>
      <c r="D14" s="1001" t="s">
        <v>494</v>
      </c>
      <c r="E14" s="4">
        <f>A14</f>
        <v>1</v>
      </c>
      <c r="F14" s="287"/>
    </row>
    <row r="15" spans="1:6" ht="15.5" x14ac:dyDescent="0.35">
      <c r="A15" s="4">
        <f>A14+1</f>
        <v>2</v>
      </c>
      <c r="B15" s="327"/>
      <c r="C15" s="1005"/>
      <c r="D15" s="1005"/>
      <c r="E15" s="4">
        <f>E14+1</f>
        <v>2</v>
      </c>
    </row>
    <row r="16" spans="1:6" ht="15.5" x14ac:dyDescent="0.35">
      <c r="A16" s="4">
        <f t="shared" ref="A16:A20" si="0">A15+1</f>
        <v>3</v>
      </c>
      <c r="B16" s="651" t="str">
        <f>'AE-2'!B16</f>
        <v>Dec-22</v>
      </c>
      <c r="C16" s="241">
        <v>243049.83005000002</v>
      </c>
      <c r="D16" s="1001" t="s">
        <v>495</v>
      </c>
      <c r="E16" s="4">
        <f t="shared" ref="E16:E20" si="1">E15+1</f>
        <v>3</v>
      </c>
      <c r="F16" s="287"/>
    </row>
    <row r="17" spans="1:5" ht="15.5" x14ac:dyDescent="0.35">
      <c r="A17" s="4">
        <f t="shared" si="0"/>
        <v>4</v>
      </c>
      <c r="B17" s="338"/>
      <c r="C17" s="85"/>
      <c r="D17" s="69"/>
      <c r="E17" s="4">
        <f t="shared" si="1"/>
        <v>4</v>
      </c>
    </row>
    <row r="18" spans="1:5" ht="15.5" x14ac:dyDescent="0.35">
      <c r="A18" s="4">
        <f t="shared" si="0"/>
        <v>5</v>
      </c>
      <c r="B18" s="329"/>
      <c r="C18" s="1023"/>
      <c r="D18" s="1026"/>
      <c r="E18" s="4">
        <f t="shared" si="1"/>
        <v>5</v>
      </c>
    </row>
    <row r="19" spans="1:5" ht="15.5" x14ac:dyDescent="0.35">
      <c r="A19" s="4">
        <f t="shared" si="0"/>
        <v>6</v>
      </c>
      <c r="B19" s="329" t="s">
        <v>403</v>
      </c>
      <c r="C19" s="1024">
        <f>(C14+C16)/2</f>
        <v>231293.68211000002</v>
      </c>
      <c r="D19" s="1002" t="s">
        <v>404</v>
      </c>
      <c r="E19" s="4">
        <f t="shared" si="1"/>
        <v>6</v>
      </c>
    </row>
    <row r="20" spans="1:5" ht="15.5" x14ac:dyDescent="0.35">
      <c r="A20" s="4">
        <f t="shared" si="0"/>
        <v>7</v>
      </c>
      <c r="B20" s="338"/>
      <c r="C20" s="70"/>
      <c r="D20" s="97"/>
      <c r="E20" s="4">
        <f t="shared" si="1"/>
        <v>7</v>
      </c>
    </row>
    <row r="21" spans="1:5" ht="15.5" x14ac:dyDescent="0.35">
      <c r="A21" s="4"/>
      <c r="B21" s="34"/>
      <c r="C21" s="31"/>
      <c r="D21" s="34"/>
      <c r="E21" s="4"/>
    </row>
    <row r="22" spans="1:5" ht="15.5" x14ac:dyDescent="0.35">
      <c r="A22" s="4"/>
      <c r="B22" s="34"/>
      <c r="C22" s="34"/>
      <c r="D22" s="34"/>
    </row>
    <row r="23" spans="1:5" ht="15.5" x14ac:dyDescent="0.35">
      <c r="B23" s="34"/>
      <c r="C23" s="34"/>
      <c r="D23" s="34"/>
    </row>
    <row r="24" spans="1:5" ht="15.5" x14ac:dyDescent="0.35">
      <c r="B24" s="34"/>
      <c r="C24" s="34"/>
      <c r="D24" s="34"/>
    </row>
    <row r="25" spans="1:5" ht="15.5" x14ac:dyDescent="0.35">
      <c r="B25" s="34"/>
      <c r="C25" s="34"/>
      <c r="D25" s="34"/>
    </row>
    <row r="26" spans="1:5" ht="15.5" x14ac:dyDescent="0.35">
      <c r="B26" s="34"/>
      <c r="C26" s="34"/>
      <c r="D26" s="34"/>
    </row>
    <row r="27" spans="1:5" ht="15.5" x14ac:dyDescent="0.35">
      <c r="B27" s="34"/>
      <c r="C27" s="34"/>
      <c r="D27" s="34"/>
    </row>
    <row r="28" spans="1:5" ht="15.5" x14ac:dyDescent="0.35">
      <c r="B28" s="34"/>
      <c r="C28" s="34"/>
      <c r="D28" s="34"/>
    </row>
    <row r="29" spans="1:5" ht="15.5" x14ac:dyDescent="0.35">
      <c r="B29" s="34"/>
      <c r="C29" s="34"/>
      <c r="D29" s="34"/>
    </row>
    <row r="30" spans="1:5" ht="15.5" x14ac:dyDescent="0.35">
      <c r="B30" s="34"/>
      <c r="C30" s="34"/>
      <c r="D30" s="34"/>
    </row>
    <row r="31" spans="1:5" ht="15.5" x14ac:dyDescent="0.35">
      <c r="B31" s="34"/>
      <c r="C31" s="34"/>
      <c r="D31" s="34"/>
    </row>
    <row r="32" spans="1:5" ht="15.5" x14ac:dyDescent="0.35">
      <c r="B32" s="34"/>
      <c r="C32" s="34"/>
      <c r="D32" s="34"/>
    </row>
    <row r="33" spans="1:5" ht="15.5" x14ac:dyDescent="0.35">
      <c r="B33" s="34"/>
      <c r="C33" s="34"/>
      <c r="D33" s="34"/>
    </row>
    <row r="34" spans="1:5" ht="15.5" x14ac:dyDescent="0.35">
      <c r="B34" s="34"/>
      <c r="C34" s="34"/>
      <c r="D34" s="34"/>
    </row>
    <row r="35" spans="1:5" s="34" customFormat="1" ht="15.5" x14ac:dyDescent="0.35">
      <c r="A35" s="4"/>
      <c r="E35" s="4"/>
    </row>
    <row r="36" spans="1:5" s="34" customFormat="1" ht="15.5" x14ac:dyDescent="0.35">
      <c r="A36" s="4"/>
      <c r="E36" s="4"/>
    </row>
    <row r="37" spans="1:5" s="34" customFormat="1" ht="15.5" x14ac:dyDescent="0.35">
      <c r="A37" s="4"/>
      <c r="E37" s="4"/>
    </row>
    <row r="38" spans="1:5" s="34" customFormat="1" ht="15.5" x14ac:dyDescent="0.35">
      <c r="A38" s="4"/>
      <c r="E38" s="4"/>
    </row>
    <row r="39" spans="1:5" s="34" customFormat="1" ht="15.5" x14ac:dyDescent="0.35">
      <c r="A39" s="4"/>
      <c r="E39" s="4"/>
    </row>
    <row r="40" spans="1:5" s="34" customFormat="1" ht="15.5" x14ac:dyDescent="0.35">
      <c r="A40" s="4"/>
      <c r="E40" s="4"/>
    </row>
    <row r="41" spans="1:5" s="34" customFormat="1" ht="15.5" x14ac:dyDescent="0.35">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27"/>
  <sheetViews>
    <sheetView zoomScale="80" zoomScaleNormal="80" workbookViewId="0"/>
  </sheetViews>
  <sheetFormatPr defaultColWidth="9.08984375" defaultRowHeight="15" x14ac:dyDescent="0.35"/>
  <cols>
    <col min="1" max="1" width="5.08984375" style="226" customWidth="1"/>
    <col min="2" max="2" width="8.54296875" style="1" customWidth="1"/>
    <col min="3" max="3" width="41.08984375" style="1" customWidth="1"/>
    <col min="4" max="4" width="18.54296875" style="1" customWidth="1"/>
    <col min="5" max="5" width="62.54296875" style="1" customWidth="1"/>
    <col min="6" max="6" width="5.08984375" style="226" customWidth="1"/>
    <col min="7" max="7" width="24" style="1" customWidth="1"/>
    <col min="8" max="8" width="11" style="1" customWidth="1"/>
    <col min="9" max="9" width="7.08984375" style="1" customWidth="1"/>
    <col min="10" max="10" width="9.08984375" style="1" customWidth="1"/>
    <col min="11" max="11" width="14" style="1" customWidth="1"/>
    <col min="12" max="12" width="13.453125" style="1" customWidth="1"/>
    <col min="13" max="16384" width="9.08984375" style="1"/>
  </cols>
  <sheetData>
    <row r="2" spans="1:7" x14ac:dyDescent="0.35">
      <c r="B2" s="1171" t="s">
        <v>0</v>
      </c>
      <c r="C2" s="1171"/>
      <c r="D2" s="1171"/>
      <c r="E2" s="1171"/>
      <c r="G2"/>
    </row>
    <row r="3" spans="1:7" x14ac:dyDescent="0.35">
      <c r="B3" s="1171" t="s">
        <v>491</v>
      </c>
      <c r="C3" s="1171"/>
      <c r="D3" s="1171"/>
      <c r="E3" s="1171"/>
    </row>
    <row r="4" spans="1:7" x14ac:dyDescent="0.35">
      <c r="B4" s="1171" t="s">
        <v>492</v>
      </c>
      <c r="C4" s="1171"/>
      <c r="D4" s="1171"/>
      <c r="E4" s="1171"/>
    </row>
    <row r="5" spans="1:7" x14ac:dyDescent="0.35">
      <c r="B5" s="1171" t="s">
        <v>364</v>
      </c>
      <c r="C5" s="1171"/>
      <c r="D5" s="1171"/>
      <c r="E5" s="1171"/>
    </row>
    <row r="6" spans="1:7" x14ac:dyDescent="0.35">
      <c r="B6" s="1175" t="s">
        <v>5</v>
      </c>
      <c r="C6" s="1175"/>
      <c r="D6" s="1175"/>
      <c r="E6" s="1175"/>
    </row>
    <row r="7" spans="1:7" x14ac:dyDescent="0.35">
      <c r="B7" s="277"/>
      <c r="C7" s="277"/>
      <c r="D7" s="277"/>
      <c r="E7" s="277"/>
    </row>
    <row r="8" spans="1:7" x14ac:dyDescent="0.35">
      <c r="B8" s="1171" t="s">
        <v>459</v>
      </c>
      <c r="C8" s="1171"/>
      <c r="D8" s="1171"/>
      <c r="E8" s="1171"/>
    </row>
    <row r="9" spans="1:7" ht="15.5" x14ac:dyDescent="0.35">
      <c r="A9" s="4"/>
      <c r="F9" s="4"/>
    </row>
    <row r="10" spans="1:7" ht="15.5" x14ac:dyDescent="0.35">
      <c r="A10" s="4" t="s">
        <v>6</v>
      </c>
      <c r="B10" s="331"/>
      <c r="C10" s="331"/>
      <c r="D10" s="332"/>
      <c r="E10" s="333"/>
      <c r="F10" s="4" t="s">
        <v>6</v>
      </c>
    </row>
    <row r="11" spans="1:7" ht="15.5" x14ac:dyDescent="0.35">
      <c r="A11" s="4" t="s">
        <v>7</v>
      </c>
      <c r="B11" s="316" t="s">
        <v>368</v>
      </c>
      <c r="C11" s="316" t="s">
        <v>423</v>
      </c>
      <c r="D11" s="316" t="s">
        <v>8</v>
      </c>
      <c r="E11" s="285" t="s">
        <v>9</v>
      </c>
      <c r="F11" s="4" t="s">
        <v>7</v>
      </c>
    </row>
    <row r="12" spans="1:7" ht="15.5" x14ac:dyDescent="0.35">
      <c r="A12" s="4"/>
      <c r="B12" s="334"/>
      <c r="C12" s="334"/>
      <c r="D12" s="334"/>
      <c r="E12" s="335"/>
      <c r="F12" s="4"/>
    </row>
    <row r="13" spans="1:7" ht="15.5" x14ac:dyDescent="0.35">
      <c r="A13" s="4">
        <v>1</v>
      </c>
      <c r="B13" s="651" t="str">
        <f>'AE-3'!B14</f>
        <v>Dec-21</v>
      </c>
      <c r="C13" s="336" t="s">
        <v>460</v>
      </c>
      <c r="D13" s="346">
        <v>857931.94299999997</v>
      </c>
      <c r="E13" s="589" t="s">
        <v>507</v>
      </c>
      <c r="F13" s="4">
        <f>A13</f>
        <v>1</v>
      </c>
    </row>
    <row r="14" spans="1:7" ht="15.5" x14ac:dyDescent="0.35">
      <c r="A14" s="4">
        <f>A13+1</f>
        <v>2</v>
      </c>
      <c r="B14" s="336"/>
      <c r="C14" s="336" t="s">
        <v>462</v>
      </c>
      <c r="D14" s="255">
        <v>0.74670000000000003</v>
      </c>
      <c r="E14" s="1027" t="s">
        <v>508</v>
      </c>
      <c r="F14" s="4">
        <f>F13+1</f>
        <v>2</v>
      </c>
    </row>
    <row r="15" spans="1:7" ht="15.5" x14ac:dyDescent="0.35">
      <c r="A15" s="4">
        <f t="shared" ref="A15:A23" si="0">A14+1</f>
        <v>3</v>
      </c>
      <c r="B15" s="336"/>
      <c r="C15" s="336" t="s">
        <v>509</v>
      </c>
      <c r="D15" s="589">
        <f>D13*D14</f>
        <v>640617.78183810005</v>
      </c>
      <c r="E15" s="1001" t="s">
        <v>465</v>
      </c>
      <c r="F15" s="4">
        <f t="shared" ref="F15:F22" si="1">F14+1</f>
        <v>3</v>
      </c>
    </row>
    <row r="16" spans="1:7" ht="15.5" x14ac:dyDescent="0.35">
      <c r="A16" s="4">
        <f t="shared" si="0"/>
        <v>4</v>
      </c>
      <c r="B16" s="336"/>
      <c r="C16" s="336"/>
      <c r="D16" s="589"/>
      <c r="E16" s="1001"/>
      <c r="F16" s="4">
        <f t="shared" si="1"/>
        <v>4</v>
      </c>
    </row>
    <row r="17" spans="1:7" ht="15.5" x14ac:dyDescent="0.35">
      <c r="A17" s="4">
        <f t="shared" si="0"/>
        <v>5</v>
      </c>
      <c r="B17" s="651" t="str">
        <f>'AE-3'!B16</f>
        <v>Dec-22</v>
      </c>
      <c r="C17" s="336" t="s">
        <v>460</v>
      </c>
      <c r="D17" s="346">
        <v>883346.59900000005</v>
      </c>
      <c r="E17" s="589" t="s">
        <v>510</v>
      </c>
      <c r="F17" s="4">
        <f t="shared" si="1"/>
        <v>5</v>
      </c>
    </row>
    <row r="18" spans="1:7" ht="15.5" x14ac:dyDescent="0.35">
      <c r="A18" s="4">
        <f t="shared" si="0"/>
        <v>6</v>
      </c>
      <c r="B18" s="336"/>
      <c r="C18" s="336" t="s">
        <v>462</v>
      </c>
      <c r="D18" s="255">
        <v>0.73170000000000002</v>
      </c>
      <c r="E18" s="1027" t="s">
        <v>511</v>
      </c>
      <c r="F18" s="4">
        <f t="shared" si="1"/>
        <v>6</v>
      </c>
      <c r="G18" s="263"/>
    </row>
    <row r="19" spans="1:7" ht="15.5" x14ac:dyDescent="0.35">
      <c r="A19" s="4">
        <f t="shared" si="0"/>
        <v>7</v>
      </c>
      <c r="B19" s="336"/>
      <c r="C19" s="336" t="s">
        <v>509</v>
      </c>
      <c r="D19" s="589">
        <f>D17*D18</f>
        <v>646344.7064883</v>
      </c>
      <c r="E19" s="1001" t="s">
        <v>467</v>
      </c>
      <c r="F19" s="4">
        <f t="shared" si="1"/>
        <v>7</v>
      </c>
    </row>
    <row r="20" spans="1:7" ht="15.5" x14ac:dyDescent="0.35">
      <c r="A20" s="4">
        <f t="shared" si="0"/>
        <v>8</v>
      </c>
      <c r="B20" s="337"/>
      <c r="C20" s="316"/>
      <c r="D20" s="337"/>
      <c r="E20" s="301"/>
      <c r="F20" s="4">
        <f t="shared" si="1"/>
        <v>8</v>
      </c>
    </row>
    <row r="21" spans="1:7" ht="15.5" x14ac:dyDescent="0.35">
      <c r="A21" s="4">
        <f t="shared" si="0"/>
        <v>9</v>
      </c>
      <c r="B21" s="321"/>
      <c r="D21" s="329"/>
      <c r="E21" s="288"/>
      <c r="F21" s="4">
        <f t="shared" si="1"/>
        <v>9</v>
      </c>
    </row>
    <row r="22" spans="1:7" ht="15.5" x14ac:dyDescent="0.35">
      <c r="A22" s="4">
        <f t="shared" si="0"/>
        <v>10</v>
      </c>
      <c r="B22" s="329" t="s">
        <v>403</v>
      </c>
      <c r="D22" s="1024">
        <f>(D15+D19)/2</f>
        <v>643481.24416320003</v>
      </c>
      <c r="E22" s="995" t="s">
        <v>468</v>
      </c>
      <c r="F22" s="4">
        <f t="shared" si="1"/>
        <v>10</v>
      </c>
    </row>
    <row r="23" spans="1:7" ht="15.5" x14ac:dyDescent="0.35">
      <c r="A23" s="4">
        <f t="shared" si="0"/>
        <v>11</v>
      </c>
      <c r="B23" s="338"/>
      <c r="C23" s="1029"/>
      <c r="D23" s="338"/>
      <c r="E23" s="69"/>
      <c r="F23" s="4">
        <f t="shared" ref="F23" si="2">F22+1</f>
        <v>11</v>
      </c>
    </row>
    <row r="24" spans="1:7" ht="15.5" x14ac:dyDescent="0.35">
      <c r="A24" s="4"/>
      <c r="B24" s="303"/>
      <c r="C24" s="303"/>
      <c r="D24" s="34"/>
      <c r="E24" s="34"/>
    </row>
    <row r="25" spans="1:7" ht="15.5" x14ac:dyDescent="0.35">
      <c r="B25" s="34"/>
      <c r="C25" s="34"/>
      <c r="D25" s="34"/>
      <c r="E25" s="34"/>
    </row>
    <row r="26" spans="1:7" ht="15.5" x14ac:dyDescent="0.35">
      <c r="B26" s="34"/>
      <c r="C26" s="34"/>
      <c r="D26" s="34"/>
      <c r="E26" s="34"/>
    </row>
    <row r="27" spans="1:7" ht="15.5" x14ac:dyDescent="0.35">
      <c r="B27" s="34"/>
      <c r="C27" s="34"/>
      <c r="D27" s="34"/>
      <c r="E27" s="34"/>
    </row>
  </sheetData>
  <mergeCells count="6">
    <mergeCell ref="B8:E8"/>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9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7" x14ac:dyDescent="0.35">
      <c r="B2" s="1171" t="s">
        <v>0</v>
      </c>
      <c r="C2" s="1171"/>
      <c r="D2" s="1171"/>
      <c r="E2" s="1171"/>
      <c r="F2" s="1171"/>
    </row>
    <row r="3" spans="1:7" x14ac:dyDescent="0.35">
      <c r="B3" s="1171" t="s">
        <v>491</v>
      </c>
      <c r="C3" s="1171"/>
      <c r="D3" s="1171"/>
      <c r="E3" s="1171"/>
      <c r="F3" s="1171"/>
    </row>
    <row r="4" spans="1:7" x14ac:dyDescent="0.35">
      <c r="B4" s="1171" t="s">
        <v>512</v>
      </c>
      <c r="C4" s="1171"/>
      <c r="D4" s="1171"/>
      <c r="E4" s="1171"/>
      <c r="F4" s="1171"/>
    </row>
    <row r="5" spans="1:7" ht="15.5" x14ac:dyDescent="0.35">
      <c r="B5" s="1171" t="s">
        <v>364</v>
      </c>
      <c r="C5" s="1171"/>
      <c r="D5" s="1171"/>
      <c r="E5" s="1171"/>
      <c r="F5" s="1171"/>
      <c r="G5" s="4"/>
    </row>
    <row r="6" spans="1:7" ht="15.5" x14ac:dyDescent="0.35">
      <c r="B6" s="1175" t="s">
        <v>5</v>
      </c>
      <c r="C6" s="1175"/>
      <c r="D6" s="1175"/>
      <c r="E6" s="1175"/>
      <c r="F6" s="1175"/>
      <c r="G6" s="4"/>
    </row>
    <row r="7" spans="1:7" ht="15.5" x14ac:dyDescent="0.35">
      <c r="B7" s="347"/>
      <c r="C7" s="278"/>
      <c r="D7" s="278"/>
      <c r="E7" s="277"/>
      <c r="F7" s="277"/>
      <c r="G7" s="4"/>
    </row>
    <row r="8" spans="1:7" ht="15.5" x14ac:dyDescent="0.35">
      <c r="B8" s="1182" t="s">
        <v>449</v>
      </c>
      <c r="C8" s="1183"/>
      <c r="D8" s="1183"/>
      <c r="E8" s="1183"/>
      <c r="F8" s="1183"/>
      <c r="G8" s="4"/>
    </row>
    <row r="9" spans="1:7" ht="15.5" x14ac:dyDescent="0.35">
      <c r="G9" s="4"/>
    </row>
    <row r="10" spans="1:7" ht="15.5" x14ac:dyDescent="0.35">
      <c r="A10" s="4"/>
      <c r="B10" s="987"/>
      <c r="C10" s="279" t="s">
        <v>513</v>
      </c>
      <c r="D10" s="988"/>
      <c r="E10" s="279" t="s">
        <v>450</v>
      </c>
      <c r="F10" s="988"/>
      <c r="G10" s="4"/>
    </row>
    <row r="11" spans="1:7" ht="15.5" x14ac:dyDescent="0.35">
      <c r="A11" s="4"/>
      <c r="B11" s="280"/>
      <c r="C11" s="226" t="s">
        <v>406</v>
      </c>
      <c r="D11" s="280"/>
      <c r="E11" s="284" t="s">
        <v>451</v>
      </c>
      <c r="F11" s="280"/>
      <c r="G11" s="4"/>
    </row>
    <row r="12" spans="1:7" ht="15.5" x14ac:dyDescent="0.35">
      <c r="A12" s="4" t="s">
        <v>6</v>
      </c>
      <c r="B12" s="283"/>
      <c r="C12" s="226" t="s">
        <v>493</v>
      </c>
      <c r="D12" s="280"/>
      <c r="E12" s="284" t="s">
        <v>493</v>
      </c>
      <c r="F12" s="280"/>
      <c r="G12" s="4" t="s">
        <v>6</v>
      </c>
    </row>
    <row r="13" spans="1:7" ht="15.5" x14ac:dyDescent="0.35">
      <c r="A13" s="4" t="s">
        <v>7</v>
      </c>
      <c r="B13" s="285" t="s">
        <v>368</v>
      </c>
      <c r="C13" s="990" t="s">
        <v>369</v>
      </c>
      <c r="D13" s="285" t="s">
        <v>9</v>
      </c>
      <c r="E13" s="286" t="s">
        <v>452</v>
      </c>
      <c r="F13" s="285" t="s">
        <v>9</v>
      </c>
      <c r="G13" s="4" t="s">
        <v>7</v>
      </c>
    </row>
    <row r="14" spans="1:7" ht="15.5" x14ac:dyDescent="0.35">
      <c r="A14" s="4">
        <v>1</v>
      </c>
      <c r="B14" s="991" t="str">
        <f>'AE-1'!B14</f>
        <v>Dec-21</v>
      </c>
      <c r="C14" s="61">
        <v>0</v>
      </c>
      <c r="D14" s="1002" t="s">
        <v>372</v>
      </c>
      <c r="E14" s="61">
        <v>0</v>
      </c>
      <c r="F14" s="1002" t="s">
        <v>372</v>
      </c>
      <c r="G14" s="4">
        <f>A14</f>
        <v>1</v>
      </c>
    </row>
    <row r="15" spans="1:7" ht="15.5" x14ac:dyDescent="0.35">
      <c r="A15" s="4">
        <f>A14+1</f>
        <v>2</v>
      </c>
      <c r="B15" s="991" t="str">
        <f>'AE-1'!B15</f>
        <v>Jan-22</v>
      </c>
      <c r="C15" s="55">
        <v>0</v>
      </c>
      <c r="D15" s="1001"/>
      <c r="E15" s="55">
        <v>0</v>
      </c>
      <c r="F15" s="1001"/>
      <c r="G15" s="4">
        <f>G14+1</f>
        <v>2</v>
      </c>
    </row>
    <row r="16" spans="1:7" ht="15.5" x14ac:dyDescent="0.35">
      <c r="A16" s="4">
        <f t="shared" ref="A16:A32" si="0">A15+1</f>
        <v>3</v>
      </c>
      <c r="B16" s="994" t="s">
        <v>375</v>
      </c>
      <c r="C16" s="55">
        <v>0</v>
      </c>
      <c r="D16" s="1001"/>
      <c r="E16" s="55">
        <v>0</v>
      </c>
      <c r="F16" s="1001"/>
      <c r="G16" s="4">
        <f t="shared" ref="G16:G32" si="1">G15+1</f>
        <v>3</v>
      </c>
    </row>
    <row r="17" spans="1:7" ht="15.5" x14ac:dyDescent="0.35">
      <c r="A17" s="4">
        <f t="shared" si="0"/>
        <v>4</v>
      </c>
      <c r="B17" s="994" t="s">
        <v>376</v>
      </c>
      <c r="C17" s="55">
        <v>0</v>
      </c>
      <c r="D17" s="1001"/>
      <c r="E17" s="68">
        <v>0</v>
      </c>
      <c r="F17" s="1001"/>
      <c r="G17" s="4">
        <f t="shared" si="1"/>
        <v>4</v>
      </c>
    </row>
    <row r="18" spans="1:7" ht="15.5" x14ac:dyDescent="0.35">
      <c r="A18" s="4">
        <f t="shared" si="0"/>
        <v>5</v>
      </c>
      <c r="B18" s="994" t="s">
        <v>377</v>
      </c>
      <c r="C18" s="55">
        <v>0</v>
      </c>
      <c r="D18" s="1001"/>
      <c r="E18" s="68">
        <v>0</v>
      </c>
      <c r="F18" s="1001"/>
      <c r="G18" s="4">
        <f t="shared" si="1"/>
        <v>5</v>
      </c>
    </row>
    <row r="19" spans="1:7" ht="15.5" x14ac:dyDescent="0.35">
      <c r="A19" s="4">
        <f t="shared" si="0"/>
        <v>6</v>
      </c>
      <c r="B19" s="994" t="s">
        <v>378</v>
      </c>
      <c r="C19" s="55">
        <v>0</v>
      </c>
      <c r="D19" s="1001"/>
      <c r="E19" s="68">
        <v>0</v>
      </c>
      <c r="F19" s="1001"/>
      <c r="G19" s="4">
        <f t="shared" si="1"/>
        <v>6</v>
      </c>
    </row>
    <row r="20" spans="1:7" ht="15.5" x14ac:dyDescent="0.35">
      <c r="A20" s="4">
        <f>A19+1</f>
        <v>7</v>
      </c>
      <c r="B20" s="994" t="s">
        <v>379</v>
      </c>
      <c r="C20" s="55">
        <v>0</v>
      </c>
      <c r="D20" s="1001"/>
      <c r="E20" s="68">
        <v>0</v>
      </c>
      <c r="F20" s="1001"/>
      <c r="G20" s="4">
        <f>G19+1</f>
        <v>7</v>
      </c>
    </row>
    <row r="21" spans="1:7" ht="15.5" x14ac:dyDescent="0.35">
      <c r="A21" s="4">
        <f t="shared" si="0"/>
        <v>8</v>
      </c>
      <c r="B21" s="994" t="s">
        <v>380</v>
      </c>
      <c r="C21" s="55">
        <v>0</v>
      </c>
      <c r="D21" s="1001"/>
      <c r="E21" s="68">
        <v>0</v>
      </c>
      <c r="F21" s="1001"/>
      <c r="G21" s="4">
        <f t="shared" si="1"/>
        <v>8</v>
      </c>
    </row>
    <row r="22" spans="1:7" ht="15.5" x14ac:dyDescent="0.35">
      <c r="A22" s="4">
        <f t="shared" si="0"/>
        <v>9</v>
      </c>
      <c r="B22" s="994" t="s">
        <v>381</v>
      </c>
      <c r="C22" s="55">
        <v>0</v>
      </c>
      <c r="D22" s="1001"/>
      <c r="E22" s="68">
        <v>0</v>
      </c>
      <c r="F22" s="1001"/>
      <c r="G22" s="4">
        <f t="shared" si="1"/>
        <v>9</v>
      </c>
    </row>
    <row r="23" spans="1:7" ht="15.5" x14ac:dyDescent="0.35">
      <c r="A23" s="4">
        <f t="shared" si="0"/>
        <v>10</v>
      </c>
      <c r="B23" s="994" t="s">
        <v>382</v>
      </c>
      <c r="C23" s="55">
        <v>0</v>
      </c>
      <c r="D23" s="1001"/>
      <c r="E23" s="68">
        <v>0</v>
      </c>
      <c r="F23" s="1001"/>
      <c r="G23" s="4">
        <f t="shared" si="1"/>
        <v>10</v>
      </c>
    </row>
    <row r="24" spans="1:7" ht="15.5" x14ac:dyDescent="0.35">
      <c r="A24" s="4">
        <f t="shared" si="0"/>
        <v>11</v>
      </c>
      <c r="B24" s="994" t="s">
        <v>383</v>
      </c>
      <c r="C24" s="55">
        <v>0</v>
      </c>
      <c r="D24" s="1001"/>
      <c r="E24" s="68">
        <v>0</v>
      </c>
      <c r="F24" s="1001"/>
      <c r="G24" s="4">
        <f t="shared" si="1"/>
        <v>11</v>
      </c>
    </row>
    <row r="25" spans="1:7" ht="15.5" x14ac:dyDescent="0.35">
      <c r="A25" s="4">
        <f t="shared" si="0"/>
        <v>12</v>
      </c>
      <c r="B25" s="994" t="s">
        <v>384</v>
      </c>
      <c r="C25" s="55">
        <v>0</v>
      </c>
      <c r="D25" s="1001"/>
      <c r="E25" s="68">
        <v>0</v>
      </c>
      <c r="F25" s="1001"/>
      <c r="G25" s="4">
        <f t="shared" si="1"/>
        <v>12</v>
      </c>
    </row>
    <row r="26" spans="1:7" ht="15.5" x14ac:dyDescent="0.35">
      <c r="A26" s="4">
        <f t="shared" si="0"/>
        <v>13</v>
      </c>
      <c r="B26" s="652" t="str">
        <f>'AE-1'!B26</f>
        <v>Dec-22</v>
      </c>
      <c r="C26" s="56">
        <v>0</v>
      </c>
      <c r="D26" s="610" t="s">
        <v>372</v>
      </c>
      <c r="E26" s="56">
        <v>0</v>
      </c>
      <c r="F26" s="1002" t="s">
        <v>372</v>
      </c>
      <c r="G26" s="4">
        <f t="shared" si="1"/>
        <v>13</v>
      </c>
    </row>
    <row r="27" spans="1:7" ht="15.5" x14ac:dyDescent="0.35">
      <c r="A27" s="4">
        <f t="shared" si="0"/>
        <v>14</v>
      </c>
      <c r="B27" s="288"/>
      <c r="C27" s="62"/>
      <c r="D27" s="987"/>
      <c r="E27" s="63"/>
      <c r="F27" s="1006"/>
      <c r="G27" s="4">
        <f t="shared" si="1"/>
        <v>14</v>
      </c>
    </row>
    <row r="28" spans="1:7" ht="15.5" x14ac:dyDescent="0.35">
      <c r="A28" s="4">
        <f t="shared" si="0"/>
        <v>15</v>
      </c>
      <c r="B28" s="288" t="s">
        <v>387</v>
      </c>
      <c r="C28" s="58">
        <f>SUM(C14:C26)</f>
        <v>0</v>
      </c>
      <c r="D28" s="1002" t="s">
        <v>388</v>
      </c>
      <c r="E28" s="58">
        <f>SUM(E14:E26)</f>
        <v>0</v>
      </c>
      <c r="F28" s="1002" t="s">
        <v>388</v>
      </c>
      <c r="G28" s="4">
        <f t="shared" si="1"/>
        <v>15</v>
      </c>
    </row>
    <row r="29" spans="1:7" ht="15.5" x14ac:dyDescent="0.35">
      <c r="A29" s="4">
        <f t="shared" si="0"/>
        <v>16</v>
      </c>
      <c r="B29" s="124"/>
      <c r="C29" s="64"/>
      <c r="D29" s="84"/>
      <c r="E29" s="64"/>
      <c r="F29" s="84"/>
      <c r="G29" s="4">
        <f t="shared" si="1"/>
        <v>16</v>
      </c>
    </row>
    <row r="30" spans="1:7" ht="15.5" x14ac:dyDescent="0.35">
      <c r="A30" s="4">
        <f t="shared" si="0"/>
        <v>17</v>
      </c>
      <c r="B30" s="288"/>
      <c r="C30" s="82"/>
      <c r="D30" s="696"/>
      <c r="E30" s="82"/>
      <c r="F30" s="696"/>
      <c r="G30" s="4">
        <f t="shared" si="1"/>
        <v>17</v>
      </c>
    </row>
    <row r="31" spans="1:7" ht="15.5" x14ac:dyDescent="0.35">
      <c r="A31" s="4">
        <f t="shared" si="0"/>
        <v>18</v>
      </c>
      <c r="B31" s="288" t="s">
        <v>389</v>
      </c>
      <c r="C31" s="58">
        <f>C28/13</f>
        <v>0</v>
      </c>
      <c r="D31" s="695" t="s">
        <v>390</v>
      </c>
      <c r="E31" s="58">
        <f>E28/13</f>
        <v>0</v>
      </c>
      <c r="F31" s="695" t="s">
        <v>390</v>
      </c>
      <c r="G31" s="4">
        <f t="shared" si="1"/>
        <v>18</v>
      </c>
    </row>
    <row r="32" spans="1:7" ht="15.5" x14ac:dyDescent="0.35">
      <c r="A32" s="4">
        <f t="shared" si="0"/>
        <v>19</v>
      </c>
      <c r="B32" s="124"/>
      <c r="C32" s="289"/>
      <c r="D32" s="302"/>
      <c r="E32" s="289"/>
      <c r="F32" s="302"/>
      <c r="G32" s="4">
        <f t="shared" si="1"/>
        <v>19</v>
      </c>
    </row>
    <row r="33" spans="1:7" ht="15.5" x14ac:dyDescent="0.35">
      <c r="A33" s="4"/>
      <c r="B33" s="34"/>
      <c r="C33" s="34"/>
      <c r="D33" s="34"/>
      <c r="E33" s="34"/>
      <c r="F33" s="34"/>
      <c r="G33" s="4"/>
    </row>
    <row r="34" spans="1:7" ht="15.5" x14ac:dyDescent="0.35">
      <c r="A34" s="4"/>
      <c r="B34" s="303"/>
      <c r="C34" s="34"/>
      <c r="D34" s="34"/>
      <c r="E34" s="110"/>
      <c r="F34" s="34"/>
      <c r="G34" s="4"/>
    </row>
    <row r="35" spans="1:7" ht="15.5" x14ac:dyDescent="0.35">
      <c r="A35" s="4"/>
      <c r="B35" s="303"/>
      <c r="C35" s="34"/>
      <c r="D35" s="34"/>
      <c r="E35" s="34"/>
      <c r="F35" s="34"/>
      <c r="G35" s="4"/>
    </row>
    <row r="36" spans="1:7" ht="15.5" x14ac:dyDescent="0.35">
      <c r="A36" s="4"/>
      <c r="B36" s="34"/>
      <c r="C36" s="34"/>
      <c r="D36" s="34"/>
      <c r="E36" s="34"/>
      <c r="F36" s="34"/>
      <c r="G36" s="4"/>
    </row>
    <row r="37" spans="1:7" ht="15.5" x14ac:dyDescent="0.35">
      <c r="B37" s="34"/>
      <c r="C37" s="34"/>
      <c r="D37" s="34"/>
      <c r="E37" s="34"/>
      <c r="F37" s="34"/>
      <c r="G37" s="4"/>
    </row>
    <row r="38" spans="1:7" ht="15.5" x14ac:dyDescent="0.35">
      <c r="B38" s="34"/>
      <c r="C38" s="34"/>
      <c r="D38" s="34"/>
      <c r="E38" s="34"/>
      <c r="F38" s="34"/>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8"/>
  <sheetViews>
    <sheetView zoomScale="80" zoomScaleNormal="80" workbookViewId="0"/>
  </sheetViews>
  <sheetFormatPr defaultColWidth="9.08984375" defaultRowHeight="15.5" x14ac:dyDescent="0.35"/>
  <cols>
    <col min="1" max="1" width="5.08984375" style="4" customWidth="1"/>
    <col min="2" max="2" width="56" style="34" customWidth="1"/>
    <col min="3" max="3" width="33" style="34" bestFit="1" customWidth="1"/>
    <col min="4" max="4" width="1.54296875" style="34" customWidth="1"/>
    <col min="5" max="5" width="16.90625" style="34" customWidth="1"/>
    <col min="6" max="6" width="1.54296875" style="34" customWidth="1"/>
    <col min="7" max="7" width="16.90625" style="34" customWidth="1"/>
    <col min="8" max="8" width="1.54296875" style="34" customWidth="1"/>
    <col min="9" max="9" width="16.90625" style="34" customWidth="1"/>
    <col min="10" max="10" width="1.54296875" style="34" customWidth="1"/>
    <col min="11" max="11" width="40.08984375" style="34" customWidth="1"/>
    <col min="12" max="12" width="5.08984375" style="34" customWidth="1"/>
    <col min="13" max="13" width="9.08984375" style="34"/>
    <col min="14" max="14" width="20.453125" style="34" bestFit="1" customWidth="1"/>
    <col min="15" max="16384" width="9.08984375" style="34"/>
  </cols>
  <sheetData>
    <row r="1" spans="1:14" x14ac:dyDescent="0.35">
      <c r="H1" s="4"/>
      <c r="I1" s="4"/>
      <c r="J1" s="4"/>
      <c r="K1" s="4"/>
      <c r="L1" s="4"/>
    </row>
    <row r="2" spans="1:14" x14ac:dyDescent="0.35">
      <c r="B2" s="1171" t="s">
        <v>0</v>
      </c>
      <c r="C2" s="1171"/>
      <c r="D2" s="1171"/>
      <c r="E2" s="1171"/>
      <c r="F2" s="1171"/>
      <c r="G2" s="1171"/>
      <c r="H2" s="1171"/>
      <c r="I2" s="1171"/>
      <c r="J2" s="1171"/>
      <c r="K2" s="1171"/>
      <c r="L2" s="4"/>
    </row>
    <row r="3" spans="1:14" x14ac:dyDescent="0.35">
      <c r="B3" s="1171" t="s">
        <v>514</v>
      </c>
      <c r="C3" s="1171"/>
      <c r="D3" s="1171"/>
      <c r="E3" s="1171"/>
      <c r="F3" s="1171"/>
      <c r="G3" s="1171"/>
      <c r="H3" s="1171"/>
      <c r="I3" s="1171"/>
      <c r="J3" s="1171"/>
      <c r="K3" s="1171"/>
      <c r="L3" s="4"/>
    </row>
    <row r="4" spans="1:14" x14ac:dyDescent="0.35">
      <c r="B4" s="1171" t="s">
        <v>515</v>
      </c>
      <c r="C4" s="1171"/>
      <c r="D4" s="1171"/>
      <c r="E4" s="1171"/>
      <c r="F4" s="1171"/>
      <c r="G4" s="1171"/>
      <c r="H4" s="1171"/>
      <c r="I4" s="1171"/>
      <c r="J4" s="1171"/>
      <c r="K4" s="1171"/>
      <c r="L4" s="4"/>
    </row>
    <row r="5" spans="1:14" x14ac:dyDescent="0.35">
      <c r="B5" s="1176" t="str">
        <f>'Stmt AD'!B5</f>
        <v>Base Period &amp; True-Up Period 12 - Months Ending December 31, 2022</v>
      </c>
      <c r="C5" s="1176"/>
      <c r="D5" s="1176"/>
      <c r="E5" s="1176"/>
      <c r="F5" s="1176"/>
      <c r="G5" s="1176"/>
      <c r="H5" s="1176"/>
      <c r="I5" s="1176"/>
      <c r="J5" s="1176"/>
      <c r="K5" s="1176"/>
      <c r="L5" s="4"/>
    </row>
    <row r="6" spans="1:14" x14ac:dyDescent="0.35">
      <c r="B6" s="1175" t="s">
        <v>5</v>
      </c>
      <c r="C6" s="1172"/>
      <c r="D6" s="1172"/>
      <c r="E6" s="1172"/>
      <c r="F6" s="1172"/>
      <c r="G6" s="1172"/>
      <c r="H6" s="1172"/>
      <c r="I6" s="1172"/>
      <c r="J6" s="1172"/>
      <c r="K6" s="1172"/>
      <c r="L6" s="4"/>
    </row>
    <row r="7" spans="1:14" x14ac:dyDescent="0.35">
      <c r="B7" s="4"/>
      <c r="C7" s="4"/>
      <c r="D7" s="4"/>
      <c r="E7" s="4"/>
      <c r="F7" s="4"/>
      <c r="G7" s="4"/>
      <c r="H7" s="4"/>
      <c r="I7" s="4"/>
      <c r="J7" s="4"/>
      <c r="K7" s="4"/>
      <c r="L7" s="4"/>
    </row>
    <row r="8" spans="1:14" x14ac:dyDescent="0.35">
      <c r="A8" s="4" t="s">
        <v>6</v>
      </c>
      <c r="B8" s="226"/>
      <c r="C8" s="4" t="s">
        <v>317</v>
      </c>
      <c r="D8" s="226"/>
      <c r="E8" s="37" t="s">
        <v>280</v>
      </c>
      <c r="F8" s="4"/>
      <c r="G8" s="37" t="s">
        <v>281</v>
      </c>
      <c r="H8" s="4"/>
      <c r="I8" s="37" t="s">
        <v>318</v>
      </c>
      <c r="J8" s="4"/>
      <c r="K8" s="4"/>
      <c r="L8" s="4" t="s">
        <v>6</v>
      </c>
    </row>
    <row r="9" spans="1:14" x14ac:dyDescent="0.35">
      <c r="A9" s="4" t="s">
        <v>7</v>
      </c>
      <c r="C9" s="876" t="s">
        <v>319</v>
      </c>
      <c r="E9" s="1030">
        <f>'Stmt AD'!E9</f>
        <v>44561</v>
      </c>
      <c r="F9" s="226"/>
      <c r="G9" s="1030">
        <f>'Stmt AD'!G9</f>
        <v>44926</v>
      </c>
      <c r="H9" s="226"/>
      <c r="I9" s="877" t="s">
        <v>320</v>
      </c>
      <c r="J9" s="226"/>
      <c r="K9" s="876" t="s">
        <v>9</v>
      </c>
      <c r="L9" s="4" t="s">
        <v>7</v>
      </c>
    </row>
    <row r="10" spans="1:14" x14ac:dyDescent="0.35">
      <c r="H10" s="4"/>
      <c r="I10" s="4"/>
      <c r="J10" s="4"/>
      <c r="K10" s="4"/>
      <c r="L10" s="4"/>
    </row>
    <row r="11" spans="1:14" s="263" customFormat="1" x14ac:dyDescent="0.35">
      <c r="A11" s="4">
        <v>1</v>
      </c>
      <c r="B11" s="34" t="s">
        <v>516</v>
      </c>
      <c r="C11" s="4" t="s">
        <v>517</v>
      </c>
      <c r="D11" s="34"/>
      <c r="E11" s="86">
        <f>'AF-1'!I18</f>
        <v>145223.09522932916</v>
      </c>
      <c r="F11" s="34"/>
      <c r="G11" s="87">
        <f>'AF-2'!I18</f>
        <v>105415.3801092314</v>
      </c>
      <c r="H11" s="4"/>
      <c r="I11" s="38">
        <f>(E11+G11)/2</f>
        <v>125319.23766928028</v>
      </c>
      <c r="J11" s="4"/>
      <c r="K11" s="4" t="s">
        <v>518</v>
      </c>
      <c r="L11" s="4">
        <f>A11</f>
        <v>1</v>
      </c>
      <c r="M11" s="34"/>
    </row>
    <row r="12" spans="1:14" s="263" customFormat="1" x14ac:dyDescent="0.35">
      <c r="A12" s="4">
        <f>A11+1</f>
        <v>2</v>
      </c>
      <c r="B12" s="34"/>
      <c r="C12" s="34"/>
      <c r="D12" s="34"/>
      <c r="E12" s="34"/>
      <c r="F12" s="34"/>
      <c r="G12" s="34"/>
      <c r="H12" s="4"/>
      <c r="I12" s="4"/>
      <c r="J12" s="4"/>
      <c r="K12" s="4"/>
      <c r="L12" s="4">
        <f>L11+1</f>
        <v>2</v>
      </c>
    </row>
    <row r="13" spans="1:14" s="263" customFormat="1" x14ac:dyDescent="0.35">
      <c r="A13" s="4">
        <f>A12+1</f>
        <v>3</v>
      </c>
      <c r="B13" s="34" t="s">
        <v>519</v>
      </c>
      <c r="C13" s="4" t="s">
        <v>520</v>
      </c>
      <c r="D13" s="34"/>
      <c r="E13" s="1170">
        <f>'AF-1'!I25</f>
        <v>-1153619.7392445197</v>
      </c>
      <c r="F13" s="1167" t="s">
        <v>1823</v>
      </c>
      <c r="G13" s="88">
        <f>'AF-2'!I25</f>
        <v>-1202338.2788327192</v>
      </c>
      <c r="H13" s="4"/>
      <c r="I13" s="89">
        <f>(E13+G13)/2</f>
        <v>-1177979.0090386195</v>
      </c>
      <c r="J13" s="4"/>
      <c r="K13" s="4" t="s">
        <v>521</v>
      </c>
      <c r="L13" s="4">
        <f>L12+1</f>
        <v>3</v>
      </c>
      <c r="M13" s="34"/>
    </row>
    <row r="14" spans="1:14" s="263" customFormat="1" x14ac:dyDescent="0.35">
      <c r="A14" s="4">
        <f t="shared" ref="A14:A15" si="0">A13+1</f>
        <v>4</v>
      </c>
      <c r="B14" s="34"/>
      <c r="C14" s="34"/>
      <c r="D14" s="34"/>
      <c r="E14" s="34"/>
      <c r="F14" s="34"/>
      <c r="G14" s="34"/>
      <c r="H14" s="4"/>
      <c r="I14" s="4"/>
      <c r="J14" s="4"/>
      <c r="K14" s="4"/>
      <c r="L14" s="4">
        <f t="shared" ref="L14:L20" si="1">L13+1</f>
        <v>4</v>
      </c>
      <c r="M14" s="34"/>
    </row>
    <row r="15" spans="1:14" s="263" customFormat="1" x14ac:dyDescent="0.35">
      <c r="A15" s="4">
        <f t="shared" si="0"/>
        <v>5</v>
      </c>
      <c r="B15" s="34" t="s">
        <v>522</v>
      </c>
      <c r="C15" s="4" t="s">
        <v>523</v>
      </c>
      <c r="D15" s="34"/>
      <c r="E15" s="981">
        <f>'AF-1'!I33</f>
        <v>-7891.472320000008</v>
      </c>
      <c r="F15" s="34"/>
      <c r="G15" s="981">
        <f>'AF-2'!I33</f>
        <v>-8583.7620040680013</v>
      </c>
      <c r="H15" s="4"/>
      <c r="I15" s="1036">
        <f>(E15+G15)/2</f>
        <v>-8237.6171620340047</v>
      </c>
      <c r="J15" s="4"/>
      <c r="K15" s="4" t="s">
        <v>524</v>
      </c>
      <c r="L15" s="4">
        <f t="shared" si="1"/>
        <v>5</v>
      </c>
      <c r="M15" s="34"/>
      <c r="N15" s="34"/>
    </row>
    <row r="16" spans="1:14" x14ac:dyDescent="0.35">
      <c r="A16" s="4">
        <f>A15+1</f>
        <v>6</v>
      </c>
      <c r="E16" s="38"/>
      <c r="F16" s="38"/>
      <c r="G16" s="38"/>
      <c r="I16" s="38"/>
      <c r="J16" s="4"/>
      <c r="K16" s="4"/>
      <c r="L16" s="4">
        <f>L15+1</f>
        <v>6</v>
      </c>
    </row>
    <row r="17" spans="1:12" ht="18.5" thickBot="1" x14ac:dyDescent="0.4">
      <c r="A17" s="4">
        <f t="shared" ref="A17:A19" si="2">A16+1</f>
        <v>7</v>
      </c>
      <c r="B17" s="34" t="s">
        <v>525</v>
      </c>
      <c r="C17" s="4"/>
      <c r="E17" s="106">
        <f>SUM(E11:E15)</f>
        <v>-1016288.1163351906</v>
      </c>
      <c r="F17" s="1167" t="s">
        <v>1823</v>
      </c>
      <c r="G17" s="40">
        <f>SUM(G11:G15)</f>
        <v>-1105506.6607275556</v>
      </c>
      <c r="H17" s="90"/>
      <c r="I17" s="40">
        <f>SUM(I11:I15)</f>
        <v>-1060897.3885313731</v>
      </c>
      <c r="J17" s="4"/>
      <c r="K17" s="49" t="s">
        <v>18</v>
      </c>
      <c r="L17" s="4">
        <f t="shared" si="1"/>
        <v>7</v>
      </c>
    </row>
    <row r="18" spans="1:12" ht="16" thickTop="1" x14ac:dyDescent="0.35">
      <c r="A18" s="4">
        <f t="shared" si="2"/>
        <v>8</v>
      </c>
      <c r="J18" s="4"/>
      <c r="K18" s="348"/>
      <c r="L18" s="4">
        <f t="shared" si="1"/>
        <v>8</v>
      </c>
    </row>
    <row r="19" spans="1:12" ht="16" thickBot="1" x14ac:dyDescent="0.4">
      <c r="A19" s="4">
        <f t="shared" si="2"/>
        <v>9</v>
      </c>
      <c r="B19" s="34" t="s">
        <v>526</v>
      </c>
      <c r="E19" s="87">
        <f>'AF-3'!C11</f>
        <v>0</v>
      </c>
      <c r="F19" s="38"/>
      <c r="G19" s="87">
        <f>'AF-3'!E11</f>
        <v>0</v>
      </c>
      <c r="H19" s="38"/>
      <c r="I19" s="40">
        <f>(E19+G19)/2</f>
        <v>0</v>
      </c>
      <c r="K19" s="4" t="s">
        <v>527</v>
      </c>
      <c r="L19" s="4">
        <f t="shared" si="1"/>
        <v>9</v>
      </c>
    </row>
    <row r="20" spans="1:12" ht="16" thickTop="1" x14ac:dyDescent="0.35">
      <c r="A20" s="4">
        <f t="shared" ref="A20:A23" si="3">A19+1</f>
        <v>10</v>
      </c>
      <c r="E20" s="1"/>
      <c r="F20" s="1"/>
      <c r="G20" s="1"/>
      <c r="H20" s="1"/>
      <c r="I20" s="1"/>
      <c r="K20" s="4"/>
      <c r="L20" s="4">
        <f t="shared" si="1"/>
        <v>10</v>
      </c>
    </row>
    <row r="21" spans="1:12" ht="16" thickBot="1" x14ac:dyDescent="0.4">
      <c r="A21" s="4">
        <f t="shared" si="3"/>
        <v>11</v>
      </c>
      <c r="B21" s="34" t="s">
        <v>528</v>
      </c>
      <c r="E21" s="87">
        <f>'AF-3'!C13</f>
        <v>0</v>
      </c>
      <c r="F21" s="91"/>
      <c r="G21" s="87">
        <f>'AF-3'!E13</f>
        <v>0</v>
      </c>
      <c r="H21" s="91"/>
      <c r="I21" s="40">
        <f>(E21+G21)/2</f>
        <v>0</v>
      </c>
      <c r="K21" s="4" t="s">
        <v>529</v>
      </c>
      <c r="L21" s="4">
        <f t="shared" ref="L21:L23" si="4">L20+1</f>
        <v>11</v>
      </c>
    </row>
    <row r="22" spans="1:12" ht="16" thickTop="1" x14ac:dyDescent="0.35">
      <c r="A22" s="4">
        <f t="shared" si="3"/>
        <v>12</v>
      </c>
      <c r="E22" s="1"/>
      <c r="F22" s="1"/>
      <c r="G22" s="1"/>
      <c r="H22" s="1"/>
      <c r="I22" s="1"/>
      <c r="L22" s="4">
        <f t="shared" si="4"/>
        <v>12</v>
      </c>
    </row>
    <row r="23" spans="1:12" ht="16" thickBot="1" x14ac:dyDescent="0.4">
      <c r="A23" s="4">
        <f t="shared" si="3"/>
        <v>13</v>
      </c>
      <c r="B23" s="34" t="s">
        <v>530</v>
      </c>
      <c r="E23" s="87">
        <f>'AF-3'!C15</f>
        <v>0</v>
      </c>
      <c r="F23" s="38"/>
      <c r="G23" s="87">
        <f>'AF-3'!E15</f>
        <v>0</v>
      </c>
      <c r="H23" s="38"/>
      <c r="I23" s="40">
        <f>(E23+G23)/2</f>
        <v>0</v>
      </c>
      <c r="K23" s="4" t="s">
        <v>531</v>
      </c>
      <c r="L23" s="4">
        <f t="shared" si="4"/>
        <v>13</v>
      </c>
    </row>
    <row r="24" spans="1:12" ht="16" thickTop="1" x14ac:dyDescent="0.35"/>
    <row r="26" spans="1:12" x14ac:dyDescent="0.35">
      <c r="A26" s="1167" t="s">
        <v>1823</v>
      </c>
      <c r="B26" s="1168" t="s">
        <v>1824</v>
      </c>
    </row>
    <row r="27" spans="1:12" ht="18" x14ac:dyDescent="0.35">
      <c r="A27" s="261">
        <v>1</v>
      </c>
      <c r="B27" s="34" t="s">
        <v>532</v>
      </c>
    </row>
    <row r="28" spans="1:12" ht="18" x14ac:dyDescent="0.35">
      <c r="A28" s="261">
        <v>2</v>
      </c>
      <c r="B28" s="34" t="s">
        <v>148</v>
      </c>
    </row>
  </sheetData>
  <mergeCells count="5">
    <mergeCell ref="B2:K2"/>
    <mergeCell ref="B3:K3"/>
    <mergeCell ref="B4:K4"/>
    <mergeCell ref="B5:K5"/>
    <mergeCell ref="B6:K6"/>
  </mergeCells>
  <printOptions horizontalCentered="1"/>
  <pageMargins left="0.5" right="0.5" top="0.5" bottom="0.5" header="0.25" footer="0.25"/>
  <pageSetup orientation="portrait" r:id="rId1"/>
  <headerFooter scaleWithDoc="0">
    <oddFooter>&amp;C&amp;"Times New Roman,Regular"&amp;10AF</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3"/>
  <sheetViews>
    <sheetView zoomScale="80" zoomScaleNormal="80" workbookViewId="0"/>
  </sheetViews>
  <sheetFormatPr defaultColWidth="8.54296875" defaultRowHeight="15.5" x14ac:dyDescent="0.35"/>
  <cols>
    <col min="1" max="1" width="5.54296875" style="4" customWidth="1"/>
    <col min="2" max="2" width="52.08984375" style="34" customWidth="1"/>
    <col min="3" max="3" width="16.90625" style="34" customWidth="1"/>
    <col min="4" max="4" width="1.54296875" style="34" customWidth="1"/>
    <col min="5" max="5" width="20.453125" style="34" customWidth="1"/>
    <col min="6" max="6" width="1.54296875" style="34" customWidth="1"/>
    <col min="7" max="7" width="20.453125" style="34" customWidth="1"/>
    <col min="8" max="8" width="1.54296875" style="34" customWidth="1"/>
    <col min="9" max="9" width="23.453125" style="34" bestFit="1" customWidth="1"/>
    <col min="10" max="10" width="2.08984375" style="34" bestFit="1" customWidth="1"/>
    <col min="11" max="11" width="62.54296875" style="34" customWidth="1"/>
    <col min="12" max="12" width="5.453125" style="4" customWidth="1"/>
    <col min="13" max="13" width="18.453125" style="34" bestFit="1" customWidth="1"/>
    <col min="14" max="16384" width="8.54296875" style="34"/>
  </cols>
  <sheetData>
    <row r="2" spans="1:14" x14ac:dyDescent="0.35">
      <c r="B2" s="1171" t="s">
        <v>0</v>
      </c>
      <c r="C2" s="1171"/>
      <c r="D2" s="1171"/>
      <c r="E2" s="1171"/>
      <c r="F2" s="1171"/>
      <c r="G2" s="1171"/>
      <c r="H2" s="1171"/>
      <c r="I2" s="1171"/>
      <c r="J2" s="1171"/>
      <c r="K2" s="1171"/>
    </row>
    <row r="3" spans="1:14" x14ac:dyDescent="0.35">
      <c r="B3" s="1171" t="s">
        <v>533</v>
      </c>
      <c r="C3" s="1171"/>
      <c r="D3" s="1171"/>
      <c r="E3" s="1171"/>
      <c r="F3" s="1171"/>
      <c r="G3" s="1171"/>
      <c r="H3" s="1171"/>
      <c r="I3" s="1171"/>
      <c r="J3" s="1171"/>
      <c r="K3" s="1171"/>
    </row>
    <row r="4" spans="1:14" x14ac:dyDescent="0.35">
      <c r="B4" s="1171" t="s">
        <v>534</v>
      </c>
      <c r="C4" s="1171"/>
      <c r="D4" s="1171"/>
      <c r="E4" s="1171"/>
      <c r="F4" s="1171"/>
      <c r="G4" s="1171"/>
      <c r="H4" s="1171"/>
      <c r="I4" s="1171"/>
      <c r="J4" s="1171"/>
      <c r="K4" s="1171"/>
    </row>
    <row r="5" spans="1:14" x14ac:dyDescent="0.35">
      <c r="B5" s="1171" t="s">
        <v>535</v>
      </c>
      <c r="C5" s="1171"/>
      <c r="D5" s="1171"/>
      <c r="E5" s="1171"/>
      <c r="F5" s="1171"/>
      <c r="G5" s="1171"/>
      <c r="H5" s="1171"/>
      <c r="I5" s="1171"/>
      <c r="J5" s="1171"/>
      <c r="K5" s="1171"/>
    </row>
    <row r="6" spans="1:14" ht="15.75" customHeight="1" x14ac:dyDescent="0.35">
      <c r="B6" s="1175" t="s">
        <v>5</v>
      </c>
      <c r="C6" s="1175"/>
      <c r="D6" s="1175"/>
      <c r="E6" s="1175"/>
      <c r="F6" s="1175"/>
      <c r="G6" s="1175"/>
      <c r="H6" s="1175"/>
      <c r="I6" s="1175"/>
      <c r="J6" s="1175"/>
      <c r="K6" s="1175"/>
    </row>
    <row r="8" spans="1:14" x14ac:dyDescent="0.35">
      <c r="B8" s="1"/>
      <c r="C8" s="272" t="s">
        <v>280</v>
      </c>
      <c r="D8" s="272"/>
      <c r="E8" s="272" t="s">
        <v>281</v>
      </c>
      <c r="F8" s="272"/>
      <c r="G8" s="272" t="s">
        <v>282</v>
      </c>
      <c r="H8" s="272"/>
      <c r="I8" s="272" t="s">
        <v>536</v>
      </c>
      <c r="J8" s="272"/>
      <c r="K8" s="272"/>
    </row>
    <row r="9" spans="1:14" ht="18" x14ac:dyDescent="0.35">
      <c r="A9" s="4" t="s">
        <v>6</v>
      </c>
      <c r="B9" s="1"/>
      <c r="C9" s="272" t="s">
        <v>537</v>
      </c>
      <c r="D9" s="272"/>
      <c r="E9" s="272" t="s">
        <v>538</v>
      </c>
      <c r="F9" s="272"/>
      <c r="G9" s="272" t="s">
        <v>539</v>
      </c>
      <c r="H9" s="272"/>
      <c r="I9" s="272"/>
      <c r="J9" s="272"/>
      <c r="K9" s="272"/>
      <c r="L9" s="4" t="s">
        <v>6</v>
      </c>
    </row>
    <row r="10" spans="1:14" x14ac:dyDescent="0.35">
      <c r="A10" s="4" t="s">
        <v>7</v>
      </c>
      <c r="B10" s="990" t="s">
        <v>423</v>
      </c>
      <c r="C10" s="753" t="s">
        <v>540</v>
      </c>
      <c r="D10" s="753"/>
      <c r="E10" s="753" t="s">
        <v>541</v>
      </c>
      <c r="F10" s="753"/>
      <c r="G10" s="753" t="s">
        <v>542</v>
      </c>
      <c r="H10" s="753"/>
      <c r="I10" s="990" t="s">
        <v>265</v>
      </c>
      <c r="J10" s="990"/>
      <c r="K10" s="990" t="s">
        <v>9</v>
      </c>
      <c r="L10" s="4" t="s">
        <v>7</v>
      </c>
    </row>
    <row r="11" spans="1:14" x14ac:dyDescent="0.35">
      <c r="B11" s="1"/>
      <c r="C11" s="349"/>
      <c r="D11" s="349"/>
      <c r="E11" s="349"/>
      <c r="F11" s="349"/>
      <c r="G11" s="349"/>
      <c r="H11" s="349"/>
      <c r="I11" s="95"/>
      <c r="J11" s="95"/>
      <c r="K11" s="95"/>
    </row>
    <row r="12" spans="1:14" x14ac:dyDescent="0.35">
      <c r="A12" s="4">
        <v>1</v>
      </c>
      <c r="B12" s="35" t="s">
        <v>543</v>
      </c>
      <c r="C12" s="94"/>
      <c r="D12" s="94"/>
      <c r="E12" s="94"/>
      <c r="F12" s="94"/>
      <c r="G12" s="94"/>
      <c r="H12" s="94"/>
      <c r="I12" s="95"/>
      <c r="J12" s="95"/>
      <c r="K12" s="95"/>
      <c r="L12" s="4">
        <f>A12</f>
        <v>1</v>
      </c>
    </row>
    <row r="13" spans="1:14" x14ac:dyDescent="0.35">
      <c r="A13" s="4">
        <f>A12+1</f>
        <v>2</v>
      </c>
      <c r="B13" s="35" t="s">
        <v>544</v>
      </c>
      <c r="C13" s="38">
        <v>1937.05221139073</v>
      </c>
      <c r="D13" s="38"/>
      <c r="E13" s="38">
        <f>SUM('Order 864-1'!M15:M17,'Order 864-1'!M19)</f>
        <v>0.24043388843304569</v>
      </c>
      <c r="F13" s="38"/>
      <c r="G13" s="38">
        <f>SUM('Order 864-1'!N15:N17,'Order 864-1'!N19)</f>
        <v>0</v>
      </c>
      <c r="H13" s="92"/>
      <c r="I13" s="38">
        <f>SUM(C13:G13)</f>
        <v>1937.292645279163</v>
      </c>
      <c r="J13" s="38"/>
      <c r="K13" s="47" t="s">
        <v>545</v>
      </c>
      <c r="L13" s="4">
        <f>L12+1</f>
        <v>2</v>
      </c>
    </row>
    <row r="14" spans="1:14" x14ac:dyDescent="0.35">
      <c r="A14" s="4">
        <f>A13+1</f>
        <v>3</v>
      </c>
      <c r="B14" s="35" t="s">
        <v>546</v>
      </c>
      <c r="C14" s="6">
        <v>37949.429790416951</v>
      </c>
      <c r="D14" s="6"/>
      <c r="E14" s="6">
        <f>'Order 864-1'!M27</f>
        <v>105336.37279363305</v>
      </c>
      <c r="F14" s="6"/>
      <c r="G14" s="6">
        <f>'Order 864-1'!N27</f>
        <v>0</v>
      </c>
      <c r="H14" s="6"/>
      <c r="I14" s="6">
        <f>SUM(C14:G14)</f>
        <v>143285.80258404999</v>
      </c>
      <c r="J14" s="6"/>
      <c r="K14" s="47" t="s">
        <v>545</v>
      </c>
      <c r="L14" s="4">
        <f>L13+1</f>
        <v>3</v>
      </c>
      <c r="M14" s="937"/>
      <c r="N14" s="833"/>
    </row>
    <row r="15" spans="1:14" x14ac:dyDescent="0.35">
      <c r="A15" s="4">
        <f>A14+1</f>
        <v>4</v>
      </c>
      <c r="B15" s="835"/>
      <c r="C15" s="6">
        <v>0</v>
      </c>
      <c r="D15" s="38"/>
      <c r="E15" s="6">
        <v>0</v>
      </c>
      <c r="F15" s="38"/>
      <c r="G15" s="6">
        <v>0</v>
      </c>
      <c r="H15" s="92"/>
      <c r="I15" s="6">
        <f>SUM(C15:G15)</f>
        <v>0</v>
      </c>
      <c r="J15" s="6"/>
      <c r="K15" s="834"/>
      <c r="L15" s="4">
        <f t="shared" ref="L15:L17" si="0">L14+1</f>
        <v>4</v>
      </c>
      <c r="M15" s="938"/>
      <c r="N15" s="833"/>
    </row>
    <row r="16" spans="1:14" x14ac:dyDescent="0.35">
      <c r="A16" s="4">
        <f>A15+1</f>
        <v>5</v>
      </c>
      <c r="B16" s="35"/>
      <c r="C16" s="6">
        <v>0</v>
      </c>
      <c r="D16" s="6"/>
      <c r="E16" s="6">
        <v>0</v>
      </c>
      <c r="F16" s="6"/>
      <c r="G16" s="6">
        <v>0</v>
      </c>
      <c r="H16" s="6"/>
      <c r="I16" s="6">
        <f>SUM(C16:G16)</f>
        <v>0</v>
      </c>
      <c r="J16" s="6"/>
      <c r="K16" s="6"/>
      <c r="L16" s="4">
        <f t="shared" si="0"/>
        <v>5</v>
      </c>
      <c r="M16" s="368"/>
    </row>
    <row r="17" spans="1:13" x14ac:dyDescent="0.35">
      <c r="A17" s="4">
        <f t="shared" ref="A17:A35" si="1">A16+1</f>
        <v>6</v>
      </c>
      <c r="C17" s="6">
        <v>0</v>
      </c>
      <c r="D17" s="6"/>
      <c r="E17" s="6">
        <v>0</v>
      </c>
      <c r="F17" s="6"/>
      <c r="G17" s="6">
        <v>0</v>
      </c>
      <c r="H17" s="6"/>
      <c r="I17" s="6">
        <f>SUM(C17:G17)</f>
        <v>0</v>
      </c>
      <c r="J17" s="6"/>
      <c r="K17" s="6"/>
      <c r="L17" s="4">
        <f t="shared" si="0"/>
        <v>6</v>
      </c>
      <c r="M17" s="938"/>
    </row>
    <row r="18" spans="1:13" ht="16" thickBot="1" x14ac:dyDescent="0.4">
      <c r="A18" s="4">
        <f t="shared" si="1"/>
        <v>7</v>
      </c>
      <c r="B18" s="350" t="s">
        <v>547</v>
      </c>
      <c r="C18" s="93">
        <f>SUM(C13:C17)</f>
        <v>39886.482001807679</v>
      </c>
      <c r="D18" s="6"/>
      <c r="E18" s="93">
        <f>SUM(E13:E17)</f>
        <v>105336.61322752149</v>
      </c>
      <c r="F18" s="46"/>
      <c r="G18" s="93">
        <f>SUM(G13:G17)</f>
        <v>0</v>
      </c>
      <c r="H18" s="6"/>
      <c r="I18" s="93">
        <f>SUM(I13:I17)</f>
        <v>145223.09522932916</v>
      </c>
      <c r="J18" s="46"/>
      <c r="K18" s="47" t="s">
        <v>548</v>
      </c>
      <c r="L18" s="4">
        <f t="shared" ref="L18:L35" si="2">L17+1</f>
        <v>7</v>
      </c>
    </row>
    <row r="19" spans="1:13" ht="16" thickTop="1" x14ac:dyDescent="0.35">
      <c r="A19" s="4">
        <f t="shared" si="1"/>
        <v>8</v>
      </c>
      <c r="C19" s="89"/>
      <c r="D19" s="89"/>
      <c r="E19" s="89"/>
      <c r="F19" s="89"/>
      <c r="G19" s="89"/>
      <c r="H19" s="89"/>
      <c r="I19" s="89"/>
      <c r="J19" s="89"/>
      <c r="K19" s="89"/>
      <c r="L19" s="4">
        <f t="shared" si="2"/>
        <v>8</v>
      </c>
    </row>
    <row r="20" spans="1:13" x14ac:dyDescent="0.35">
      <c r="A20" s="4">
        <f t="shared" si="1"/>
        <v>9</v>
      </c>
      <c r="B20" s="35" t="s">
        <v>549</v>
      </c>
      <c r="C20" s="94"/>
      <c r="D20" s="94"/>
      <c r="E20" s="94"/>
      <c r="F20" s="94"/>
      <c r="G20" s="94"/>
      <c r="H20" s="94"/>
      <c r="I20" s="95"/>
      <c r="J20" s="95"/>
      <c r="K20" s="95"/>
      <c r="L20" s="4">
        <f t="shared" si="2"/>
        <v>9</v>
      </c>
    </row>
    <row r="21" spans="1:13" x14ac:dyDescent="0.35">
      <c r="A21" s="4">
        <f t="shared" si="1"/>
        <v>10</v>
      </c>
      <c r="B21" s="749" t="s">
        <v>546</v>
      </c>
      <c r="C21" s="46">
        <v>-791025.01956481021</v>
      </c>
      <c r="D21" s="1167" t="s">
        <v>1823</v>
      </c>
      <c r="E21" s="38">
        <f>SUM('Order 864-1'!M29:M30,'Order 864-1'!M37,'Order 864-1'!M40)</f>
        <v>51975.74636110678</v>
      </c>
      <c r="F21" s="38"/>
      <c r="G21" s="38">
        <f>SUM('Order 864-1'!N29:N30,'Order 864-1'!N37,'Order 864-1'!N40)</f>
        <v>-414570.46604081639</v>
      </c>
      <c r="H21" s="38"/>
      <c r="I21" s="46">
        <f t="shared" ref="I21:I24" si="3">SUM(C21:G21)</f>
        <v>-1153619.7392445197</v>
      </c>
      <c r="J21" s="1167" t="s">
        <v>1823</v>
      </c>
      <c r="K21" s="47" t="s">
        <v>372</v>
      </c>
      <c r="L21" s="4">
        <f t="shared" si="2"/>
        <v>10</v>
      </c>
    </row>
    <row r="22" spans="1:13" x14ac:dyDescent="0.35">
      <c r="A22" s="4">
        <f t="shared" si="1"/>
        <v>11</v>
      </c>
      <c r="C22" s="6">
        <v>0</v>
      </c>
      <c r="D22" s="6"/>
      <c r="E22" s="6">
        <v>0</v>
      </c>
      <c r="F22" s="6"/>
      <c r="G22" s="6">
        <v>0</v>
      </c>
      <c r="H22" s="6"/>
      <c r="I22" s="6">
        <f t="shared" si="3"/>
        <v>0</v>
      </c>
      <c r="J22" s="6"/>
      <c r="K22" s="832"/>
      <c r="L22" s="4">
        <f t="shared" si="2"/>
        <v>11</v>
      </c>
    </row>
    <row r="23" spans="1:13" x14ac:dyDescent="0.35">
      <c r="A23" s="4">
        <f t="shared" si="1"/>
        <v>12</v>
      </c>
      <c r="B23" s="749"/>
      <c r="C23" s="6">
        <v>0</v>
      </c>
      <c r="D23" s="6"/>
      <c r="E23" s="6">
        <v>0</v>
      </c>
      <c r="F23" s="6"/>
      <c r="G23" s="6">
        <v>0</v>
      </c>
      <c r="H23" s="6"/>
      <c r="I23" s="6">
        <f t="shared" si="3"/>
        <v>0</v>
      </c>
      <c r="J23" s="6"/>
      <c r="K23" s="832"/>
      <c r="L23" s="4">
        <f t="shared" si="2"/>
        <v>12</v>
      </c>
    </row>
    <row r="24" spans="1:13" x14ac:dyDescent="0.35">
      <c r="A24" s="4">
        <f t="shared" si="1"/>
        <v>13</v>
      </c>
      <c r="B24" s="749"/>
      <c r="C24" s="6">
        <v>0</v>
      </c>
      <c r="D24" s="6"/>
      <c r="E24" s="6">
        <v>0</v>
      </c>
      <c r="F24" s="6"/>
      <c r="G24" s="6">
        <v>0</v>
      </c>
      <c r="H24" s="6"/>
      <c r="I24" s="6">
        <f t="shared" si="3"/>
        <v>0</v>
      </c>
      <c r="J24" s="6"/>
      <c r="K24" s="832"/>
      <c r="L24" s="4">
        <f t="shared" si="2"/>
        <v>13</v>
      </c>
    </row>
    <row r="25" spans="1:13" ht="16" thickBot="1" x14ac:dyDescent="0.4">
      <c r="A25" s="4">
        <f t="shared" si="1"/>
        <v>14</v>
      </c>
      <c r="B25" s="350" t="s">
        <v>550</v>
      </c>
      <c r="C25" s="93">
        <f>SUM(C21:C24)</f>
        <v>-791025.01956481021</v>
      </c>
      <c r="D25" s="1167" t="s">
        <v>1823</v>
      </c>
      <c r="E25" s="93">
        <f>SUM(E21:E24)</f>
        <v>51975.74636110678</v>
      </c>
      <c r="F25" s="46"/>
      <c r="G25" s="93">
        <f>SUM(G21:G24)</f>
        <v>-414570.46604081639</v>
      </c>
      <c r="H25" s="6"/>
      <c r="I25" s="93">
        <f>SUM(I21:I24)</f>
        <v>-1153619.7392445197</v>
      </c>
      <c r="J25" s="1167" t="s">
        <v>1823</v>
      </c>
      <c r="K25" s="47" t="s">
        <v>551</v>
      </c>
      <c r="L25" s="4">
        <f t="shared" si="2"/>
        <v>14</v>
      </c>
    </row>
    <row r="26" spans="1:13" ht="16" thickTop="1" x14ac:dyDescent="0.35">
      <c r="A26" s="4">
        <f t="shared" si="1"/>
        <v>15</v>
      </c>
      <c r="L26" s="4">
        <f t="shared" si="2"/>
        <v>15</v>
      </c>
    </row>
    <row r="27" spans="1:13" x14ac:dyDescent="0.35">
      <c r="A27" s="4">
        <f t="shared" si="1"/>
        <v>16</v>
      </c>
      <c r="B27" s="35" t="s">
        <v>552</v>
      </c>
      <c r="C27" s="94"/>
      <c r="D27" s="94"/>
      <c r="E27" s="94"/>
      <c r="F27" s="94"/>
      <c r="G27" s="94"/>
      <c r="H27" s="94"/>
      <c r="I27" s="95"/>
      <c r="J27" s="95"/>
      <c r="K27" s="4"/>
      <c r="L27" s="4">
        <f t="shared" si="2"/>
        <v>16</v>
      </c>
    </row>
    <row r="28" spans="1:13" x14ac:dyDescent="0.35">
      <c r="A28" s="4">
        <f t="shared" si="1"/>
        <v>17</v>
      </c>
      <c r="B28" s="35" t="s">
        <v>544</v>
      </c>
      <c r="C28" s="38">
        <v>-7891.472320000008</v>
      </c>
      <c r="D28" s="38"/>
      <c r="E28" s="38">
        <f>SUM('Order 864-1'!M21:M22)</f>
        <v>0</v>
      </c>
      <c r="F28" s="38"/>
      <c r="G28" s="38">
        <f>SUM('Order 864-1'!N21:N22)</f>
        <v>0</v>
      </c>
      <c r="H28" s="92"/>
      <c r="I28" s="38">
        <f>SUM(C28:G28)</f>
        <v>-7891.472320000008</v>
      </c>
      <c r="J28" s="38"/>
      <c r="K28" s="47" t="s">
        <v>553</v>
      </c>
      <c r="L28" s="4">
        <f t="shared" si="2"/>
        <v>17</v>
      </c>
    </row>
    <row r="29" spans="1:13" x14ac:dyDescent="0.35">
      <c r="A29" s="4">
        <f t="shared" si="1"/>
        <v>18</v>
      </c>
      <c r="B29" s="35"/>
      <c r="C29" s="6">
        <v>0</v>
      </c>
      <c r="D29" s="6"/>
      <c r="E29" s="6">
        <v>0</v>
      </c>
      <c r="F29" s="6"/>
      <c r="G29" s="6">
        <v>0</v>
      </c>
      <c r="H29" s="6"/>
      <c r="I29" s="6">
        <f>SUM(C29:G29)</f>
        <v>0</v>
      </c>
      <c r="J29" s="6"/>
      <c r="K29" s="4"/>
      <c r="L29" s="4">
        <f t="shared" si="2"/>
        <v>18</v>
      </c>
    </row>
    <row r="30" spans="1:13" x14ac:dyDescent="0.35">
      <c r="A30" s="4">
        <f t="shared" si="1"/>
        <v>19</v>
      </c>
      <c r="B30" s="35"/>
      <c r="C30" s="6">
        <v>0</v>
      </c>
      <c r="D30" s="6"/>
      <c r="E30" s="6">
        <v>0</v>
      </c>
      <c r="F30" s="6"/>
      <c r="G30" s="6">
        <v>0</v>
      </c>
      <c r="H30" s="6"/>
      <c r="I30" s="6">
        <f>SUM(C30:G30)</f>
        <v>0</v>
      </c>
      <c r="J30" s="6"/>
      <c r="K30" s="6"/>
      <c r="L30" s="4">
        <f t="shared" si="2"/>
        <v>19</v>
      </c>
    </row>
    <row r="31" spans="1:13" x14ac:dyDescent="0.35">
      <c r="A31" s="4">
        <f t="shared" si="1"/>
        <v>20</v>
      </c>
      <c r="B31" s="35"/>
      <c r="C31" s="6">
        <v>0</v>
      </c>
      <c r="D31" s="6"/>
      <c r="E31" s="6">
        <v>0</v>
      </c>
      <c r="F31" s="6"/>
      <c r="G31" s="6">
        <v>0</v>
      </c>
      <c r="H31" s="6"/>
      <c r="I31" s="6">
        <f>SUM(C31:G31)</f>
        <v>0</v>
      </c>
      <c r="J31" s="6"/>
      <c r="K31" s="6"/>
      <c r="L31" s="4">
        <f t="shared" si="2"/>
        <v>20</v>
      </c>
    </row>
    <row r="32" spans="1:13" x14ac:dyDescent="0.35">
      <c r="A32" s="4">
        <f t="shared" si="1"/>
        <v>21</v>
      </c>
      <c r="B32" s="35"/>
      <c r="C32" s="6">
        <v>0</v>
      </c>
      <c r="D32" s="6"/>
      <c r="E32" s="6">
        <v>0</v>
      </c>
      <c r="F32" s="6"/>
      <c r="G32" s="6">
        <v>0</v>
      </c>
      <c r="H32" s="6"/>
      <c r="I32" s="6">
        <f>SUM(C32:G32)</f>
        <v>0</v>
      </c>
      <c r="J32" s="6"/>
      <c r="K32" s="6"/>
      <c r="L32" s="4">
        <f t="shared" si="2"/>
        <v>21</v>
      </c>
    </row>
    <row r="33" spans="1:12" ht="16" thickBot="1" x14ac:dyDescent="0.4">
      <c r="A33" s="4">
        <f t="shared" si="1"/>
        <v>22</v>
      </c>
      <c r="B33" s="350" t="s">
        <v>554</v>
      </c>
      <c r="C33" s="93">
        <f>SUM(C28:C32)</f>
        <v>-7891.472320000008</v>
      </c>
      <c r="D33" s="6"/>
      <c r="E33" s="93">
        <f>SUM(E28:E32)</f>
        <v>0</v>
      </c>
      <c r="F33" s="46"/>
      <c r="G33" s="93">
        <f>SUM(G28:G32)</f>
        <v>0</v>
      </c>
      <c r="H33" s="6"/>
      <c r="I33" s="93">
        <f>SUM(I28:I32)</f>
        <v>-7891.472320000008</v>
      </c>
      <c r="J33" s="46"/>
      <c r="K33" s="47" t="s">
        <v>555</v>
      </c>
      <c r="L33" s="4">
        <f t="shared" si="2"/>
        <v>22</v>
      </c>
    </row>
    <row r="34" spans="1:12" ht="16" thickTop="1" x14ac:dyDescent="0.35">
      <c r="A34" s="4">
        <f t="shared" si="1"/>
        <v>23</v>
      </c>
      <c r="L34" s="4">
        <f t="shared" si="2"/>
        <v>23</v>
      </c>
    </row>
    <row r="35" spans="1:12" ht="18.5" thickBot="1" x14ac:dyDescent="0.4">
      <c r="A35" s="4">
        <f t="shared" si="1"/>
        <v>24</v>
      </c>
      <c r="B35" s="1" t="s">
        <v>556</v>
      </c>
      <c r="C35" s="93">
        <f>+C18+C25+C33</f>
        <v>-759030.00988300261</v>
      </c>
      <c r="D35" s="1167" t="s">
        <v>1823</v>
      </c>
      <c r="E35" s="93">
        <f>+E18+E25+E33</f>
        <v>157312.35958862829</v>
      </c>
      <c r="F35" s="46"/>
      <c r="G35" s="93">
        <f>+G18+G25+G33</f>
        <v>-414570.46604081639</v>
      </c>
      <c r="H35" s="38"/>
      <c r="I35" s="93">
        <f>+I18+I25+I33</f>
        <v>-1016288.1163351906</v>
      </c>
      <c r="J35" s="1167" t="s">
        <v>1823</v>
      </c>
      <c r="K35" s="47" t="s">
        <v>557</v>
      </c>
      <c r="L35" s="4">
        <f t="shared" si="2"/>
        <v>24</v>
      </c>
    </row>
    <row r="36" spans="1:12" ht="16" thickTop="1" x14ac:dyDescent="0.35">
      <c r="B36" s="1"/>
      <c r="C36" s="46"/>
      <c r="D36" s="38"/>
      <c r="E36" s="46"/>
      <c r="F36" s="46"/>
      <c r="G36" s="46"/>
      <c r="H36" s="38"/>
      <c r="I36" s="46"/>
      <c r="J36" s="46"/>
      <c r="K36" s="47"/>
    </row>
    <row r="37" spans="1:12" x14ac:dyDescent="0.35">
      <c r="B37" s="1"/>
      <c r="C37" s="46"/>
      <c r="D37" s="38"/>
      <c r="E37" s="46"/>
      <c r="F37" s="46"/>
      <c r="G37" s="46"/>
      <c r="H37" s="38"/>
      <c r="I37" s="46"/>
      <c r="J37" s="46"/>
      <c r="K37" s="47"/>
    </row>
    <row r="38" spans="1:12" x14ac:dyDescent="0.35">
      <c r="A38" s="1167" t="s">
        <v>1823</v>
      </c>
      <c r="B38" s="1168" t="s">
        <v>1824</v>
      </c>
      <c r="E38" s="38"/>
      <c r="I38" s="38"/>
      <c r="J38" s="38"/>
    </row>
    <row r="39" spans="1:12" ht="18" x14ac:dyDescent="0.35">
      <c r="A39" s="261">
        <v>1</v>
      </c>
      <c r="B39" s="34" t="s">
        <v>558</v>
      </c>
    </row>
    <row r="40" spans="1:12" ht="18" x14ac:dyDescent="0.35">
      <c r="A40" s="261">
        <v>2</v>
      </c>
      <c r="B40" s="34" t="s">
        <v>559</v>
      </c>
    </row>
    <row r="41" spans="1:12" ht="18" x14ac:dyDescent="0.35">
      <c r="A41" s="261">
        <v>3</v>
      </c>
      <c r="B41" s="34" t="s">
        <v>560</v>
      </c>
    </row>
    <row r="42" spans="1:12" ht="18" x14ac:dyDescent="0.35">
      <c r="A42" s="261">
        <v>4</v>
      </c>
      <c r="B42" s="34" t="s">
        <v>561</v>
      </c>
    </row>
    <row r="43" spans="1:12" x14ac:dyDescent="0.35">
      <c r="B43" s="34" t="s">
        <v>562</v>
      </c>
    </row>
  </sheetData>
  <mergeCells count="5">
    <mergeCell ref="B2:K2"/>
    <mergeCell ref="B3:K3"/>
    <mergeCell ref="B4:K4"/>
    <mergeCell ref="B5:K5"/>
    <mergeCell ref="B6:K6"/>
  </mergeCells>
  <phoneticPr fontId="56" type="noConversion"/>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2"/>
  <sheetViews>
    <sheetView zoomScale="80" zoomScaleNormal="80" workbookViewId="0"/>
  </sheetViews>
  <sheetFormatPr defaultColWidth="8.54296875" defaultRowHeight="15.5" x14ac:dyDescent="0.35"/>
  <cols>
    <col min="1" max="1" width="5.453125" style="4" customWidth="1"/>
    <col min="2" max="2" width="52.08984375" style="34" customWidth="1"/>
    <col min="3" max="3" width="16.90625" style="34" customWidth="1"/>
    <col min="4" max="4" width="1.54296875" style="34" customWidth="1"/>
    <col min="5" max="5" width="20.453125" style="34" customWidth="1"/>
    <col min="6" max="6" width="1.54296875" style="34" customWidth="1"/>
    <col min="7" max="7" width="20.453125" style="34" customWidth="1"/>
    <col min="8" max="8" width="1.54296875" style="34" customWidth="1"/>
    <col min="9" max="9" width="23.453125" style="34" bestFit="1" customWidth="1"/>
    <col min="10" max="10" width="62.54296875" style="34" customWidth="1"/>
    <col min="11" max="11" width="5.453125" style="4" customWidth="1"/>
    <col min="12" max="16384" width="8.54296875" style="34"/>
  </cols>
  <sheetData>
    <row r="2" spans="1:11" x14ac:dyDescent="0.35">
      <c r="B2" s="1171" t="s">
        <v>0</v>
      </c>
      <c r="C2" s="1171"/>
      <c r="D2" s="1171"/>
      <c r="E2" s="1171"/>
      <c r="F2" s="1171"/>
      <c r="G2" s="1171"/>
      <c r="H2" s="1171"/>
      <c r="I2" s="1171"/>
      <c r="J2" s="1171"/>
    </row>
    <row r="3" spans="1:11" x14ac:dyDescent="0.35">
      <c r="B3" s="1171" t="s">
        <v>533</v>
      </c>
      <c r="C3" s="1171"/>
      <c r="D3" s="1171"/>
      <c r="E3" s="1171"/>
      <c r="F3" s="1171"/>
      <c r="G3" s="1171"/>
      <c r="H3" s="1171"/>
      <c r="I3" s="1171"/>
      <c r="J3" s="1171"/>
    </row>
    <row r="4" spans="1:11" x14ac:dyDescent="0.35">
      <c r="B4" s="1171" t="s">
        <v>534</v>
      </c>
      <c r="C4" s="1171"/>
      <c r="D4" s="1171"/>
      <c r="E4" s="1171"/>
      <c r="F4" s="1171"/>
      <c r="G4" s="1171"/>
      <c r="H4" s="1171"/>
      <c r="I4" s="1171"/>
      <c r="J4" s="1171"/>
    </row>
    <row r="5" spans="1:11" x14ac:dyDescent="0.35">
      <c r="B5" s="1171" t="s">
        <v>563</v>
      </c>
      <c r="C5" s="1171"/>
      <c r="D5" s="1171"/>
      <c r="E5" s="1171"/>
      <c r="F5" s="1171"/>
      <c r="G5" s="1171"/>
      <c r="H5" s="1171"/>
      <c r="I5" s="1171"/>
      <c r="J5" s="1171"/>
    </row>
    <row r="6" spans="1:11" ht="15.75" customHeight="1" x14ac:dyDescent="0.35">
      <c r="B6" s="1175" t="s">
        <v>5</v>
      </c>
      <c r="C6" s="1175"/>
      <c r="D6" s="1175"/>
      <c r="E6" s="1175"/>
      <c r="F6" s="1175"/>
      <c r="G6" s="1175"/>
      <c r="H6" s="1175"/>
      <c r="I6" s="1175"/>
      <c r="J6" s="1175"/>
    </row>
    <row r="8" spans="1:11" x14ac:dyDescent="0.35">
      <c r="B8" s="1"/>
      <c r="C8" s="272" t="s">
        <v>280</v>
      </c>
      <c r="D8" s="272"/>
      <c r="E8" s="272" t="s">
        <v>281</v>
      </c>
      <c r="F8" s="272"/>
      <c r="G8" s="272" t="s">
        <v>282</v>
      </c>
      <c r="H8" s="272"/>
      <c r="I8" s="272" t="s">
        <v>536</v>
      </c>
      <c r="J8" s="272"/>
    </row>
    <row r="9" spans="1:11" ht="18" x14ac:dyDescent="0.35">
      <c r="A9" s="4" t="s">
        <v>6</v>
      </c>
      <c r="B9" s="1"/>
      <c r="C9" s="272" t="s">
        <v>537</v>
      </c>
      <c r="D9" s="272"/>
      <c r="E9" s="272" t="s">
        <v>538</v>
      </c>
      <c r="F9" s="272"/>
      <c r="G9" s="272" t="s">
        <v>539</v>
      </c>
      <c r="H9" s="272"/>
      <c r="I9" s="272"/>
      <c r="J9" s="272"/>
      <c r="K9" s="4" t="s">
        <v>6</v>
      </c>
    </row>
    <row r="10" spans="1:11" x14ac:dyDescent="0.35">
      <c r="A10" s="4" t="s">
        <v>7</v>
      </c>
      <c r="B10" s="990" t="s">
        <v>423</v>
      </c>
      <c r="C10" s="753" t="s">
        <v>540</v>
      </c>
      <c r="D10" s="753"/>
      <c r="E10" s="753" t="s">
        <v>541</v>
      </c>
      <c r="F10" s="753"/>
      <c r="G10" s="753" t="s">
        <v>542</v>
      </c>
      <c r="H10" s="753"/>
      <c r="I10" s="990" t="s">
        <v>265</v>
      </c>
      <c r="J10" s="990" t="s">
        <v>9</v>
      </c>
      <c r="K10" s="4" t="s">
        <v>7</v>
      </c>
    </row>
    <row r="11" spans="1:11" x14ac:dyDescent="0.35">
      <c r="B11" s="1"/>
      <c r="C11" s="349"/>
      <c r="D11" s="349"/>
      <c r="E11" s="349"/>
      <c r="F11" s="349"/>
      <c r="G11" s="349"/>
      <c r="H11" s="349"/>
      <c r="I11" s="95"/>
      <c r="J11" s="95"/>
    </row>
    <row r="12" spans="1:11" x14ac:dyDescent="0.35">
      <c r="A12" s="4">
        <v>1</v>
      </c>
      <c r="B12" s="35" t="s">
        <v>543</v>
      </c>
      <c r="C12" s="94"/>
      <c r="D12" s="94"/>
      <c r="E12" s="94"/>
      <c r="F12" s="94"/>
      <c r="G12" s="94"/>
      <c r="H12" s="94"/>
      <c r="I12" s="95"/>
      <c r="J12" s="95"/>
      <c r="K12" s="4">
        <f>A12</f>
        <v>1</v>
      </c>
    </row>
    <row r="13" spans="1:11" x14ac:dyDescent="0.35">
      <c r="A13" s="4">
        <f>A12+1</f>
        <v>2</v>
      </c>
      <c r="B13" s="35" t="s">
        <v>544</v>
      </c>
      <c r="C13" s="38">
        <v>1519.833204361222</v>
      </c>
      <c r="D13" s="38"/>
      <c r="E13" s="38">
        <f>SUM('Order 864-3'!M15:M17,'Order 864-3'!M19)</f>
        <v>0</v>
      </c>
      <c r="F13" s="38"/>
      <c r="G13" s="38">
        <f>SUM('Order 864-3'!N15:N17,'Order 864-3'!N19)</f>
        <v>0</v>
      </c>
      <c r="H13" s="92"/>
      <c r="I13" s="38">
        <f>SUM(C13:G13)</f>
        <v>1519.833204361222</v>
      </c>
      <c r="J13" s="47" t="s">
        <v>564</v>
      </c>
      <c r="K13" s="4">
        <f>K12+1</f>
        <v>2</v>
      </c>
    </row>
    <row r="14" spans="1:11" x14ac:dyDescent="0.35">
      <c r="A14" s="4">
        <f>A13+1</f>
        <v>3</v>
      </c>
      <c r="B14" s="35" t="s">
        <v>546</v>
      </c>
      <c r="C14" s="6">
        <v>0</v>
      </c>
      <c r="D14" s="6"/>
      <c r="E14" s="6">
        <f>'Order 864-3'!M27</f>
        <v>103895.54690487018</v>
      </c>
      <c r="F14" s="6"/>
      <c r="G14" s="6">
        <f>'Order 864-3'!N27</f>
        <v>0</v>
      </c>
      <c r="H14" s="6"/>
      <c r="I14" s="6">
        <f>SUM(C14:G14)</f>
        <v>103895.54690487018</v>
      </c>
      <c r="J14" s="47" t="s">
        <v>564</v>
      </c>
      <c r="K14" s="4">
        <f>K13+1</f>
        <v>3</v>
      </c>
    </row>
    <row r="15" spans="1:11" x14ac:dyDescent="0.35">
      <c r="A15" s="4">
        <f>A14+1</f>
        <v>4</v>
      </c>
      <c r="B15" s="835"/>
      <c r="C15" s="6">
        <v>0</v>
      </c>
      <c r="D15" s="38"/>
      <c r="E15" s="6">
        <v>0</v>
      </c>
      <c r="F15" s="38"/>
      <c r="G15" s="6">
        <v>0</v>
      </c>
      <c r="H15" s="92"/>
      <c r="I15" s="6">
        <f>SUM(C15:G15)</f>
        <v>0</v>
      </c>
      <c r="J15" s="834"/>
      <c r="K15" s="4">
        <f>K14+1</f>
        <v>4</v>
      </c>
    </row>
    <row r="16" spans="1:11" x14ac:dyDescent="0.35">
      <c r="A16" s="4">
        <f>A15+1</f>
        <v>5</v>
      </c>
      <c r="B16" s="35"/>
      <c r="C16" s="6">
        <v>0</v>
      </c>
      <c r="D16" s="6"/>
      <c r="E16" s="6">
        <v>0</v>
      </c>
      <c r="F16" s="6"/>
      <c r="G16" s="6">
        <v>0</v>
      </c>
      <c r="H16" s="6"/>
      <c r="I16" s="6">
        <f>SUM(C16:G16)</f>
        <v>0</v>
      </c>
      <c r="J16" s="6"/>
      <c r="K16" s="4">
        <f>K15+1</f>
        <v>5</v>
      </c>
    </row>
    <row r="17" spans="1:11" x14ac:dyDescent="0.35">
      <c r="A17" s="4">
        <f>A16+1</f>
        <v>6</v>
      </c>
      <c r="C17" s="6">
        <v>0</v>
      </c>
      <c r="D17" s="6"/>
      <c r="E17" s="6">
        <v>0</v>
      </c>
      <c r="F17" s="6"/>
      <c r="G17" s="6">
        <v>0</v>
      </c>
      <c r="H17" s="6"/>
      <c r="I17" s="6">
        <f>SUM(C17:G17)</f>
        <v>0</v>
      </c>
      <c r="J17" s="6"/>
      <c r="K17" s="4">
        <f>K16+1</f>
        <v>6</v>
      </c>
    </row>
    <row r="18" spans="1:11" ht="16" thickBot="1" x14ac:dyDescent="0.4">
      <c r="A18" s="4">
        <f t="shared" ref="A18" si="0">A17+1</f>
        <v>7</v>
      </c>
      <c r="B18" s="350" t="s">
        <v>547</v>
      </c>
      <c r="C18" s="93">
        <f>SUM(C13:C17)</f>
        <v>1519.833204361222</v>
      </c>
      <c r="D18" s="6"/>
      <c r="E18" s="93">
        <f>SUM(E13:E17)</f>
        <v>103895.54690487018</v>
      </c>
      <c r="F18" s="46"/>
      <c r="G18" s="93">
        <f>SUM(G13:G17)</f>
        <v>0</v>
      </c>
      <c r="H18" s="6"/>
      <c r="I18" s="93">
        <f>SUM(I13:I17)</f>
        <v>105415.3801092314</v>
      </c>
      <c r="J18" s="47" t="s">
        <v>548</v>
      </c>
      <c r="K18" s="4">
        <f t="shared" ref="K18" si="1">K17+1</f>
        <v>7</v>
      </c>
    </row>
    <row r="19" spans="1:11" ht="16" thickTop="1" x14ac:dyDescent="0.35">
      <c r="A19" s="4">
        <f t="shared" ref="A19:A35" si="2">A18+1</f>
        <v>8</v>
      </c>
      <c r="C19" s="89"/>
      <c r="D19" s="89"/>
      <c r="E19" s="89"/>
      <c r="F19" s="89"/>
      <c r="G19" s="89"/>
      <c r="H19" s="89"/>
      <c r="I19" s="89"/>
      <c r="J19" s="89"/>
      <c r="K19" s="4">
        <f t="shared" ref="K19:K35" si="3">K18+1</f>
        <v>8</v>
      </c>
    </row>
    <row r="20" spans="1:11" x14ac:dyDescent="0.35">
      <c r="A20" s="4">
        <f t="shared" si="2"/>
        <v>9</v>
      </c>
      <c r="B20" s="35" t="s">
        <v>549</v>
      </c>
      <c r="C20" s="94"/>
      <c r="D20" s="94"/>
      <c r="E20" s="94"/>
      <c r="F20" s="94"/>
      <c r="G20" s="94"/>
      <c r="H20" s="94"/>
      <c r="I20" s="95"/>
      <c r="J20" s="95"/>
      <c r="K20" s="4">
        <f t="shared" si="3"/>
        <v>9</v>
      </c>
    </row>
    <row r="21" spans="1:11" x14ac:dyDescent="0.35">
      <c r="A21" s="4">
        <f t="shared" si="2"/>
        <v>10</v>
      </c>
      <c r="B21" s="749" t="s">
        <v>546</v>
      </c>
      <c r="C21" s="38">
        <v>-844678.63211961079</v>
      </c>
      <c r="D21" s="38"/>
      <c r="E21" s="38">
        <f>SUM('Order 864-3'!M29:M30,'Order 864-3'!M37,'Order 864-3'!M40)</f>
        <v>51366.178021585656</v>
      </c>
      <c r="F21" s="38"/>
      <c r="G21" s="38">
        <f>SUM('Order 864-3'!N29:N30,'Order 864-3'!N37,'Order 864-3'!N40)</f>
        <v>-409025.82473469403</v>
      </c>
      <c r="H21" s="38"/>
      <c r="I21" s="38">
        <f>SUM(C21:G21)</f>
        <v>-1202338.2788327192</v>
      </c>
      <c r="J21" s="47" t="s">
        <v>565</v>
      </c>
      <c r="K21" s="4">
        <f t="shared" si="3"/>
        <v>10</v>
      </c>
    </row>
    <row r="22" spans="1:11" x14ac:dyDescent="0.35">
      <c r="A22" s="4">
        <f t="shared" si="2"/>
        <v>11</v>
      </c>
      <c r="B22" s="749"/>
      <c r="C22" s="6">
        <v>0</v>
      </c>
      <c r="D22" s="6"/>
      <c r="E22" s="6">
        <v>0</v>
      </c>
      <c r="F22" s="6"/>
      <c r="G22" s="6">
        <v>0</v>
      </c>
      <c r="H22" s="6"/>
      <c r="I22" s="6">
        <f>SUM(C22:G22)</f>
        <v>0</v>
      </c>
      <c r="J22" s="6"/>
      <c r="K22" s="4">
        <f t="shared" si="3"/>
        <v>11</v>
      </c>
    </row>
    <row r="23" spans="1:11" x14ac:dyDescent="0.35">
      <c r="A23" s="4">
        <f t="shared" si="2"/>
        <v>12</v>
      </c>
      <c r="C23" s="6">
        <v>0</v>
      </c>
      <c r="D23" s="6"/>
      <c r="E23" s="6">
        <v>0</v>
      </c>
      <c r="F23" s="6"/>
      <c r="G23" s="6">
        <v>0</v>
      </c>
      <c r="H23" s="6"/>
      <c r="I23" s="6">
        <f>SUM(C23:G23)</f>
        <v>0</v>
      </c>
      <c r="J23" s="6"/>
      <c r="K23" s="4">
        <f t="shared" si="3"/>
        <v>12</v>
      </c>
    </row>
    <row r="24" spans="1:11" x14ac:dyDescent="0.35">
      <c r="A24" s="4">
        <f t="shared" si="2"/>
        <v>13</v>
      </c>
      <c r="C24" s="6">
        <v>0</v>
      </c>
      <c r="D24" s="6"/>
      <c r="E24" s="6">
        <v>0</v>
      </c>
      <c r="F24" s="6"/>
      <c r="G24" s="6">
        <v>0</v>
      </c>
      <c r="H24" s="6"/>
      <c r="I24" s="6">
        <f>SUM(C24:G24)</f>
        <v>0</v>
      </c>
      <c r="J24" s="6"/>
      <c r="K24" s="4">
        <f t="shared" si="3"/>
        <v>13</v>
      </c>
    </row>
    <row r="25" spans="1:11" ht="16" thickBot="1" x14ac:dyDescent="0.4">
      <c r="A25" s="4">
        <f t="shared" si="2"/>
        <v>14</v>
      </c>
      <c r="B25" s="350" t="s">
        <v>550</v>
      </c>
      <c r="C25" s="93">
        <f>SUM(C21:C24)</f>
        <v>-844678.63211961079</v>
      </c>
      <c r="D25" s="6"/>
      <c r="E25" s="93">
        <f>SUM(E21:E24)</f>
        <v>51366.178021585656</v>
      </c>
      <c r="F25" s="46"/>
      <c r="G25" s="93">
        <f>SUM(G21:G24)</f>
        <v>-409025.82473469403</v>
      </c>
      <c r="H25" s="6"/>
      <c r="I25" s="93">
        <f>SUM(I21:I24)</f>
        <v>-1202338.2788327192</v>
      </c>
      <c r="J25" s="47" t="s">
        <v>551</v>
      </c>
      <c r="K25" s="4">
        <f t="shared" si="3"/>
        <v>14</v>
      </c>
    </row>
    <row r="26" spans="1:11" ht="16" thickTop="1" x14ac:dyDescent="0.35">
      <c r="A26" s="4">
        <f t="shared" si="2"/>
        <v>15</v>
      </c>
      <c r="K26" s="4">
        <f t="shared" si="3"/>
        <v>15</v>
      </c>
    </row>
    <row r="27" spans="1:11" x14ac:dyDescent="0.35">
      <c r="A27" s="4">
        <f t="shared" si="2"/>
        <v>16</v>
      </c>
      <c r="B27" s="35" t="s">
        <v>552</v>
      </c>
      <c r="C27" s="94"/>
      <c r="D27" s="94"/>
      <c r="E27" s="94"/>
      <c r="F27" s="94"/>
      <c r="G27" s="94"/>
      <c r="H27" s="94"/>
      <c r="I27" s="95"/>
      <c r="J27" s="4"/>
      <c r="K27" s="4">
        <f t="shared" si="3"/>
        <v>16</v>
      </c>
    </row>
    <row r="28" spans="1:11" x14ac:dyDescent="0.35">
      <c r="A28" s="4">
        <f t="shared" si="2"/>
        <v>17</v>
      </c>
      <c r="B28" s="35" t="s">
        <v>544</v>
      </c>
      <c r="C28" s="38">
        <v>-8583.7620040680013</v>
      </c>
      <c r="D28" s="38"/>
      <c r="E28" s="38">
        <f>SUM('Order 864-3'!M21:M22)</f>
        <v>0</v>
      </c>
      <c r="F28" s="38"/>
      <c r="G28" s="38">
        <f>SUM('Order 864-3'!N21:N22)</f>
        <v>0</v>
      </c>
      <c r="H28" s="38"/>
      <c r="I28" s="38">
        <f>SUM(C28:G28)</f>
        <v>-8583.7620040680013</v>
      </c>
      <c r="J28" s="47" t="s">
        <v>566</v>
      </c>
      <c r="K28" s="4">
        <f t="shared" si="3"/>
        <v>17</v>
      </c>
    </row>
    <row r="29" spans="1:11" x14ac:dyDescent="0.35">
      <c r="A29" s="4">
        <f t="shared" si="2"/>
        <v>18</v>
      </c>
      <c r="B29" s="35"/>
      <c r="C29" s="6">
        <v>0</v>
      </c>
      <c r="D29" s="6"/>
      <c r="E29" s="6">
        <v>0</v>
      </c>
      <c r="F29" s="6"/>
      <c r="G29" s="6">
        <v>0</v>
      </c>
      <c r="H29" s="6"/>
      <c r="I29" s="6">
        <f>SUM(C29:G29)</f>
        <v>0</v>
      </c>
      <c r="J29" s="4"/>
      <c r="K29" s="4">
        <f t="shared" si="3"/>
        <v>18</v>
      </c>
    </row>
    <row r="30" spans="1:11" x14ac:dyDescent="0.35">
      <c r="A30" s="4">
        <f t="shared" si="2"/>
        <v>19</v>
      </c>
      <c r="B30" s="35"/>
      <c r="C30" s="6">
        <v>0</v>
      </c>
      <c r="D30" s="6"/>
      <c r="E30" s="6">
        <v>0</v>
      </c>
      <c r="F30" s="6"/>
      <c r="G30" s="6">
        <v>0</v>
      </c>
      <c r="H30" s="6"/>
      <c r="I30" s="6">
        <f>SUM(C30:G30)</f>
        <v>0</v>
      </c>
      <c r="J30" s="6"/>
      <c r="K30" s="4">
        <f t="shared" si="3"/>
        <v>19</v>
      </c>
    </row>
    <row r="31" spans="1:11" x14ac:dyDescent="0.35">
      <c r="A31" s="4">
        <f t="shared" si="2"/>
        <v>20</v>
      </c>
      <c r="B31" s="35"/>
      <c r="C31" s="6">
        <v>0</v>
      </c>
      <c r="D31" s="6"/>
      <c r="E31" s="6">
        <v>0</v>
      </c>
      <c r="F31" s="6"/>
      <c r="G31" s="6">
        <v>0</v>
      </c>
      <c r="H31" s="6"/>
      <c r="I31" s="6">
        <f>SUM(C31:G31)</f>
        <v>0</v>
      </c>
      <c r="J31" s="6"/>
      <c r="K31" s="4">
        <f t="shared" si="3"/>
        <v>20</v>
      </c>
    </row>
    <row r="32" spans="1:11" x14ac:dyDescent="0.35">
      <c r="A32" s="4">
        <f t="shared" si="2"/>
        <v>21</v>
      </c>
      <c r="B32" s="35"/>
      <c r="C32" s="6">
        <v>0</v>
      </c>
      <c r="D32" s="6"/>
      <c r="E32" s="6">
        <v>0</v>
      </c>
      <c r="F32" s="6"/>
      <c r="G32" s="6">
        <v>0</v>
      </c>
      <c r="H32" s="6"/>
      <c r="I32" s="6">
        <f>SUM(C32:G32)</f>
        <v>0</v>
      </c>
      <c r="J32" s="6"/>
      <c r="K32" s="4">
        <f t="shared" si="3"/>
        <v>21</v>
      </c>
    </row>
    <row r="33" spans="1:11" ht="16" thickBot="1" x14ac:dyDescent="0.4">
      <c r="A33" s="4">
        <f t="shared" si="2"/>
        <v>22</v>
      </c>
      <c r="B33" s="350" t="s">
        <v>554</v>
      </c>
      <c r="C33" s="93">
        <f>SUM(C28:C32)</f>
        <v>-8583.7620040680013</v>
      </c>
      <c r="D33" s="6"/>
      <c r="E33" s="93">
        <f>SUM(E28:E32)</f>
        <v>0</v>
      </c>
      <c r="F33" s="46"/>
      <c r="G33" s="93">
        <f>SUM(G28:G32)</f>
        <v>0</v>
      </c>
      <c r="H33" s="6"/>
      <c r="I33" s="93">
        <f>SUM(I28:I32)</f>
        <v>-8583.7620040680013</v>
      </c>
      <c r="J33" s="47" t="s">
        <v>555</v>
      </c>
      <c r="K33" s="4">
        <f t="shared" si="3"/>
        <v>22</v>
      </c>
    </row>
    <row r="34" spans="1:11" ht="16" thickTop="1" x14ac:dyDescent="0.35">
      <c r="A34" s="4">
        <f t="shared" si="2"/>
        <v>23</v>
      </c>
      <c r="K34" s="4">
        <f t="shared" si="3"/>
        <v>23</v>
      </c>
    </row>
    <row r="35" spans="1:11" ht="18.5" thickBot="1" x14ac:dyDescent="0.4">
      <c r="A35" s="4">
        <f t="shared" si="2"/>
        <v>24</v>
      </c>
      <c r="B35" s="1" t="s">
        <v>556</v>
      </c>
      <c r="C35" s="93">
        <f>+C18+C25+C33</f>
        <v>-851742.56091931753</v>
      </c>
      <c r="E35" s="93">
        <f>+E18+E25+E33</f>
        <v>155261.72492645582</v>
      </c>
      <c r="F35" s="46"/>
      <c r="G35" s="93">
        <f>+G18+G25+G33</f>
        <v>-409025.82473469403</v>
      </c>
      <c r="I35" s="93">
        <f>+I18+I25+I33</f>
        <v>-1105506.6607275556</v>
      </c>
      <c r="J35" s="47" t="s">
        <v>557</v>
      </c>
      <c r="K35" s="4">
        <f t="shared" si="3"/>
        <v>24</v>
      </c>
    </row>
    <row r="36" spans="1:11" ht="16" thickTop="1" x14ac:dyDescent="0.35">
      <c r="B36" s="1"/>
      <c r="C36" s="46"/>
      <c r="E36" s="46"/>
      <c r="F36" s="46"/>
      <c r="G36" s="46"/>
      <c r="I36" s="46"/>
      <c r="J36" s="47"/>
    </row>
    <row r="38" spans="1:11" ht="18" x14ac:dyDescent="0.35">
      <c r="A38" s="261">
        <v>1</v>
      </c>
      <c r="B38" s="34" t="s">
        <v>558</v>
      </c>
    </row>
    <row r="39" spans="1:11" ht="18" x14ac:dyDescent="0.35">
      <c r="A39" s="261">
        <v>2</v>
      </c>
      <c r="B39" s="34" t="s">
        <v>567</v>
      </c>
    </row>
    <row r="40" spans="1:11" ht="18" x14ac:dyDescent="0.35">
      <c r="A40" s="261">
        <v>3</v>
      </c>
      <c r="B40" s="34" t="s">
        <v>568</v>
      </c>
    </row>
    <row r="41" spans="1:11" ht="19.5" customHeight="1" x14ac:dyDescent="0.35">
      <c r="A41" s="261">
        <v>4</v>
      </c>
      <c r="B41" s="35" t="s">
        <v>569</v>
      </c>
      <c r="C41" s="932"/>
      <c r="D41" s="932"/>
      <c r="E41" s="932"/>
      <c r="F41" s="932"/>
      <c r="G41" s="932"/>
      <c r="H41" s="932"/>
      <c r="I41" s="932"/>
      <c r="J41" s="932"/>
    </row>
    <row r="42" spans="1:11" x14ac:dyDescent="0.35">
      <c r="B42" s="35" t="s">
        <v>570</v>
      </c>
    </row>
  </sheetData>
  <mergeCells count="5">
    <mergeCell ref="B2:J2"/>
    <mergeCell ref="B3:J3"/>
    <mergeCell ref="B4:J4"/>
    <mergeCell ref="B5:J5"/>
    <mergeCell ref="B6:J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heetViews>
  <sheetFormatPr defaultColWidth="8.90625" defaultRowHeight="15.5" x14ac:dyDescent="0.35"/>
  <cols>
    <col min="1" max="1" width="5.08984375" style="351" customWidth="1"/>
    <col min="2" max="2" width="56.08984375" style="5" customWidth="1"/>
    <col min="3" max="3" width="16.90625" style="5" customWidth="1"/>
    <col min="4" max="4" width="1.54296875" style="5" customWidth="1"/>
    <col min="5" max="5" width="16.90625" style="5" customWidth="1"/>
    <col min="6" max="6" width="1.54296875" style="5" customWidth="1"/>
    <col min="7" max="7" width="15.90625" style="5" customWidth="1"/>
    <col min="8" max="8" width="62.453125" style="5" customWidth="1"/>
    <col min="9" max="9" width="5.08984375" style="351" customWidth="1"/>
    <col min="10" max="16384" width="8.90625" style="5"/>
  </cols>
  <sheetData>
    <row r="2" spans="1:9" x14ac:dyDescent="0.35">
      <c r="B2" s="1171" t="s">
        <v>0</v>
      </c>
      <c r="C2" s="1171"/>
      <c r="D2" s="1171"/>
      <c r="E2" s="1171"/>
      <c r="F2" s="1171"/>
      <c r="G2" s="1171"/>
      <c r="H2" s="1171"/>
    </row>
    <row r="3" spans="1:9" x14ac:dyDescent="0.35">
      <c r="B3" s="1171" t="s">
        <v>533</v>
      </c>
      <c r="C3" s="1171"/>
      <c r="D3" s="1171"/>
      <c r="E3" s="1171"/>
      <c r="F3" s="1171"/>
      <c r="G3" s="1171"/>
      <c r="H3" s="1171"/>
    </row>
    <row r="4" spans="1:9" x14ac:dyDescent="0.35">
      <c r="B4" s="1171" t="s">
        <v>571</v>
      </c>
      <c r="C4" s="1171"/>
      <c r="D4" s="1171"/>
      <c r="E4" s="1171"/>
      <c r="F4" s="1171"/>
      <c r="G4" s="1171"/>
      <c r="H4" s="1171"/>
    </row>
    <row r="5" spans="1:9" x14ac:dyDescent="0.35">
      <c r="B5" s="1171" t="s">
        <v>563</v>
      </c>
      <c r="C5" s="1171"/>
      <c r="D5" s="1171"/>
      <c r="E5" s="1171"/>
      <c r="F5" s="1171"/>
      <c r="G5" s="1171"/>
      <c r="H5" s="1171"/>
    </row>
    <row r="6" spans="1:9" ht="15.75" customHeight="1" x14ac:dyDescent="0.35">
      <c r="B6" s="1175" t="s">
        <v>5</v>
      </c>
      <c r="C6" s="1175"/>
      <c r="D6" s="1175"/>
      <c r="E6" s="1175"/>
      <c r="F6" s="1175"/>
      <c r="G6" s="1175"/>
      <c r="H6" s="1175"/>
    </row>
    <row r="8" spans="1:9" x14ac:dyDescent="0.35">
      <c r="A8" s="351" t="s">
        <v>6</v>
      </c>
      <c r="B8" s="34"/>
      <c r="C8" s="272" t="s">
        <v>280</v>
      </c>
      <c r="D8" s="272"/>
      <c r="E8" s="272" t="s">
        <v>281</v>
      </c>
      <c r="F8" s="34"/>
      <c r="G8" s="272" t="s">
        <v>318</v>
      </c>
      <c r="H8" s="272"/>
      <c r="I8" s="351" t="s">
        <v>6</v>
      </c>
    </row>
    <row r="9" spans="1:9" x14ac:dyDescent="0.35">
      <c r="A9" s="351" t="s">
        <v>7</v>
      </c>
      <c r="B9" s="990" t="s">
        <v>423</v>
      </c>
      <c r="C9" s="753">
        <f>'Stmt AD'!E9</f>
        <v>44561</v>
      </c>
      <c r="D9" s="1037"/>
      <c r="E9" s="753">
        <f>'Stmt AD'!G9</f>
        <v>44926</v>
      </c>
      <c r="F9" s="1038"/>
      <c r="G9" s="990" t="s">
        <v>320</v>
      </c>
      <c r="H9" s="990" t="s">
        <v>9</v>
      </c>
      <c r="I9" s="351" t="s">
        <v>7</v>
      </c>
    </row>
    <row r="10" spans="1:9" x14ac:dyDescent="0.35">
      <c r="B10" s="34"/>
      <c r="C10" s="34"/>
      <c r="D10" s="34"/>
      <c r="E10" s="34"/>
      <c r="F10" s="34"/>
      <c r="G10" s="34"/>
      <c r="H10" s="34"/>
      <c r="I10" s="4"/>
    </row>
    <row r="11" spans="1:9" ht="16" thickBot="1" x14ac:dyDescent="0.4">
      <c r="A11" s="351">
        <v>1</v>
      </c>
      <c r="B11" s="34" t="s">
        <v>526</v>
      </c>
      <c r="C11" s="975">
        <v>0</v>
      </c>
      <c r="D11" s="6"/>
      <c r="E11" s="975">
        <v>0</v>
      </c>
      <c r="F11" s="38"/>
      <c r="G11" s="40">
        <f>(C11+E11)/2</f>
        <v>0</v>
      </c>
      <c r="H11" s="47" t="s">
        <v>572</v>
      </c>
      <c r="I11" s="4">
        <f>A11</f>
        <v>1</v>
      </c>
    </row>
    <row r="12" spans="1:9" ht="16" thickTop="1" x14ac:dyDescent="0.35">
      <c r="A12" s="351">
        <f>A11+1</f>
        <v>2</v>
      </c>
      <c r="B12" s="34"/>
      <c r="C12" s="38"/>
      <c r="D12" s="6"/>
      <c r="E12" s="38"/>
      <c r="F12" s="38"/>
      <c r="G12" s="38"/>
      <c r="H12" s="38"/>
      <c r="I12" s="4">
        <f>I11+1</f>
        <v>2</v>
      </c>
    </row>
    <row r="13" spans="1:9" ht="16" thickBot="1" x14ac:dyDescent="0.4">
      <c r="A13" s="351">
        <f t="shared" ref="A13:A15" si="0">A12+1</f>
        <v>3</v>
      </c>
      <c r="B13" s="34" t="s">
        <v>528</v>
      </c>
      <c r="C13" s="975">
        <v>0</v>
      </c>
      <c r="D13" s="6"/>
      <c r="E13" s="975">
        <v>0</v>
      </c>
      <c r="F13" s="38"/>
      <c r="G13" s="40">
        <f>(C13+E13)/2</f>
        <v>0</v>
      </c>
      <c r="H13" s="47" t="s">
        <v>572</v>
      </c>
      <c r="I13" s="4">
        <f t="shared" ref="I13:I15" si="1">I12+1</f>
        <v>3</v>
      </c>
    </row>
    <row r="14" spans="1:9" ht="16" thickTop="1" x14ac:dyDescent="0.35">
      <c r="A14" s="351">
        <f t="shared" si="0"/>
        <v>4</v>
      </c>
      <c r="B14" s="34"/>
      <c r="C14" s="38"/>
      <c r="D14" s="6"/>
      <c r="E14" s="38"/>
      <c r="F14" s="38"/>
      <c r="G14" s="38"/>
      <c r="H14" s="47"/>
      <c r="I14" s="4">
        <f t="shared" si="1"/>
        <v>4</v>
      </c>
    </row>
    <row r="15" spans="1:9" ht="16" thickBot="1" x14ac:dyDescent="0.4">
      <c r="A15" s="351">
        <f t="shared" si="0"/>
        <v>5</v>
      </c>
      <c r="B15" s="34" t="s">
        <v>530</v>
      </c>
      <c r="C15" s="975">
        <v>0</v>
      </c>
      <c r="D15" s="6"/>
      <c r="E15" s="975">
        <v>0</v>
      </c>
      <c r="F15" s="38"/>
      <c r="G15" s="40">
        <f>(C15+E15)/2</f>
        <v>0</v>
      </c>
      <c r="H15" s="47" t="s">
        <v>572</v>
      </c>
      <c r="I15" s="4">
        <f t="shared" si="1"/>
        <v>5</v>
      </c>
    </row>
    <row r="16" spans="1:9" ht="16" thickTop="1" x14ac:dyDescent="0.35">
      <c r="B16" s="34"/>
      <c r="C16" s="11"/>
      <c r="D16" s="11"/>
      <c r="E16" s="11"/>
      <c r="F16" s="11"/>
      <c r="G16" s="11"/>
      <c r="H16" s="11"/>
      <c r="I16" s="4"/>
    </row>
    <row r="17" spans="2:9" x14ac:dyDescent="0.35">
      <c r="B17" s="34"/>
      <c r="C17" s="6"/>
      <c r="D17" s="6"/>
      <c r="E17" s="6"/>
      <c r="F17" s="6"/>
      <c r="G17" s="6"/>
      <c r="H17" s="6"/>
      <c r="I17" s="4"/>
    </row>
    <row r="18" spans="2:9" x14ac:dyDescent="0.35">
      <c r="B18" s="31"/>
      <c r="C18" s="34"/>
      <c r="D18" s="34"/>
      <c r="E18" s="6"/>
      <c r="F18" s="6"/>
      <c r="G18" s="6"/>
      <c r="H18" s="6"/>
      <c r="I18" s="4"/>
    </row>
    <row r="19" spans="2:9" x14ac:dyDescent="0.35">
      <c r="B19" s="34"/>
      <c r="C19" s="34"/>
      <c r="D19" s="34"/>
      <c r="E19" s="34"/>
      <c r="F19" s="34"/>
      <c r="G19" s="34"/>
      <c r="H19" s="34"/>
      <c r="I19" s="4"/>
    </row>
    <row r="28" spans="2:9" x14ac:dyDescent="0.35">
      <c r="B28" s="353"/>
    </row>
  </sheetData>
  <mergeCells count="5">
    <mergeCell ref="B2:H2"/>
    <mergeCell ref="B3:H3"/>
    <mergeCell ref="B4:H4"/>
    <mergeCell ref="B5:H5"/>
    <mergeCell ref="B6:H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08984375" defaultRowHeight="15.5" x14ac:dyDescent="0.35"/>
  <cols>
    <col min="1" max="1" width="5.08984375" style="4" bestFit="1" customWidth="1"/>
    <col min="2" max="2" width="50.90625" style="34" customWidth="1"/>
    <col min="3" max="3" width="24" style="34" customWidth="1"/>
    <col min="4" max="4" width="1.54296875" style="34" customWidth="1"/>
    <col min="5" max="5" width="16.90625" style="34" customWidth="1"/>
    <col min="6" max="6" width="1.54296875" style="34" customWidth="1"/>
    <col min="7" max="7" width="34.54296875" style="34" customWidth="1"/>
    <col min="8" max="8" width="5.08984375" style="34" bestFit="1" customWidth="1"/>
    <col min="9" max="9" width="9.08984375" style="34"/>
    <col min="10" max="10" width="20.453125" style="34" bestFit="1" customWidth="1"/>
    <col min="11" max="16384" width="9.08984375" style="34"/>
  </cols>
  <sheetData>
    <row r="1" spans="1:8" x14ac:dyDescent="0.35">
      <c r="E1" s="4"/>
      <c r="F1" s="4"/>
      <c r="G1" s="4"/>
      <c r="H1" s="4"/>
    </row>
    <row r="2" spans="1:8" x14ac:dyDescent="0.35">
      <c r="B2" s="1171" t="s">
        <v>0</v>
      </c>
      <c r="C2" s="1171"/>
      <c r="D2" s="1171"/>
      <c r="E2" s="1171"/>
      <c r="F2" s="1171"/>
      <c r="G2" s="1171"/>
      <c r="H2" s="4"/>
    </row>
    <row r="3" spans="1:8" x14ac:dyDescent="0.35">
      <c r="B3" s="1171" t="s">
        <v>573</v>
      </c>
      <c r="C3" s="1171"/>
      <c r="D3" s="1171"/>
      <c r="E3" s="1171"/>
      <c r="F3" s="1171"/>
      <c r="G3" s="1171"/>
      <c r="H3" s="4"/>
    </row>
    <row r="4" spans="1:8" x14ac:dyDescent="0.35">
      <c r="B4" s="1171" t="s">
        <v>574</v>
      </c>
      <c r="C4" s="1171"/>
      <c r="D4" s="1171"/>
      <c r="E4" s="1171"/>
      <c r="F4" s="1171"/>
      <c r="G4" s="1171"/>
      <c r="H4" s="4"/>
    </row>
    <row r="5" spans="1:8" x14ac:dyDescent="0.35">
      <c r="B5" s="1176" t="str">
        <f>'Stmt AD'!B5</f>
        <v>Base Period &amp; True-Up Period 12 - Months Ending December 31, 2022</v>
      </c>
      <c r="C5" s="1176"/>
      <c r="D5" s="1176"/>
      <c r="E5" s="1176"/>
      <c r="F5" s="1176"/>
      <c r="G5" s="1176"/>
      <c r="H5" s="4"/>
    </row>
    <row r="6" spans="1:8" x14ac:dyDescent="0.35">
      <c r="B6" s="1175" t="s">
        <v>5</v>
      </c>
      <c r="C6" s="1172"/>
      <c r="D6" s="1172"/>
      <c r="E6" s="1172"/>
      <c r="F6" s="1172"/>
      <c r="G6" s="1172"/>
      <c r="H6" s="4"/>
    </row>
    <row r="7" spans="1:8" x14ac:dyDescent="0.35">
      <c r="B7" s="4"/>
      <c r="C7" s="4"/>
      <c r="D7" s="4"/>
      <c r="E7" s="4"/>
      <c r="F7" s="4"/>
      <c r="G7" s="4"/>
      <c r="H7" s="4"/>
    </row>
    <row r="8" spans="1:8" x14ac:dyDescent="0.35">
      <c r="A8" s="4" t="s">
        <v>6</v>
      </c>
      <c r="B8" s="226"/>
      <c r="C8" s="4" t="s">
        <v>317</v>
      </c>
      <c r="D8" s="226"/>
      <c r="E8" s="354"/>
      <c r="F8" s="4"/>
      <c r="G8" s="4"/>
      <c r="H8" s="4" t="s">
        <v>6</v>
      </c>
    </row>
    <row r="9" spans="1:8" x14ac:dyDescent="0.35">
      <c r="A9" s="4" t="s">
        <v>7</v>
      </c>
      <c r="C9" s="876" t="s">
        <v>319</v>
      </c>
      <c r="E9" s="877" t="s">
        <v>320</v>
      </c>
      <c r="F9" s="226"/>
      <c r="G9" s="876" t="s">
        <v>9</v>
      </c>
      <c r="H9" s="4" t="s">
        <v>7</v>
      </c>
    </row>
    <row r="10" spans="1:8" x14ac:dyDescent="0.35">
      <c r="E10" s="4"/>
      <c r="F10" s="4"/>
      <c r="G10" s="4"/>
      <c r="H10" s="4"/>
    </row>
    <row r="11" spans="1:8" ht="18.5" thickBot="1" x14ac:dyDescent="0.4">
      <c r="A11" s="4">
        <f>A10+1</f>
        <v>1</v>
      </c>
      <c r="B11" s="35" t="s">
        <v>575</v>
      </c>
      <c r="C11" s="4">
        <v>214</v>
      </c>
      <c r="E11" s="96">
        <f>'AG-1'!C31</f>
        <v>0</v>
      </c>
      <c r="F11" s="74"/>
      <c r="G11" s="4" t="s">
        <v>576</v>
      </c>
      <c r="H11" s="4">
        <f>A11</f>
        <v>1</v>
      </c>
    </row>
    <row r="12" spans="1:8" ht="16" thickTop="1" x14ac:dyDescent="0.35">
      <c r="E12" s="38"/>
      <c r="H12" s="4"/>
    </row>
    <row r="13" spans="1:8" x14ac:dyDescent="0.35">
      <c r="H13" s="4"/>
    </row>
    <row r="14" spans="1:8" ht="18" x14ac:dyDescent="0.35">
      <c r="A14" s="261" t="s">
        <v>577</v>
      </c>
      <c r="B14" s="34" t="s">
        <v>578</v>
      </c>
      <c r="H14" s="4"/>
    </row>
    <row r="15" spans="1:8" x14ac:dyDescent="0.35">
      <c r="B15" s="34" t="s">
        <v>579</v>
      </c>
      <c r="H15" s="4"/>
    </row>
    <row r="18" spans="1:2" x14ac:dyDescent="0.35">
      <c r="A18" s="74"/>
      <c r="B18" s="1"/>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Roman,Regular"&amp;10AG</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zoomScale="80" zoomScaleNormal="80" workbookViewId="0"/>
  </sheetViews>
  <sheetFormatPr defaultColWidth="8.90625" defaultRowHeight="15.5" x14ac:dyDescent="0.35"/>
  <cols>
    <col min="1" max="1" width="5.08984375" style="4" customWidth="1"/>
    <col min="2" max="2" width="35.08984375" style="34" customWidth="1"/>
    <col min="3" max="3" width="18.54296875" style="34" customWidth="1"/>
    <col min="4" max="4" width="62.54296875" style="34" customWidth="1"/>
    <col min="5" max="5" width="5.08984375" style="34" customWidth="1"/>
    <col min="6" max="9" width="8.90625" style="34"/>
    <col min="10" max="10" width="12.90625" style="34" bestFit="1" customWidth="1"/>
    <col min="11" max="11" width="8.90625" style="34"/>
    <col min="12" max="12" width="14" style="34" bestFit="1" customWidth="1"/>
    <col min="13" max="16384" width="8.90625" style="34"/>
  </cols>
  <sheetData>
    <row r="2" spans="1:13" s="1" customFormat="1" ht="15" x14ac:dyDescent="0.35">
      <c r="A2" s="226"/>
      <c r="B2" s="1171" t="s">
        <v>0</v>
      </c>
      <c r="C2" s="1171"/>
      <c r="D2" s="1171"/>
    </row>
    <row r="3" spans="1:13" s="1" customFormat="1" ht="15" x14ac:dyDescent="0.35">
      <c r="A3" s="226"/>
      <c r="B3" s="1171" t="s">
        <v>580</v>
      </c>
      <c r="C3" s="1171"/>
      <c r="D3" s="1171"/>
    </row>
    <row r="4" spans="1:13" s="1" customFormat="1" ht="15" x14ac:dyDescent="0.35">
      <c r="A4" s="226"/>
      <c r="B4" s="1171" t="s">
        <v>581</v>
      </c>
      <c r="C4" s="1171"/>
      <c r="D4" s="1171"/>
    </row>
    <row r="5" spans="1:13" s="1" customFormat="1" ht="15" x14ac:dyDescent="0.35">
      <c r="A5" s="226"/>
      <c r="B5" s="1171" t="s">
        <v>582</v>
      </c>
      <c r="C5" s="1171"/>
      <c r="D5" s="1171"/>
    </row>
    <row r="6" spans="1:13" s="1" customFormat="1" ht="15" x14ac:dyDescent="0.35">
      <c r="A6" s="226"/>
      <c r="B6" s="1171" t="s">
        <v>583</v>
      </c>
      <c r="C6" s="1171"/>
      <c r="D6" s="1171"/>
    </row>
    <row r="7" spans="1:13" s="1" customFormat="1" ht="15" x14ac:dyDescent="0.35">
      <c r="A7" s="226"/>
      <c r="B7" s="1175" t="s">
        <v>5</v>
      </c>
      <c r="C7" s="1175"/>
      <c r="D7" s="1175"/>
    </row>
    <row r="8" spans="1:13" s="1" customFormat="1" ht="15" x14ac:dyDescent="0.35">
      <c r="A8" s="226"/>
      <c r="B8" s="277"/>
      <c r="C8" s="277"/>
      <c r="D8" s="277"/>
    </row>
    <row r="9" spans="1:13" s="1" customFormat="1" ht="15" x14ac:dyDescent="0.35">
      <c r="A9" s="226"/>
      <c r="B9" s="1171" t="s">
        <v>405</v>
      </c>
      <c r="C9" s="1171"/>
      <c r="D9" s="1171"/>
    </row>
    <row r="10" spans="1:13" x14ac:dyDescent="0.35">
      <c r="B10" s="355"/>
      <c r="C10" s="89"/>
      <c r="D10" s="89"/>
      <c r="E10" s="4"/>
    </row>
    <row r="11" spans="1:13" x14ac:dyDescent="0.35">
      <c r="B11" s="987"/>
      <c r="C11" s="1006" t="s">
        <v>406</v>
      </c>
      <c r="D11" s="988"/>
      <c r="E11" s="4"/>
    </row>
    <row r="12" spans="1:13" x14ac:dyDescent="0.35">
      <c r="A12" s="4" t="s">
        <v>6</v>
      </c>
      <c r="B12" s="288"/>
      <c r="C12" s="280" t="s">
        <v>584</v>
      </c>
      <c r="D12" s="1008"/>
      <c r="E12" s="282" t="s">
        <v>6</v>
      </c>
      <c r="H12" s="277"/>
      <c r="I12" s="277"/>
      <c r="J12" s="277"/>
      <c r="K12" s="277"/>
      <c r="L12" s="277"/>
      <c r="M12" s="277"/>
    </row>
    <row r="13" spans="1:13" x14ac:dyDescent="0.35">
      <c r="A13" s="4" t="s">
        <v>7</v>
      </c>
      <c r="B13" s="285" t="s">
        <v>368</v>
      </c>
      <c r="C13" s="319" t="s">
        <v>585</v>
      </c>
      <c r="D13" s="285" t="s">
        <v>9</v>
      </c>
      <c r="E13" s="282" t="s">
        <v>7</v>
      </c>
      <c r="H13" s="277"/>
      <c r="I13" s="1"/>
      <c r="J13" s="1"/>
      <c r="K13" s="226"/>
      <c r="L13" s="1"/>
      <c r="M13" s="277"/>
    </row>
    <row r="14" spans="1:13" x14ac:dyDescent="0.35">
      <c r="A14" s="4">
        <v>1</v>
      </c>
      <c r="B14" s="991" t="str">
        <f>'AE-1'!B14</f>
        <v>Dec-21</v>
      </c>
      <c r="C14" s="240">
        <v>0</v>
      </c>
      <c r="D14" s="589" t="s">
        <v>372</v>
      </c>
      <c r="E14" s="282">
        <f>A14</f>
        <v>1</v>
      </c>
      <c r="G14" s="39"/>
      <c r="H14" s="277"/>
      <c r="I14" s="226"/>
      <c r="J14" s="226"/>
      <c r="K14" s="226"/>
      <c r="L14" s="277"/>
      <c r="M14" s="277"/>
    </row>
    <row r="15" spans="1:13" x14ac:dyDescent="0.35">
      <c r="A15" s="4">
        <f>A14+1</f>
        <v>2</v>
      </c>
      <c r="B15" s="991" t="str">
        <f>'AE-1'!B15</f>
        <v>Jan-22</v>
      </c>
      <c r="C15" s="241">
        <v>0</v>
      </c>
      <c r="D15" s="241"/>
      <c r="E15" s="282">
        <f>E14+1</f>
        <v>2</v>
      </c>
      <c r="G15" s="39"/>
      <c r="H15" s="277"/>
      <c r="I15" s="226"/>
      <c r="J15" s="226"/>
      <c r="K15" s="226"/>
      <c r="L15" s="277"/>
      <c r="M15" s="277"/>
    </row>
    <row r="16" spans="1:13" x14ac:dyDescent="0.35">
      <c r="A16" s="4">
        <f t="shared" ref="A16:A32" si="0">A15+1</f>
        <v>3</v>
      </c>
      <c r="B16" s="994" t="s">
        <v>375</v>
      </c>
      <c r="C16" s="241">
        <v>0</v>
      </c>
      <c r="D16" s="241"/>
      <c r="E16" s="282">
        <f t="shared" ref="E16:E32" si="1">E15+1</f>
        <v>3</v>
      </c>
      <c r="G16" s="39"/>
      <c r="H16" s="277"/>
      <c r="I16" s="226"/>
      <c r="J16" s="226"/>
      <c r="K16" s="226"/>
      <c r="L16" s="277"/>
      <c r="M16" s="277"/>
    </row>
    <row r="17" spans="1:13" x14ac:dyDescent="0.35">
      <c r="A17" s="4">
        <f t="shared" si="0"/>
        <v>4</v>
      </c>
      <c r="B17" s="994" t="s">
        <v>376</v>
      </c>
      <c r="C17" s="241">
        <v>0</v>
      </c>
      <c r="D17" s="241"/>
      <c r="E17" s="282">
        <f t="shared" si="1"/>
        <v>4</v>
      </c>
      <c r="H17" s="277"/>
      <c r="I17" s="226"/>
      <c r="J17" s="350"/>
      <c r="K17" s="226"/>
      <c r="L17" s="277"/>
      <c r="M17" s="277"/>
    </row>
    <row r="18" spans="1:13" x14ac:dyDescent="0.35">
      <c r="A18" s="4">
        <f t="shared" si="0"/>
        <v>5</v>
      </c>
      <c r="B18" s="994" t="s">
        <v>377</v>
      </c>
      <c r="C18" s="241">
        <v>0</v>
      </c>
      <c r="D18" s="241"/>
      <c r="E18" s="282">
        <f t="shared" si="1"/>
        <v>5</v>
      </c>
      <c r="H18" s="277"/>
      <c r="I18" s="226"/>
      <c r="J18" s="350"/>
      <c r="K18" s="226"/>
      <c r="L18" s="277"/>
      <c r="M18" s="277"/>
    </row>
    <row r="19" spans="1:13" x14ac:dyDescent="0.35">
      <c r="A19" s="4">
        <f t="shared" si="0"/>
        <v>6</v>
      </c>
      <c r="B19" s="994" t="s">
        <v>378</v>
      </c>
      <c r="C19" s="241">
        <v>0</v>
      </c>
      <c r="D19" s="241"/>
      <c r="E19" s="282">
        <f t="shared" si="1"/>
        <v>6</v>
      </c>
      <c r="H19" s="277"/>
      <c r="I19" s="350"/>
      <c r="J19" s="350"/>
      <c r="K19" s="356"/>
      <c r="L19" s="357"/>
      <c r="M19" s="277"/>
    </row>
    <row r="20" spans="1:13" x14ac:dyDescent="0.35">
      <c r="A20" s="4">
        <f>A19+1</f>
        <v>7</v>
      </c>
      <c r="B20" s="994" t="s">
        <v>379</v>
      </c>
      <c r="C20" s="241">
        <v>0</v>
      </c>
      <c r="D20" s="241"/>
      <c r="E20" s="282">
        <f>E19+1</f>
        <v>7</v>
      </c>
      <c r="H20" s="277"/>
      <c r="I20" s="358"/>
      <c r="J20" s="359"/>
      <c r="K20" s="360"/>
      <c r="L20" s="361"/>
      <c r="M20" s="277"/>
    </row>
    <row r="21" spans="1:13" x14ac:dyDescent="0.35">
      <c r="A21" s="4">
        <f t="shared" si="0"/>
        <v>8</v>
      </c>
      <c r="B21" s="994" t="s">
        <v>380</v>
      </c>
      <c r="C21" s="241">
        <v>0</v>
      </c>
      <c r="D21" s="241"/>
      <c r="E21" s="282">
        <f t="shared" si="1"/>
        <v>8</v>
      </c>
      <c r="H21" s="277"/>
      <c r="I21" s="362"/>
      <c r="J21" s="362"/>
      <c r="K21" s="357"/>
      <c r="L21" s="357"/>
      <c r="M21" s="277"/>
    </row>
    <row r="22" spans="1:13" x14ac:dyDescent="0.35">
      <c r="A22" s="4">
        <f t="shared" si="0"/>
        <v>9</v>
      </c>
      <c r="B22" s="994" t="s">
        <v>381</v>
      </c>
      <c r="C22" s="241">
        <v>0</v>
      </c>
      <c r="D22" s="241"/>
      <c r="E22" s="282">
        <f t="shared" si="1"/>
        <v>9</v>
      </c>
      <c r="H22" s="277"/>
      <c r="I22" s="358"/>
      <c r="J22" s="359"/>
      <c r="K22" s="363"/>
      <c r="L22" s="361"/>
      <c r="M22" s="277"/>
    </row>
    <row r="23" spans="1:13" x14ac:dyDescent="0.35">
      <c r="A23" s="4">
        <f t="shared" si="0"/>
        <v>10</v>
      </c>
      <c r="B23" s="994" t="s">
        <v>382</v>
      </c>
      <c r="C23" s="241">
        <v>0</v>
      </c>
      <c r="D23" s="241"/>
      <c r="E23" s="282">
        <f t="shared" si="1"/>
        <v>10</v>
      </c>
      <c r="H23" s="277"/>
      <c r="I23" s="1"/>
      <c r="J23" s="1"/>
      <c r="K23" s="357"/>
      <c r="L23" s="357"/>
      <c r="M23" s="277"/>
    </row>
    <row r="24" spans="1:13" x14ac:dyDescent="0.35">
      <c r="A24" s="4">
        <f t="shared" si="0"/>
        <v>11</v>
      </c>
      <c r="B24" s="994" t="s">
        <v>383</v>
      </c>
      <c r="C24" s="241">
        <v>0</v>
      </c>
      <c r="D24" s="241"/>
      <c r="E24" s="282">
        <f t="shared" si="1"/>
        <v>11</v>
      </c>
      <c r="H24" s="277"/>
      <c r="I24" s="1"/>
      <c r="J24" s="1"/>
      <c r="K24" s="356"/>
      <c r="L24" s="357"/>
      <c r="M24" s="277"/>
    </row>
    <row r="25" spans="1:13" x14ac:dyDescent="0.35">
      <c r="A25" s="4">
        <f t="shared" si="0"/>
        <v>12</v>
      </c>
      <c r="B25" s="994" t="s">
        <v>384</v>
      </c>
      <c r="C25" s="241">
        <v>0</v>
      </c>
      <c r="D25" s="241"/>
      <c r="E25" s="282">
        <f t="shared" si="1"/>
        <v>12</v>
      </c>
      <c r="H25" s="277"/>
      <c r="I25" s="1"/>
      <c r="J25" s="1"/>
      <c r="K25" s="356"/>
      <c r="L25" s="357"/>
      <c r="M25" s="277"/>
    </row>
    <row r="26" spans="1:13" x14ac:dyDescent="0.35">
      <c r="A26" s="4">
        <f t="shared" si="0"/>
        <v>13</v>
      </c>
      <c r="B26" s="652" t="str">
        <f>'AE-1'!B26</f>
        <v>Dec-22</v>
      </c>
      <c r="C26" s="241">
        <v>0</v>
      </c>
      <c r="D26" s="71" t="s">
        <v>372</v>
      </c>
      <c r="E26" s="282">
        <f t="shared" si="1"/>
        <v>13</v>
      </c>
      <c r="H26" s="277"/>
      <c r="I26" s="1"/>
      <c r="J26" s="1"/>
      <c r="K26" s="46"/>
      <c r="L26" s="91"/>
      <c r="M26" s="277"/>
    </row>
    <row r="27" spans="1:13" x14ac:dyDescent="0.35">
      <c r="A27" s="4">
        <f t="shared" si="0"/>
        <v>14</v>
      </c>
      <c r="B27" s="288"/>
      <c r="C27" s="1039"/>
      <c r="D27" s="1039"/>
      <c r="E27" s="282">
        <f t="shared" si="1"/>
        <v>14</v>
      </c>
    </row>
    <row r="28" spans="1:13" x14ac:dyDescent="0.35">
      <c r="A28" s="4">
        <f t="shared" si="0"/>
        <v>15</v>
      </c>
      <c r="B28" s="288" t="s">
        <v>387</v>
      </c>
      <c r="C28" s="1024">
        <f>SUM(C14:C26)</f>
        <v>0</v>
      </c>
      <c r="D28" s="996" t="s">
        <v>388</v>
      </c>
      <c r="E28" s="282">
        <f t="shared" si="1"/>
        <v>15</v>
      </c>
    </row>
    <row r="29" spans="1:13" x14ac:dyDescent="0.35">
      <c r="A29" s="4">
        <f t="shared" si="0"/>
        <v>16</v>
      </c>
      <c r="B29" s="124"/>
      <c r="C29" s="97"/>
      <c r="D29" s="98"/>
      <c r="E29" s="282">
        <f t="shared" si="1"/>
        <v>16</v>
      </c>
    </row>
    <row r="30" spans="1:13" x14ac:dyDescent="0.35">
      <c r="A30" s="4">
        <f t="shared" si="0"/>
        <v>17</v>
      </c>
      <c r="B30" s="288"/>
      <c r="C30" s="1040"/>
      <c r="D30" s="598"/>
      <c r="E30" s="282">
        <f t="shared" si="1"/>
        <v>17</v>
      </c>
    </row>
    <row r="31" spans="1:13" x14ac:dyDescent="0.35">
      <c r="A31" s="4">
        <f t="shared" si="0"/>
        <v>18</v>
      </c>
      <c r="B31" s="288" t="s">
        <v>586</v>
      </c>
      <c r="C31" s="1024">
        <f>C28/13</f>
        <v>0</v>
      </c>
      <c r="D31" s="589"/>
      <c r="E31" s="282">
        <f t="shared" si="1"/>
        <v>18</v>
      </c>
    </row>
    <row r="32" spans="1:13" x14ac:dyDescent="0.35">
      <c r="A32" s="4">
        <f t="shared" si="0"/>
        <v>19</v>
      </c>
      <c r="B32" s="124"/>
      <c r="C32" s="70"/>
      <c r="D32" s="70"/>
      <c r="E32" s="282">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heetViews>
  <sheetFormatPr defaultColWidth="8.90625" defaultRowHeight="15.5" x14ac:dyDescent="0.35"/>
  <cols>
    <col min="1" max="1" width="5.08984375" style="4" bestFit="1" customWidth="1"/>
    <col min="2" max="2" width="55.90625" style="34" customWidth="1"/>
    <col min="3" max="3" width="40.08984375" style="4" bestFit="1" customWidth="1"/>
    <col min="4" max="4" width="1.54296875" style="34" customWidth="1"/>
    <col min="5" max="5" width="16.90625" style="34" customWidth="1"/>
    <col min="6" max="6" width="1.54296875" style="34" customWidth="1"/>
    <col min="7" max="7" width="16.90625" style="34" customWidth="1"/>
    <col min="8" max="8" width="1.54296875" style="34" customWidth="1"/>
    <col min="9" max="9" width="16.90625" style="34" customWidth="1"/>
    <col min="10" max="10" width="1.54296875" style="34" customWidth="1"/>
    <col min="11" max="11" width="34.54296875" style="34" customWidth="1"/>
    <col min="12" max="12" width="5.08984375" style="4" bestFit="1" customWidth="1"/>
    <col min="13" max="13" width="8.90625" style="34"/>
    <col min="14" max="14" width="38.08984375" style="34" customWidth="1"/>
    <col min="15" max="16384" width="8.90625" style="34"/>
  </cols>
  <sheetData>
    <row r="1" spans="1:14" x14ac:dyDescent="0.35">
      <c r="A1" s="4" t="s">
        <v>1</v>
      </c>
    </row>
    <row r="2" spans="1:14" x14ac:dyDescent="0.35">
      <c r="A2" s="34"/>
      <c r="B2" s="1171" t="s">
        <v>0</v>
      </c>
      <c r="C2" s="1171"/>
      <c r="D2" s="1171"/>
      <c r="E2" s="1171"/>
      <c r="F2" s="1171"/>
      <c r="G2" s="1171"/>
      <c r="H2" s="1171"/>
      <c r="I2" s="1171"/>
      <c r="J2" s="1171"/>
      <c r="K2" s="1171"/>
      <c r="N2" s="264"/>
    </row>
    <row r="3" spans="1:14" x14ac:dyDescent="0.35">
      <c r="A3" s="34"/>
      <c r="B3" s="1171" t="s">
        <v>314</v>
      </c>
      <c r="C3" s="1171"/>
      <c r="D3" s="1171"/>
      <c r="E3" s="1171"/>
      <c r="F3" s="1171"/>
      <c r="G3" s="1171"/>
      <c r="H3" s="1171"/>
      <c r="I3" s="1171"/>
      <c r="J3" s="1171"/>
      <c r="K3" s="1171"/>
      <c r="N3" s="264"/>
    </row>
    <row r="4" spans="1:14" x14ac:dyDescent="0.35">
      <c r="A4" s="34"/>
      <c r="B4" s="1171" t="s">
        <v>315</v>
      </c>
      <c r="C4" s="1171"/>
      <c r="D4" s="1171"/>
      <c r="E4" s="1171"/>
      <c r="F4" s="1171"/>
      <c r="G4" s="1171"/>
      <c r="H4" s="1172"/>
      <c r="I4" s="1172"/>
      <c r="J4" s="1172"/>
      <c r="K4" s="1172"/>
    </row>
    <row r="5" spans="1:14" x14ac:dyDescent="0.35">
      <c r="B5" s="1174" t="s">
        <v>316</v>
      </c>
      <c r="C5" s="1174"/>
      <c r="D5" s="1174"/>
      <c r="E5" s="1174"/>
      <c r="F5" s="1174"/>
      <c r="G5" s="1174"/>
      <c r="H5" s="1178"/>
      <c r="I5" s="1178"/>
      <c r="J5" s="1178"/>
      <c r="K5" s="1178"/>
      <c r="N5" s="1"/>
    </row>
    <row r="6" spans="1:14" x14ac:dyDescent="0.35">
      <c r="B6" s="1175" t="s">
        <v>5</v>
      </c>
      <c r="C6" s="1172"/>
      <c r="D6" s="1172"/>
      <c r="E6" s="1172"/>
      <c r="F6" s="1172"/>
      <c r="G6" s="1172"/>
      <c r="H6" s="1172"/>
      <c r="I6" s="1172"/>
      <c r="J6" s="1172"/>
      <c r="K6" s="1172"/>
      <c r="N6" s="264"/>
    </row>
    <row r="7" spans="1:14" x14ac:dyDescent="0.35">
      <c r="B7" s="272"/>
      <c r="C7" s="226"/>
      <c r="D7" s="1"/>
      <c r="E7" s="1"/>
      <c r="F7" s="1"/>
      <c r="G7" s="1"/>
      <c r="H7" s="1"/>
      <c r="I7" s="1"/>
      <c r="J7" s="1"/>
      <c r="K7" s="1"/>
      <c r="N7" s="264"/>
    </row>
    <row r="8" spans="1:14" x14ac:dyDescent="0.35">
      <c r="A8" s="4" t="s">
        <v>6</v>
      </c>
      <c r="B8" s="226"/>
      <c r="C8" s="4" t="s">
        <v>317</v>
      </c>
      <c r="D8" s="226"/>
      <c r="E8" s="37" t="s">
        <v>280</v>
      </c>
      <c r="F8" s="4"/>
      <c r="G8" s="37" t="s">
        <v>281</v>
      </c>
      <c r="H8" s="4"/>
      <c r="I8" s="37" t="s">
        <v>318</v>
      </c>
      <c r="J8" s="226"/>
      <c r="L8" s="4" t="s">
        <v>6</v>
      </c>
    </row>
    <row r="9" spans="1:14" x14ac:dyDescent="0.35">
      <c r="A9" s="4" t="s">
        <v>7</v>
      </c>
      <c r="B9" s="226"/>
      <c r="C9" s="876" t="s">
        <v>319</v>
      </c>
      <c r="D9" s="226"/>
      <c r="E9" s="983">
        <v>44561</v>
      </c>
      <c r="F9" s="226"/>
      <c r="G9" s="984">
        <v>44926</v>
      </c>
      <c r="H9" s="226"/>
      <c r="I9" s="877" t="s">
        <v>320</v>
      </c>
      <c r="J9" s="226"/>
      <c r="K9" s="876" t="s">
        <v>9</v>
      </c>
      <c r="L9" s="4" t="s">
        <v>7</v>
      </c>
    </row>
    <row r="10" spans="1:14" x14ac:dyDescent="0.35">
      <c r="E10" s="273"/>
      <c r="G10" s="273"/>
      <c r="H10" s="273"/>
      <c r="I10" s="273"/>
      <c r="J10" s="273"/>
      <c r="K10" s="273"/>
    </row>
    <row r="11" spans="1:14" ht="18" x14ac:dyDescent="0.35">
      <c r="A11" s="4">
        <v>1</v>
      </c>
      <c r="B11" s="34" t="s">
        <v>321</v>
      </c>
      <c r="C11" s="4" t="s">
        <v>322</v>
      </c>
      <c r="E11" s="41"/>
      <c r="G11" s="41"/>
      <c r="H11" s="42"/>
      <c r="I11" s="43">
        <f>'AD-1'!E31</f>
        <v>573458.27988615376</v>
      </c>
      <c r="J11" s="74"/>
      <c r="K11" s="4" t="s">
        <v>323</v>
      </c>
      <c r="L11" s="4">
        <f>A11</f>
        <v>1</v>
      </c>
    </row>
    <row r="12" spans="1:14" x14ac:dyDescent="0.35">
      <c r="A12" s="4">
        <f t="shared" ref="A12:A45" si="0">+A11+1</f>
        <v>2</v>
      </c>
      <c r="B12" s="34" t="s">
        <v>1</v>
      </c>
      <c r="E12" s="41"/>
      <c r="G12" s="41"/>
      <c r="H12" s="44"/>
      <c r="I12" s="41"/>
      <c r="J12" s="44"/>
      <c r="K12" s="4"/>
      <c r="L12" s="4">
        <f t="shared" ref="L12:L45" si="1">+L11+1</f>
        <v>2</v>
      </c>
      <c r="N12" s="833"/>
    </row>
    <row r="13" spans="1:14" ht="18" x14ac:dyDescent="0.35">
      <c r="A13" s="4">
        <f t="shared" si="0"/>
        <v>3</v>
      </c>
      <c r="B13" s="34" t="s">
        <v>324</v>
      </c>
      <c r="C13" s="4" t="s">
        <v>322</v>
      </c>
      <c r="E13" s="41"/>
      <c r="G13" s="41"/>
      <c r="H13" s="42"/>
      <c r="I13" s="45">
        <f>'AD-2'!E31</f>
        <v>0</v>
      </c>
      <c r="J13" s="74"/>
      <c r="K13" s="4" t="s">
        <v>325</v>
      </c>
      <c r="L13" s="4">
        <f t="shared" si="1"/>
        <v>3</v>
      </c>
    </row>
    <row r="14" spans="1:14" x14ac:dyDescent="0.35">
      <c r="A14" s="4">
        <f t="shared" si="0"/>
        <v>4</v>
      </c>
      <c r="E14" s="41"/>
      <c r="F14" s="1"/>
      <c r="G14" s="41"/>
      <c r="H14" s="44"/>
      <c r="I14" s="41"/>
      <c r="J14" s="44"/>
      <c r="K14" s="4"/>
      <c r="L14" s="4">
        <f t="shared" si="1"/>
        <v>4</v>
      </c>
    </row>
    <row r="15" spans="1:14" ht="18" x14ac:dyDescent="0.35">
      <c r="A15" s="4">
        <f t="shared" si="0"/>
        <v>5</v>
      </c>
      <c r="B15" s="34" t="s">
        <v>326</v>
      </c>
      <c r="E15" s="41"/>
      <c r="F15" s="1"/>
      <c r="G15" s="41"/>
      <c r="H15" s="42"/>
      <c r="I15" s="45">
        <f>'AD-3'!E31</f>
        <v>0</v>
      </c>
      <c r="J15" s="44"/>
      <c r="K15" s="4" t="s">
        <v>327</v>
      </c>
      <c r="L15" s="4">
        <f t="shared" si="1"/>
        <v>5</v>
      </c>
    </row>
    <row r="16" spans="1:14" x14ac:dyDescent="0.35">
      <c r="A16" s="4">
        <f t="shared" si="0"/>
        <v>6</v>
      </c>
      <c r="E16" s="41"/>
      <c r="F16" s="1"/>
      <c r="G16" s="41"/>
      <c r="H16" s="44"/>
      <c r="I16" s="41"/>
      <c r="J16" s="44"/>
      <c r="K16" s="4"/>
      <c r="L16" s="4">
        <f t="shared" si="1"/>
        <v>6</v>
      </c>
    </row>
    <row r="17" spans="1:14" ht="18" x14ac:dyDescent="0.35">
      <c r="A17" s="4">
        <f t="shared" si="0"/>
        <v>7</v>
      </c>
      <c r="B17" s="34" t="s">
        <v>328</v>
      </c>
      <c r="C17" s="4" t="s">
        <v>322</v>
      </c>
      <c r="E17" s="41"/>
      <c r="F17" s="1"/>
      <c r="G17" s="41"/>
      <c r="H17" s="42"/>
      <c r="I17" s="45">
        <f>'AD-4'!E31</f>
        <v>539341.99986846163</v>
      </c>
      <c r="J17" s="74"/>
      <c r="K17" s="4" t="s">
        <v>329</v>
      </c>
      <c r="L17" s="4">
        <f t="shared" si="1"/>
        <v>7</v>
      </c>
      <c r="N17" s="922"/>
    </row>
    <row r="18" spans="1:14" x14ac:dyDescent="0.35">
      <c r="A18" s="4">
        <f t="shared" si="0"/>
        <v>8</v>
      </c>
      <c r="E18" s="41"/>
      <c r="F18" s="1"/>
      <c r="G18" s="41"/>
      <c r="H18" s="44"/>
      <c r="I18" s="41"/>
      <c r="J18" s="44"/>
      <c r="K18" s="4"/>
      <c r="L18" s="4">
        <f t="shared" si="1"/>
        <v>8</v>
      </c>
      <c r="N18" s="922"/>
    </row>
    <row r="19" spans="1:14" ht="18" x14ac:dyDescent="0.35">
      <c r="A19" s="4">
        <f>+A18+1</f>
        <v>9</v>
      </c>
      <c r="B19" s="34" t="s">
        <v>330</v>
      </c>
      <c r="C19" s="4" t="s">
        <v>331</v>
      </c>
      <c r="E19" s="43">
        <f>'AD-5'!E15</f>
        <v>8919066.8144000024</v>
      </c>
      <c r="F19" s="46"/>
      <c r="G19" s="43">
        <f>'AD-5'!E17</f>
        <v>9750399.0658500008</v>
      </c>
      <c r="H19" s="42"/>
      <c r="I19" s="41">
        <f>(E19+G19)/2</f>
        <v>9334732.9401250016</v>
      </c>
      <c r="J19" s="44"/>
      <c r="K19" s="4" t="s">
        <v>332</v>
      </c>
      <c r="L19" s="4">
        <f>+L18+1</f>
        <v>9</v>
      </c>
      <c r="N19" s="922"/>
    </row>
    <row r="20" spans="1:14" x14ac:dyDescent="0.35">
      <c r="A20" s="4">
        <f t="shared" si="0"/>
        <v>10</v>
      </c>
      <c r="E20" s="41"/>
      <c r="G20" s="41"/>
      <c r="H20" s="44"/>
      <c r="I20" s="41"/>
      <c r="J20" s="44"/>
      <c r="K20" s="4"/>
      <c r="L20" s="4">
        <f t="shared" si="1"/>
        <v>10</v>
      </c>
      <c r="N20" s="922"/>
    </row>
    <row r="21" spans="1:14" ht="18" x14ac:dyDescent="0.35">
      <c r="A21" s="4">
        <f t="shared" si="0"/>
        <v>11</v>
      </c>
      <c r="B21" s="34" t="s">
        <v>333</v>
      </c>
      <c r="C21" s="4" t="s">
        <v>322</v>
      </c>
      <c r="E21" s="42"/>
      <c r="G21" s="42"/>
      <c r="H21" s="42"/>
      <c r="I21" s="45">
        <f>'AD-6'!F31</f>
        <v>7476381.1074746149</v>
      </c>
      <c r="J21" s="74"/>
      <c r="K21" s="4" t="s">
        <v>334</v>
      </c>
      <c r="L21" s="4">
        <f t="shared" si="1"/>
        <v>11</v>
      </c>
      <c r="N21" s="922"/>
    </row>
    <row r="22" spans="1:14" x14ac:dyDescent="0.35">
      <c r="A22" s="4">
        <f t="shared" si="0"/>
        <v>12</v>
      </c>
      <c r="E22" s="41"/>
      <c r="G22" s="41"/>
      <c r="H22" s="44"/>
      <c r="I22" s="41"/>
      <c r="J22" s="44"/>
      <c r="K22" s="4"/>
      <c r="L22" s="4">
        <f t="shared" si="1"/>
        <v>12</v>
      </c>
      <c r="N22" s="922"/>
    </row>
    <row r="23" spans="1:14" ht="18" x14ac:dyDescent="0.35">
      <c r="A23" s="4">
        <f t="shared" si="0"/>
        <v>13</v>
      </c>
      <c r="B23" s="34" t="s">
        <v>335</v>
      </c>
      <c r="E23" s="42"/>
      <c r="G23" s="42"/>
      <c r="H23" s="42"/>
      <c r="I23" s="45">
        <f>'AD-7'!E32</f>
        <v>0</v>
      </c>
      <c r="J23" s="44"/>
      <c r="K23" s="4" t="s">
        <v>336</v>
      </c>
      <c r="L23" s="4">
        <f t="shared" si="1"/>
        <v>13</v>
      </c>
      <c r="N23" s="922"/>
    </row>
    <row r="24" spans="1:14" x14ac:dyDescent="0.35">
      <c r="A24" s="4">
        <f t="shared" si="0"/>
        <v>14</v>
      </c>
      <c r="E24" s="41"/>
      <c r="G24" s="41"/>
      <c r="H24" s="44"/>
      <c r="I24" s="41"/>
      <c r="J24" s="44"/>
      <c r="K24" s="4"/>
      <c r="L24" s="4">
        <f t="shared" si="1"/>
        <v>14</v>
      </c>
      <c r="N24" s="922"/>
    </row>
    <row r="25" spans="1:14" ht="18" x14ac:dyDescent="0.35">
      <c r="A25" s="4">
        <f>+A24+1</f>
        <v>15</v>
      </c>
      <c r="B25" s="34" t="s">
        <v>337</v>
      </c>
      <c r="C25" s="4" t="s">
        <v>331</v>
      </c>
      <c r="D25" s="263"/>
      <c r="E25" s="45">
        <f>'AD-8'!C14</f>
        <v>191893.59429000001</v>
      </c>
      <c r="F25" s="1"/>
      <c r="G25" s="45">
        <f>'AD-8'!C16</f>
        <v>112870.21666999999</v>
      </c>
      <c r="H25" s="44"/>
      <c r="I25" s="41">
        <f>(E25+G25)/2</f>
        <v>152381.90548000002</v>
      </c>
      <c r="J25" s="274"/>
      <c r="K25" s="95" t="s">
        <v>338</v>
      </c>
      <c r="L25" s="4">
        <f>+L24+1</f>
        <v>15</v>
      </c>
    </row>
    <row r="26" spans="1:14" x14ac:dyDescent="0.35">
      <c r="A26" s="4">
        <f t="shared" si="0"/>
        <v>16</v>
      </c>
      <c r="E26" s="41"/>
      <c r="G26" s="41"/>
      <c r="H26" s="44"/>
      <c r="I26" s="41"/>
      <c r="J26" s="44"/>
      <c r="K26" s="4"/>
      <c r="L26" s="4">
        <f t="shared" si="1"/>
        <v>16</v>
      </c>
    </row>
    <row r="27" spans="1:14" ht="18" x14ac:dyDescent="0.35">
      <c r="A27" s="4">
        <f t="shared" si="0"/>
        <v>17</v>
      </c>
      <c r="B27" s="34" t="s">
        <v>339</v>
      </c>
      <c r="C27" s="4" t="s">
        <v>331</v>
      </c>
      <c r="E27" s="45">
        <f>'AD-9'!C14</f>
        <v>518902.72382000007</v>
      </c>
      <c r="F27" s="1"/>
      <c r="G27" s="45">
        <f>'AD-9'!C16</f>
        <v>571823.00717</v>
      </c>
      <c r="H27" s="42"/>
      <c r="I27" s="41">
        <f>(E27+G27)/2</f>
        <v>545362.86549500003</v>
      </c>
      <c r="J27" s="44"/>
      <c r="K27" s="4" t="s">
        <v>340</v>
      </c>
      <c r="L27" s="4">
        <f t="shared" si="1"/>
        <v>17</v>
      </c>
    </row>
    <row r="28" spans="1:14" x14ac:dyDescent="0.35">
      <c r="A28" s="4">
        <f t="shared" si="0"/>
        <v>18</v>
      </c>
      <c r="E28" s="41"/>
      <c r="F28" s="1"/>
      <c r="G28" s="41"/>
      <c r="H28" s="44"/>
      <c r="I28" s="41"/>
      <c r="J28" s="44"/>
      <c r="K28" s="4"/>
      <c r="L28" s="4">
        <f t="shared" si="1"/>
        <v>18</v>
      </c>
    </row>
    <row r="29" spans="1:14" ht="18" x14ac:dyDescent="0.35">
      <c r="A29" s="4">
        <f t="shared" si="0"/>
        <v>19</v>
      </c>
      <c r="B29" s="34" t="s">
        <v>341</v>
      </c>
      <c r="E29" s="45">
        <f>'AD-10'!D15</f>
        <v>1504071.7826376001</v>
      </c>
      <c r="F29" s="1"/>
      <c r="G29" s="45">
        <f>'AD-10'!D19</f>
        <v>1555621.3643625001</v>
      </c>
      <c r="H29" s="42"/>
      <c r="I29" s="985">
        <f>(E29+G29)/2</f>
        <v>1529846.5735000502</v>
      </c>
      <c r="J29" s="44"/>
      <c r="K29" s="4" t="s">
        <v>342</v>
      </c>
      <c r="L29" s="4">
        <f t="shared" si="1"/>
        <v>19</v>
      </c>
    </row>
    <row r="30" spans="1:14" x14ac:dyDescent="0.35">
      <c r="A30" s="4">
        <f t="shared" si="0"/>
        <v>20</v>
      </c>
      <c r="E30" s="41"/>
      <c r="F30" s="1"/>
      <c r="G30" s="41"/>
      <c r="H30" s="44"/>
      <c r="I30" s="41"/>
      <c r="J30" s="44"/>
      <c r="K30" s="4"/>
      <c r="L30" s="4">
        <f t="shared" si="1"/>
        <v>20</v>
      </c>
    </row>
    <row r="31" spans="1:14" ht="16" thickBot="1" x14ac:dyDescent="0.4">
      <c r="A31" s="4">
        <f t="shared" si="0"/>
        <v>21</v>
      </c>
      <c r="B31" s="34" t="s">
        <v>343</v>
      </c>
      <c r="E31" s="38"/>
      <c r="F31" s="46"/>
      <c r="G31" s="38"/>
      <c r="H31" s="47"/>
      <c r="I31" s="40">
        <f>I11+I13+I15+I17+I19+I21+I23+I25+I27+I29</f>
        <v>20151505.671829283</v>
      </c>
      <c r="J31" s="74"/>
      <c r="K31" s="4" t="s">
        <v>344</v>
      </c>
      <c r="L31" s="4">
        <f t="shared" si="1"/>
        <v>21</v>
      </c>
      <c r="M31" s="275"/>
    </row>
    <row r="32" spans="1:14" ht="16" thickTop="1" x14ac:dyDescent="0.35">
      <c r="A32" s="4">
        <f t="shared" si="0"/>
        <v>22</v>
      </c>
      <c r="E32" s="48"/>
      <c r="G32" s="48"/>
      <c r="H32" s="49"/>
      <c r="I32" s="48"/>
      <c r="J32" s="49"/>
      <c r="K32" s="4" t="s">
        <v>1</v>
      </c>
      <c r="L32" s="4">
        <f t="shared" si="1"/>
        <v>22</v>
      </c>
    </row>
    <row r="33" spans="1:13" x14ac:dyDescent="0.35">
      <c r="A33" s="4">
        <f t="shared" si="0"/>
        <v>23</v>
      </c>
      <c r="B33" s="34" t="s">
        <v>345</v>
      </c>
      <c r="E33" s="50"/>
      <c r="G33" s="50"/>
      <c r="H33" s="49"/>
      <c r="I33" s="986">
        <f>'Stmt AI'!E25</f>
        <v>0.19811712169916151</v>
      </c>
      <c r="J33" s="49"/>
      <c r="K33" s="4" t="s">
        <v>346</v>
      </c>
      <c r="L33" s="4">
        <f t="shared" si="1"/>
        <v>23</v>
      </c>
    </row>
    <row r="34" spans="1:13" x14ac:dyDescent="0.35">
      <c r="A34" s="4">
        <f t="shared" si="0"/>
        <v>24</v>
      </c>
      <c r="E34" s="48"/>
      <c r="G34" s="48"/>
      <c r="H34" s="49"/>
      <c r="I34" s="48"/>
      <c r="J34" s="49"/>
      <c r="K34" s="4"/>
      <c r="L34" s="4">
        <f t="shared" si="1"/>
        <v>24</v>
      </c>
    </row>
    <row r="35" spans="1:13" x14ac:dyDescent="0.35">
      <c r="A35" s="4">
        <f t="shared" si="0"/>
        <v>25</v>
      </c>
      <c r="B35" s="34" t="s">
        <v>347</v>
      </c>
      <c r="E35" s="6"/>
      <c r="F35" s="6"/>
      <c r="G35" s="6"/>
      <c r="H35" s="11"/>
      <c r="I35" s="51">
        <f>I21+I23</f>
        <v>7476381.1074746149</v>
      </c>
      <c r="J35" s="74"/>
      <c r="K35" s="4" t="s">
        <v>348</v>
      </c>
      <c r="L35" s="4">
        <f t="shared" si="1"/>
        <v>25</v>
      </c>
    </row>
    <row r="36" spans="1:13" x14ac:dyDescent="0.35">
      <c r="A36" s="4">
        <f t="shared" si="0"/>
        <v>26</v>
      </c>
      <c r="E36" s="48"/>
      <c r="G36" s="48"/>
      <c r="H36" s="49"/>
      <c r="I36" s="48"/>
      <c r="J36" s="49"/>
      <c r="K36" s="4"/>
      <c r="L36" s="4">
        <f t="shared" si="1"/>
        <v>26</v>
      </c>
    </row>
    <row r="37" spans="1:13" x14ac:dyDescent="0.35">
      <c r="A37" s="4">
        <f t="shared" si="0"/>
        <v>27</v>
      </c>
      <c r="B37" s="34" t="s">
        <v>95</v>
      </c>
      <c r="E37" s="6"/>
      <c r="G37" s="6"/>
      <c r="H37" s="49"/>
      <c r="I37" s="8">
        <f>I25*I33</f>
        <v>30189.464512731291</v>
      </c>
      <c r="J37" s="74"/>
      <c r="K37" s="4" t="s">
        <v>349</v>
      </c>
      <c r="L37" s="4">
        <f t="shared" si="1"/>
        <v>27</v>
      </c>
      <c r="M37" s="275"/>
    </row>
    <row r="38" spans="1:13" x14ac:dyDescent="0.35">
      <c r="A38" s="4">
        <f t="shared" si="0"/>
        <v>28</v>
      </c>
      <c r="E38" s="48"/>
      <c r="G38" s="48"/>
      <c r="H38" s="49"/>
      <c r="I38" s="52"/>
      <c r="J38" s="49"/>
      <c r="K38" s="4"/>
      <c r="L38" s="4">
        <f t="shared" si="1"/>
        <v>28</v>
      </c>
    </row>
    <row r="39" spans="1:13" x14ac:dyDescent="0.35">
      <c r="A39" s="4">
        <f t="shared" si="0"/>
        <v>29</v>
      </c>
      <c r="B39" s="34" t="s">
        <v>97</v>
      </c>
      <c r="E39" s="6"/>
      <c r="G39" s="6"/>
      <c r="H39" s="49"/>
      <c r="I39" s="8">
        <f>I27*I33</f>
        <v>108045.72119347638</v>
      </c>
      <c r="J39" s="49"/>
      <c r="K39" s="4" t="s">
        <v>350</v>
      </c>
      <c r="L39" s="4">
        <f t="shared" si="1"/>
        <v>29</v>
      </c>
      <c r="M39" s="275"/>
    </row>
    <row r="40" spans="1:13" x14ac:dyDescent="0.35">
      <c r="A40" s="4">
        <f t="shared" si="0"/>
        <v>30</v>
      </c>
      <c r="E40" s="6"/>
      <c r="G40" s="6"/>
      <c r="H40" s="49"/>
      <c r="I40" s="8"/>
      <c r="J40" s="49"/>
      <c r="K40" s="4"/>
      <c r="L40" s="4">
        <f t="shared" si="1"/>
        <v>30</v>
      </c>
      <c r="M40" s="275"/>
    </row>
    <row r="41" spans="1:13" x14ac:dyDescent="0.35">
      <c r="A41" s="4">
        <f t="shared" si="0"/>
        <v>31</v>
      </c>
      <c r="B41" s="34" t="s">
        <v>351</v>
      </c>
      <c r="E41" s="6"/>
      <c r="G41" s="6"/>
      <c r="H41" s="49"/>
      <c r="I41" s="972">
        <f>I29*I33</f>
        <v>303088.79978315468</v>
      </c>
      <c r="J41" s="49"/>
      <c r="K41" s="4" t="s">
        <v>352</v>
      </c>
      <c r="L41" s="4">
        <f t="shared" si="1"/>
        <v>31</v>
      </c>
      <c r="M41" s="275"/>
    </row>
    <row r="42" spans="1:13" x14ac:dyDescent="0.35">
      <c r="A42" s="4">
        <f t="shared" si="0"/>
        <v>32</v>
      </c>
      <c r="B42" s="34" t="s">
        <v>1</v>
      </c>
      <c r="E42" s="6"/>
      <c r="G42" s="6"/>
      <c r="H42" s="49"/>
      <c r="I42" s="8"/>
      <c r="J42" s="49"/>
      <c r="K42" s="4"/>
      <c r="L42" s="4">
        <f t="shared" si="1"/>
        <v>32</v>
      </c>
    </row>
    <row r="43" spans="1:13" ht="16" thickBot="1" x14ac:dyDescent="0.4">
      <c r="A43" s="4">
        <f t="shared" si="0"/>
        <v>33</v>
      </c>
      <c r="B43" s="34" t="s">
        <v>353</v>
      </c>
      <c r="E43" s="6"/>
      <c r="G43" s="6"/>
      <c r="H43" s="53"/>
      <c r="I43" s="26">
        <f>I35+I37+I39+I41</f>
        <v>7917705.0929639768</v>
      </c>
      <c r="J43" s="74"/>
      <c r="K43" s="4" t="s">
        <v>354</v>
      </c>
      <c r="L43" s="4">
        <f t="shared" si="1"/>
        <v>33</v>
      </c>
      <c r="M43" s="275"/>
    </row>
    <row r="44" spans="1:13" ht="16" thickTop="1" x14ac:dyDescent="0.35">
      <c r="A44" s="4">
        <f t="shared" si="0"/>
        <v>34</v>
      </c>
      <c r="E44" s="48"/>
      <c r="G44" s="48"/>
      <c r="H44" s="53"/>
      <c r="I44" s="52"/>
      <c r="J44" s="53"/>
      <c r="K44" s="4"/>
      <c r="L44" s="4">
        <f t="shared" si="1"/>
        <v>34</v>
      </c>
    </row>
    <row r="45" spans="1:13" ht="18.5" thickBot="1" x14ac:dyDescent="0.4">
      <c r="A45" s="4">
        <f t="shared" si="0"/>
        <v>35</v>
      </c>
      <c r="B45" s="34" t="s">
        <v>355</v>
      </c>
      <c r="E45" s="50"/>
      <c r="G45" s="50"/>
      <c r="H45" s="53"/>
      <c r="I45" s="54">
        <f>I43/I31</f>
        <v>0.39290885861856473</v>
      </c>
      <c r="J45" s="74"/>
      <c r="K45" s="4" t="s">
        <v>356</v>
      </c>
      <c r="L45" s="4">
        <f t="shared" si="1"/>
        <v>35</v>
      </c>
      <c r="M45" s="275"/>
    </row>
    <row r="46" spans="1:13" ht="16" thickTop="1" x14ac:dyDescent="0.35">
      <c r="E46" s="226"/>
      <c r="G46" s="47"/>
      <c r="H46" s="53"/>
      <c r="I46" s="53"/>
      <c r="J46" s="53"/>
      <c r="K46" s="4"/>
    </row>
    <row r="47" spans="1:13" x14ac:dyDescent="0.35">
      <c r="B47" s="36"/>
    </row>
    <row r="48" spans="1:13" ht="18" x14ac:dyDescent="0.35">
      <c r="A48" s="261">
        <v>1</v>
      </c>
      <c r="B48" s="34" t="s">
        <v>357</v>
      </c>
    </row>
    <row r="49" spans="1:2" ht="18" x14ac:dyDescent="0.35">
      <c r="A49" s="276">
        <v>2</v>
      </c>
      <c r="B49" s="34" t="s">
        <v>358</v>
      </c>
    </row>
    <row r="50" spans="1:2" ht="18" x14ac:dyDescent="0.35">
      <c r="A50" s="276">
        <v>3</v>
      </c>
      <c r="B50" s="34" t="s">
        <v>359</v>
      </c>
    </row>
    <row r="51" spans="1:2" ht="18" x14ac:dyDescent="0.35">
      <c r="A51" s="276">
        <v>4</v>
      </c>
      <c r="B51" s="34" t="s">
        <v>360</v>
      </c>
    </row>
    <row r="52" spans="1:2" ht="18" x14ac:dyDescent="0.35">
      <c r="A52" s="276">
        <v>5</v>
      </c>
      <c r="B52" s="34" t="s">
        <v>361</v>
      </c>
    </row>
    <row r="53" spans="1:2" ht="18" x14ac:dyDescent="0.35">
      <c r="A53" s="276"/>
    </row>
    <row r="54" spans="1:2" ht="18" x14ac:dyDescent="0.35">
      <c r="A54" s="276"/>
    </row>
    <row r="55" spans="1:2" ht="18" x14ac:dyDescent="0.35">
      <c r="A55" s="276"/>
    </row>
  </sheetData>
  <mergeCells count="5">
    <mergeCell ref="B2:K2"/>
    <mergeCell ref="B3:K3"/>
    <mergeCell ref="B4:K4"/>
    <mergeCell ref="B5:K5"/>
    <mergeCell ref="B6:K6"/>
  </mergeCells>
  <printOptions horizontalCentered="1"/>
  <pageMargins left="0.5" right="0.5" top="0.5" bottom="0.5" header="0.25" footer="0.25"/>
  <pageSetup orientation="portrait" r:id="rId1"/>
  <headerFooter scaleWithDoc="0">
    <oddFooter>&amp;C&amp;"Times New Roman,Regular"&amp;10AD</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08984375" defaultRowHeight="15" x14ac:dyDescent="0.35"/>
  <cols>
    <col min="1" max="1" width="5.08984375" style="226" customWidth="1"/>
    <col min="2" max="2" width="35.08984375" style="1" customWidth="1"/>
    <col min="3" max="4" width="18.54296875" style="9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1171" t="s">
        <v>0</v>
      </c>
      <c r="C2" s="1171"/>
      <c r="D2" s="1171"/>
      <c r="E2" s="1171"/>
      <c r="F2" s="1171"/>
    </row>
    <row r="3" spans="1:8" x14ac:dyDescent="0.35">
      <c r="B3" s="1171" t="s">
        <v>580</v>
      </c>
      <c r="C3" s="1171"/>
      <c r="D3" s="1171"/>
      <c r="E3" s="1171"/>
      <c r="F3" s="1171"/>
    </row>
    <row r="4" spans="1:8" x14ac:dyDescent="0.35">
      <c r="B4" s="1171" t="s">
        <v>581</v>
      </c>
      <c r="C4" s="1171"/>
      <c r="D4" s="1171"/>
      <c r="E4" s="1171"/>
      <c r="F4" s="1171"/>
    </row>
    <row r="5" spans="1:8" x14ac:dyDescent="0.35">
      <c r="B5" s="1171" t="s">
        <v>583</v>
      </c>
      <c r="C5" s="1171"/>
      <c r="D5" s="1171"/>
      <c r="E5" s="1171"/>
      <c r="F5" s="1171"/>
    </row>
    <row r="6" spans="1:8" x14ac:dyDescent="0.35">
      <c r="B6" s="1175" t="s">
        <v>5</v>
      </c>
      <c r="C6" s="1175"/>
      <c r="D6" s="1175"/>
      <c r="E6" s="1175"/>
      <c r="F6" s="1175"/>
    </row>
    <row r="8" spans="1:8" x14ac:dyDescent="0.35">
      <c r="B8" s="987"/>
      <c r="C8" s="1041" t="s">
        <v>280</v>
      </c>
      <c r="D8" s="332" t="s">
        <v>281</v>
      </c>
      <c r="E8" s="332" t="s">
        <v>587</v>
      </c>
      <c r="F8" s="988"/>
    </row>
    <row r="9" spans="1:8" ht="15.5" x14ac:dyDescent="0.35">
      <c r="A9" s="4"/>
      <c r="B9" s="280"/>
      <c r="C9" s="284" t="s">
        <v>588</v>
      </c>
      <c r="D9" s="284" t="s">
        <v>589</v>
      </c>
      <c r="E9" s="284" t="s">
        <v>590</v>
      </c>
      <c r="F9" s="995"/>
      <c r="G9" s="4"/>
    </row>
    <row r="10" spans="1:8" ht="15.5" x14ac:dyDescent="0.35">
      <c r="A10" s="4" t="s">
        <v>6</v>
      </c>
      <c r="B10" s="280" t="s">
        <v>591</v>
      </c>
      <c r="C10" s="284" t="s">
        <v>8</v>
      </c>
      <c r="D10" s="284" t="s">
        <v>8</v>
      </c>
      <c r="E10" s="284" t="s">
        <v>8</v>
      </c>
      <c r="F10" s="280"/>
      <c r="G10" s="4" t="s">
        <v>6</v>
      </c>
    </row>
    <row r="11" spans="1:8" ht="15.5" x14ac:dyDescent="0.35">
      <c r="A11" s="4" t="s">
        <v>7</v>
      </c>
      <c r="B11" s="285" t="s">
        <v>423</v>
      </c>
      <c r="C11" s="286" t="s">
        <v>592</v>
      </c>
      <c r="D11" s="285" t="s">
        <v>592</v>
      </c>
      <c r="E11" s="286" t="s">
        <v>592</v>
      </c>
      <c r="F11" s="285" t="s">
        <v>9</v>
      </c>
      <c r="G11" s="4" t="s">
        <v>7</v>
      </c>
    </row>
    <row r="12" spans="1:8" ht="15.5" x14ac:dyDescent="0.35">
      <c r="A12" s="4">
        <v>1</v>
      </c>
      <c r="B12" s="1042"/>
      <c r="C12" s="598">
        <v>0</v>
      </c>
      <c r="D12" s="598">
        <v>0</v>
      </c>
      <c r="E12" s="598">
        <f>(C12+D12)</f>
        <v>0</v>
      </c>
      <c r="F12" s="597"/>
      <c r="G12" s="4">
        <f>A12</f>
        <v>1</v>
      </c>
    </row>
    <row r="13" spans="1:8" ht="15.5" x14ac:dyDescent="0.35">
      <c r="A13" s="4">
        <f>A12+1</f>
        <v>2</v>
      </c>
      <c r="B13" s="994"/>
      <c r="C13" s="241">
        <v>0</v>
      </c>
      <c r="D13" s="241">
        <v>0</v>
      </c>
      <c r="E13" s="241">
        <v>0</v>
      </c>
      <c r="F13" s="589"/>
      <c r="G13" s="4">
        <f>G12+1</f>
        <v>2</v>
      </c>
      <c r="H13" s="291"/>
    </row>
    <row r="14" spans="1:8" ht="15.5" x14ac:dyDescent="0.35">
      <c r="A14" s="4">
        <f t="shared" ref="A14:A17" si="0">A13+1</f>
        <v>3</v>
      </c>
      <c r="B14" s="295"/>
      <c r="C14" s="98">
        <v>0</v>
      </c>
      <c r="D14" s="98">
        <v>0</v>
      </c>
      <c r="E14" s="98">
        <v>0</v>
      </c>
      <c r="F14" s="295"/>
      <c r="G14" s="4">
        <f t="shared" ref="G14:G17" si="1">G13+1</f>
        <v>3</v>
      </c>
    </row>
    <row r="15" spans="1:8" ht="15.5" x14ac:dyDescent="0.35">
      <c r="A15" s="4">
        <f t="shared" si="0"/>
        <v>4</v>
      </c>
      <c r="B15" s="288"/>
      <c r="C15" s="63"/>
      <c r="D15" s="63"/>
      <c r="E15" s="63"/>
      <c r="F15" s="364"/>
      <c r="G15" s="4">
        <f t="shared" si="1"/>
        <v>4</v>
      </c>
    </row>
    <row r="16" spans="1:8" ht="15.5" x14ac:dyDescent="0.35">
      <c r="A16" s="4">
        <f t="shared" si="0"/>
        <v>5</v>
      </c>
      <c r="B16" s="288" t="s">
        <v>265</v>
      </c>
      <c r="C16" s="58">
        <f>SUM(C12:C14)</f>
        <v>0</v>
      </c>
      <c r="D16" s="58">
        <f>SUM(D12:D14)</f>
        <v>0</v>
      </c>
      <c r="E16" s="58">
        <f>SUM(E12:E14)</f>
        <v>0</v>
      </c>
      <c r="F16" s="589" t="s">
        <v>593</v>
      </c>
      <c r="G16" s="4">
        <f t="shared" si="1"/>
        <v>5</v>
      </c>
    </row>
    <row r="17" spans="1:7" ht="15.5" x14ac:dyDescent="0.35">
      <c r="A17" s="4">
        <f t="shared" si="0"/>
        <v>6</v>
      </c>
      <c r="B17" s="124"/>
      <c r="C17" s="59"/>
      <c r="D17" s="59"/>
      <c r="E17" s="59"/>
      <c r="F17" s="70"/>
      <c r="G17" s="4">
        <f t="shared" si="1"/>
        <v>6</v>
      </c>
    </row>
    <row r="18" spans="1:7" ht="15.5" x14ac:dyDescent="0.35">
      <c r="A18" s="4"/>
      <c r="C18" s="46"/>
      <c r="D18" s="46"/>
      <c r="E18" s="46"/>
      <c r="F18" s="46"/>
      <c r="G18" s="4"/>
    </row>
    <row r="19" spans="1:7" ht="15.5" x14ac:dyDescent="0.35">
      <c r="A19" s="4"/>
      <c r="C19" s="46"/>
      <c r="D19" s="46"/>
      <c r="E19" s="46"/>
      <c r="F19" s="46"/>
    </row>
    <row r="20" spans="1:7" ht="18" x14ac:dyDescent="0.35">
      <c r="A20" s="276"/>
      <c r="B20" s="365"/>
      <c r="C20" s="46"/>
      <c r="D20" s="46"/>
      <c r="E20" s="46"/>
      <c r="F20" s="46"/>
    </row>
    <row r="21" spans="1:7" x14ac:dyDescent="0.35">
      <c r="C21" s="46"/>
      <c r="D21" s="46"/>
      <c r="E21" s="46"/>
      <c r="F21" s="46"/>
    </row>
    <row r="22" spans="1:7" ht="15.5" x14ac:dyDescent="0.35">
      <c r="B22" s="303"/>
      <c r="C22" s="366"/>
      <c r="D22" s="366"/>
      <c r="E22" s="366"/>
      <c r="F22" s="292"/>
      <c r="G22" s="599"/>
    </row>
    <row r="23" spans="1:7" ht="15.5" x14ac:dyDescent="0.35">
      <c r="B23" s="34"/>
      <c r="C23" s="292"/>
      <c r="D23" s="1"/>
      <c r="F23" s="292"/>
      <c r="G23" s="599"/>
    </row>
    <row r="24" spans="1:7" ht="15.5" x14ac:dyDescent="0.35">
      <c r="C24" s="292"/>
      <c r="D24" s="292"/>
      <c r="E24" s="292"/>
      <c r="F24" s="292"/>
      <c r="G24" s="599"/>
    </row>
    <row r="25" spans="1:7" x14ac:dyDescent="0.35">
      <c r="C25" s="291"/>
      <c r="D25" s="291"/>
      <c r="E25" s="291"/>
      <c r="F25" s="291"/>
      <c r="G25" s="599"/>
    </row>
  </sheetData>
  <mergeCells count="5">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64"/>
  <sheetViews>
    <sheetView zoomScale="80" zoomScaleNormal="80" workbookViewId="0"/>
  </sheetViews>
  <sheetFormatPr defaultColWidth="8.90625" defaultRowHeight="15.5" x14ac:dyDescent="0.35"/>
  <cols>
    <col min="1" max="1" width="5.08984375" style="4" bestFit="1" customWidth="1"/>
    <col min="2" max="2" width="78.453125" style="34" customWidth="1"/>
    <col min="3" max="3" width="21.08984375" style="34" customWidth="1"/>
    <col min="4" max="4" width="1.54296875" style="34" customWidth="1"/>
    <col min="5" max="5" width="16.90625" style="34" customWidth="1"/>
    <col min="6" max="6" width="1.54296875" style="34" customWidth="1"/>
    <col min="7" max="7" width="44.90625" style="34" customWidth="1"/>
    <col min="8" max="8" width="5.08984375" style="34" customWidth="1"/>
    <col min="9" max="9" width="8.90625" style="34"/>
    <col min="10" max="10" width="20.453125" style="34" bestFit="1" customWidth="1"/>
    <col min="11" max="16384" width="8.90625" style="34"/>
  </cols>
  <sheetData>
    <row r="1" spans="1:12" x14ac:dyDescent="0.35">
      <c r="G1" s="4"/>
      <c r="H1" s="4"/>
    </row>
    <row r="2" spans="1:12" x14ac:dyDescent="0.35">
      <c r="B2" s="1171" t="s">
        <v>0</v>
      </c>
      <c r="C2" s="1171"/>
      <c r="D2" s="1171"/>
      <c r="E2" s="1171"/>
      <c r="F2" s="1171"/>
      <c r="G2" s="1171"/>
      <c r="H2" s="4"/>
    </row>
    <row r="3" spans="1:12" x14ac:dyDescent="0.35">
      <c r="B3" s="1171" t="s">
        <v>594</v>
      </c>
      <c r="C3" s="1171"/>
      <c r="D3" s="1171"/>
      <c r="E3" s="1171"/>
      <c r="F3" s="1171"/>
      <c r="G3" s="1171"/>
      <c r="H3" s="4"/>
    </row>
    <row r="4" spans="1:12" x14ac:dyDescent="0.35">
      <c r="B4" s="1171" t="s">
        <v>595</v>
      </c>
      <c r="C4" s="1171"/>
      <c r="D4" s="1171"/>
      <c r="E4" s="1171"/>
      <c r="F4" s="1171"/>
      <c r="G4" s="1171"/>
      <c r="H4" s="4"/>
    </row>
    <row r="5" spans="1:12" x14ac:dyDescent="0.35">
      <c r="B5" s="1176" t="str">
        <f>'Stmt AD'!B5</f>
        <v>Base Period &amp; True-Up Period 12 - Months Ending December 31, 2022</v>
      </c>
      <c r="C5" s="1176"/>
      <c r="D5" s="1176"/>
      <c r="E5" s="1176"/>
      <c r="F5" s="1176"/>
      <c r="G5" s="1176"/>
      <c r="H5" s="4"/>
      <c r="J5"/>
      <c r="K5"/>
      <c r="L5"/>
    </row>
    <row r="6" spans="1:12" x14ac:dyDescent="0.35">
      <c r="B6" s="1175" t="s">
        <v>5</v>
      </c>
      <c r="C6" s="1172"/>
      <c r="D6" s="1172"/>
      <c r="E6" s="1172"/>
      <c r="F6" s="1172"/>
      <c r="G6" s="1172"/>
      <c r="H6" s="4"/>
    </row>
    <row r="7" spans="1:12" x14ac:dyDescent="0.35">
      <c r="B7" s="4"/>
      <c r="C7" s="4"/>
      <c r="D7" s="4"/>
      <c r="E7" s="11"/>
      <c r="F7" s="11"/>
      <c r="G7" s="4"/>
      <c r="H7" s="4"/>
    </row>
    <row r="8" spans="1:12" x14ac:dyDescent="0.35">
      <c r="A8" s="4" t="s">
        <v>6</v>
      </c>
      <c r="B8" s="226"/>
      <c r="C8" s="4" t="s">
        <v>317</v>
      </c>
      <c r="D8" s="226"/>
      <c r="E8" s="367"/>
      <c r="F8" s="367"/>
      <c r="G8" s="4"/>
      <c r="H8" s="4" t="s">
        <v>6</v>
      </c>
    </row>
    <row r="9" spans="1:12" x14ac:dyDescent="0.35">
      <c r="A9" s="4" t="s">
        <v>7</v>
      </c>
      <c r="C9" s="876" t="s">
        <v>319</v>
      </c>
      <c r="D9" s="226"/>
      <c r="E9" s="877" t="s">
        <v>8</v>
      </c>
      <c r="F9" s="367"/>
      <c r="G9" s="876" t="s">
        <v>9</v>
      </c>
      <c r="H9" s="4" t="s">
        <v>7</v>
      </c>
    </row>
    <row r="10" spans="1:12" x14ac:dyDescent="0.35">
      <c r="C10" s="226"/>
      <c r="D10" s="226"/>
      <c r="E10" s="367"/>
      <c r="F10" s="367"/>
      <c r="G10" s="4"/>
      <c r="H10" s="4"/>
    </row>
    <row r="11" spans="1:12" x14ac:dyDescent="0.35">
      <c r="A11" s="4">
        <v>1</v>
      </c>
      <c r="B11" s="259" t="s">
        <v>596</v>
      </c>
      <c r="G11" s="4"/>
      <c r="H11" s="4">
        <f>A11</f>
        <v>1</v>
      </c>
    </row>
    <row r="12" spans="1:12" x14ac:dyDescent="0.35">
      <c r="A12" s="4">
        <f>+A11+1</f>
        <v>2</v>
      </c>
      <c r="B12" s="34" t="s">
        <v>597</v>
      </c>
      <c r="C12" s="4" t="s">
        <v>598</v>
      </c>
      <c r="E12" s="43">
        <f>'AH-1'!D43</f>
        <v>112218.00599999999</v>
      </c>
      <c r="G12" s="4" t="s">
        <v>599</v>
      </c>
      <c r="H12" s="4">
        <f>+H11+1</f>
        <v>2</v>
      </c>
    </row>
    <row r="13" spans="1:12" x14ac:dyDescent="0.35">
      <c r="A13" s="4">
        <f t="shared" ref="A13:A60" si="0">+A12+1</f>
        <v>3</v>
      </c>
      <c r="B13" s="35" t="s">
        <v>600</v>
      </c>
      <c r="E13" s="51"/>
      <c r="G13" s="4"/>
      <c r="H13" s="4">
        <f t="shared" ref="H13:H60" si="1">+H12+1</f>
        <v>3</v>
      </c>
    </row>
    <row r="14" spans="1:12" x14ac:dyDescent="0.35">
      <c r="A14" s="4">
        <f t="shared" si="0"/>
        <v>4</v>
      </c>
      <c r="B14" s="34" t="s">
        <v>601</v>
      </c>
      <c r="C14" s="368"/>
      <c r="E14" s="45">
        <f>-'AH-1'!E48</f>
        <v>-3357.212</v>
      </c>
      <c r="G14" s="4" t="s">
        <v>602</v>
      </c>
      <c r="H14" s="4">
        <f t="shared" si="1"/>
        <v>4</v>
      </c>
    </row>
    <row r="15" spans="1:12" x14ac:dyDescent="0.35">
      <c r="A15" s="4">
        <f t="shared" si="0"/>
        <v>5</v>
      </c>
      <c r="B15" s="34" t="s">
        <v>603</v>
      </c>
      <c r="E15" s="45">
        <f>-'AH-1'!E49</f>
        <v>-1629.53</v>
      </c>
      <c r="G15" s="4" t="s">
        <v>604</v>
      </c>
      <c r="H15" s="4">
        <f t="shared" si="1"/>
        <v>5</v>
      </c>
    </row>
    <row r="16" spans="1:12" x14ac:dyDescent="0.35">
      <c r="A16" s="4">
        <f t="shared" si="0"/>
        <v>6</v>
      </c>
      <c r="B16" s="34" t="s">
        <v>605</v>
      </c>
      <c r="E16" s="45">
        <f>-'AH-1'!E51</f>
        <v>0</v>
      </c>
      <c r="G16" s="4" t="s">
        <v>1830</v>
      </c>
      <c r="H16" s="4">
        <f t="shared" si="1"/>
        <v>6</v>
      </c>
    </row>
    <row r="17" spans="1:10" x14ac:dyDescent="0.35">
      <c r="A17" s="4">
        <f t="shared" si="0"/>
        <v>7</v>
      </c>
      <c r="B17" s="34" t="s">
        <v>606</v>
      </c>
      <c r="E17" s="45">
        <f>-'AH-1'!E56</f>
        <v>-2107.7340000000004</v>
      </c>
      <c r="G17" s="4" t="s">
        <v>1831</v>
      </c>
      <c r="H17" s="4">
        <f t="shared" si="1"/>
        <v>7</v>
      </c>
    </row>
    <row r="18" spans="1:10" x14ac:dyDescent="0.35">
      <c r="A18" s="4">
        <f t="shared" si="0"/>
        <v>8</v>
      </c>
      <c r="B18" s="34" t="s">
        <v>607</v>
      </c>
      <c r="E18" s="981">
        <f>-SUM('AH-1'!E47+'AH-1'!E50)</f>
        <v>-146.12950000000001</v>
      </c>
      <c r="G18" s="4" t="s">
        <v>1832</v>
      </c>
      <c r="H18" s="4">
        <f t="shared" si="1"/>
        <v>8</v>
      </c>
    </row>
    <row r="19" spans="1:10" x14ac:dyDescent="0.35">
      <c r="A19" s="4">
        <f t="shared" si="0"/>
        <v>9</v>
      </c>
      <c r="B19" s="34" t="s">
        <v>608</v>
      </c>
      <c r="E19" s="1043">
        <f>SUM(E12:E18)</f>
        <v>104977.4005</v>
      </c>
      <c r="G19" s="4" t="s">
        <v>609</v>
      </c>
      <c r="H19" s="4">
        <f t="shared" si="1"/>
        <v>9</v>
      </c>
    </row>
    <row r="20" spans="1:10" x14ac:dyDescent="0.35">
      <c r="A20" s="4">
        <f t="shared" si="0"/>
        <v>10</v>
      </c>
      <c r="E20" s="6"/>
      <c r="H20" s="4">
        <f t="shared" si="1"/>
        <v>10</v>
      </c>
    </row>
    <row r="21" spans="1:10" x14ac:dyDescent="0.35">
      <c r="A21" s="4">
        <f t="shared" si="0"/>
        <v>11</v>
      </c>
      <c r="B21" s="258" t="s">
        <v>610</v>
      </c>
      <c r="E21" s="41"/>
      <c r="G21" s="4"/>
      <c r="H21" s="4">
        <f t="shared" si="1"/>
        <v>11</v>
      </c>
    </row>
    <row r="22" spans="1:10" x14ac:dyDescent="0.35">
      <c r="A22" s="4">
        <f t="shared" si="0"/>
        <v>12</v>
      </c>
      <c r="B22" s="35" t="s">
        <v>611</v>
      </c>
      <c r="C22" s="4" t="s">
        <v>612</v>
      </c>
      <c r="E22" s="43">
        <f>'AH-2'!D26</f>
        <v>655210.33494999993</v>
      </c>
      <c r="G22" s="4" t="s">
        <v>613</v>
      </c>
      <c r="H22" s="4">
        <f t="shared" si="1"/>
        <v>12</v>
      </c>
    </row>
    <row r="23" spans="1:10" x14ac:dyDescent="0.35">
      <c r="A23" s="4">
        <f t="shared" si="0"/>
        <v>13</v>
      </c>
      <c r="B23" s="35" t="s">
        <v>614</v>
      </c>
      <c r="E23" s="41" t="s">
        <v>1</v>
      </c>
      <c r="G23" s="4"/>
      <c r="H23" s="4">
        <f t="shared" si="1"/>
        <v>13</v>
      </c>
    </row>
    <row r="24" spans="1:10" x14ac:dyDescent="0.35">
      <c r="A24" s="4">
        <f t="shared" si="0"/>
        <v>14</v>
      </c>
      <c r="B24" s="35" t="s">
        <v>615</v>
      </c>
      <c r="E24" s="45">
        <f>-'AH-2'!D46</f>
        <v>-401.94600000000003</v>
      </c>
      <c r="G24" s="4" t="s">
        <v>1846</v>
      </c>
      <c r="H24" s="4">
        <f t="shared" si="1"/>
        <v>14</v>
      </c>
    </row>
    <row r="25" spans="1:10" ht="31" x14ac:dyDescent="0.35">
      <c r="A25" s="4">
        <f t="shared" si="0"/>
        <v>15</v>
      </c>
      <c r="B25" s="35" t="s">
        <v>617</v>
      </c>
      <c r="E25" s="45">
        <f>-SUM('AH-2'!D36+'AH-2'!E38+'AH-2'!D42)</f>
        <v>-803.07546026599982</v>
      </c>
      <c r="G25" s="95" t="s">
        <v>1847</v>
      </c>
      <c r="H25" s="4">
        <f t="shared" si="1"/>
        <v>15</v>
      </c>
      <c r="I25" s="369"/>
      <c r="J25" s="6"/>
    </row>
    <row r="26" spans="1:10" ht="18" x14ac:dyDescent="0.35">
      <c r="A26" s="4">
        <f t="shared" si="0"/>
        <v>16</v>
      </c>
      <c r="B26" s="35" t="s">
        <v>618</v>
      </c>
      <c r="E26" s="45">
        <f>-'AH-2'!D43</f>
        <v>0</v>
      </c>
      <c r="G26" s="4" t="s">
        <v>616</v>
      </c>
      <c r="H26" s="4">
        <f t="shared" si="1"/>
        <v>16</v>
      </c>
      <c r="I26" s="369"/>
      <c r="J26" s="38"/>
    </row>
    <row r="27" spans="1:10" x14ac:dyDescent="0.35">
      <c r="A27" s="4">
        <f t="shared" si="0"/>
        <v>17</v>
      </c>
      <c r="B27" s="35" t="s">
        <v>620</v>
      </c>
      <c r="E27" s="45">
        <f>-'AH-2'!D44</f>
        <v>-1805.1186499999999</v>
      </c>
      <c r="G27" s="4" t="s">
        <v>1848</v>
      </c>
      <c r="H27" s="4">
        <f t="shared" si="1"/>
        <v>17</v>
      </c>
    </row>
    <row r="28" spans="1:10" x14ac:dyDescent="0.35">
      <c r="A28" s="4">
        <f t="shared" si="0"/>
        <v>18</v>
      </c>
      <c r="B28" s="35" t="s">
        <v>621</v>
      </c>
      <c r="E28" s="45">
        <f>-'AH-2'!D40</f>
        <v>-22865.18</v>
      </c>
      <c r="G28" s="4" t="s">
        <v>619</v>
      </c>
      <c r="H28" s="4">
        <f t="shared" si="1"/>
        <v>18</v>
      </c>
      <c r="J28" s="6"/>
    </row>
    <row r="29" spans="1:10" x14ac:dyDescent="0.35">
      <c r="A29" s="4">
        <f t="shared" ref="A29:A35" si="2">+A28+1</f>
        <v>19</v>
      </c>
      <c r="B29" s="35" t="s">
        <v>622</v>
      </c>
      <c r="E29" s="45">
        <v>0</v>
      </c>
      <c r="G29" s="95" t="s">
        <v>572</v>
      </c>
      <c r="H29" s="4">
        <f>+H28+1</f>
        <v>19</v>
      </c>
      <c r="I29" s="369"/>
      <c r="J29" s="6"/>
    </row>
    <row r="30" spans="1:10" x14ac:dyDescent="0.35">
      <c r="A30" s="4">
        <f t="shared" si="2"/>
        <v>20</v>
      </c>
      <c r="B30" s="35" t="s">
        <v>623</v>
      </c>
      <c r="E30" s="45">
        <f>-'AH-2'!E45</f>
        <v>-7.6341200000000002</v>
      </c>
      <c r="G30" s="95" t="s">
        <v>1849</v>
      </c>
      <c r="H30" s="4">
        <f>+H29+1</f>
        <v>20</v>
      </c>
      <c r="I30" s="369"/>
    </row>
    <row r="31" spans="1:10" x14ac:dyDescent="0.35">
      <c r="A31" s="4">
        <f t="shared" si="2"/>
        <v>21</v>
      </c>
      <c r="B31" s="35" t="s">
        <v>624</v>
      </c>
      <c r="E31" s="45">
        <f>-'AH-2'!E39</f>
        <v>-136000.65109999999</v>
      </c>
      <c r="G31" s="4" t="s">
        <v>1850</v>
      </c>
      <c r="H31" s="4">
        <f>+H30+1</f>
        <v>21</v>
      </c>
    </row>
    <row r="32" spans="1:10" x14ac:dyDescent="0.35">
      <c r="A32" s="4">
        <f t="shared" si="2"/>
        <v>22</v>
      </c>
      <c r="B32" s="35" t="s">
        <v>625</v>
      </c>
      <c r="E32" s="45">
        <f>-'AH-2'!E48</f>
        <v>0</v>
      </c>
      <c r="G32" s="95" t="s">
        <v>1851</v>
      </c>
      <c r="H32" s="4">
        <f t="shared" ref="H32:H33" si="3">+H31+1</f>
        <v>22</v>
      </c>
    </row>
    <row r="33" spans="1:9" x14ac:dyDescent="0.35">
      <c r="A33" s="4">
        <f t="shared" si="2"/>
        <v>23</v>
      </c>
      <c r="B33" s="35" t="s">
        <v>626</v>
      </c>
      <c r="E33" s="45">
        <f>-'AH-2'!D41</f>
        <v>-0.96526000000000001</v>
      </c>
      <c r="G33" s="95" t="s">
        <v>1852</v>
      </c>
      <c r="H33" s="4">
        <f t="shared" si="3"/>
        <v>23</v>
      </c>
    </row>
    <row r="34" spans="1:9" ht="31" x14ac:dyDescent="0.35">
      <c r="A34" s="4">
        <f t="shared" si="2"/>
        <v>24</v>
      </c>
      <c r="B34" s="35" t="s">
        <v>627</v>
      </c>
      <c r="E34" s="963">
        <f>-SUM('AH-2'!E31+'AH-2'!E32+'AH-2'!E35+'AH-2'!D37+'AH-2'!D47)</f>
        <v>-54.242370000000165</v>
      </c>
      <c r="G34" s="95" t="s">
        <v>1853</v>
      </c>
      <c r="H34" s="4">
        <f>+H33+1</f>
        <v>24</v>
      </c>
    </row>
    <row r="35" spans="1:9" x14ac:dyDescent="0.35">
      <c r="A35" s="4">
        <f t="shared" si="2"/>
        <v>25</v>
      </c>
      <c r="B35" s="35" t="s">
        <v>628</v>
      </c>
      <c r="E35" s="51">
        <f>SUM(E22:E34)</f>
        <v>493271.52198973397</v>
      </c>
      <c r="G35" s="4" t="s">
        <v>629</v>
      </c>
      <c r="H35" s="4">
        <f>+H34+1</f>
        <v>25</v>
      </c>
    </row>
    <row r="36" spans="1:9" x14ac:dyDescent="0.35">
      <c r="A36" s="4">
        <f t="shared" ref="A36:A45" si="4">+A35+1</f>
        <v>26</v>
      </c>
      <c r="B36" s="35" t="s">
        <v>630</v>
      </c>
      <c r="E36" s="963">
        <f>-'AH-2'!F15</f>
        <v>-8930.0596700000024</v>
      </c>
      <c r="G36" s="4" t="s">
        <v>631</v>
      </c>
      <c r="H36" s="4">
        <f t="shared" ref="H36:H47" si="5">+H35+1</f>
        <v>26</v>
      </c>
    </row>
    <row r="37" spans="1:9" x14ac:dyDescent="0.35">
      <c r="A37" s="4">
        <f t="shared" si="4"/>
        <v>27</v>
      </c>
      <c r="B37" s="35" t="s">
        <v>632</v>
      </c>
      <c r="E37" s="51">
        <f>SUM(E35:E36)</f>
        <v>484341.46231973398</v>
      </c>
      <c r="G37" s="4" t="s">
        <v>305</v>
      </c>
      <c r="H37" s="4">
        <f t="shared" si="5"/>
        <v>27</v>
      </c>
    </row>
    <row r="38" spans="1:9" x14ac:dyDescent="0.35">
      <c r="A38" s="4">
        <f t="shared" si="4"/>
        <v>28</v>
      </c>
      <c r="B38" s="34" t="s">
        <v>345</v>
      </c>
      <c r="E38" s="986">
        <f>'Stmt AI'!E25</f>
        <v>0.19811712169916151</v>
      </c>
      <c r="G38" s="4" t="s">
        <v>346</v>
      </c>
      <c r="H38" s="4">
        <f t="shared" si="5"/>
        <v>28</v>
      </c>
    </row>
    <row r="39" spans="1:9" x14ac:dyDescent="0.35">
      <c r="A39" s="4">
        <f t="shared" si="4"/>
        <v>29</v>
      </c>
      <c r="B39" s="35" t="s">
        <v>633</v>
      </c>
      <c r="E39" s="966">
        <f>E37*E38</f>
        <v>95956.336434348588</v>
      </c>
      <c r="G39" s="4" t="s">
        <v>80</v>
      </c>
      <c r="H39" s="4">
        <f t="shared" si="5"/>
        <v>29</v>
      </c>
    </row>
    <row r="40" spans="1:9" x14ac:dyDescent="0.35">
      <c r="A40" s="4">
        <f t="shared" si="4"/>
        <v>30</v>
      </c>
      <c r="B40" s="34" t="s">
        <v>634</v>
      </c>
      <c r="E40" s="985">
        <f>E60*(-E36)</f>
        <v>3521.9535632177781</v>
      </c>
      <c r="G40" s="4" t="s">
        <v>635</v>
      </c>
      <c r="H40" s="4">
        <f t="shared" si="5"/>
        <v>30</v>
      </c>
    </row>
    <row r="41" spans="1:9" ht="16" thickBot="1" x14ac:dyDescent="0.4">
      <c r="A41" s="4">
        <f t="shared" si="4"/>
        <v>31</v>
      </c>
      <c r="B41" s="35" t="s">
        <v>636</v>
      </c>
      <c r="E41" s="26">
        <f>E40+E39</f>
        <v>99478.28999756636</v>
      </c>
      <c r="G41" s="4" t="s">
        <v>637</v>
      </c>
      <c r="H41" s="4">
        <f t="shared" si="5"/>
        <v>31</v>
      </c>
      <c r="I41" s="35"/>
    </row>
    <row r="42" spans="1:9" ht="16" thickTop="1" x14ac:dyDescent="0.35">
      <c r="A42" s="4">
        <f t="shared" si="4"/>
        <v>32</v>
      </c>
      <c r="B42" s="350"/>
      <c r="E42" s="10"/>
      <c r="G42" s="4"/>
      <c r="H42" s="4">
        <f t="shared" si="5"/>
        <v>32</v>
      </c>
    </row>
    <row r="43" spans="1:9" x14ac:dyDescent="0.35">
      <c r="A43" s="4">
        <f t="shared" si="4"/>
        <v>33</v>
      </c>
      <c r="B43" s="258" t="s">
        <v>638</v>
      </c>
      <c r="E43" s="52"/>
      <c r="G43" s="4"/>
      <c r="H43" s="4">
        <f t="shared" si="5"/>
        <v>33</v>
      </c>
    </row>
    <row r="44" spans="1:9" x14ac:dyDescent="0.35">
      <c r="A44" s="4">
        <f t="shared" si="4"/>
        <v>34</v>
      </c>
      <c r="B44" s="35" t="s">
        <v>639</v>
      </c>
      <c r="E44" s="7">
        <f>'Stmt AD'!I35</f>
        <v>7476381.1074746149</v>
      </c>
      <c r="G44" s="4" t="s">
        <v>640</v>
      </c>
      <c r="H44" s="4">
        <f t="shared" si="5"/>
        <v>34</v>
      </c>
    </row>
    <row r="45" spans="1:9" x14ac:dyDescent="0.35">
      <c r="A45" s="4">
        <f t="shared" si="4"/>
        <v>35</v>
      </c>
      <c r="B45" s="35" t="s">
        <v>95</v>
      </c>
      <c r="E45" s="99">
        <v>0</v>
      </c>
      <c r="G45" s="4" t="s">
        <v>71</v>
      </c>
      <c r="H45" s="4">
        <f t="shared" si="5"/>
        <v>35</v>
      </c>
    </row>
    <row r="46" spans="1:9" x14ac:dyDescent="0.35">
      <c r="A46" s="4">
        <f t="shared" si="0"/>
        <v>36</v>
      </c>
      <c r="B46" s="35" t="s">
        <v>97</v>
      </c>
      <c r="E46" s="9">
        <f>'Stmt AD'!I39</f>
        <v>108045.72119347638</v>
      </c>
      <c r="G46" s="4" t="s">
        <v>154</v>
      </c>
      <c r="H46" s="4">
        <f t="shared" si="5"/>
        <v>36</v>
      </c>
    </row>
    <row r="47" spans="1:9" x14ac:dyDescent="0.35">
      <c r="A47" s="4">
        <f t="shared" si="0"/>
        <v>37</v>
      </c>
      <c r="B47" s="35" t="s">
        <v>351</v>
      </c>
      <c r="E47" s="868">
        <f>'Stmt AD'!I41</f>
        <v>303088.79978315468</v>
      </c>
      <c r="G47" s="4" t="s">
        <v>155</v>
      </c>
      <c r="H47" s="4">
        <f t="shared" si="5"/>
        <v>37</v>
      </c>
    </row>
    <row r="48" spans="1:9" ht="16" thickBot="1" x14ac:dyDescent="0.4">
      <c r="A48" s="4">
        <f t="shared" si="0"/>
        <v>38</v>
      </c>
      <c r="B48" s="35" t="s">
        <v>641</v>
      </c>
      <c r="E48" s="18">
        <f>SUM(E44:E47)</f>
        <v>7887515.6284512458</v>
      </c>
      <c r="G48" s="4" t="s">
        <v>642</v>
      </c>
      <c r="H48" s="4">
        <f t="shared" si="1"/>
        <v>38</v>
      </c>
      <c r="I48" s="370"/>
    </row>
    <row r="49" spans="1:9" ht="16" thickTop="1" x14ac:dyDescent="0.35">
      <c r="A49" s="4">
        <f t="shared" si="0"/>
        <v>39</v>
      </c>
      <c r="B49" s="350"/>
      <c r="E49" s="6"/>
      <c r="G49" s="4"/>
      <c r="H49" s="4">
        <f t="shared" si="1"/>
        <v>39</v>
      </c>
    </row>
    <row r="50" spans="1:9" x14ac:dyDescent="0.35">
      <c r="A50" s="4">
        <f t="shared" si="0"/>
        <v>40</v>
      </c>
      <c r="B50" s="35" t="s">
        <v>347</v>
      </c>
      <c r="E50" s="38">
        <f>E44</f>
        <v>7476381.1074746149</v>
      </c>
      <c r="G50" s="49" t="s">
        <v>643</v>
      </c>
      <c r="H50" s="4">
        <f>+H49+1</f>
        <v>40</v>
      </c>
    </row>
    <row r="51" spans="1:9" x14ac:dyDescent="0.35">
      <c r="A51" s="4">
        <f t="shared" si="0"/>
        <v>41</v>
      </c>
      <c r="B51" s="35" t="s">
        <v>644</v>
      </c>
      <c r="E51" s="12">
        <f>'Stmt AD'!I11</f>
        <v>573458.27988615376</v>
      </c>
      <c r="G51" s="4" t="s">
        <v>645</v>
      </c>
      <c r="H51" s="4">
        <f t="shared" ref="H51:H58" si="6">+H50+1</f>
        <v>41</v>
      </c>
    </row>
    <row r="52" spans="1:9" x14ac:dyDescent="0.35">
      <c r="A52" s="4">
        <f t="shared" si="0"/>
        <v>42</v>
      </c>
      <c r="B52" s="35" t="s">
        <v>646</v>
      </c>
      <c r="E52" s="99">
        <v>0</v>
      </c>
      <c r="G52" s="4" t="s">
        <v>71</v>
      </c>
      <c r="H52" s="4">
        <f t="shared" si="6"/>
        <v>42</v>
      </c>
    </row>
    <row r="53" spans="1:9" x14ac:dyDescent="0.35">
      <c r="A53" s="4">
        <f t="shared" si="0"/>
        <v>43</v>
      </c>
      <c r="B53" s="35" t="s">
        <v>647</v>
      </c>
      <c r="E53" s="12">
        <f>'Stmt AD'!I17</f>
        <v>539341.99986846163</v>
      </c>
      <c r="G53" s="4" t="s">
        <v>648</v>
      </c>
      <c r="H53" s="4">
        <f t="shared" si="6"/>
        <v>43</v>
      </c>
    </row>
    <row r="54" spans="1:9" x14ac:dyDescent="0.35">
      <c r="A54" s="4">
        <f t="shared" si="0"/>
        <v>44</v>
      </c>
      <c r="B54" s="35" t="s">
        <v>649</v>
      </c>
      <c r="E54" s="12">
        <f>'Stmt AD'!I19</f>
        <v>9334732.9401250016</v>
      </c>
      <c r="G54" s="4" t="s">
        <v>650</v>
      </c>
      <c r="H54" s="4">
        <f t="shared" si="6"/>
        <v>44</v>
      </c>
    </row>
    <row r="55" spans="1:9" x14ac:dyDescent="0.35">
      <c r="A55" s="4">
        <f t="shared" si="0"/>
        <v>45</v>
      </c>
      <c r="B55" s="35" t="s">
        <v>95</v>
      </c>
      <c r="E55" s="99">
        <v>0</v>
      </c>
      <c r="G55" s="4" t="s">
        <v>71</v>
      </c>
      <c r="H55" s="4">
        <f t="shared" si="6"/>
        <v>45</v>
      </c>
    </row>
    <row r="56" spans="1:9" x14ac:dyDescent="0.35">
      <c r="A56" s="4">
        <f t="shared" si="0"/>
        <v>46</v>
      </c>
      <c r="B56" s="35" t="s">
        <v>651</v>
      </c>
      <c r="E56" s="12">
        <f>'Stmt AD'!I27</f>
        <v>545362.86549500003</v>
      </c>
      <c r="G56" s="4" t="s">
        <v>652</v>
      </c>
      <c r="H56" s="4">
        <f t="shared" si="6"/>
        <v>46</v>
      </c>
    </row>
    <row r="57" spans="1:9" x14ac:dyDescent="0.35">
      <c r="A57" s="4">
        <f t="shared" si="0"/>
        <v>47</v>
      </c>
      <c r="B57" s="35" t="s">
        <v>653</v>
      </c>
      <c r="E57" s="1044">
        <f>'Stmt AD'!I29</f>
        <v>1529846.5735000502</v>
      </c>
      <c r="G57" s="4" t="s">
        <v>654</v>
      </c>
      <c r="H57" s="4">
        <f t="shared" si="6"/>
        <v>47</v>
      </c>
    </row>
    <row r="58" spans="1:9" ht="16" thickBot="1" x14ac:dyDescent="0.4">
      <c r="A58" s="4">
        <f t="shared" si="0"/>
        <v>48</v>
      </c>
      <c r="B58" s="35" t="s">
        <v>655</v>
      </c>
      <c r="E58" s="100">
        <f>SUM(E50:E57)</f>
        <v>19999123.766349278</v>
      </c>
      <c r="G58" s="4" t="s">
        <v>656</v>
      </c>
      <c r="H58" s="4">
        <f t="shared" si="6"/>
        <v>48</v>
      </c>
      <c r="I58" s="370"/>
    </row>
    <row r="59" spans="1:9" ht="16" thickTop="1" x14ac:dyDescent="0.35">
      <c r="A59" s="4">
        <f t="shared" si="0"/>
        <v>49</v>
      </c>
      <c r="E59" s="73"/>
      <c r="G59" s="4"/>
      <c r="H59" s="4">
        <f t="shared" si="1"/>
        <v>49</v>
      </c>
    </row>
    <row r="60" spans="1:9" ht="16" thickBot="1" x14ac:dyDescent="0.4">
      <c r="A60" s="4">
        <f t="shared" si="0"/>
        <v>50</v>
      </c>
      <c r="B60" s="35" t="s">
        <v>657</v>
      </c>
      <c r="E60" s="54">
        <f>E48/E58</f>
        <v>0.39439306044612099</v>
      </c>
      <c r="G60" s="4" t="s">
        <v>658</v>
      </c>
      <c r="H60" s="4">
        <f t="shared" si="1"/>
        <v>50</v>
      </c>
      <c r="I60" s="370"/>
    </row>
    <row r="61" spans="1:9" ht="16" thickTop="1" x14ac:dyDescent="0.35">
      <c r="B61" s="35" t="s">
        <v>1</v>
      </c>
      <c r="E61" s="78"/>
      <c r="G61" s="4"/>
      <c r="H61" s="4"/>
    </row>
    <row r="62" spans="1:9" x14ac:dyDescent="0.35">
      <c r="B62" s="35"/>
      <c r="E62" s="78"/>
      <c r="F62" s="78"/>
      <c r="G62" s="4"/>
      <c r="H62" s="4"/>
    </row>
    <row r="63" spans="1:9" ht="18" x14ac:dyDescent="0.35">
      <c r="A63" s="276">
        <v>1</v>
      </c>
      <c r="B63" s="35" t="s">
        <v>659</v>
      </c>
      <c r="H63" s="4"/>
    </row>
    <row r="64" spans="1:9" x14ac:dyDescent="0.35">
      <c r="B64" s="35" t="s">
        <v>660</v>
      </c>
      <c r="E64" s="73"/>
      <c r="F64" s="73"/>
      <c r="G64" s="4"/>
      <c r="H64" s="4"/>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Roman,Regular"&amp;10AH</oddFooter>
  </headerFooter>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14"/>
  <sheetViews>
    <sheetView zoomScale="80" zoomScaleNormal="80" workbookViewId="0"/>
  </sheetViews>
  <sheetFormatPr defaultColWidth="13.453125" defaultRowHeight="15.5" x14ac:dyDescent="0.35"/>
  <cols>
    <col min="1" max="1" width="5.08984375" style="4" customWidth="1"/>
    <col min="2" max="2" width="8.54296875" style="371" customWidth="1"/>
    <col min="3" max="3" width="63.08984375" style="34" customWidth="1"/>
    <col min="4" max="4" width="16.90625" style="34" customWidth="1"/>
    <col min="5" max="5" width="16.90625" style="6" customWidth="1"/>
    <col min="6" max="6" width="16.90625" style="34" customWidth="1"/>
    <col min="7" max="7" width="34.54296875" style="34" customWidth="1"/>
    <col min="8" max="8" width="5.08984375" style="4" customWidth="1"/>
    <col min="9" max="16384" width="13.453125" style="34"/>
  </cols>
  <sheetData>
    <row r="1" spans="1:11" x14ac:dyDescent="0.35">
      <c r="A1" s="226"/>
    </row>
    <row r="2" spans="1:11" s="1" customFormat="1" ht="15" x14ac:dyDescent="0.35">
      <c r="A2" s="226"/>
      <c r="B2" s="1171" t="s">
        <v>0</v>
      </c>
      <c r="C2" s="1171"/>
      <c r="D2" s="1171"/>
      <c r="E2" s="1171"/>
      <c r="F2" s="1171"/>
      <c r="G2" s="1171"/>
      <c r="H2" s="226"/>
      <c r="J2"/>
      <c r="K2"/>
    </row>
    <row r="3" spans="1:11" s="1" customFormat="1" ht="15" x14ac:dyDescent="0.35">
      <c r="A3" s="226"/>
      <c r="B3" s="1171" t="s">
        <v>661</v>
      </c>
      <c r="C3" s="1171"/>
      <c r="D3" s="1171"/>
      <c r="E3" s="1171"/>
      <c r="F3" s="1171"/>
      <c r="G3" s="1171"/>
      <c r="H3" s="226"/>
    </row>
    <row r="4" spans="1:11" s="1" customFormat="1" x14ac:dyDescent="0.35">
      <c r="A4" s="226"/>
      <c r="B4" s="1171" t="s">
        <v>662</v>
      </c>
      <c r="C4" s="1171"/>
      <c r="D4" s="1171"/>
      <c r="E4" s="1171"/>
      <c r="F4" s="1171"/>
      <c r="G4" s="1171"/>
      <c r="H4" s="226"/>
      <c r="J4" s="263"/>
    </row>
    <row r="5" spans="1:11" s="1" customFormat="1" ht="15" x14ac:dyDescent="0.35">
      <c r="A5" s="226"/>
      <c r="B5" s="1175" t="s">
        <v>5</v>
      </c>
      <c r="C5" s="1175"/>
      <c r="D5" s="1175"/>
      <c r="E5" s="1175"/>
      <c r="F5" s="1175"/>
      <c r="G5" s="1175"/>
      <c r="H5" s="226"/>
    </row>
    <row r="6" spans="1:11" ht="16" thickBot="1" x14ac:dyDescent="0.4">
      <c r="A6" s="37"/>
      <c r="B6" s="372"/>
      <c r="C6" s="282"/>
      <c r="D6" s="282"/>
      <c r="E6" s="373"/>
      <c r="F6" s="282"/>
      <c r="G6" s="282"/>
    </row>
    <row r="7" spans="1:11" s="1" customFormat="1" x14ac:dyDescent="0.35">
      <c r="A7" s="4"/>
      <c r="B7" s="374"/>
      <c r="C7" s="375"/>
      <c r="D7" s="376" t="s">
        <v>280</v>
      </c>
      <c r="E7" s="377" t="s">
        <v>281</v>
      </c>
      <c r="F7" s="376" t="s">
        <v>663</v>
      </c>
      <c r="G7" s="378"/>
      <c r="H7" s="4"/>
    </row>
    <row r="8" spans="1:11" s="1" customFormat="1" x14ac:dyDescent="0.35">
      <c r="A8" s="4" t="s">
        <v>6</v>
      </c>
      <c r="B8" s="379" t="s">
        <v>588</v>
      </c>
      <c r="D8" s="280" t="s">
        <v>265</v>
      </c>
      <c r="E8" s="280" t="s">
        <v>664</v>
      </c>
      <c r="F8" s="280" t="s">
        <v>265</v>
      </c>
      <c r="G8" s="380"/>
      <c r="H8" s="4" t="s">
        <v>6</v>
      </c>
    </row>
    <row r="9" spans="1:11" s="1" customFormat="1" x14ac:dyDescent="0.35">
      <c r="A9" s="4" t="s">
        <v>7</v>
      </c>
      <c r="B9" s="381" t="s">
        <v>665</v>
      </c>
      <c r="C9" s="990" t="s">
        <v>423</v>
      </c>
      <c r="D9" s="285" t="s">
        <v>666</v>
      </c>
      <c r="E9" s="285" t="s">
        <v>667</v>
      </c>
      <c r="F9" s="285" t="s">
        <v>668</v>
      </c>
      <c r="G9" s="382" t="s">
        <v>9</v>
      </c>
      <c r="H9" s="4" t="s">
        <v>7</v>
      </c>
    </row>
    <row r="10" spans="1:11" s="1" customFormat="1" x14ac:dyDescent="0.35">
      <c r="A10" s="4"/>
      <c r="B10" s="383"/>
      <c r="C10" s="384" t="s">
        <v>669</v>
      </c>
      <c r="D10" s="1045"/>
      <c r="E10" s="1045"/>
      <c r="F10" s="1045"/>
      <c r="G10" s="385"/>
      <c r="H10" s="4"/>
      <c r="J10" s="34"/>
      <c r="K10" s="34"/>
    </row>
    <row r="11" spans="1:11" s="1" customFormat="1" x14ac:dyDescent="0.35">
      <c r="A11" s="4">
        <v>1</v>
      </c>
      <c r="B11" s="386">
        <v>560</v>
      </c>
      <c r="C11" s="34" t="s">
        <v>670</v>
      </c>
      <c r="D11" s="240">
        <v>9101.5750000000007</v>
      </c>
      <c r="E11" s="240">
        <f>E47</f>
        <v>143.70699999999999</v>
      </c>
      <c r="F11" s="240">
        <f t="shared" ref="F11:F25" si="0">D11-E11</f>
        <v>8957.8680000000004</v>
      </c>
      <c r="G11" s="387" t="s">
        <v>671</v>
      </c>
      <c r="H11" s="4">
        <f>A11</f>
        <v>1</v>
      </c>
      <c r="J11" s="34"/>
      <c r="K11" s="34"/>
    </row>
    <row r="12" spans="1:11" s="1" customFormat="1" x14ac:dyDescent="0.35">
      <c r="A12" s="4">
        <f>A11+1</f>
        <v>2</v>
      </c>
      <c r="B12" s="386">
        <v>561.1</v>
      </c>
      <c r="C12" s="34" t="s">
        <v>672</v>
      </c>
      <c r="D12" s="241">
        <v>964.71199999999999</v>
      </c>
      <c r="E12" s="241">
        <v>0</v>
      </c>
      <c r="F12" s="241">
        <f t="shared" si="0"/>
        <v>964.71199999999999</v>
      </c>
      <c r="G12" s="387" t="s">
        <v>673</v>
      </c>
      <c r="H12" s="4">
        <f>H11+1</f>
        <v>2</v>
      </c>
      <c r="J12" s="34"/>
      <c r="K12" s="34"/>
    </row>
    <row r="13" spans="1:11" s="1" customFormat="1" x14ac:dyDescent="0.35">
      <c r="A13" s="4">
        <f t="shared" ref="A13:A59" si="1">A12+1</f>
        <v>3</v>
      </c>
      <c r="B13" s="386">
        <v>561.20000000000005</v>
      </c>
      <c r="C13" s="34" t="s">
        <v>674</v>
      </c>
      <c r="D13" s="241">
        <v>1892.6669999999999</v>
      </c>
      <c r="E13" s="241">
        <v>0</v>
      </c>
      <c r="F13" s="241">
        <f t="shared" si="0"/>
        <v>1892.6669999999999</v>
      </c>
      <c r="G13" s="387" t="s">
        <v>675</v>
      </c>
      <c r="H13" s="4">
        <f t="shared" ref="H13:H59" si="2">H12+1</f>
        <v>3</v>
      </c>
      <c r="J13" s="34"/>
      <c r="K13" s="34"/>
    </row>
    <row r="14" spans="1:11" s="1" customFormat="1" x14ac:dyDescent="0.35">
      <c r="A14" s="4">
        <f t="shared" si="1"/>
        <v>4</v>
      </c>
      <c r="B14" s="386">
        <v>561.29999999999995</v>
      </c>
      <c r="C14" s="34" t="s">
        <v>676</v>
      </c>
      <c r="D14" s="241">
        <v>157.91900000000001</v>
      </c>
      <c r="E14" s="241">
        <v>0</v>
      </c>
      <c r="F14" s="241">
        <f t="shared" si="0"/>
        <v>157.91900000000001</v>
      </c>
      <c r="G14" s="387" t="s">
        <v>677</v>
      </c>
      <c r="H14" s="4">
        <f t="shared" si="2"/>
        <v>4</v>
      </c>
      <c r="J14" s="34"/>
      <c r="K14" s="34"/>
    </row>
    <row r="15" spans="1:11" s="1" customFormat="1" ht="17.25" customHeight="1" x14ac:dyDescent="0.35">
      <c r="A15" s="4">
        <f t="shared" si="1"/>
        <v>5</v>
      </c>
      <c r="B15" s="386">
        <v>561.4</v>
      </c>
      <c r="C15" s="34" t="s">
        <v>678</v>
      </c>
      <c r="D15" s="241">
        <v>3357.212</v>
      </c>
      <c r="E15" s="6">
        <f>E48</f>
        <v>3357.212</v>
      </c>
      <c r="F15" s="241">
        <f t="shared" si="0"/>
        <v>0</v>
      </c>
      <c r="G15" s="387" t="s">
        <v>679</v>
      </c>
      <c r="H15" s="4">
        <f t="shared" si="2"/>
        <v>5</v>
      </c>
      <c r="J15" s="34"/>
      <c r="K15" s="34"/>
    </row>
    <row r="16" spans="1:11" s="1" customFormat="1" x14ac:dyDescent="0.35">
      <c r="A16" s="4">
        <f t="shared" si="1"/>
        <v>6</v>
      </c>
      <c r="B16" s="386">
        <v>561.5</v>
      </c>
      <c r="C16" s="34" t="s">
        <v>680</v>
      </c>
      <c r="D16" s="241">
        <v>139.928</v>
      </c>
      <c r="E16" s="241">
        <v>0</v>
      </c>
      <c r="F16" s="241">
        <f t="shared" si="0"/>
        <v>139.928</v>
      </c>
      <c r="G16" s="387" t="s">
        <v>681</v>
      </c>
      <c r="H16" s="4">
        <f t="shared" si="2"/>
        <v>6</v>
      </c>
      <c r="J16" s="34"/>
      <c r="K16" s="34"/>
    </row>
    <row r="17" spans="1:11" s="1" customFormat="1" x14ac:dyDescent="0.35">
      <c r="A17" s="4">
        <f t="shared" si="1"/>
        <v>7</v>
      </c>
      <c r="B17" s="386">
        <v>561.6</v>
      </c>
      <c r="C17" s="34" t="s">
        <v>682</v>
      </c>
      <c r="D17" s="241">
        <v>0</v>
      </c>
      <c r="E17" s="241">
        <v>0</v>
      </c>
      <c r="F17" s="241">
        <f t="shared" si="0"/>
        <v>0</v>
      </c>
      <c r="G17" s="387" t="s">
        <v>683</v>
      </c>
      <c r="H17" s="4">
        <f t="shared" si="2"/>
        <v>7</v>
      </c>
      <c r="J17" s="34"/>
      <c r="K17" s="34"/>
    </row>
    <row r="18" spans="1:11" s="1" customFormat="1" x14ac:dyDescent="0.35">
      <c r="A18" s="4">
        <f t="shared" si="1"/>
        <v>8</v>
      </c>
      <c r="B18" s="386">
        <v>561.70000000000005</v>
      </c>
      <c r="C18" s="34" t="s">
        <v>684</v>
      </c>
      <c r="D18" s="241">
        <v>0</v>
      </c>
      <c r="E18" s="241">
        <v>0</v>
      </c>
      <c r="F18" s="241">
        <f t="shared" si="0"/>
        <v>0</v>
      </c>
      <c r="G18" s="1046" t="s">
        <v>685</v>
      </c>
      <c r="H18" s="4">
        <f t="shared" si="2"/>
        <v>8</v>
      </c>
      <c r="J18" s="34"/>
      <c r="K18" s="34"/>
    </row>
    <row r="19" spans="1:11" s="1" customFormat="1" x14ac:dyDescent="0.35">
      <c r="A19" s="4">
        <f t="shared" si="1"/>
        <v>9</v>
      </c>
      <c r="B19" s="386">
        <v>561.79999999999995</v>
      </c>
      <c r="C19" s="34" t="s">
        <v>686</v>
      </c>
      <c r="D19" s="241">
        <v>2611.931</v>
      </c>
      <c r="E19" s="6">
        <f>E49</f>
        <v>1629.53</v>
      </c>
      <c r="F19" s="241">
        <f t="shared" si="0"/>
        <v>982.40100000000007</v>
      </c>
      <c r="G19" s="1046" t="s">
        <v>687</v>
      </c>
      <c r="H19" s="4">
        <f t="shared" si="2"/>
        <v>9</v>
      </c>
      <c r="J19" s="34"/>
      <c r="K19" s="34"/>
    </row>
    <row r="20" spans="1:11" s="1" customFormat="1" ht="15" customHeight="1" x14ac:dyDescent="0.35">
      <c r="A20" s="4">
        <f t="shared" si="1"/>
        <v>10</v>
      </c>
      <c r="B20" s="386">
        <v>562</v>
      </c>
      <c r="C20" s="34" t="s">
        <v>688</v>
      </c>
      <c r="D20" s="241">
        <v>11638.449000000001</v>
      </c>
      <c r="E20" s="241">
        <f>E50</f>
        <v>2.4224999999999999</v>
      </c>
      <c r="F20" s="241">
        <f t="shared" si="0"/>
        <v>11636.0265</v>
      </c>
      <c r="G20" s="1046" t="s">
        <v>689</v>
      </c>
      <c r="H20" s="4">
        <f t="shared" si="2"/>
        <v>10</v>
      </c>
      <c r="J20" s="34"/>
      <c r="K20" s="34"/>
    </row>
    <row r="21" spans="1:11" s="1" customFormat="1" x14ac:dyDescent="0.35">
      <c r="A21" s="4">
        <f t="shared" si="1"/>
        <v>11</v>
      </c>
      <c r="B21" s="386">
        <v>563</v>
      </c>
      <c r="C21" s="34" t="s">
        <v>690</v>
      </c>
      <c r="D21" s="241">
        <v>10659.147999999999</v>
      </c>
      <c r="E21" s="241">
        <v>0</v>
      </c>
      <c r="F21" s="241">
        <f t="shared" si="0"/>
        <v>10659.147999999999</v>
      </c>
      <c r="G21" s="1046" t="s">
        <v>691</v>
      </c>
      <c r="H21" s="4">
        <f t="shared" si="2"/>
        <v>11</v>
      </c>
      <c r="J21" s="34"/>
      <c r="K21" s="34"/>
    </row>
    <row r="22" spans="1:11" s="1" customFormat="1" x14ac:dyDescent="0.35">
      <c r="A22" s="4">
        <f>A21+1</f>
        <v>12</v>
      </c>
      <c r="B22" s="386">
        <v>564</v>
      </c>
      <c r="C22" s="34" t="s">
        <v>692</v>
      </c>
      <c r="D22" s="241">
        <v>-0.40300000000000002</v>
      </c>
      <c r="E22" s="241">
        <v>0</v>
      </c>
      <c r="F22" s="241">
        <f t="shared" si="0"/>
        <v>-0.40300000000000002</v>
      </c>
      <c r="G22" s="1046" t="s">
        <v>693</v>
      </c>
      <c r="H22" s="4">
        <f>H21+1</f>
        <v>12</v>
      </c>
      <c r="J22" s="34"/>
      <c r="K22" s="34"/>
    </row>
    <row r="23" spans="1:11" s="1" customFormat="1" x14ac:dyDescent="0.35">
      <c r="A23" s="4">
        <f t="shared" si="1"/>
        <v>13</v>
      </c>
      <c r="B23" s="386">
        <v>565</v>
      </c>
      <c r="C23" s="34" t="s">
        <v>694</v>
      </c>
      <c r="D23" s="241">
        <v>0</v>
      </c>
      <c r="E23" s="241">
        <v>0</v>
      </c>
      <c r="F23" s="241">
        <f t="shared" si="0"/>
        <v>0</v>
      </c>
      <c r="G23" s="1046" t="s">
        <v>695</v>
      </c>
      <c r="H23" s="4">
        <f t="shared" si="2"/>
        <v>13</v>
      </c>
      <c r="J23" s="34"/>
      <c r="K23" s="34"/>
    </row>
    <row r="24" spans="1:11" s="1" customFormat="1" x14ac:dyDescent="0.35">
      <c r="A24" s="4">
        <f t="shared" si="1"/>
        <v>14</v>
      </c>
      <c r="B24" s="386">
        <v>566</v>
      </c>
      <c r="C24" s="34" t="s">
        <v>696</v>
      </c>
      <c r="D24" s="241">
        <v>16813.008000000002</v>
      </c>
      <c r="E24" s="6">
        <f>E56</f>
        <v>2107.7340000000004</v>
      </c>
      <c r="F24" s="241">
        <f t="shared" si="0"/>
        <v>14705.274000000001</v>
      </c>
      <c r="G24" s="1046" t="s">
        <v>697</v>
      </c>
      <c r="H24" s="4">
        <f t="shared" si="2"/>
        <v>14</v>
      </c>
      <c r="J24" s="34"/>
      <c r="K24" s="34"/>
    </row>
    <row r="25" spans="1:11" s="1" customFormat="1" x14ac:dyDescent="0.35">
      <c r="A25" s="4">
        <f>A24+1</f>
        <v>15</v>
      </c>
      <c r="B25" s="386">
        <v>567</v>
      </c>
      <c r="C25" s="34" t="s">
        <v>698</v>
      </c>
      <c r="D25" s="98">
        <v>3610.3420000000001</v>
      </c>
      <c r="E25" s="98">
        <v>0</v>
      </c>
      <c r="F25" s="98">
        <f t="shared" si="0"/>
        <v>3610.3420000000001</v>
      </c>
      <c r="G25" s="1046" t="s">
        <v>699</v>
      </c>
      <c r="H25" s="4">
        <f t="shared" si="2"/>
        <v>15</v>
      </c>
      <c r="J25" s="34"/>
      <c r="K25" s="34"/>
    </row>
    <row r="26" spans="1:11" s="1" customFormat="1" x14ac:dyDescent="0.35">
      <c r="A26" s="4">
        <f>A25+1</f>
        <v>16</v>
      </c>
      <c r="B26" s="386"/>
      <c r="C26" s="34"/>
      <c r="D26" s="241"/>
      <c r="E26" s="6"/>
      <c r="F26" s="241"/>
      <c r="G26" s="387"/>
      <c r="H26" s="4">
        <f>H25+1</f>
        <v>16</v>
      </c>
      <c r="J26" s="34"/>
      <c r="K26" s="34"/>
    </row>
    <row r="27" spans="1:11" s="1" customFormat="1" ht="16" thickBot="1" x14ac:dyDescent="0.4">
      <c r="A27" s="4">
        <f>A26+1</f>
        <v>17</v>
      </c>
      <c r="B27" s="388"/>
      <c r="C27" s="1047" t="s">
        <v>700</v>
      </c>
      <c r="D27" s="101">
        <f>SUM(D11:D25)</f>
        <v>60946.487999999998</v>
      </c>
      <c r="E27" s="1048">
        <f>SUM(E11:E25)</f>
        <v>7240.6054999999997</v>
      </c>
      <c r="F27" s="101">
        <f>SUM(F11:F25)</f>
        <v>53705.8825</v>
      </c>
      <c r="G27" s="1049" t="str">
        <f>"Sum Lines "&amp;A11&amp;" thru "&amp;A25</f>
        <v>Sum Lines 1 thru 15</v>
      </c>
      <c r="H27" s="4">
        <f>H26+1</f>
        <v>17</v>
      </c>
      <c r="J27" s="34"/>
      <c r="K27" s="34"/>
    </row>
    <row r="28" spans="1:11" s="1" customFormat="1" x14ac:dyDescent="0.35">
      <c r="A28" s="4">
        <f t="shared" si="1"/>
        <v>18</v>
      </c>
      <c r="B28" s="389"/>
      <c r="C28" s="34"/>
      <c r="D28" s="1050"/>
      <c r="E28" s="102"/>
      <c r="F28" s="1050"/>
      <c r="G28" s="1046"/>
      <c r="H28" s="4">
        <f t="shared" si="2"/>
        <v>18</v>
      </c>
      <c r="J28" s="34"/>
      <c r="K28" s="34"/>
    </row>
    <row r="29" spans="1:11" s="1" customFormat="1" x14ac:dyDescent="0.35">
      <c r="A29" s="4">
        <f t="shared" si="1"/>
        <v>19</v>
      </c>
      <c r="B29" s="383"/>
      <c r="C29" s="384" t="s">
        <v>701</v>
      </c>
      <c r="D29" s="1050"/>
      <c r="E29" s="102"/>
      <c r="F29" s="1050"/>
      <c r="G29" s="1046"/>
      <c r="H29" s="4">
        <f t="shared" si="2"/>
        <v>19</v>
      </c>
      <c r="J29" s="34"/>
      <c r="K29" s="34"/>
    </row>
    <row r="30" spans="1:11" s="1" customFormat="1" x14ac:dyDescent="0.35">
      <c r="A30" s="4">
        <f t="shared" si="1"/>
        <v>20</v>
      </c>
      <c r="B30" s="386">
        <v>568</v>
      </c>
      <c r="C30" s="34" t="s">
        <v>702</v>
      </c>
      <c r="D30" s="240">
        <v>2150.4340000000002</v>
      </c>
      <c r="E30" s="240">
        <v>0</v>
      </c>
      <c r="F30" s="240">
        <f t="shared" ref="F30:F39" si="3">D30-E30</f>
        <v>2150.4340000000002</v>
      </c>
      <c r="G30" s="1046" t="s">
        <v>703</v>
      </c>
      <c r="H30" s="4">
        <f t="shared" si="2"/>
        <v>20</v>
      </c>
      <c r="J30" s="34"/>
      <c r="K30" s="34"/>
    </row>
    <row r="31" spans="1:11" s="1" customFormat="1" x14ac:dyDescent="0.35">
      <c r="A31" s="4">
        <f t="shared" si="1"/>
        <v>21</v>
      </c>
      <c r="B31" s="386">
        <v>569</v>
      </c>
      <c r="C31" s="34" t="s">
        <v>704</v>
      </c>
      <c r="D31" s="241">
        <v>1191.816</v>
      </c>
      <c r="E31" s="6">
        <v>0</v>
      </c>
      <c r="F31" s="241">
        <f t="shared" si="3"/>
        <v>1191.816</v>
      </c>
      <c r="G31" s="1046" t="s">
        <v>705</v>
      </c>
      <c r="H31" s="4">
        <f t="shared" si="2"/>
        <v>21</v>
      </c>
      <c r="J31" s="34"/>
      <c r="K31" s="34"/>
    </row>
    <row r="32" spans="1:11" s="1" customFormat="1" x14ac:dyDescent="0.35">
      <c r="A32" s="4">
        <f t="shared" si="1"/>
        <v>22</v>
      </c>
      <c r="B32" s="386">
        <v>569.1</v>
      </c>
      <c r="C32" s="34" t="s">
        <v>706</v>
      </c>
      <c r="D32" s="241">
        <v>1021.635</v>
      </c>
      <c r="E32" s="6">
        <v>0</v>
      </c>
      <c r="F32" s="241">
        <f t="shared" si="3"/>
        <v>1021.635</v>
      </c>
      <c r="G32" s="1046" t="s">
        <v>707</v>
      </c>
      <c r="H32" s="4">
        <f t="shared" si="2"/>
        <v>22</v>
      </c>
      <c r="J32" s="34"/>
      <c r="K32" s="34"/>
    </row>
    <row r="33" spans="1:11" s="1" customFormat="1" x14ac:dyDescent="0.35">
      <c r="A33" s="4">
        <f t="shared" si="1"/>
        <v>23</v>
      </c>
      <c r="B33" s="386">
        <v>569.20000000000005</v>
      </c>
      <c r="C33" s="34" t="s">
        <v>708</v>
      </c>
      <c r="D33" s="241">
        <v>2015.654</v>
      </c>
      <c r="E33" s="6">
        <v>0</v>
      </c>
      <c r="F33" s="241">
        <f t="shared" si="3"/>
        <v>2015.654</v>
      </c>
      <c r="G33" s="1046" t="s">
        <v>709</v>
      </c>
      <c r="H33" s="4">
        <f t="shared" si="2"/>
        <v>23</v>
      </c>
      <c r="J33" s="34"/>
      <c r="K33" s="34"/>
    </row>
    <row r="34" spans="1:11" s="1" customFormat="1" x14ac:dyDescent="0.35">
      <c r="A34" s="4">
        <f t="shared" si="1"/>
        <v>24</v>
      </c>
      <c r="B34" s="386">
        <v>569.29999999999995</v>
      </c>
      <c r="C34" s="34" t="s">
        <v>710</v>
      </c>
      <c r="D34" s="241">
        <v>64.367999999999995</v>
      </c>
      <c r="E34" s="6">
        <v>0</v>
      </c>
      <c r="F34" s="241">
        <f t="shared" si="3"/>
        <v>64.367999999999995</v>
      </c>
      <c r="G34" s="1046" t="s">
        <v>711</v>
      </c>
      <c r="H34" s="4">
        <f t="shared" si="2"/>
        <v>24</v>
      </c>
      <c r="J34" s="34"/>
      <c r="K34" s="34"/>
    </row>
    <row r="35" spans="1:11" s="1" customFormat="1" x14ac:dyDescent="0.35">
      <c r="A35" s="4">
        <f t="shared" si="1"/>
        <v>25</v>
      </c>
      <c r="B35" s="386">
        <v>569.4</v>
      </c>
      <c r="C35" s="34" t="s">
        <v>712</v>
      </c>
      <c r="D35" s="241">
        <v>102</v>
      </c>
      <c r="E35" s="6">
        <v>0</v>
      </c>
      <c r="F35" s="241">
        <f t="shared" si="3"/>
        <v>102</v>
      </c>
      <c r="G35" s="1046" t="s">
        <v>713</v>
      </c>
      <c r="H35" s="4">
        <f t="shared" si="2"/>
        <v>25</v>
      </c>
      <c r="J35" s="34"/>
      <c r="K35" s="34"/>
    </row>
    <row r="36" spans="1:11" s="1" customFormat="1" x14ac:dyDescent="0.35">
      <c r="A36" s="4">
        <f t="shared" si="1"/>
        <v>26</v>
      </c>
      <c r="B36" s="386">
        <v>570</v>
      </c>
      <c r="C36" s="34" t="s">
        <v>714</v>
      </c>
      <c r="D36" s="241">
        <v>18834.561000000002</v>
      </c>
      <c r="E36" s="6">
        <v>0</v>
      </c>
      <c r="F36" s="241">
        <f t="shared" si="3"/>
        <v>18834.561000000002</v>
      </c>
      <c r="G36" s="1046" t="s">
        <v>715</v>
      </c>
      <c r="H36" s="4">
        <f t="shared" si="2"/>
        <v>26</v>
      </c>
      <c r="J36" s="34"/>
      <c r="K36" s="34"/>
    </row>
    <row r="37" spans="1:11" s="1" customFormat="1" x14ac:dyDescent="0.35">
      <c r="A37" s="4">
        <f t="shared" si="1"/>
        <v>27</v>
      </c>
      <c r="B37" s="386">
        <v>571</v>
      </c>
      <c r="C37" s="34" t="s">
        <v>716</v>
      </c>
      <c r="D37" s="241">
        <v>25278.445</v>
      </c>
      <c r="E37" s="6">
        <v>0</v>
      </c>
      <c r="F37" s="241">
        <f t="shared" si="3"/>
        <v>25278.445</v>
      </c>
      <c r="G37" s="1046" t="s">
        <v>717</v>
      </c>
      <c r="H37" s="4">
        <f t="shared" si="2"/>
        <v>27</v>
      </c>
      <c r="I37" s="2"/>
      <c r="J37" s="34"/>
      <c r="K37" s="34"/>
    </row>
    <row r="38" spans="1:11" s="1" customFormat="1" x14ac:dyDescent="0.35">
      <c r="A38" s="4">
        <f t="shared" si="1"/>
        <v>28</v>
      </c>
      <c r="B38" s="386">
        <v>572</v>
      </c>
      <c r="C38" s="34" t="s">
        <v>718</v>
      </c>
      <c r="D38" s="241">
        <v>578.39599999999996</v>
      </c>
      <c r="E38" s="6">
        <v>0</v>
      </c>
      <c r="F38" s="241">
        <f t="shared" si="3"/>
        <v>578.39599999999996</v>
      </c>
      <c r="G38" s="387" t="s">
        <v>719</v>
      </c>
      <c r="H38" s="4">
        <f t="shared" si="2"/>
        <v>28</v>
      </c>
      <c r="I38" s="2"/>
      <c r="J38" s="34"/>
      <c r="K38" s="34"/>
    </row>
    <row r="39" spans="1:11" s="1" customFormat="1" x14ac:dyDescent="0.35">
      <c r="A39" s="4">
        <f t="shared" si="1"/>
        <v>29</v>
      </c>
      <c r="B39" s="386">
        <v>573</v>
      </c>
      <c r="C39" s="34" t="s">
        <v>720</v>
      </c>
      <c r="D39" s="241">
        <v>34.209000000000003</v>
      </c>
      <c r="E39" s="98">
        <v>0</v>
      </c>
      <c r="F39" s="98">
        <f t="shared" si="3"/>
        <v>34.209000000000003</v>
      </c>
      <c r="G39" s="387" t="s">
        <v>721</v>
      </c>
      <c r="H39" s="4">
        <f t="shared" si="2"/>
        <v>29</v>
      </c>
      <c r="I39" s="3"/>
      <c r="J39" s="34"/>
      <c r="K39" s="34"/>
    </row>
    <row r="40" spans="1:11" s="1" customFormat="1" x14ac:dyDescent="0.35">
      <c r="A40" s="4">
        <f t="shared" si="1"/>
        <v>30</v>
      </c>
      <c r="B40" s="386"/>
      <c r="C40" s="34"/>
      <c r="D40" s="1051"/>
      <c r="E40" s="6"/>
      <c r="F40" s="1051"/>
      <c r="G40" s="387"/>
      <c r="H40" s="4">
        <f t="shared" si="2"/>
        <v>30</v>
      </c>
      <c r="J40" s="34"/>
      <c r="K40" s="34"/>
    </row>
    <row r="41" spans="1:11" s="1" customFormat="1" x14ac:dyDescent="0.35">
      <c r="A41" s="4">
        <f t="shared" si="1"/>
        <v>31</v>
      </c>
      <c r="B41" s="389"/>
      <c r="C41" s="268" t="s">
        <v>722</v>
      </c>
      <c r="D41" s="240">
        <f>SUM(D30:D39)</f>
        <v>51271.518000000004</v>
      </c>
      <c r="E41" s="240">
        <f>SUM(E30:E39)</f>
        <v>0</v>
      </c>
      <c r="F41" s="240">
        <f>SUM(F30:F39)</f>
        <v>51271.518000000004</v>
      </c>
      <c r="G41" s="387" t="str">
        <f>"Sum Lines "&amp;A30&amp;" thru "&amp;A39</f>
        <v>Sum Lines 20 thru 29</v>
      </c>
      <c r="H41" s="4">
        <f t="shared" si="2"/>
        <v>31</v>
      </c>
      <c r="J41" s="34"/>
      <c r="K41" s="34"/>
    </row>
    <row r="42" spans="1:11" s="1" customFormat="1" x14ac:dyDescent="0.35">
      <c r="A42" s="4">
        <f t="shared" si="1"/>
        <v>32</v>
      </c>
      <c r="B42" s="389"/>
      <c r="C42" s="34"/>
      <c r="D42" s="1040"/>
      <c r="E42" s="1040"/>
      <c r="F42" s="1040"/>
      <c r="G42" s="387"/>
      <c r="H42" s="4">
        <f t="shared" si="2"/>
        <v>32</v>
      </c>
      <c r="J42" s="34"/>
      <c r="K42" s="34"/>
    </row>
    <row r="43" spans="1:11" s="1" customFormat="1" ht="16" thickBot="1" x14ac:dyDescent="0.4">
      <c r="A43" s="4">
        <f t="shared" si="1"/>
        <v>33</v>
      </c>
      <c r="B43" s="379"/>
      <c r="C43" s="1" t="s">
        <v>723</v>
      </c>
      <c r="D43" s="103">
        <f>D27+D41</f>
        <v>112218.00599999999</v>
      </c>
      <c r="E43" s="103">
        <f>+E27+E41</f>
        <v>7240.6054999999997</v>
      </c>
      <c r="F43" s="103">
        <f>+F27+F41</f>
        <v>104977.4005</v>
      </c>
      <c r="G43" s="387" t="str">
        <f>"Line "&amp;A27&amp;" + Line "&amp;A41</f>
        <v>Line 17 + Line 31</v>
      </c>
      <c r="H43" s="4">
        <f t="shared" si="2"/>
        <v>33</v>
      </c>
      <c r="J43" s="34"/>
      <c r="K43" s="34"/>
    </row>
    <row r="44" spans="1:11" ht="16.5" thickTop="1" thickBot="1" x14ac:dyDescent="0.4">
      <c r="A44" s="4">
        <f t="shared" si="1"/>
        <v>34</v>
      </c>
      <c r="B44" s="390"/>
      <c r="C44" s="891"/>
      <c r="D44" s="104"/>
      <c r="E44" s="104"/>
      <c r="F44" s="104"/>
      <c r="G44" s="204"/>
      <c r="H44" s="4">
        <f t="shared" si="2"/>
        <v>34</v>
      </c>
    </row>
    <row r="45" spans="1:11" x14ac:dyDescent="0.35">
      <c r="A45" s="4">
        <f t="shared" si="1"/>
        <v>35</v>
      </c>
      <c r="B45" s="391"/>
      <c r="D45" s="102"/>
      <c r="E45" s="102"/>
      <c r="F45" s="102"/>
      <c r="G45" s="392"/>
      <c r="H45" s="4">
        <f>H44+1</f>
        <v>35</v>
      </c>
    </row>
    <row r="46" spans="1:11" x14ac:dyDescent="0.35">
      <c r="A46" s="4">
        <f t="shared" si="1"/>
        <v>36</v>
      </c>
      <c r="B46" s="393" t="s">
        <v>724</v>
      </c>
      <c r="D46" s="102"/>
      <c r="E46" s="102"/>
      <c r="F46" s="102"/>
      <c r="G46" s="392"/>
      <c r="H46" s="4">
        <f t="shared" si="2"/>
        <v>36</v>
      </c>
    </row>
    <row r="47" spans="1:11" x14ac:dyDescent="0.35">
      <c r="A47" s="4">
        <f t="shared" si="1"/>
        <v>37</v>
      </c>
      <c r="B47" s="391" t="s">
        <v>725</v>
      </c>
      <c r="C47" s="34" t="s">
        <v>726</v>
      </c>
      <c r="D47" s="102"/>
      <c r="E47" s="38">
        <v>143.70699999999999</v>
      </c>
      <c r="F47" s="102"/>
      <c r="G47" s="392"/>
      <c r="H47" s="4">
        <f t="shared" si="2"/>
        <v>37</v>
      </c>
    </row>
    <row r="48" spans="1:11" x14ac:dyDescent="0.35">
      <c r="A48" s="4">
        <f t="shared" si="1"/>
        <v>38</v>
      </c>
      <c r="B48" s="391" t="s">
        <v>727</v>
      </c>
      <c r="C48" s="34" t="s">
        <v>728</v>
      </c>
      <c r="D48" s="102"/>
      <c r="E48" s="6">
        <v>3357.212</v>
      </c>
      <c r="G48" s="392"/>
      <c r="H48" s="4">
        <f t="shared" si="2"/>
        <v>38</v>
      </c>
    </row>
    <row r="49" spans="1:10" x14ac:dyDescent="0.35">
      <c r="A49" s="4">
        <f t="shared" si="1"/>
        <v>39</v>
      </c>
      <c r="B49" s="391">
        <v>561.79999999999995</v>
      </c>
      <c r="C49" s="34" t="s">
        <v>729</v>
      </c>
      <c r="D49" s="102"/>
      <c r="E49" s="6">
        <v>1629.53</v>
      </c>
      <c r="G49" s="392"/>
      <c r="H49" s="4">
        <f t="shared" si="2"/>
        <v>39</v>
      </c>
    </row>
    <row r="50" spans="1:10" x14ac:dyDescent="0.35">
      <c r="A50" s="4">
        <f t="shared" si="1"/>
        <v>40</v>
      </c>
      <c r="B50" s="391" t="s">
        <v>1828</v>
      </c>
      <c r="C50" s="34" t="s">
        <v>1829</v>
      </c>
      <c r="D50" s="102"/>
      <c r="E50" s="6">
        <v>2.4224999999999999</v>
      </c>
      <c r="G50" s="392"/>
      <c r="H50" s="4">
        <f t="shared" si="2"/>
        <v>40</v>
      </c>
    </row>
    <row r="51" spans="1:10" x14ac:dyDescent="0.35">
      <c r="A51" s="4">
        <f t="shared" si="1"/>
        <v>41</v>
      </c>
      <c r="B51" s="391">
        <v>565</v>
      </c>
      <c r="C51" s="34" t="s">
        <v>730</v>
      </c>
      <c r="D51" s="102"/>
      <c r="E51" s="6">
        <v>0</v>
      </c>
      <c r="F51" s="105"/>
      <c r="G51" s="392"/>
      <c r="H51" s="4">
        <f t="shared" si="2"/>
        <v>41</v>
      </c>
    </row>
    <row r="52" spans="1:10" x14ac:dyDescent="0.35">
      <c r="A52" s="4">
        <f t="shared" si="1"/>
        <v>42</v>
      </c>
      <c r="B52" s="391" t="s">
        <v>731</v>
      </c>
      <c r="C52" s="34" t="s">
        <v>732</v>
      </c>
      <c r="D52" s="38">
        <v>0</v>
      </c>
      <c r="F52" s="102"/>
      <c r="G52" s="392"/>
      <c r="H52" s="4">
        <f t="shared" si="2"/>
        <v>42</v>
      </c>
    </row>
    <row r="53" spans="1:10" x14ac:dyDescent="0.35">
      <c r="A53" s="4">
        <f t="shared" si="1"/>
        <v>43</v>
      </c>
      <c r="B53" s="391"/>
      <c r="C53" s="34" t="s">
        <v>733</v>
      </c>
      <c r="D53" s="6">
        <v>0</v>
      </c>
      <c r="F53" s="102"/>
      <c r="G53" s="392"/>
      <c r="H53" s="4">
        <f t="shared" si="2"/>
        <v>43</v>
      </c>
    </row>
    <row r="54" spans="1:10" x14ac:dyDescent="0.35">
      <c r="A54" s="4">
        <f t="shared" si="1"/>
        <v>44</v>
      </c>
      <c r="B54" s="391"/>
      <c r="C54" s="34" t="s">
        <v>734</v>
      </c>
      <c r="D54" s="6">
        <v>993.31799999999998</v>
      </c>
      <c r="F54" s="102"/>
      <c r="G54" s="392"/>
      <c r="H54" s="4">
        <f t="shared" si="2"/>
        <v>44</v>
      </c>
    </row>
    <row r="55" spans="1:10" x14ac:dyDescent="0.35">
      <c r="A55" s="4">
        <f t="shared" si="1"/>
        <v>45</v>
      </c>
      <c r="B55" s="391"/>
      <c r="C55" s="34" t="s">
        <v>735</v>
      </c>
      <c r="D55" s="6">
        <v>473.28300000000002</v>
      </c>
      <c r="F55" s="102"/>
      <c r="G55" s="392"/>
      <c r="H55" s="4">
        <f t="shared" si="2"/>
        <v>45</v>
      </c>
    </row>
    <row r="56" spans="1:10" x14ac:dyDescent="0.35">
      <c r="A56" s="4">
        <f t="shared" si="1"/>
        <v>46</v>
      </c>
      <c r="B56" s="391"/>
      <c r="C56" s="34" t="s">
        <v>736</v>
      </c>
      <c r="D56" s="928">
        <v>641.13300000000004</v>
      </c>
      <c r="E56" s="982">
        <f>SUM(D52:D56)</f>
        <v>2107.7340000000004</v>
      </c>
      <c r="F56" s="105"/>
      <c r="G56" s="392"/>
      <c r="H56" s="4">
        <f t="shared" si="2"/>
        <v>46</v>
      </c>
      <c r="J56" s="705"/>
    </row>
    <row r="57" spans="1:10" x14ac:dyDescent="0.35">
      <c r="A57" s="4">
        <f t="shared" si="1"/>
        <v>47</v>
      </c>
      <c r="B57" s="391"/>
      <c r="D57" s="6"/>
      <c r="F57" s="102"/>
      <c r="G57" s="392"/>
      <c r="H57" s="4">
        <f t="shared" si="2"/>
        <v>47</v>
      </c>
    </row>
    <row r="58" spans="1:10" ht="16" thickBot="1" x14ac:dyDescent="0.4">
      <c r="A58" s="4">
        <f t="shared" si="1"/>
        <v>48</v>
      </c>
      <c r="B58" s="394"/>
      <c r="C58" s="1" t="s">
        <v>737</v>
      </c>
      <c r="D58" s="102"/>
      <c r="E58" s="106">
        <f>SUM(E47:E57)</f>
        <v>7240.6054999999997</v>
      </c>
      <c r="F58" s="102"/>
      <c r="G58" s="392"/>
      <c r="H58" s="4">
        <f t="shared" si="2"/>
        <v>48</v>
      </c>
    </row>
    <row r="59" spans="1:10" ht="16.5" thickTop="1" thickBot="1" x14ac:dyDescent="0.4">
      <c r="A59" s="4">
        <f t="shared" si="1"/>
        <v>49</v>
      </c>
      <c r="B59" s="395"/>
      <c r="C59" s="891"/>
      <c r="D59" s="891"/>
      <c r="E59" s="946"/>
      <c r="F59" s="891"/>
      <c r="G59" s="204"/>
      <c r="H59" s="4">
        <f t="shared" si="2"/>
        <v>49</v>
      </c>
    </row>
    <row r="60" spans="1:10" x14ac:dyDescent="0.35">
      <c r="B60" s="396"/>
    </row>
    <row r="61" spans="1:10" x14ac:dyDescent="0.35">
      <c r="B61" s="396"/>
    </row>
    <row r="62" spans="1:10" x14ac:dyDescent="0.35">
      <c r="B62" s="396"/>
    </row>
    <row r="63" spans="1:10" x14ac:dyDescent="0.35">
      <c r="B63" s="396"/>
    </row>
    <row r="64" spans="1:10" x14ac:dyDescent="0.35">
      <c r="B64" s="396"/>
    </row>
    <row r="65" spans="2:5" x14ac:dyDescent="0.35">
      <c r="B65" s="396"/>
    </row>
    <row r="66" spans="2:5" x14ac:dyDescent="0.35">
      <c r="B66" s="396"/>
    </row>
    <row r="67" spans="2:5" x14ac:dyDescent="0.35">
      <c r="B67" s="396"/>
    </row>
    <row r="68" spans="2:5" x14ac:dyDescent="0.35">
      <c r="B68" s="396"/>
    </row>
    <row r="69" spans="2:5" x14ac:dyDescent="0.35">
      <c r="B69" s="396"/>
    </row>
    <row r="70" spans="2:5" x14ac:dyDescent="0.35">
      <c r="B70" s="396"/>
    </row>
    <row r="71" spans="2:5" x14ac:dyDescent="0.35">
      <c r="B71" s="396"/>
    </row>
    <row r="72" spans="2:5" x14ac:dyDescent="0.35">
      <c r="B72" s="396"/>
    </row>
    <row r="73" spans="2:5" x14ac:dyDescent="0.35">
      <c r="B73" s="396"/>
    </row>
    <row r="74" spans="2:5" x14ac:dyDescent="0.35">
      <c r="B74" s="396"/>
    </row>
    <row r="75" spans="2:5" x14ac:dyDescent="0.35">
      <c r="B75" s="396"/>
      <c r="E75" s="34"/>
    </row>
    <row r="76" spans="2:5" x14ac:dyDescent="0.35">
      <c r="B76" s="396"/>
      <c r="E76" s="34"/>
    </row>
    <row r="77" spans="2:5" x14ac:dyDescent="0.35">
      <c r="B77" s="396"/>
      <c r="E77" s="34"/>
    </row>
    <row r="78" spans="2:5" x14ac:dyDescent="0.35">
      <c r="B78" s="396"/>
      <c r="E78" s="34"/>
    </row>
    <row r="79" spans="2:5" x14ac:dyDescent="0.35">
      <c r="B79" s="396"/>
      <c r="E79" s="34"/>
    </row>
    <row r="80" spans="2:5" x14ac:dyDescent="0.35">
      <c r="B80" s="396"/>
      <c r="E80" s="34"/>
    </row>
    <row r="81" spans="2:5" x14ac:dyDescent="0.35">
      <c r="B81" s="396"/>
      <c r="E81" s="34"/>
    </row>
    <row r="82" spans="2:5" x14ac:dyDescent="0.35">
      <c r="B82" s="396"/>
      <c r="E82" s="34"/>
    </row>
    <row r="83" spans="2:5" x14ac:dyDescent="0.35">
      <c r="B83" s="396"/>
      <c r="E83" s="34"/>
    </row>
    <row r="84" spans="2:5" x14ac:dyDescent="0.35">
      <c r="B84" s="396"/>
      <c r="E84" s="34"/>
    </row>
    <row r="85" spans="2:5" x14ac:dyDescent="0.35">
      <c r="B85" s="396"/>
      <c r="E85" s="34"/>
    </row>
    <row r="86" spans="2:5" x14ac:dyDescent="0.35">
      <c r="B86" s="396"/>
      <c r="E86" s="34"/>
    </row>
    <row r="87" spans="2:5" x14ac:dyDescent="0.35">
      <c r="B87" s="396"/>
      <c r="E87" s="34"/>
    </row>
    <row r="88" spans="2:5" x14ac:dyDescent="0.35">
      <c r="B88" s="396"/>
      <c r="E88" s="34"/>
    </row>
    <row r="89" spans="2:5" x14ac:dyDescent="0.35">
      <c r="B89" s="396"/>
      <c r="E89" s="34"/>
    </row>
    <row r="90" spans="2:5" x14ac:dyDescent="0.35">
      <c r="B90" s="396"/>
      <c r="E90" s="34"/>
    </row>
    <row r="91" spans="2:5" x14ac:dyDescent="0.35">
      <c r="B91" s="396"/>
      <c r="E91" s="34"/>
    </row>
    <row r="92" spans="2:5" x14ac:dyDescent="0.35">
      <c r="B92" s="396"/>
      <c r="E92" s="34"/>
    </row>
    <row r="93" spans="2:5" x14ac:dyDescent="0.35">
      <c r="B93" s="396"/>
      <c r="E93" s="34"/>
    </row>
    <row r="94" spans="2:5" x14ac:dyDescent="0.35">
      <c r="B94" s="396"/>
      <c r="E94" s="34"/>
    </row>
    <row r="95" spans="2:5" x14ac:dyDescent="0.35">
      <c r="B95" s="396"/>
      <c r="E95" s="34"/>
    </row>
    <row r="96" spans="2:5" x14ac:dyDescent="0.35">
      <c r="B96" s="396"/>
      <c r="E96" s="34"/>
    </row>
    <row r="97" spans="2:5" x14ac:dyDescent="0.35">
      <c r="B97" s="396"/>
      <c r="E97" s="34"/>
    </row>
    <row r="98" spans="2:5" x14ac:dyDescent="0.35">
      <c r="B98" s="396"/>
      <c r="E98" s="34"/>
    </row>
    <row r="99" spans="2:5" x14ac:dyDescent="0.35">
      <c r="B99" s="396"/>
      <c r="E99" s="34"/>
    </row>
    <row r="100" spans="2:5" x14ac:dyDescent="0.35">
      <c r="B100" s="396"/>
      <c r="E100" s="34"/>
    </row>
    <row r="101" spans="2:5" x14ac:dyDescent="0.35">
      <c r="B101" s="396"/>
      <c r="E101" s="34"/>
    </row>
    <row r="102" spans="2:5" x14ac:dyDescent="0.35">
      <c r="B102" s="396"/>
      <c r="E102" s="34"/>
    </row>
    <row r="103" spans="2:5" x14ac:dyDescent="0.35">
      <c r="B103" s="396"/>
      <c r="E103" s="34"/>
    </row>
    <row r="104" spans="2:5" x14ac:dyDescent="0.35">
      <c r="B104" s="396"/>
      <c r="E104" s="34"/>
    </row>
    <row r="105" spans="2:5" x14ac:dyDescent="0.35">
      <c r="B105" s="396"/>
      <c r="E105" s="34"/>
    </row>
    <row r="106" spans="2:5" x14ac:dyDescent="0.35">
      <c r="B106" s="396"/>
      <c r="E106" s="34"/>
    </row>
    <row r="107" spans="2:5" x14ac:dyDescent="0.35">
      <c r="B107" s="396"/>
      <c r="E107" s="34"/>
    </row>
    <row r="108" spans="2:5" x14ac:dyDescent="0.35">
      <c r="B108" s="396"/>
      <c r="E108" s="34"/>
    </row>
    <row r="109" spans="2:5" x14ac:dyDescent="0.35">
      <c r="B109" s="396"/>
      <c r="E109" s="34"/>
    </row>
    <row r="110" spans="2:5" x14ac:dyDescent="0.35">
      <c r="B110" s="396"/>
      <c r="E110" s="34"/>
    </row>
    <row r="111" spans="2:5" x14ac:dyDescent="0.35">
      <c r="B111" s="396"/>
      <c r="E111" s="34"/>
    </row>
    <row r="112" spans="2:5" x14ac:dyDescent="0.35">
      <c r="B112" s="396"/>
      <c r="E112" s="34"/>
    </row>
    <row r="113" spans="2:5" x14ac:dyDescent="0.35">
      <c r="B113" s="396"/>
      <c r="E113" s="34"/>
    </row>
    <row r="114" spans="2:5" x14ac:dyDescent="0.35">
      <c r="B114" s="396"/>
      <c r="E114" s="34"/>
    </row>
    <row r="115" spans="2:5" x14ac:dyDescent="0.35">
      <c r="B115" s="396"/>
      <c r="E115" s="34"/>
    </row>
    <row r="116" spans="2:5" x14ac:dyDescent="0.35">
      <c r="B116" s="396"/>
      <c r="E116" s="34"/>
    </row>
    <row r="117" spans="2:5" x14ac:dyDescent="0.35">
      <c r="B117" s="396"/>
      <c r="E117" s="34"/>
    </row>
    <row r="118" spans="2:5" x14ac:dyDescent="0.35">
      <c r="B118" s="396"/>
      <c r="E118" s="34"/>
    </row>
    <row r="119" spans="2:5" x14ac:dyDescent="0.35">
      <c r="B119" s="396"/>
      <c r="E119" s="34"/>
    </row>
    <row r="120" spans="2:5" x14ac:dyDescent="0.35">
      <c r="B120" s="396"/>
      <c r="E120" s="34"/>
    </row>
    <row r="121" spans="2:5" x14ac:dyDescent="0.35">
      <c r="B121" s="396"/>
      <c r="E121" s="34"/>
    </row>
    <row r="122" spans="2:5" x14ac:dyDescent="0.35">
      <c r="B122" s="396"/>
      <c r="E122" s="34"/>
    </row>
    <row r="123" spans="2:5" x14ac:dyDescent="0.35">
      <c r="B123" s="396"/>
      <c r="E123" s="34"/>
    </row>
    <row r="124" spans="2:5" x14ac:dyDescent="0.35">
      <c r="B124" s="396"/>
      <c r="E124" s="34"/>
    </row>
    <row r="125" spans="2:5" x14ac:dyDescent="0.35">
      <c r="B125" s="396"/>
      <c r="E125" s="34"/>
    </row>
    <row r="126" spans="2:5" x14ac:dyDescent="0.35">
      <c r="B126" s="396"/>
      <c r="E126" s="34"/>
    </row>
    <row r="127" spans="2:5" x14ac:dyDescent="0.35">
      <c r="B127" s="396"/>
      <c r="E127" s="34"/>
    </row>
    <row r="128" spans="2:5" x14ac:dyDescent="0.35">
      <c r="B128" s="396"/>
      <c r="E128" s="34"/>
    </row>
    <row r="129" spans="2:5" x14ac:dyDescent="0.35">
      <c r="B129" s="396"/>
      <c r="E129" s="34"/>
    </row>
    <row r="130" spans="2:5" x14ac:dyDescent="0.35">
      <c r="B130" s="396"/>
      <c r="E130" s="34"/>
    </row>
    <row r="131" spans="2:5" x14ac:dyDescent="0.35">
      <c r="B131" s="396"/>
      <c r="E131" s="34"/>
    </row>
    <row r="132" spans="2:5" x14ac:dyDescent="0.35">
      <c r="B132" s="396"/>
      <c r="E132" s="34"/>
    </row>
    <row r="133" spans="2:5" x14ac:dyDescent="0.35">
      <c r="B133" s="396"/>
      <c r="E133" s="34"/>
    </row>
    <row r="134" spans="2:5" x14ac:dyDescent="0.35">
      <c r="B134" s="396"/>
      <c r="E134" s="34"/>
    </row>
    <row r="135" spans="2:5" x14ac:dyDescent="0.35">
      <c r="B135" s="396"/>
      <c r="E135" s="34"/>
    </row>
    <row r="136" spans="2:5" x14ac:dyDescent="0.35">
      <c r="B136" s="396"/>
      <c r="E136" s="34"/>
    </row>
    <row r="137" spans="2:5" x14ac:dyDescent="0.35">
      <c r="B137" s="396"/>
      <c r="E137" s="34"/>
    </row>
    <row r="138" spans="2:5" x14ac:dyDescent="0.35">
      <c r="B138" s="396"/>
      <c r="E138" s="34"/>
    </row>
    <row r="139" spans="2:5" x14ac:dyDescent="0.35">
      <c r="B139" s="396"/>
      <c r="E139" s="34"/>
    </row>
    <row r="140" spans="2:5" x14ac:dyDescent="0.35">
      <c r="B140" s="396"/>
      <c r="E140" s="34"/>
    </row>
    <row r="141" spans="2:5" x14ac:dyDescent="0.35">
      <c r="B141" s="396"/>
      <c r="E141" s="34"/>
    </row>
    <row r="142" spans="2:5" x14ac:dyDescent="0.35">
      <c r="B142" s="396"/>
      <c r="E142" s="34"/>
    </row>
    <row r="143" spans="2:5" x14ac:dyDescent="0.35">
      <c r="B143" s="396"/>
      <c r="E143" s="34"/>
    </row>
    <row r="144" spans="2:5" x14ac:dyDescent="0.35">
      <c r="B144" s="396"/>
      <c r="E144" s="34"/>
    </row>
    <row r="145" spans="2:5" x14ac:dyDescent="0.35">
      <c r="B145" s="396"/>
      <c r="E145" s="34"/>
    </row>
    <row r="146" spans="2:5" x14ac:dyDescent="0.35">
      <c r="B146" s="396"/>
      <c r="E146" s="34"/>
    </row>
    <row r="147" spans="2:5" x14ac:dyDescent="0.35">
      <c r="B147" s="396"/>
      <c r="E147" s="34"/>
    </row>
    <row r="148" spans="2:5" x14ac:dyDescent="0.35">
      <c r="B148" s="396"/>
      <c r="E148" s="34"/>
    </row>
    <row r="149" spans="2:5" x14ac:dyDescent="0.35">
      <c r="B149" s="396"/>
      <c r="E149" s="34"/>
    </row>
    <row r="150" spans="2:5" x14ac:dyDescent="0.35">
      <c r="B150" s="396"/>
      <c r="E150" s="34"/>
    </row>
    <row r="151" spans="2:5" x14ac:dyDescent="0.35">
      <c r="B151" s="396"/>
      <c r="E151" s="34"/>
    </row>
    <row r="152" spans="2:5" x14ac:dyDescent="0.35">
      <c r="B152" s="396"/>
      <c r="E152" s="34"/>
    </row>
    <row r="153" spans="2:5" x14ac:dyDescent="0.35">
      <c r="B153" s="396"/>
      <c r="E153" s="34"/>
    </row>
    <row r="154" spans="2:5" x14ac:dyDescent="0.35">
      <c r="B154" s="396"/>
      <c r="E154" s="34"/>
    </row>
    <row r="155" spans="2:5" x14ac:dyDescent="0.35">
      <c r="B155" s="396"/>
      <c r="E155" s="34"/>
    </row>
    <row r="156" spans="2:5" x14ac:dyDescent="0.35">
      <c r="B156" s="396"/>
      <c r="E156" s="34"/>
    </row>
    <row r="157" spans="2:5" x14ac:dyDescent="0.35">
      <c r="B157" s="396"/>
      <c r="E157" s="34"/>
    </row>
    <row r="158" spans="2:5" x14ac:dyDescent="0.35">
      <c r="B158" s="396"/>
      <c r="E158" s="34"/>
    </row>
    <row r="159" spans="2:5" x14ac:dyDescent="0.35">
      <c r="B159" s="396"/>
      <c r="E159" s="34"/>
    </row>
    <row r="160" spans="2:5" x14ac:dyDescent="0.35">
      <c r="B160" s="396"/>
      <c r="E160" s="34"/>
    </row>
    <row r="161" spans="2:5" x14ac:dyDescent="0.35">
      <c r="B161" s="396"/>
      <c r="E161" s="34"/>
    </row>
    <row r="162" spans="2:5" x14ac:dyDescent="0.35">
      <c r="B162" s="396"/>
      <c r="E162" s="34"/>
    </row>
    <row r="163" spans="2:5" x14ac:dyDescent="0.35">
      <c r="B163" s="396"/>
      <c r="E163" s="34"/>
    </row>
    <row r="164" spans="2:5" x14ac:dyDescent="0.35">
      <c r="B164" s="396"/>
      <c r="E164" s="34"/>
    </row>
    <row r="165" spans="2:5" x14ac:dyDescent="0.35">
      <c r="B165" s="396"/>
      <c r="E165" s="34"/>
    </row>
    <row r="166" spans="2:5" x14ac:dyDescent="0.35">
      <c r="B166" s="396"/>
      <c r="E166" s="34"/>
    </row>
    <row r="167" spans="2:5" x14ac:dyDescent="0.35">
      <c r="B167" s="396"/>
      <c r="E167" s="34"/>
    </row>
    <row r="168" spans="2:5" x14ac:dyDescent="0.35">
      <c r="B168" s="396"/>
      <c r="E168" s="34"/>
    </row>
    <row r="169" spans="2:5" x14ac:dyDescent="0.35">
      <c r="B169" s="396"/>
      <c r="E169" s="34"/>
    </row>
    <row r="170" spans="2:5" x14ac:dyDescent="0.35">
      <c r="B170" s="396"/>
      <c r="E170" s="34"/>
    </row>
    <row r="171" spans="2:5" x14ac:dyDescent="0.35">
      <c r="B171" s="396"/>
      <c r="E171" s="34"/>
    </row>
    <row r="172" spans="2:5" x14ac:dyDescent="0.35">
      <c r="B172" s="396"/>
      <c r="E172" s="34"/>
    </row>
    <row r="173" spans="2:5" x14ac:dyDescent="0.35">
      <c r="B173" s="396"/>
      <c r="E173" s="34"/>
    </row>
    <row r="174" spans="2:5" x14ac:dyDescent="0.35">
      <c r="B174" s="396"/>
      <c r="E174" s="34"/>
    </row>
    <row r="175" spans="2:5" x14ac:dyDescent="0.35">
      <c r="B175" s="396"/>
      <c r="E175" s="34"/>
    </row>
    <row r="176" spans="2:5" x14ac:dyDescent="0.35">
      <c r="B176" s="396"/>
      <c r="E176" s="34"/>
    </row>
    <row r="177" spans="2:5" x14ac:dyDescent="0.35">
      <c r="B177" s="396"/>
      <c r="E177" s="34"/>
    </row>
    <row r="178" spans="2:5" x14ac:dyDescent="0.35">
      <c r="B178" s="396"/>
      <c r="E178" s="34"/>
    </row>
    <row r="179" spans="2:5" x14ac:dyDescent="0.35">
      <c r="B179" s="396"/>
      <c r="E179" s="34"/>
    </row>
    <row r="180" spans="2:5" x14ac:dyDescent="0.35">
      <c r="B180" s="396"/>
      <c r="E180" s="34"/>
    </row>
    <row r="181" spans="2:5" x14ac:dyDescent="0.35">
      <c r="B181" s="396"/>
      <c r="E181" s="34"/>
    </row>
    <row r="182" spans="2:5" x14ac:dyDescent="0.35">
      <c r="B182" s="396"/>
      <c r="E182" s="34"/>
    </row>
    <row r="183" spans="2:5" x14ac:dyDescent="0.35">
      <c r="B183" s="396"/>
      <c r="E183" s="34"/>
    </row>
    <row r="184" spans="2:5" x14ac:dyDescent="0.35">
      <c r="B184" s="396"/>
      <c r="E184" s="34"/>
    </row>
    <row r="185" spans="2:5" x14ac:dyDescent="0.35">
      <c r="B185" s="396"/>
      <c r="E185" s="34"/>
    </row>
    <row r="186" spans="2:5" x14ac:dyDescent="0.35">
      <c r="B186" s="396"/>
      <c r="E186" s="34"/>
    </row>
    <row r="187" spans="2:5" x14ac:dyDescent="0.35">
      <c r="B187" s="396"/>
      <c r="E187" s="34"/>
    </row>
    <row r="188" spans="2:5" x14ac:dyDescent="0.35">
      <c r="B188" s="396"/>
      <c r="E188" s="34"/>
    </row>
    <row r="189" spans="2:5" x14ac:dyDescent="0.35">
      <c r="B189" s="396"/>
      <c r="E189" s="34"/>
    </row>
    <row r="190" spans="2:5" x14ac:dyDescent="0.35">
      <c r="B190" s="396"/>
      <c r="E190" s="34"/>
    </row>
    <row r="191" spans="2:5" x14ac:dyDescent="0.35">
      <c r="B191" s="396"/>
      <c r="E191" s="34"/>
    </row>
    <row r="192" spans="2:5" x14ac:dyDescent="0.35">
      <c r="B192" s="396"/>
      <c r="E192" s="34"/>
    </row>
    <row r="193" spans="2:5" x14ac:dyDescent="0.35">
      <c r="B193" s="396"/>
      <c r="E193" s="34"/>
    </row>
    <row r="194" spans="2:5" x14ac:dyDescent="0.35">
      <c r="B194" s="396"/>
      <c r="E194" s="34"/>
    </row>
    <row r="195" spans="2:5" x14ac:dyDescent="0.35">
      <c r="B195" s="396"/>
      <c r="E195" s="34"/>
    </row>
    <row r="196" spans="2:5" x14ac:dyDescent="0.35">
      <c r="B196" s="396"/>
      <c r="E196" s="34"/>
    </row>
    <row r="197" spans="2:5" x14ac:dyDescent="0.35">
      <c r="B197" s="396"/>
      <c r="E197" s="34"/>
    </row>
    <row r="198" spans="2:5" x14ac:dyDescent="0.35">
      <c r="B198" s="396"/>
      <c r="E198" s="34"/>
    </row>
    <row r="199" spans="2:5" x14ac:dyDescent="0.35">
      <c r="B199" s="396"/>
      <c r="E199" s="34"/>
    </row>
    <row r="200" spans="2:5" x14ac:dyDescent="0.35">
      <c r="B200" s="396"/>
      <c r="E200" s="34"/>
    </row>
    <row r="201" spans="2:5" x14ac:dyDescent="0.35">
      <c r="B201" s="396"/>
      <c r="E201" s="34"/>
    </row>
    <row r="202" spans="2:5" x14ac:dyDescent="0.35">
      <c r="B202" s="396"/>
      <c r="E202" s="34"/>
    </row>
    <row r="203" spans="2:5" x14ac:dyDescent="0.35">
      <c r="B203" s="396"/>
      <c r="E203" s="34"/>
    </row>
    <row r="204" spans="2:5" x14ac:dyDescent="0.35">
      <c r="B204" s="396"/>
      <c r="E204" s="34"/>
    </row>
    <row r="205" spans="2:5" x14ac:dyDescent="0.35">
      <c r="B205" s="396"/>
      <c r="E205" s="34"/>
    </row>
    <row r="206" spans="2:5" x14ac:dyDescent="0.35">
      <c r="B206" s="396"/>
      <c r="E206" s="34"/>
    </row>
    <row r="207" spans="2:5" x14ac:dyDescent="0.35">
      <c r="B207" s="396"/>
      <c r="E207" s="34"/>
    </row>
    <row r="208" spans="2:5" x14ac:dyDescent="0.35">
      <c r="B208" s="396"/>
      <c r="E208" s="34"/>
    </row>
    <row r="209" spans="2:5" x14ac:dyDescent="0.35">
      <c r="B209" s="396"/>
      <c r="E209" s="34"/>
    </row>
    <row r="210" spans="2:5" x14ac:dyDescent="0.35">
      <c r="B210" s="396"/>
      <c r="E210" s="34"/>
    </row>
    <row r="211" spans="2:5" x14ac:dyDescent="0.35">
      <c r="B211" s="396"/>
      <c r="E211" s="34"/>
    </row>
    <row r="212" spans="2:5" x14ac:dyDescent="0.35">
      <c r="B212" s="396"/>
      <c r="E212" s="34"/>
    </row>
    <row r="213" spans="2:5" x14ac:dyDescent="0.35">
      <c r="B213" s="396"/>
      <c r="E213" s="34"/>
    </row>
    <row r="214" spans="2:5" x14ac:dyDescent="0.35">
      <c r="B214" s="396"/>
      <c r="E214" s="34"/>
    </row>
    <row r="215" spans="2:5" x14ac:dyDescent="0.35">
      <c r="B215" s="396"/>
      <c r="E215" s="34"/>
    </row>
    <row r="216" spans="2:5" x14ac:dyDescent="0.35">
      <c r="B216" s="396"/>
      <c r="E216" s="34"/>
    </row>
    <row r="217" spans="2:5" x14ac:dyDescent="0.35">
      <c r="B217" s="396"/>
      <c r="E217" s="34"/>
    </row>
    <row r="218" spans="2:5" x14ac:dyDescent="0.35">
      <c r="B218" s="396"/>
      <c r="E218" s="34"/>
    </row>
    <row r="219" spans="2:5" x14ac:dyDescent="0.35">
      <c r="B219" s="396"/>
      <c r="E219" s="34"/>
    </row>
    <row r="220" spans="2:5" x14ac:dyDescent="0.35">
      <c r="B220" s="396"/>
      <c r="E220" s="34"/>
    </row>
    <row r="221" spans="2:5" x14ac:dyDescent="0.35">
      <c r="B221" s="396"/>
      <c r="E221" s="34"/>
    </row>
    <row r="222" spans="2:5" x14ac:dyDescent="0.35">
      <c r="B222" s="396"/>
      <c r="E222" s="34"/>
    </row>
    <row r="223" spans="2:5" x14ac:dyDescent="0.35">
      <c r="B223" s="396"/>
      <c r="E223" s="34"/>
    </row>
    <row r="224" spans="2:5" x14ac:dyDescent="0.35">
      <c r="B224" s="396"/>
      <c r="E224" s="34"/>
    </row>
    <row r="225" spans="2:5" x14ac:dyDescent="0.35">
      <c r="B225" s="396"/>
      <c r="E225" s="34"/>
    </row>
    <row r="226" spans="2:5" x14ac:dyDescent="0.35">
      <c r="B226" s="396"/>
      <c r="E226" s="34"/>
    </row>
    <row r="227" spans="2:5" x14ac:dyDescent="0.35">
      <c r="B227" s="396"/>
      <c r="E227" s="34"/>
    </row>
    <row r="228" spans="2:5" x14ac:dyDescent="0.35">
      <c r="B228" s="396"/>
      <c r="E228" s="34"/>
    </row>
    <row r="229" spans="2:5" x14ac:dyDescent="0.35">
      <c r="B229" s="396"/>
      <c r="E229" s="34"/>
    </row>
    <row r="230" spans="2:5" x14ac:dyDescent="0.35">
      <c r="B230" s="396"/>
      <c r="E230" s="34"/>
    </row>
    <row r="231" spans="2:5" x14ac:dyDescent="0.35">
      <c r="B231" s="396"/>
      <c r="E231" s="34"/>
    </row>
    <row r="232" spans="2:5" x14ac:dyDescent="0.35">
      <c r="B232" s="396"/>
      <c r="E232" s="34"/>
    </row>
    <row r="233" spans="2:5" x14ac:dyDescent="0.35">
      <c r="B233" s="396"/>
      <c r="E233" s="34"/>
    </row>
    <row r="234" spans="2:5" x14ac:dyDescent="0.35">
      <c r="B234" s="396"/>
      <c r="E234" s="34"/>
    </row>
    <row r="235" spans="2:5" x14ac:dyDescent="0.35">
      <c r="B235" s="396"/>
      <c r="E235" s="34"/>
    </row>
    <row r="236" spans="2:5" x14ac:dyDescent="0.35">
      <c r="B236" s="396"/>
      <c r="E236" s="34"/>
    </row>
    <row r="237" spans="2:5" x14ac:dyDescent="0.35">
      <c r="B237" s="396"/>
      <c r="E237" s="34"/>
    </row>
    <row r="238" spans="2:5" x14ac:dyDescent="0.35">
      <c r="B238" s="396"/>
      <c r="E238" s="34"/>
    </row>
    <row r="239" spans="2:5" x14ac:dyDescent="0.35">
      <c r="B239" s="396"/>
      <c r="E239" s="34"/>
    </row>
    <row r="240" spans="2:5" x14ac:dyDescent="0.35">
      <c r="B240" s="396"/>
      <c r="E240" s="34"/>
    </row>
    <row r="241" spans="2:5" x14ac:dyDescent="0.35">
      <c r="B241" s="396"/>
      <c r="E241" s="34"/>
    </row>
    <row r="242" spans="2:5" x14ac:dyDescent="0.35">
      <c r="B242" s="396"/>
      <c r="E242" s="34"/>
    </row>
    <row r="243" spans="2:5" x14ac:dyDescent="0.35">
      <c r="B243" s="396"/>
      <c r="E243" s="34"/>
    </row>
    <row r="244" spans="2:5" x14ac:dyDescent="0.35">
      <c r="B244" s="396"/>
      <c r="E244" s="34"/>
    </row>
    <row r="245" spans="2:5" x14ac:dyDescent="0.35">
      <c r="B245" s="396"/>
      <c r="E245" s="34"/>
    </row>
    <row r="246" spans="2:5" x14ac:dyDescent="0.35">
      <c r="B246" s="396"/>
      <c r="E246" s="34"/>
    </row>
    <row r="247" spans="2:5" x14ac:dyDescent="0.35">
      <c r="B247" s="396"/>
      <c r="E247" s="34"/>
    </row>
    <row r="248" spans="2:5" x14ac:dyDescent="0.35">
      <c r="B248" s="396"/>
      <c r="E248" s="34"/>
    </row>
    <row r="249" spans="2:5" x14ac:dyDescent="0.35">
      <c r="B249" s="396"/>
      <c r="E249" s="34"/>
    </row>
    <row r="250" spans="2:5" x14ac:dyDescent="0.35">
      <c r="B250" s="396"/>
      <c r="E250" s="34"/>
    </row>
    <row r="251" spans="2:5" x14ac:dyDescent="0.35">
      <c r="B251" s="396"/>
      <c r="E251" s="34"/>
    </row>
    <row r="252" spans="2:5" x14ac:dyDescent="0.35">
      <c r="B252" s="396"/>
      <c r="E252" s="34"/>
    </row>
    <row r="253" spans="2:5" x14ac:dyDescent="0.35">
      <c r="B253" s="396"/>
      <c r="E253" s="34"/>
    </row>
    <row r="254" spans="2:5" x14ac:dyDescent="0.35">
      <c r="B254" s="396"/>
      <c r="E254" s="34"/>
    </row>
    <row r="255" spans="2:5" x14ac:dyDescent="0.35">
      <c r="B255" s="396"/>
      <c r="E255" s="34"/>
    </row>
    <row r="256" spans="2:5" x14ac:dyDescent="0.35">
      <c r="B256" s="396"/>
      <c r="E256" s="34"/>
    </row>
    <row r="257" spans="2:5" x14ac:dyDescent="0.35">
      <c r="B257" s="396"/>
      <c r="E257" s="34"/>
    </row>
    <row r="258" spans="2:5" x14ac:dyDescent="0.35">
      <c r="B258" s="396"/>
      <c r="E258" s="34"/>
    </row>
    <row r="259" spans="2:5" x14ac:dyDescent="0.35">
      <c r="B259" s="396"/>
      <c r="E259" s="34"/>
    </row>
    <row r="260" spans="2:5" x14ac:dyDescent="0.35">
      <c r="B260" s="396"/>
      <c r="E260" s="34"/>
    </row>
    <row r="261" spans="2:5" x14ac:dyDescent="0.35">
      <c r="B261" s="396"/>
      <c r="E261" s="34"/>
    </row>
    <row r="262" spans="2:5" x14ac:dyDescent="0.35">
      <c r="B262" s="396"/>
      <c r="E262" s="34"/>
    </row>
    <row r="263" spans="2:5" x14ac:dyDescent="0.35">
      <c r="B263" s="396"/>
      <c r="E263" s="34"/>
    </row>
    <row r="264" spans="2:5" x14ac:dyDescent="0.35">
      <c r="B264" s="396"/>
      <c r="E264" s="34"/>
    </row>
    <row r="265" spans="2:5" x14ac:dyDescent="0.35">
      <c r="B265" s="396"/>
      <c r="E265" s="34"/>
    </row>
    <row r="266" spans="2:5" x14ac:dyDescent="0.35">
      <c r="B266" s="396"/>
      <c r="E266" s="34"/>
    </row>
    <row r="267" spans="2:5" x14ac:dyDescent="0.35">
      <c r="B267" s="396"/>
      <c r="E267" s="34"/>
    </row>
    <row r="268" spans="2:5" x14ac:dyDescent="0.35">
      <c r="B268" s="396"/>
      <c r="E268" s="34"/>
    </row>
    <row r="269" spans="2:5" x14ac:dyDescent="0.35">
      <c r="B269" s="396"/>
      <c r="E269" s="34"/>
    </row>
    <row r="270" spans="2:5" x14ac:dyDescent="0.35">
      <c r="B270" s="396"/>
      <c r="E270" s="34"/>
    </row>
    <row r="271" spans="2:5" x14ac:dyDescent="0.35">
      <c r="B271" s="396"/>
      <c r="E271" s="34"/>
    </row>
    <row r="272" spans="2:5" x14ac:dyDescent="0.35">
      <c r="B272" s="396"/>
      <c r="E272" s="34"/>
    </row>
    <row r="273" spans="2:5" x14ac:dyDescent="0.35">
      <c r="B273" s="396"/>
      <c r="E273" s="34"/>
    </row>
    <row r="274" spans="2:5" x14ac:dyDescent="0.35">
      <c r="B274" s="396"/>
      <c r="E274" s="34"/>
    </row>
    <row r="275" spans="2:5" x14ac:dyDescent="0.35">
      <c r="B275" s="396"/>
      <c r="E275" s="34"/>
    </row>
    <row r="276" spans="2:5" x14ac:dyDescent="0.35">
      <c r="B276" s="396"/>
      <c r="E276" s="34"/>
    </row>
    <row r="277" spans="2:5" x14ac:dyDescent="0.35">
      <c r="B277" s="396"/>
      <c r="E277" s="34"/>
    </row>
    <row r="278" spans="2:5" x14ac:dyDescent="0.35">
      <c r="B278" s="396"/>
      <c r="E278" s="34"/>
    </row>
    <row r="279" spans="2:5" x14ac:dyDescent="0.35">
      <c r="B279" s="396"/>
      <c r="E279" s="34"/>
    </row>
    <row r="280" spans="2:5" x14ac:dyDescent="0.35">
      <c r="B280" s="396"/>
      <c r="E280" s="34"/>
    </row>
    <row r="281" spans="2:5" x14ac:dyDescent="0.35">
      <c r="B281" s="396"/>
      <c r="E281" s="34"/>
    </row>
    <row r="282" spans="2:5" x14ac:dyDescent="0.35">
      <c r="B282" s="396"/>
      <c r="E282" s="34"/>
    </row>
    <row r="283" spans="2:5" x14ac:dyDescent="0.35">
      <c r="B283" s="396"/>
      <c r="E283" s="34"/>
    </row>
    <row r="284" spans="2:5" x14ac:dyDescent="0.35">
      <c r="B284" s="396"/>
      <c r="E284" s="34"/>
    </row>
    <row r="285" spans="2:5" x14ac:dyDescent="0.35">
      <c r="B285" s="396"/>
      <c r="E285" s="34"/>
    </row>
    <row r="286" spans="2:5" x14ac:dyDescent="0.35">
      <c r="B286" s="396"/>
      <c r="E286" s="34"/>
    </row>
    <row r="287" spans="2:5" x14ac:dyDescent="0.35">
      <c r="B287" s="396"/>
      <c r="E287" s="34"/>
    </row>
    <row r="288" spans="2:5" x14ac:dyDescent="0.35">
      <c r="B288" s="396"/>
      <c r="E288" s="34"/>
    </row>
    <row r="289" spans="2:5" x14ac:dyDescent="0.35">
      <c r="B289" s="396"/>
      <c r="E289" s="34"/>
    </row>
    <row r="290" spans="2:5" x14ac:dyDescent="0.35">
      <c r="B290" s="396"/>
      <c r="E290" s="34"/>
    </row>
    <row r="291" spans="2:5" x14ac:dyDescent="0.35">
      <c r="B291" s="396"/>
      <c r="E291" s="34"/>
    </row>
    <row r="292" spans="2:5" x14ac:dyDescent="0.35">
      <c r="B292" s="396"/>
      <c r="E292" s="34"/>
    </row>
    <row r="293" spans="2:5" x14ac:dyDescent="0.35">
      <c r="B293" s="396"/>
      <c r="E293" s="34"/>
    </row>
    <row r="294" spans="2:5" x14ac:dyDescent="0.35">
      <c r="B294" s="396"/>
      <c r="E294" s="34"/>
    </row>
    <row r="295" spans="2:5" x14ac:dyDescent="0.35">
      <c r="B295" s="396"/>
      <c r="E295" s="34"/>
    </row>
    <row r="296" spans="2:5" x14ac:dyDescent="0.35">
      <c r="B296" s="396"/>
      <c r="E296" s="34"/>
    </row>
    <row r="297" spans="2:5" x14ac:dyDescent="0.35">
      <c r="B297" s="396"/>
      <c r="E297" s="34"/>
    </row>
    <row r="298" spans="2:5" x14ac:dyDescent="0.35">
      <c r="B298" s="396"/>
      <c r="E298" s="34"/>
    </row>
    <row r="299" spans="2:5" x14ac:dyDescent="0.35">
      <c r="B299" s="396"/>
      <c r="E299" s="34"/>
    </row>
    <row r="300" spans="2:5" x14ac:dyDescent="0.35">
      <c r="B300" s="396"/>
      <c r="E300" s="34"/>
    </row>
    <row r="301" spans="2:5" x14ac:dyDescent="0.35">
      <c r="B301" s="396"/>
      <c r="E301" s="34"/>
    </row>
    <row r="302" spans="2:5" x14ac:dyDescent="0.35">
      <c r="B302" s="396"/>
      <c r="E302" s="34"/>
    </row>
    <row r="303" spans="2:5" x14ac:dyDescent="0.35">
      <c r="B303" s="396"/>
      <c r="E303" s="34"/>
    </row>
    <row r="304" spans="2:5" x14ac:dyDescent="0.35">
      <c r="B304" s="396"/>
      <c r="E304" s="34"/>
    </row>
    <row r="305" spans="2:5" x14ac:dyDescent="0.35">
      <c r="B305" s="396"/>
      <c r="E305" s="34"/>
    </row>
    <row r="306" spans="2:5" x14ac:dyDescent="0.35">
      <c r="B306" s="396"/>
      <c r="E306" s="34"/>
    </row>
    <row r="307" spans="2:5" x14ac:dyDescent="0.35">
      <c r="B307" s="396"/>
      <c r="E307" s="34"/>
    </row>
    <row r="308" spans="2:5" x14ac:dyDescent="0.35">
      <c r="B308" s="396"/>
      <c r="E308" s="34"/>
    </row>
    <row r="309" spans="2:5" x14ac:dyDescent="0.35">
      <c r="B309" s="396"/>
      <c r="E309" s="34"/>
    </row>
    <row r="310" spans="2:5" x14ac:dyDescent="0.35">
      <c r="B310" s="396"/>
      <c r="E310" s="34"/>
    </row>
    <row r="311" spans="2:5" x14ac:dyDescent="0.35">
      <c r="B311" s="396"/>
      <c r="E311" s="34"/>
    </row>
    <row r="312" spans="2:5" x14ac:dyDescent="0.35">
      <c r="B312" s="396"/>
      <c r="E312" s="34"/>
    </row>
    <row r="313" spans="2:5" x14ac:dyDescent="0.35">
      <c r="B313" s="396"/>
      <c r="E313" s="34"/>
    </row>
    <row r="314" spans="2:5" x14ac:dyDescent="0.35">
      <c r="B314" s="396"/>
      <c r="E314" s="34"/>
    </row>
    <row r="315" spans="2:5" x14ac:dyDescent="0.35">
      <c r="B315" s="396"/>
      <c r="E315" s="34"/>
    </row>
    <row r="316" spans="2:5" x14ac:dyDescent="0.35">
      <c r="B316" s="396"/>
      <c r="E316" s="34"/>
    </row>
    <row r="317" spans="2:5" x14ac:dyDescent="0.35">
      <c r="B317" s="396"/>
      <c r="E317" s="34"/>
    </row>
    <row r="318" spans="2:5" x14ac:dyDescent="0.35">
      <c r="B318" s="396"/>
      <c r="E318" s="34"/>
    </row>
    <row r="319" spans="2:5" x14ac:dyDescent="0.35">
      <c r="B319" s="396"/>
      <c r="E319" s="34"/>
    </row>
    <row r="320" spans="2:5" x14ac:dyDescent="0.35">
      <c r="B320" s="396"/>
      <c r="E320" s="34"/>
    </row>
    <row r="321" spans="2:5" x14ac:dyDescent="0.35">
      <c r="B321" s="396"/>
      <c r="E321" s="34"/>
    </row>
    <row r="322" spans="2:5" x14ac:dyDescent="0.35">
      <c r="B322" s="396"/>
      <c r="E322" s="34"/>
    </row>
    <row r="323" spans="2:5" x14ac:dyDescent="0.35">
      <c r="B323" s="396"/>
      <c r="E323" s="34"/>
    </row>
    <row r="324" spans="2:5" x14ac:dyDescent="0.35">
      <c r="B324" s="396"/>
      <c r="E324" s="34"/>
    </row>
    <row r="325" spans="2:5" x14ac:dyDescent="0.35">
      <c r="B325" s="396"/>
      <c r="E325" s="34"/>
    </row>
    <row r="326" spans="2:5" x14ac:dyDescent="0.35">
      <c r="B326" s="396"/>
      <c r="E326" s="34"/>
    </row>
    <row r="327" spans="2:5" x14ac:dyDescent="0.35">
      <c r="B327" s="396"/>
      <c r="E327" s="34"/>
    </row>
    <row r="328" spans="2:5" x14ac:dyDescent="0.35">
      <c r="B328" s="396"/>
      <c r="E328" s="34"/>
    </row>
    <row r="329" spans="2:5" x14ac:dyDescent="0.35">
      <c r="B329" s="396"/>
      <c r="E329" s="34"/>
    </row>
    <row r="330" spans="2:5" x14ac:dyDescent="0.35">
      <c r="B330" s="396"/>
      <c r="E330" s="34"/>
    </row>
    <row r="331" spans="2:5" x14ac:dyDescent="0.35">
      <c r="B331" s="396"/>
      <c r="E331" s="34"/>
    </row>
    <row r="332" spans="2:5" x14ac:dyDescent="0.35">
      <c r="B332" s="396"/>
      <c r="E332" s="34"/>
    </row>
    <row r="333" spans="2:5" x14ac:dyDescent="0.35">
      <c r="B333" s="396"/>
      <c r="E333" s="34"/>
    </row>
    <row r="334" spans="2:5" x14ac:dyDescent="0.35">
      <c r="B334" s="396"/>
      <c r="E334" s="34"/>
    </row>
    <row r="335" spans="2:5" x14ac:dyDescent="0.35">
      <c r="B335" s="396"/>
      <c r="E335" s="34"/>
    </row>
    <row r="336" spans="2:5" x14ac:dyDescent="0.35">
      <c r="B336" s="396"/>
      <c r="E336" s="34"/>
    </row>
    <row r="337" spans="2:5" x14ac:dyDescent="0.35">
      <c r="B337" s="396"/>
      <c r="E337" s="34"/>
    </row>
    <row r="338" spans="2:5" x14ac:dyDescent="0.35">
      <c r="B338" s="396"/>
      <c r="E338" s="34"/>
    </row>
    <row r="339" spans="2:5" x14ac:dyDescent="0.35">
      <c r="B339" s="396"/>
      <c r="E339" s="34"/>
    </row>
    <row r="340" spans="2:5" x14ac:dyDescent="0.35">
      <c r="B340" s="396"/>
      <c r="E340" s="34"/>
    </row>
    <row r="341" spans="2:5" x14ac:dyDescent="0.35">
      <c r="B341" s="396"/>
      <c r="E341" s="34"/>
    </row>
    <row r="342" spans="2:5" x14ac:dyDescent="0.35">
      <c r="B342" s="396"/>
      <c r="E342" s="34"/>
    </row>
    <row r="343" spans="2:5" x14ac:dyDescent="0.35">
      <c r="B343" s="396"/>
      <c r="E343" s="34"/>
    </row>
    <row r="344" spans="2:5" x14ac:dyDescent="0.35">
      <c r="B344" s="396"/>
      <c r="E344" s="34"/>
    </row>
    <row r="345" spans="2:5" x14ac:dyDescent="0.35">
      <c r="B345" s="396"/>
      <c r="E345" s="34"/>
    </row>
    <row r="346" spans="2:5" x14ac:dyDescent="0.35">
      <c r="B346" s="396"/>
      <c r="E346" s="34"/>
    </row>
    <row r="347" spans="2:5" x14ac:dyDescent="0.35">
      <c r="B347" s="396"/>
      <c r="E347" s="34"/>
    </row>
    <row r="348" spans="2:5" x14ac:dyDescent="0.35">
      <c r="B348" s="396"/>
      <c r="E348" s="34"/>
    </row>
    <row r="349" spans="2:5" x14ac:dyDescent="0.35">
      <c r="B349" s="396"/>
      <c r="E349" s="34"/>
    </row>
    <row r="350" spans="2:5" x14ac:dyDescent="0.35">
      <c r="B350" s="396"/>
      <c r="E350" s="34"/>
    </row>
    <row r="351" spans="2:5" x14ac:dyDescent="0.35">
      <c r="B351" s="396"/>
      <c r="E351" s="34"/>
    </row>
    <row r="352" spans="2:5" x14ac:dyDescent="0.35">
      <c r="B352" s="396"/>
      <c r="E352" s="34"/>
    </row>
    <row r="353" spans="2:5" x14ac:dyDescent="0.35">
      <c r="B353" s="396"/>
      <c r="E353" s="34"/>
    </row>
    <row r="354" spans="2:5" x14ac:dyDescent="0.35">
      <c r="B354" s="396"/>
      <c r="E354" s="34"/>
    </row>
    <row r="355" spans="2:5" x14ac:dyDescent="0.35">
      <c r="B355" s="396"/>
      <c r="E355" s="34"/>
    </row>
    <row r="356" spans="2:5" x14ac:dyDescent="0.35">
      <c r="B356" s="396"/>
      <c r="E356" s="34"/>
    </row>
    <row r="357" spans="2:5" x14ac:dyDescent="0.35">
      <c r="B357" s="396"/>
      <c r="E357" s="34"/>
    </row>
    <row r="358" spans="2:5" x14ac:dyDescent="0.35">
      <c r="B358" s="396"/>
      <c r="E358" s="34"/>
    </row>
    <row r="359" spans="2:5" x14ac:dyDescent="0.35">
      <c r="B359" s="396"/>
      <c r="E359" s="34"/>
    </row>
    <row r="360" spans="2:5" x14ac:dyDescent="0.35">
      <c r="B360" s="396"/>
      <c r="E360" s="34"/>
    </row>
    <row r="361" spans="2:5" x14ac:dyDescent="0.35">
      <c r="B361" s="396"/>
      <c r="E361" s="34"/>
    </row>
    <row r="362" spans="2:5" x14ac:dyDescent="0.35">
      <c r="B362" s="396"/>
      <c r="E362" s="34"/>
    </row>
    <row r="363" spans="2:5" x14ac:dyDescent="0.35">
      <c r="B363" s="396"/>
      <c r="E363" s="34"/>
    </row>
    <row r="364" spans="2:5" x14ac:dyDescent="0.35">
      <c r="B364" s="396"/>
      <c r="E364" s="34"/>
    </row>
    <row r="365" spans="2:5" x14ac:dyDescent="0.35">
      <c r="B365" s="396"/>
      <c r="E365" s="34"/>
    </row>
    <row r="366" spans="2:5" x14ac:dyDescent="0.35">
      <c r="B366" s="396"/>
      <c r="E366" s="34"/>
    </row>
    <row r="367" spans="2:5" x14ac:dyDescent="0.35">
      <c r="B367" s="396"/>
      <c r="E367" s="34"/>
    </row>
    <row r="368" spans="2:5" x14ac:dyDescent="0.35">
      <c r="B368" s="396"/>
      <c r="E368" s="34"/>
    </row>
    <row r="369" spans="2:5" x14ac:dyDescent="0.35">
      <c r="B369" s="396"/>
      <c r="E369" s="34"/>
    </row>
    <row r="370" spans="2:5" x14ac:dyDescent="0.35">
      <c r="B370" s="396"/>
      <c r="E370" s="34"/>
    </row>
    <row r="371" spans="2:5" x14ac:dyDescent="0.35">
      <c r="B371" s="396"/>
      <c r="E371" s="34"/>
    </row>
    <row r="372" spans="2:5" x14ac:dyDescent="0.35">
      <c r="B372" s="396"/>
      <c r="E372" s="34"/>
    </row>
    <row r="373" spans="2:5" x14ac:dyDescent="0.35">
      <c r="B373" s="396"/>
      <c r="E373" s="34"/>
    </row>
    <row r="374" spans="2:5" x14ac:dyDescent="0.35">
      <c r="B374" s="396"/>
      <c r="E374" s="34"/>
    </row>
    <row r="375" spans="2:5" x14ac:dyDescent="0.35">
      <c r="B375" s="396"/>
      <c r="E375" s="34"/>
    </row>
    <row r="376" spans="2:5" x14ac:dyDescent="0.35">
      <c r="B376" s="396"/>
      <c r="E376" s="34"/>
    </row>
    <row r="377" spans="2:5" x14ac:dyDescent="0.35">
      <c r="B377" s="396"/>
      <c r="E377" s="34"/>
    </row>
    <row r="378" spans="2:5" x14ac:dyDescent="0.35">
      <c r="B378" s="396"/>
      <c r="E378" s="34"/>
    </row>
    <row r="379" spans="2:5" x14ac:dyDescent="0.35">
      <c r="B379" s="396"/>
      <c r="E379" s="34"/>
    </row>
    <row r="380" spans="2:5" x14ac:dyDescent="0.35">
      <c r="B380" s="396"/>
      <c r="E380" s="34"/>
    </row>
    <row r="381" spans="2:5" x14ac:dyDescent="0.35">
      <c r="B381" s="396"/>
      <c r="E381" s="34"/>
    </row>
    <row r="382" spans="2:5" x14ac:dyDescent="0.35">
      <c r="B382" s="396"/>
      <c r="E382" s="34"/>
    </row>
    <row r="383" spans="2:5" x14ac:dyDescent="0.35">
      <c r="B383" s="396"/>
      <c r="E383" s="34"/>
    </row>
    <row r="384" spans="2:5" x14ac:dyDescent="0.35">
      <c r="B384" s="396"/>
      <c r="E384" s="34"/>
    </row>
    <row r="385" spans="2:5" x14ac:dyDescent="0.35">
      <c r="B385" s="396"/>
      <c r="E385" s="34"/>
    </row>
    <row r="386" spans="2:5" x14ac:dyDescent="0.35">
      <c r="B386" s="396"/>
      <c r="E386" s="34"/>
    </row>
    <row r="387" spans="2:5" x14ac:dyDescent="0.35">
      <c r="B387" s="396"/>
      <c r="E387" s="34"/>
    </row>
    <row r="388" spans="2:5" x14ac:dyDescent="0.35">
      <c r="B388" s="396"/>
      <c r="E388" s="34"/>
    </row>
    <row r="389" spans="2:5" x14ac:dyDescent="0.35">
      <c r="B389" s="396"/>
      <c r="E389" s="34"/>
    </row>
    <row r="390" spans="2:5" x14ac:dyDescent="0.35">
      <c r="B390" s="396"/>
      <c r="E390" s="34"/>
    </row>
    <row r="391" spans="2:5" x14ac:dyDescent="0.35">
      <c r="B391" s="396"/>
      <c r="E391" s="34"/>
    </row>
    <row r="392" spans="2:5" x14ac:dyDescent="0.35">
      <c r="B392" s="396"/>
      <c r="E392" s="34"/>
    </row>
    <row r="393" spans="2:5" x14ac:dyDescent="0.35">
      <c r="B393" s="396"/>
      <c r="E393" s="34"/>
    </row>
    <row r="394" spans="2:5" x14ac:dyDescent="0.35">
      <c r="B394" s="396"/>
      <c r="E394" s="34"/>
    </row>
    <row r="395" spans="2:5" x14ac:dyDescent="0.35">
      <c r="B395" s="396"/>
      <c r="E395" s="34"/>
    </row>
    <row r="396" spans="2:5" x14ac:dyDescent="0.35">
      <c r="B396" s="396"/>
      <c r="E396" s="34"/>
    </row>
    <row r="397" spans="2:5" x14ac:dyDescent="0.35">
      <c r="B397" s="396"/>
      <c r="E397" s="34"/>
    </row>
    <row r="398" spans="2:5" x14ac:dyDescent="0.35">
      <c r="B398" s="396"/>
      <c r="E398" s="34"/>
    </row>
    <row r="399" spans="2:5" x14ac:dyDescent="0.35">
      <c r="B399" s="396"/>
      <c r="E399" s="34"/>
    </row>
    <row r="400" spans="2:5" x14ac:dyDescent="0.35">
      <c r="B400" s="396"/>
      <c r="E400" s="34"/>
    </row>
    <row r="401" spans="2:5" x14ac:dyDescent="0.35">
      <c r="B401" s="396"/>
      <c r="E401" s="34"/>
    </row>
    <row r="402" spans="2:5" x14ac:dyDescent="0.35">
      <c r="B402" s="396"/>
      <c r="E402" s="34"/>
    </row>
    <row r="403" spans="2:5" x14ac:dyDescent="0.35">
      <c r="B403" s="396"/>
      <c r="E403" s="34"/>
    </row>
    <row r="404" spans="2:5" x14ac:dyDescent="0.35">
      <c r="B404" s="396"/>
      <c r="E404" s="34"/>
    </row>
    <row r="405" spans="2:5" x14ac:dyDescent="0.35">
      <c r="B405" s="396"/>
      <c r="E405" s="34"/>
    </row>
    <row r="406" spans="2:5" x14ac:dyDescent="0.35">
      <c r="B406" s="396"/>
      <c r="E406" s="34"/>
    </row>
    <row r="407" spans="2:5" x14ac:dyDescent="0.35">
      <c r="B407" s="396"/>
      <c r="E407" s="34"/>
    </row>
    <row r="408" spans="2:5" x14ac:dyDescent="0.35">
      <c r="B408" s="396"/>
      <c r="E408" s="34"/>
    </row>
    <row r="409" spans="2:5" x14ac:dyDescent="0.35">
      <c r="B409" s="396"/>
      <c r="E409" s="34"/>
    </row>
    <row r="410" spans="2:5" x14ac:dyDescent="0.35">
      <c r="B410" s="396"/>
      <c r="E410" s="34"/>
    </row>
    <row r="411" spans="2:5" x14ac:dyDescent="0.35">
      <c r="B411" s="396"/>
      <c r="E411" s="34"/>
    </row>
    <row r="412" spans="2:5" x14ac:dyDescent="0.35">
      <c r="B412" s="396"/>
      <c r="E412" s="34"/>
    </row>
    <row r="413" spans="2:5" x14ac:dyDescent="0.35">
      <c r="B413" s="396"/>
      <c r="E413" s="34"/>
    </row>
    <row r="414" spans="2:5" x14ac:dyDescent="0.35">
      <c r="B414" s="396"/>
      <c r="E414" s="34"/>
    </row>
  </sheetData>
  <mergeCells count="4">
    <mergeCell ref="B2:G2"/>
    <mergeCell ref="B3:G3"/>
    <mergeCell ref="B4:G4"/>
    <mergeCell ref="B5:G5"/>
  </mergeCells>
  <printOptions horizontalCentered="1"/>
  <pageMargins left="0.5" right="0.5" top="0.5" bottom="0.5" header="0.25" footer="0.25"/>
  <pageSetup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83"/>
  <sheetViews>
    <sheetView zoomScale="80" zoomScaleNormal="80" workbookViewId="0"/>
  </sheetViews>
  <sheetFormatPr defaultColWidth="9.08984375" defaultRowHeight="15.5" x14ac:dyDescent="0.35"/>
  <cols>
    <col min="1" max="1" width="5.08984375" style="111" customWidth="1"/>
    <col min="2" max="2" width="8.54296875" style="110" customWidth="1"/>
    <col min="3" max="3" width="69.08984375" style="110" customWidth="1"/>
    <col min="4" max="6" width="16.90625" style="110" customWidth="1"/>
    <col min="7" max="7" width="34.54296875" style="110" customWidth="1"/>
    <col min="8" max="8" width="5.08984375" style="111" customWidth="1"/>
    <col min="9" max="9" width="4" style="110" customWidth="1"/>
    <col min="10" max="10" width="13.08984375" style="110" bestFit="1" customWidth="1"/>
    <col min="11" max="11" width="9.08984375" style="110"/>
    <col min="12" max="12" width="9.90625" style="110" customWidth="1"/>
    <col min="13" max="13" width="10" style="110" customWidth="1"/>
    <col min="14" max="16384" width="9.08984375" style="110"/>
  </cols>
  <sheetData>
    <row r="2" spans="1:12" x14ac:dyDescent="0.35">
      <c r="B2" s="1184" t="s">
        <v>0</v>
      </c>
      <c r="C2" s="1184"/>
      <c r="D2" s="1184"/>
      <c r="E2" s="1184"/>
      <c r="F2" s="1184"/>
      <c r="G2" s="1184"/>
      <c r="H2" s="397"/>
      <c r="J2"/>
      <c r="K2"/>
      <c r="L2"/>
    </row>
    <row r="3" spans="1:12" x14ac:dyDescent="0.35">
      <c r="B3" s="1184" t="s">
        <v>738</v>
      </c>
      <c r="C3" s="1184"/>
      <c r="D3" s="1184"/>
      <c r="E3" s="1184"/>
      <c r="F3" s="1184"/>
      <c r="G3" s="1184"/>
      <c r="H3" s="397"/>
      <c r="J3"/>
      <c r="K3"/>
      <c r="L3"/>
    </row>
    <row r="4" spans="1:12" x14ac:dyDescent="0.35">
      <c r="B4" s="1184" t="s">
        <v>662</v>
      </c>
      <c r="C4" s="1184"/>
      <c r="D4" s="1184"/>
      <c r="E4" s="1184"/>
      <c r="F4" s="1184"/>
      <c r="G4" s="1184"/>
      <c r="H4" s="397"/>
    </row>
    <row r="5" spans="1:12" x14ac:dyDescent="0.35">
      <c r="B5" s="1185" t="s">
        <v>5</v>
      </c>
      <c r="C5" s="1185"/>
      <c r="D5" s="1185"/>
      <c r="E5" s="1185"/>
      <c r="F5" s="1185"/>
      <c r="G5" s="1185"/>
      <c r="H5" s="397"/>
    </row>
    <row r="6" spans="1:12" ht="16" thickBot="1" x14ac:dyDescent="0.4">
      <c r="D6" s="929"/>
      <c r="E6" s="929"/>
      <c r="F6" s="929"/>
      <c r="G6" s="929"/>
      <c r="J6" s="34"/>
    </row>
    <row r="7" spans="1:12" x14ac:dyDescent="0.35">
      <c r="A7" s="397"/>
      <c r="B7" s="398"/>
      <c r="C7" s="399"/>
      <c r="D7" s="400" t="s">
        <v>280</v>
      </c>
      <c r="E7" s="401" t="s">
        <v>281</v>
      </c>
      <c r="F7" s="400" t="s">
        <v>663</v>
      </c>
      <c r="G7" s="402"/>
      <c r="H7" s="397"/>
    </row>
    <row r="8" spans="1:12" x14ac:dyDescent="0.35">
      <c r="A8" s="111" t="s">
        <v>6</v>
      </c>
      <c r="B8" s="403" t="s">
        <v>588</v>
      </c>
      <c r="C8" s="290"/>
      <c r="D8" s="692" t="s">
        <v>265</v>
      </c>
      <c r="E8" s="397" t="s">
        <v>664</v>
      </c>
      <c r="F8" s="692" t="s">
        <v>265</v>
      </c>
      <c r="G8" s="404"/>
      <c r="H8" s="111" t="s">
        <v>6</v>
      </c>
    </row>
    <row r="9" spans="1:12" ht="16" thickBot="1" x14ac:dyDescent="0.4">
      <c r="A9" s="111" t="s">
        <v>7</v>
      </c>
      <c r="B9" s="405" t="s">
        <v>665</v>
      </c>
      <c r="C9" s="927" t="s">
        <v>423</v>
      </c>
      <c r="D9" s="406" t="s">
        <v>666</v>
      </c>
      <c r="E9" s="927" t="s">
        <v>667</v>
      </c>
      <c r="F9" s="406" t="s">
        <v>668</v>
      </c>
      <c r="G9" s="693" t="s">
        <v>9</v>
      </c>
      <c r="H9" s="111" t="s">
        <v>7</v>
      </c>
      <c r="I9" s="111"/>
    </row>
    <row r="10" spans="1:12" x14ac:dyDescent="0.35">
      <c r="B10" s="407"/>
      <c r="C10" s="408" t="s">
        <v>739</v>
      </c>
      <c r="D10" s="694"/>
      <c r="E10" s="694"/>
      <c r="F10" s="695"/>
      <c r="G10" s="413"/>
    </row>
    <row r="11" spans="1:12" x14ac:dyDescent="0.35">
      <c r="A11" s="111">
        <v>1</v>
      </c>
      <c r="B11" s="407">
        <v>920</v>
      </c>
      <c r="C11" s="409" t="s">
        <v>740</v>
      </c>
      <c r="D11" s="240">
        <v>36490.397559999998</v>
      </c>
      <c r="E11" s="240"/>
      <c r="F11" s="240">
        <f>D11-E11</f>
        <v>36490.397559999998</v>
      </c>
      <c r="G11" s="380" t="s">
        <v>741</v>
      </c>
      <c r="H11" s="111">
        <f>A11</f>
        <v>1</v>
      </c>
      <c r="I11" s="110" t="s">
        <v>1</v>
      </c>
      <c r="J11" s="2"/>
    </row>
    <row r="12" spans="1:12" x14ac:dyDescent="0.35">
      <c r="A12" s="111">
        <f t="shared" ref="A12:A26" si="0">A11+1</f>
        <v>2</v>
      </c>
      <c r="B12" s="407">
        <v>921</v>
      </c>
      <c r="C12" s="409" t="s">
        <v>742</v>
      </c>
      <c r="D12" s="241">
        <v>31909.733110000005</v>
      </c>
      <c r="E12" s="6">
        <f>E31</f>
        <v>-836.23329000000001</v>
      </c>
      <c r="F12" s="241">
        <f>D12-E12</f>
        <v>32745.966400000005</v>
      </c>
      <c r="G12" s="380" t="s">
        <v>743</v>
      </c>
      <c r="H12" s="111">
        <f t="shared" ref="H12:H26" si="1">H11+1</f>
        <v>2</v>
      </c>
      <c r="J12" s="2"/>
      <c r="K12" s="410"/>
    </row>
    <row r="13" spans="1:12" x14ac:dyDescent="0.35">
      <c r="A13" s="111">
        <f t="shared" si="0"/>
        <v>3</v>
      </c>
      <c r="B13" s="407">
        <v>922</v>
      </c>
      <c r="C13" s="409" t="s">
        <v>744</v>
      </c>
      <c r="D13" s="241">
        <v>-117.06113000000106</v>
      </c>
      <c r="E13" s="6">
        <f>E32</f>
        <v>14790</v>
      </c>
      <c r="F13" s="241">
        <f>D13-E13</f>
        <v>-14907.061130000002</v>
      </c>
      <c r="G13" s="380" t="s">
        <v>745</v>
      </c>
      <c r="H13" s="111">
        <f t="shared" si="1"/>
        <v>3</v>
      </c>
      <c r="J13" s="2"/>
    </row>
    <row r="14" spans="1:12" x14ac:dyDescent="0.35">
      <c r="A14" s="111">
        <f t="shared" si="0"/>
        <v>4</v>
      </c>
      <c r="B14" s="407">
        <v>923</v>
      </c>
      <c r="C14" s="409" t="s">
        <v>746</v>
      </c>
      <c r="D14" s="241">
        <v>93392.102069999994</v>
      </c>
      <c r="E14" s="6">
        <f>E35</f>
        <v>-14030.47085</v>
      </c>
      <c r="F14" s="241">
        <f>D14-E14</f>
        <v>107422.57291999999</v>
      </c>
      <c r="G14" s="380" t="s">
        <v>747</v>
      </c>
      <c r="H14" s="111">
        <f t="shared" si="1"/>
        <v>4</v>
      </c>
      <c r="J14" s="2"/>
    </row>
    <row r="15" spans="1:12" x14ac:dyDescent="0.35">
      <c r="A15" s="111">
        <f t="shared" si="0"/>
        <v>5</v>
      </c>
      <c r="B15" s="407">
        <v>924</v>
      </c>
      <c r="C15" s="409" t="s">
        <v>748</v>
      </c>
      <c r="D15" s="241">
        <v>8930.0596700000024</v>
      </c>
      <c r="E15" s="6"/>
      <c r="F15" s="241">
        <f t="shared" ref="F15:F16" si="2">D15-E15</f>
        <v>8930.0596700000024</v>
      </c>
      <c r="G15" s="380" t="s">
        <v>749</v>
      </c>
      <c r="H15" s="111">
        <f t="shared" si="1"/>
        <v>5</v>
      </c>
      <c r="J15" s="2"/>
    </row>
    <row r="16" spans="1:12" x14ac:dyDescent="0.35">
      <c r="A16" s="111">
        <f t="shared" si="0"/>
        <v>6</v>
      </c>
      <c r="B16" s="407">
        <v>925</v>
      </c>
      <c r="C16" s="409" t="s">
        <v>750</v>
      </c>
      <c r="D16" s="241">
        <v>232737.36132</v>
      </c>
      <c r="E16" s="6">
        <f>E37</f>
        <v>316.085377876</v>
      </c>
      <c r="F16" s="241">
        <f t="shared" si="2"/>
        <v>232421.27594212399</v>
      </c>
      <c r="G16" s="380" t="s">
        <v>751</v>
      </c>
      <c r="H16" s="111">
        <f t="shared" si="1"/>
        <v>6</v>
      </c>
      <c r="J16" s="2"/>
    </row>
    <row r="17" spans="1:13" ht="18" x14ac:dyDescent="0.35">
      <c r="A17" s="111">
        <f>A16+1</f>
        <v>7</v>
      </c>
      <c r="B17" s="407">
        <v>926</v>
      </c>
      <c r="C17" s="409" t="s">
        <v>752</v>
      </c>
      <c r="D17" s="241">
        <v>55888.241969999988</v>
      </c>
      <c r="E17" s="6">
        <f>E38</f>
        <v>-213.36890760999992</v>
      </c>
      <c r="F17" s="241">
        <f>D17-E17</f>
        <v>56101.610877609986</v>
      </c>
      <c r="G17" s="380" t="s">
        <v>753</v>
      </c>
      <c r="H17" s="111">
        <f>A16+1</f>
        <v>7</v>
      </c>
      <c r="J17" s="2"/>
    </row>
    <row r="18" spans="1:13" x14ac:dyDescent="0.35">
      <c r="A18" s="111">
        <f>A17+1</f>
        <v>8</v>
      </c>
      <c r="B18" s="407">
        <v>927</v>
      </c>
      <c r="C18" s="409" t="s">
        <v>754</v>
      </c>
      <c r="D18" s="956">
        <v>136000.65109999999</v>
      </c>
      <c r="E18" s="241">
        <f>E39</f>
        <v>136000.65109999999</v>
      </c>
      <c r="F18" s="241">
        <f t="shared" ref="F18:F20" si="3">D18-E18</f>
        <v>0</v>
      </c>
      <c r="G18" s="380" t="s">
        <v>755</v>
      </c>
      <c r="H18" s="111">
        <f>A17+1</f>
        <v>8</v>
      </c>
      <c r="J18" s="2"/>
    </row>
    <row r="19" spans="1:13" ht="18.5" x14ac:dyDescent="0.35">
      <c r="A19" s="111">
        <f t="shared" si="0"/>
        <v>9</v>
      </c>
      <c r="B19" s="407">
        <v>928</v>
      </c>
      <c r="C19" s="409" t="s">
        <v>756</v>
      </c>
      <c r="D19" s="241">
        <v>36826.288789999999</v>
      </c>
      <c r="E19" s="6">
        <f>E44</f>
        <v>25397.196220000002</v>
      </c>
      <c r="F19" s="241">
        <f t="shared" si="3"/>
        <v>11429.092569999997</v>
      </c>
      <c r="G19" s="380" t="s">
        <v>757</v>
      </c>
      <c r="H19" s="111">
        <f t="shared" si="1"/>
        <v>9</v>
      </c>
      <c r="J19" s="2"/>
    </row>
    <row r="20" spans="1:13" x14ac:dyDescent="0.35">
      <c r="A20" s="111">
        <f t="shared" si="0"/>
        <v>10</v>
      </c>
      <c r="B20" s="407">
        <v>929</v>
      </c>
      <c r="C20" s="409" t="s">
        <v>758</v>
      </c>
      <c r="D20" s="241">
        <v>-22074.292129999998</v>
      </c>
      <c r="E20" s="6"/>
      <c r="F20" s="241">
        <f t="shared" si="3"/>
        <v>-22074.292129999998</v>
      </c>
      <c r="G20" s="380" t="s">
        <v>759</v>
      </c>
      <c r="H20" s="111">
        <f t="shared" si="1"/>
        <v>10</v>
      </c>
      <c r="J20" s="2"/>
    </row>
    <row r="21" spans="1:13" x14ac:dyDescent="0.35">
      <c r="A21" s="111">
        <f>A20+1</f>
        <v>11</v>
      </c>
      <c r="B21" s="411">
        <v>930.1</v>
      </c>
      <c r="C21" s="409" t="s">
        <v>760</v>
      </c>
      <c r="D21" s="241">
        <v>7.6341200000000002</v>
      </c>
      <c r="E21" s="6">
        <f>E45</f>
        <v>7.6341200000000002</v>
      </c>
      <c r="F21" s="241">
        <f>D21-E21</f>
        <v>0</v>
      </c>
      <c r="G21" s="380" t="s">
        <v>761</v>
      </c>
      <c r="H21" s="111">
        <f>H20+1</f>
        <v>11</v>
      </c>
      <c r="J21" s="2"/>
    </row>
    <row r="22" spans="1:13" x14ac:dyDescent="0.35">
      <c r="A22" s="111">
        <f>A21+1</f>
        <v>12</v>
      </c>
      <c r="B22" s="411">
        <v>930.2</v>
      </c>
      <c r="C22" s="409" t="s">
        <v>762</v>
      </c>
      <c r="D22" s="241">
        <v>6624.7593599999982</v>
      </c>
      <c r="E22" s="6">
        <f>E47</f>
        <v>507.31919000000005</v>
      </c>
      <c r="F22" s="241">
        <f t="shared" ref="F22" si="4">D22-E22</f>
        <v>6117.440169999998</v>
      </c>
      <c r="G22" s="380" t="s">
        <v>763</v>
      </c>
      <c r="H22" s="111">
        <f>H21+1</f>
        <v>12</v>
      </c>
      <c r="J22" s="2"/>
    </row>
    <row r="23" spans="1:13" x14ac:dyDescent="0.35">
      <c r="A23" s="111">
        <f t="shared" si="0"/>
        <v>13</v>
      </c>
      <c r="B23" s="407">
        <v>931</v>
      </c>
      <c r="C23" s="409" t="s">
        <v>698</v>
      </c>
      <c r="D23" s="241">
        <v>14136.924589999999</v>
      </c>
      <c r="E23" s="6"/>
      <c r="F23" s="241">
        <f>D23-E23</f>
        <v>14136.924589999999</v>
      </c>
      <c r="G23" s="380" t="s">
        <v>764</v>
      </c>
      <c r="H23" s="111">
        <f t="shared" si="1"/>
        <v>13</v>
      </c>
      <c r="J23" s="2"/>
    </row>
    <row r="24" spans="1:13" x14ac:dyDescent="0.35">
      <c r="A24" s="111">
        <f t="shared" si="0"/>
        <v>14</v>
      </c>
      <c r="B24" s="407">
        <v>935</v>
      </c>
      <c r="C24" s="409" t="s">
        <v>765</v>
      </c>
      <c r="D24" s="98">
        <v>24457.53455</v>
      </c>
      <c r="E24" s="928">
        <f>E48</f>
        <v>0</v>
      </c>
      <c r="F24" s="98">
        <f>D24-E24</f>
        <v>24457.53455</v>
      </c>
      <c r="G24" s="590" t="s">
        <v>766</v>
      </c>
      <c r="H24" s="111">
        <f t="shared" si="1"/>
        <v>14</v>
      </c>
      <c r="I24" s="110" t="s">
        <v>1</v>
      </c>
      <c r="J24" s="2"/>
    </row>
    <row r="25" spans="1:13" x14ac:dyDescent="0.35">
      <c r="A25" s="111">
        <f>A24+1</f>
        <v>15</v>
      </c>
      <c r="B25" s="407"/>
      <c r="D25" s="696"/>
      <c r="F25" s="696"/>
      <c r="G25" s="412"/>
      <c r="H25" s="111">
        <f>H24+1</f>
        <v>15</v>
      </c>
    </row>
    <row r="26" spans="1:13" ht="16" thickBot="1" x14ac:dyDescent="0.4">
      <c r="A26" s="111">
        <f t="shared" si="0"/>
        <v>16</v>
      </c>
      <c r="B26" s="407"/>
      <c r="C26" s="290" t="s">
        <v>767</v>
      </c>
      <c r="D26" s="103">
        <f>SUM(D11:D24)</f>
        <v>655210.33494999993</v>
      </c>
      <c r="E26" s="107">
        <f>SUM(E11:E24)</f>
        <v>161938.81296026602</v>
      </c>
      <c r="F26" s="103">
        <f>SUM(F11:F24)</f>
        <v>493271.52198973391</v>
      </c>
      <c r="G26" s="413" t="str">
        <f>"Sum Lines "&amp;A11&amp;" thru "&amp;A24</f>
        <v>Sum Lines 1 thru 14</v>
      </c>
      <c r="H26" s="111">
        <f t="shared" si="1"/>
        <v>16</v>
      </c>
    </row>
    <row r="27" spans="1:13" ht="16.5" thickTop="1" thickBot="1" x14ac:dyDescent="0.4">
      <c r="A27" s="111">
        <f>A26+1</f>
        <v>17</v>
      </c>
      <c r="B27" s="414"/>
      <c r="C27" s="929"/>
      <c r="D27" s="108"/>
      <c r="E27" s="109"/>
      <c r="F27" s="109"/>
      <c r="G27" s="658"/>
      <c r="H27" s="111">
        <f>H26+1</f>
        <v>17</v>
      </c>
    </row>
    <row r="28" spans="1:13" x14ac:dyDescent="0.35">
      <c r="A28" s="111">
        <f>A27+1</f>
        <v>18</v>
      </c>
      <c r="B28" s="415"/>
      <c r="G28" s="412"/>
      <c r="H28" s="111">
        <f>H27+1</f>
        <v>18</v>
      </c>
    </row>
    <row r="29" spans="1:13" x14ac:dyDescent="0.35">
      <c r="A29" s="111">
        <f t="shared" ref="A29:A64" si="5">A28+1</f>
        <v>19</v>
      </c>
      <c r="B29" s="416" t="s">
        <v>768</v>
      </c>
      <c r="C29" s="111"/>
      <c r="D29" s="111"/>
      <c r="E29" s="111"/>
      <c r="F29" s="111"/>
      <c r="G29" s="412"/>
      <c r="H29" s="111">
        <f>H28+1</f>
        <v>19</v>
      </c>
    </row>
    <row r="30" spans="1:13" ht="18" x14ac:dyDescent="0.35">
      <c r="A30" s="111">
        <f t="shared" si="5"/>
        <v>20</v>
      </c>
      <c r="B30" s="657">
        <v>921</v>
      </c>
      <c r="C30" s="409" t="s">
        <v>1842</v>
      </c>
      <c r="D30" s="1169">
        <v>-840.71799999999996</v>
      </c>
      <c r="E30" s="925"/>
      <c r="F30" s="111"/>
      <c r="G30" s="412"/>
      <c r="H30" s="111">
        <f t="shared" ref="H30:H64" si="6">H29+1</f>
        <v>20</v>
      </c>
    </row>
    <row r="31" spans="1:13" x14ac:dyDescent="0.35">
      <c r="A31" s="111">
        <f t="shared" si="5"/>
        <v>21</v>
      </c>
      <c r="B31" s="657"/>
      <c r="C31" s="409" t="s">
        <v>770</v>
      </c>
      <c r="D31" s="959">
        <v>4.4847099999999998</v>
      </c>
      <c r="E31" s="1169">
        <f>SUM(D30:D31)</f>
        <v>-836.23329000000001</v>
      </c>
      <c r="F31" s="111"/>
      <c r="G31" s="412"/>
      <c r="H31" s="111">
        <f t="shared" si="6"/>
        <v>21</v>
      </c>
    </row>
    <row r="32" spans="1:13" ht="18" x14ac:dyDescent="0.35">
      <c r="A32" s="111">
        <f t="shared" si="5"/>
        <v>22</v>
      </c>
      <c r="B32" s="657">
        <v>922</v>
      </c>
      <c r="C32" s="409" t="s">
        <v>1843</v>
      </c>
      <c r="D32"/>
      <c r="E32" s="958">
        <v>14790</v>
      </c>
      <c r="F32" s="111"/>
      <c r="G32" s="412"/>
      <c r="H32" s="111">
        <f t="shared" si="6"/>
        <v>22</v>
      </c>
      <c r="J32"/>
      <c r="K32"/>
      <c r="L32"/>
      <c r="M32"/>
    </row>
    <row r="33" spans="1:21" ht="18" x14ac:dyDescent="0.35">
      <c r="A33" s="111">
        <f t="shared" si="5"/>
        <v>23</v>
      </c>
      <c r="B33" s="657">
        <v>923</v>
      </c>
      <c r="C33" s="409" t="s">
        <v>1844</v>
      </c>
      <c r="D33" s="926">
        <v>-15532</v>
      </c>
      <c r="E33" s="926"/>
      <c r="F33" s="111"/>
      <c r="G33" s="412"/>
      <c r="H33" s="111">
        <f t="shared" si="6"/>
        <v>23</v>
      </c>
    </row>
    <row r="34" spans="1:21" ht="18" x14ac:dyDescent="0.35">
      <c r="A34" s="111">
        <f t="shared" si="5"/>
        <v>24</v>
      </c>
      <c r="B34" s="657"/>
      <c r="C34" s="409" t="s">
        <v>1841</v>
      </c>
      <c r="D34" s="958">
        <f>1282.712+214.255</f>
        <v>1496.9670000000001</v>
      </c>
      <c r="E34" s="926"/>
      <c r="F34" s="111"/>
      <c r="G34" s="412"/>
      <c r="H34" s="111">
        <f t="shared" si="6"/>
        <v>24</v>
      </c>
    </row>
    <row r="35" spans="1:21" x14ac:dyDescent="0.35">
      <c r="A35" s="111">
        <f t="shared" si="5"/>
        <v>25</v>
      </c>
      <c r="B35" s="657"/>
      <c r="C35" s="409" t="s">
        <v>770</v>
      </c>
      <c r="D35" s="959">
        <v>4.5621499999999999</v>
      </c>
      <c r="E35" s="926">
        <f>SUM(D33:D35)</f>
        <v>-14030.47085</v>
      </c>
      <c r="F35" s="111"/>
      <c r="G35" s="412"/>
      <c r="H35" s="111">
        <f t="shared" si="6"/>
        <v>25</v>
      </c>
    </row>
    <row r="36" spans="1:21" x14ac:dyDescent="0.35">
      <c r="A36" s="111">
        <f t="shared" si="5"/>
        <v>26</v>
      </c>
      <c r="B36" s="657">
        <v>925</v>
      </c>
      <c r="C36" s="409" t="s">
        <v>769</v>
      </c>
      <c r="D36" s="925">
        <v>290.51205787599997</v>
      </c>
      <c r="E36" s="111"/>
      <c r="F36" s="111"/>
      <c r="G36" s="412"/>
      <c r="H36" s="111">
        <f t="shared" si="6"/>
        <v>26</v>
      </c>
      <c r="J36"/>
      <c r="K36"/>
      <c r="L36"/>
      <c r="M36"/>
    </row>
    <row r="37" spans="1:21" x14ac:dyDescent="0.35">
      <c r="A37" s="111">
        <f t="shared" si="5"/>
        <v>27</v>
      </c>
      <c r="B37" s="657"/>
      <c r="C37" s="409" t="s">
        <v>770</v>
      </c>
      <c r="D37" s="959">
        <v>25.573319999999999</v>
      </c>
      <c r="E37" s="925">
        <f>SUM(D36:D37)</f>
        <v>316.085377876</v>
      </c>
      <c r="F37" s="111"/>
      <c r="G37" s="412"/>
      <c r="H37" s="111">
        <f t="shared" si="6"/>
        <v>27</v>
      </c>
      <c r="J37"/>
      <c r="K37"/>
      <c r="L37"/>
      <c r="M37"/>
    </row>
    <row r="38" spans="1:21" x14ac:dyDescent="0.35">
      <c r="A38" s="111">
        <f t="shared" si="5"/>
        <v>28</v>
      </c>
      <c r="B38" s="657">
        <v>926</v>
      </c>
      <c r="C38" s="655" t="s">
        <v>769</v>
      </c>
      <c r="D38"/>
      <c r="E38" s="926">
        <v>-213.36890760999992</v>
      </c>
      <c r="F38" s="111"/>
      <c r="G38" s="412"/>
      <c r="H38" s="111">
        <f t="shared" si="6"/>
        <v>28</v>
      </c>
      <c r="J38"/>
      <c r="K38"/>
      <c r="L38"/>
      <c r="M38"/>
    </row>
    <row r="39" spans="1:21" x14ac:dyDescent="0.35">
      <c r="A39" s="111">
        <f t="shared" si="5"/>
        <v>29</v>
      </c>
      <c r="B39" s="653">
        <v>927</v>
      </c>
      <c r="C39" s="655" t="s">
        <v>754</v>
      </c>
      <c r="D39" s="925"/>
      <c r="E39" s="958">
        <v>136000.65109999999</v>
      </c>
      <c r="F39" s="111"/>
      <c r="G39" s="412"/>
      <c r="H39" s="111">
        <f t="shared" si="6"/>
        <v>29</v>
      </c>
    </row>
    <row r="40" spans="1:21" x14ac:dyDescent="0.35">
      <c r="A40" s="111">
        <f t="shared" si="5"/>
        <v>30</v>
      </c>
      <c r="B40" s="657">
        <v>928</v>
      </c>
      <c r="C40" s="409" t="s">
        <v>771</v>
      </c>
      <c r="D40" s="925">
        <v>22865.18</v>
      </c>
      <c r="E40" s="111"/>
      <c r="F40" s="111"/>
      <c r="G40" s="412"/>
      <c r="H40" s="111">
        <f t="shared" si="6"/>
        <v>30</v>
      </c>
      <c r="J40" s="957"/>
    </row>
    <row r="41" spans="1:21" x14ac:dyDescent="0.35">
      <c r="A41" s="111">
        <f t="shared" si="5"/>
        <v>31</v>
      </c>
      <c r="B41" s="657"/>
      <c r="C41" s="409" t="s">
        <v>772</v>
      </c>
      <c r="D41" s="925">
        <v>0.96526000000000001</v>
      </c>
      <c r="E41" s="111"/>
      <c r="F41" s="111"/>
      <c r="G41" s="412"/>
      <c r="H41" s="111">
        <f t="shared" si="6"/>
        <v>31</v>
      </c>
      <c r="J41" s="957"/>
    </row>
    <row r="42" spans="1:21" x14ac:dyDescent="0.35">
      <c r="A42" s="111">
        <f t="shared" si="5"/>
        <v>32</v>
      </c>
      <c r="B42" s="657"/>
      <c r="C42" s="409" t="s">
        <v>769</v>
      </c>
      <c r="D42" s="925">
        <v>725.9323099999998</v>
      </c>
      <c r="E42" s="111"/>
      <c r="F42" s="111"/>
      <c r="G42" s="412"/>
      <c r="H42" s="111">
        <f t="shared" si="6"/>
        <v>32</v>
      </c>
    </row>
    <row r="43" spans="1:21" x14ac:dyDescent="0.35">
      <c r="A43" s="111">
        <f t="shared" si="5"/>
        <v>33</v>
      </c>
      <c r="B43" s="657"/>
      <c r="C43" s="654" t="s">
        <v>15</v>
      </c>
      <c r="D43" s="964">
        <v>0</v>
      </c>
      <c r="E43" s="111"/>
      <c r="F43" s="111"/>
      <c r="G43" s="412"/>
      <c r="H43" s="111">
        <f t="shared" si="6"/>
        <v>33</v>
      </c>
      <c r="J43"/>
      <c r="K43"/>
      <c r="L43"/>
      <c r="M43"/>
      <c r="N43"/>
      <c r="O43"/>
      <c r="P43"/>
      <c r="Q43"/>
      <c r="R43"/>
      <c r="S43"/>
      <c r="T43"/>
      <c r="U43"/>
    </row>
    <row r="44" spans="1:21" x14ac:dyDescent="0.35">
      <c r="A44" s="111">
        <f t="shared" si="5"/>
        <v>34</v>
      </c>
      <c r="B44" s="657"/>
      <c r="C44" s="654" t="s">
        <v>773</v>
      </c>
      <c r="D44" s="959">
        <v>1805.1186499999999</v>
      </c>
      <c r="E44" s="925">
        <f>SUM(D40:D44)</f>
        <v>25397.196220000002</v>
      </c>
      <c r="F44" s="111"/>
      <c r="G44" s="412"/>
      <c r="H44" s="111">
        <f t="shared" si="6"/>
        <v>34</v>
      </c>
      <c r="J44"/>
      <c r="K44"/>
      <c r="L44"/>
      <c r="M44"/>
      <c r="N44"/>
      <c r="O44"/>
      <c r="P44"/>
      <c r="Q44"/>
      <c r="R44"/>
      <c r="S44"/>
      <c r="T44"/>
      <c r="U44"/>
    </row>
    <row r="45" spans="1:21" x14ac:dyDescent="0.35">
      <c r="A45" s="111">
        <f t="shared" si="5"/>
        <v>35</v>
      </c>
      <c r="B45" s="656">
        <v>930.1</v>
      </c>
      <c r="C45" s="654" t="s">
        <v>760</v>
      </c>
      <c r="D45" s="925"/>
      <c r="E45" s="958">
        <v>7.6341200000000002</v>
      </c>
      <c r="F45" s="111"/>
      <c r="G45" s="412"/>
      <c r="H45" s="111">
        <f t="shared" si="6"/>
        <v>35</v>
      </c>
      <c r="J45"/>
      <c r="K45"/>
    </row>
    <row r="46" spans="1:21" x14ac:dyDescent="0.35">
      <c r="A46" s="111">
        <f t="shared" si="5"/>
        <v>36</v>
      </c>
      <c r="B46" s="930">
        <v>930.2</v>
      </c>
      <c r="C46" s="655" t="s">
        <v>774</v>
      </c>
      <c r="D46" s="958">
        <v>401.94600000000003</v>
      </c>
      <c r="F46" s="111"/>
      <c r="G46" s="412"/>
      <c r="H46" s="111">
        <f t="shared" si="6"/>
        <v>36</v>
      </c>
      <c r="J46"/>
      <c r="K46"/>
    </row>
    <row r="47" spans="1:21" x14ac:dyDescent="0.35">
      <c r="A47" s="111">
        <f t="shared" si="5"/>
        <v>37</v>
      </c>
      <c r="B47" s="930"/>
      <c r="C47" s="409" t="s">
        <v>770</v>
      </c>
      <c r="D47" s="960">
        <v>105.37318999999999</v>
      </c>
      <c r="E47" s="926">
        <f>SUM(D46:D47)</f>
        <v>507.31919000000005</v>
      </c>
      <c r="F47" s="111"/>
      <c r="G47" s="412"/>
      <c r="H47" s="111">
        <f t="shared" si="6"/>
        <v>37</v>
      </c>
      <c r="J47"/>
      <c r="K47"/>
    </row>
    <row r="48" spans="1:21" x14ac:dyDescent="0.35">
      <c r="A48" s="111">
        <f t="shared" si="5"/>
        <v>38</v>
      </c>
      <c r="B48" s="657">
        <v>935</v>
      </c>
      <c r="C48" s="409" t="s">
        <v>775</v>
      </c>
      <c r="D48" s="925"/>
      <c r="E48" s="960">
        <v>0</v>
      </c>
      <c r="F48" s="111"/>
      <c r="G48" s="412"/>
      <c r="H48" s="111">
        <f t="shared" si="6"/>
        <v>38</v>
      </c>
    </row>
    <row r="49" spans="1:8" x14ac:dyDescent="0.35">
      <c r="A49" s="111">
        <f t="shared" si="5"/>
        <v>39</v>
      </c>
      <c r="B49" s="657"/>
      <c r="C49" s="417"/>
      <c r="D49" s="112"/>
      <c r="E49" s="6"/>
      <c r="G49" s="412"/>
      <c r="H49" s="111">
        <f t="shared" si="6"/>
        <v>39</v>
      </c>
    </row>
    <row r="50" spans="1:8" ht="16" thickBot="1" x14ac:dyDescent="0.4">
      <c r="A50" s="111">
        <f t="shared" si="5"/>
        <v>40</v>
      </c>
      <c r="B50" s="415"/>
      <c r="C50" s="418" t="s">
        <v>737</v>
      </c>
      <c r="D50" s="612"/>
      <c r="E50" s="106">
        <f>SUM(E30:E48)</f>
        <v>161938.81296026602</v>
      </c>
      <c r="F50" s="113"/>
      <c r="G50" s="412"/>
      <c r="H50" s="111">
        <f t="shared" si="6"/>
        <v>40</v>
      </c>
    </row>
    <row r="51" spans="1:8" ht="16" thickTop="1" x14ac:dyDescent="0.35">
      <c r="A51" s="111">
        <f t="shared" si="5"/>
        <v>41</v>
      </c>
      <c r="B51" s="415"/>
      <c r="C51" s="418"/>
      <c r="E51" s="46"/>
      <c r="F51" s="1"/>
      <c r="G51" s="412"/>
      <c r="H51" s="111">
        <f t="shared" si="6"/>
        <v>41</v>
      </c>
    </row>
    <row r="52" spans="1:8" x14ac:dyDescent="0.35">
      <c r="A52" s="111">
        <f t="shared" si="5"/>
        <v>42</v>
      </c>
      <c r="B52" s="415"/>
      <c r="C52" s="418"/>
      <c r="E52" s="46"/>
      <c r="F52" s="1"/>
      <c r="G52" s="412"/>
      <c r="H52" s="111">
        <f t="shared" si="6"/>
        <v>42</v>
      </c>
    </row>
    <row r="53" spans="1:8" ht="18" x14ac:dyDescent="0.35">
      <c r="A53" s="111">
        <f t="shared" si="5"/>
        <v>43</v>
      </c>
      <c r="B53" s="419">
        <v>1</v>
      </c>
      <c r="C53" s="34" t="s">
        <v>776</v>
      </c>
      <c r="E53" s="263"/>
      <c r="F53" s="1"/>
      <c r="G53" s="412"/>
      <c r="H53" s="111">
        <f t="shared" si="6"/>
        <v>43</v>
      </c>
    </row>
    <row r="54" spans="1:8" ht="18" x14ac:dyDescent="0.35">
      <c r="A54" s="111">
        <f t="shared" si="5"/>
        <v>44</v>
      </c>
      <c r="B54" s="961">
        <v>2</v>
      </c>
      <c r="C54" s="34" t="s">
        <v>777</v>
      </c>
      <c r="E54" s="263"/>
      <c r="F54" s="1"/>
      <c r="G54" s="412"/>
      <c r="H54" s="111">
        <f t="shared" si="6"/>
        <v>44</v>
      </c>
    </row>
    <row r="55" spans="1:8" ht="18" x14ac:dyDescent="0.35">
      <c r="A55" s="111">
        <f t="shared" si="5"/>
        <v>45</v>
      </c>
      <c r="B55" s="961"/>
      <c r="C55" s="34" t="s">
        <v>778</v>
      </c>
      <c r="E55" s="263"/>
      <c r="F55" s="1"/>
      <c r="G55" s="412"/>
      <c r="H55" s="111">
        <f t="shared" si="6"/>
        <v>45</v>
      </c>
    </row>
    <row r="56" spans="1:8" ht="18" x14ac:dyDescent="0.35">
      <c r="A56" s="111">
        <f t="shared" si="5"/>
        <v>46</v>
      </c>
      <c r="B56" s="961"/>
      <c r="C56" s="34" t="s">
        <v>779</v>
      </c>
      <c r="E56" s="263"/>
      <c r="F56" s="1"/>
      <c r="G56" s="412"/>
      <c r="H56" s="111">
        <f t="shared" si="6"/>
        <v>46</v>
      </c>
    </row>
    <row r="57" spans="1:8" ht="18" x14ac:dyDescent="0.35">
      <c r="A57" s="111">
        <f t="shared" si="5"/>
        <v>47</v>
      </c>
      <c r="B57" s="961">
        <v>3</v>
      </c>
      <c r="C57" s="34" t="s">
        <v>780</v>
      </c>
      <c r="E57" s="263"/>
      <c r="F57" s="1"/>
      <c r="G57" s="412"/>
      <c r="H57" s="111">
        <f t="shared" si="6"/>
        <v>47</v>
      </c>
    </row>
    <row r="58" spans="1:8" ht="18" x14ac:dyDescent="0.35">
      <c r="A58" s="111">
        <f t="shared" si="5"/>
        <v>48</v>
      </c>
      <c r="B58" s="961"/>
      <c r="C58" s="34" t="s">
        <v>781</v>
      </c>
      <c r="E58" s="263"/>
      <c r="F58" s="1"/>
      <c r="G58" s="412"/>
      <c r="H58" s="111">
        <f t="shared" si="6"/>
        <v>48</v>
      </c>
    </row>
    <row r="59" spans="1:8" ht="18" x14ac:dyDescent="0.35">
      <c r="A59" s="111">
        <f t="shared" si="5"/>
        <v>49</v>
      </c>
      <c r="B59" s="961"/>
      <c r="C59" s="34" t="s">
        <v>782</v>
      </c>
      <c r="E59" s="263"/>
      <c r="F59" s="1"/>
      <c r="G59" s="412"/>
      <c r="H59" s="111">
        <f t="shared" si="6"/>
        <v>49</v>
      </c>
    </row>
    <row r="60" spans="1:8" ht="18" x14ac:dyDescent="0.35">
      <c r="A60" s="111">
        <f t="shared" si="5"/>
        <v>50</v>
      </c>
      <c r="B60" s="961">
        <v>4</v>
      </c>
      <c r="C60" s="34" t="s">
        <v>783</v>
      </c>
      <c r="E60" s="263"/>
      <c r="F60" s="1"/>
      <c r="G60" s="412"/>
      <c r="H60" s="111">
        <f t="shared" si="6"/>
        <v>50</v>
      </c>
    </row>
    <row r="61" spans="1:8" ht="18" x14ac:dyDescent="0.35">
      <c r="A61" s="111">
        <f t="shared" si="5"/>
        <v>51</v>
      </c>
      <c r="B61" s="961"/>
      <c r="C61" s="34" t="s">
        <v>784</v>
      </c>
      <c r="E61" s="263"/>
      <c r="F61" s="1"/>
      <c r="G61" s="412"/>
      <c r="H61" s="111">
        <f t="shared" si="6"/>
        <v>51</v>
      </c>
    </row>
    <row r="62" spans="1:8" ht="18" x14ac:dyDescent="0.35">
      <c r="A62" s="111">
        <f t="shared" si="5"/>
        <v>52</v>
      </c>
      <c r="B62" s="961"/>
      <c r="C62" s="34" t="s">
        <v>785</v>
      </c>
      <c r="E62" s="263"/>
      <c r="F62" s="1"/>
      <c r="G62" s="412"/>
      <c r="H62" s="111">
        <f t="shared" si="6"/>
        <v>52</v>
      </c>
    </row>
    <row r="63" spans="1:8" ht="18" x14ac:dyDescent="0.35">
      <c r="A63" s="111">
        <f t="shared" si="5"/>
        <v>53</v>
      </c>
      <c r="B63" s="961">
        <v>5</v>
      </c>
      <c r="C63" s="34" t="s">
        <v>1845</v>
      </c>
      <c r="E63" s="263"/>
      <c r="F63" s="1"/>
      <c r="G63" s="412"/>
      <c r="H63" s="111">
        <f t="shared" si="6"/>
        <v>53</v>
      </c>
    </row>
    <row r="64" spans="1:8" ht="16" thickBot="1" x14ac:dyDescent="0.4">
      <c r="A64" s="111">
        <f t="shared" si="5"/>
        <v>54</v>
      </c>
      <c r="B64" s="420"/>
      <c r="C64" s="931"/>
      <c r="D64" s="929"/>
      <c r="E64" s="929"/>
      <c r="F64" s="929"/>
      <c r="G64" s="658"/>
      <c r="H64" s="111">
        <f t="shared" si="6"/>
        <v>54</v>
      </c>
    </row>
    <row r="65" spans="1:5" x14ac:dyDescent="0.35">
      <c r="A65" s="397"/>
      <c r="C65" s="409"/>
      <c r="D65" s="421"/>
      <c r="E65" s="421"/>
    </row>
    <row r="66" spans="1:5" ht="18" x14ac:dyDescent="0.35">
      <c r="A66" s="422"/>
      <c r="C66" s="409"/>
    </row>
    <row r="67" spans="1:5" ht="18" x14ac:dyDescent="0.35">
      <c r="A67" s="422"/>
      <c r="C67" s="409"/>
    </row>
    <row r="68" spans="1:5" ht="18" x14ac:dyDescent="0.35">
      <c r="A68" s="422"/>
      <c r="C68" s="409"/>
    </row>
    <row r="69" spans="1:5" ht="18" x14ac:dyDescent="0.35">
      <c r="A69" s="422"/>
      <c r="C69" s="409"/>
    </row>
    <row r="70" spans="1:5" ht="18" x14ac:dyDescent="0.35">
      <c r="A70" s="422"/>
      <c r="C70" s="409"/>
    </row>
    <row r="71" spans="1:5" ht="18" x14ac:dyDescent="0.35">
      <c r="A71" s="422"/>
      <c r="C71" s="409"/>
    </row>
    <row r="72" spans="1:5" x14ac:dyDescent="0.35">
      <c r="A72" s="397"/>
      <c r="C72" s="409"/>
    </row>
    <row r="73" spans="1:5" ht="18" x14ac:dyDescent="0.35">
      <c r="A73" s="422"/>
      <c r="C73" s="409"/>
    </row>
    <row r="74" spans="1:5" x14ac:dyDescent="0.35">
      <c r="A74" s="397"/>
      <c r="C74" s="409"/>
    </row>
    <row r="75" spans="1:5" ht="18" x14ac:dyDescent="0.35">
      <c r="A75" s="422"/>
      <c r="C75" s="409"/>
    </row>
    <row r="76" spans="1:5" x14ac:dyDescent="0.35">
      <c r="A76" s="397"/>
      <c r="C76" s="409"/>
    </row>
    <row r="77" spans="1:5" ht="18" x14ac:dyDescent="0.35">
      <c r="A77" s="422"/>
      <c r="C77" s="409"/>
    </row>
    <row r="78" spans="1:5" ht="18" x14ac:dyDescent="0.35">
      <c r="A78" s="422"/>
      <c r="B78" s="409"/>
    </row>
    <row r="79" spans="1:5" ht="18" x14ac:dyDescent="0.35">
      <c r="A79" s="422"/>
      <c r="B79" s="409"/>
    </row>
    <row r="80" spans="1:5" x14ac:dyDescent="0.35">
      <c r="B80" s="409"/>
    </row>
    <row r="81" spans="1:2" ht="18" x14ac:dyDescent="0.35">
      <c r="A81" s="422"/>
      <c r="B81" s="409"/>
    </row>
    <row r="82" spans="1:2" x14ac:dyDescent="0.35">
      <c r="A82" s="423"/>
      <c r="B82" s="290"/>
    </row>
    <row r="83" spans="1:2" x14ac:dyDescent="0.35">
      <c r="B83" s="409"/>
    </row>
  </sheetData>
  <mergeCells count="4">
    <mergeCell ref="B2:G2"/>
    <mergeCell ref="B3:G3"/>
    <mergeCell ref="B4:G4"/>
    <mergeCell ref="B5:G5"/>
  </mergeCells>
  <phoneticPr fontId="56" type="noConversion"/>
  <printOptions horizontalCentered="1"/>
  <pageMargins left="0.5" right="0.5" top="0.5" bottom="0.5" header="0.25" footer="0.25"/>
  <pageSetup scale="55"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80" zoomScaleNormal="80" workbookViewId="0"/>
  </sheetViews>
  <sheetFormatPr defaultColWidth="8.90625" defaultRowHeight="15.5" x14ac:dyDescent="0.35"/>
  <cols>
    <col min="1" max="1" width="5.08984375" style="4" customWidth="1"/>
    <col min="2" max="2" width="64.90625" style="5" customWidth="1"/>
    <col min="3" max="3" width="21.08984375" style="34" customWidth="1"/>
    <col min="4" max="4" width="1.54296875" style="5" customWidth="1"/>
    <col min="5" max="5" width="16.90625" style="5" customWidth="1"/>
    <col min="6" max="6" width="1.54296875" style="5" customWidth="1"/>
    <col min="7" max="7" width="34.54296875" style="5" customWidth="1"/>
    <col min="8" max="8" width="5.08984375" style="5" customWidth="1"/>
    <col min="9" max="9" width="8.90625" style="5"/>
    <col min="10" max="10" width="20.453125" style="934" bestFit="1" customWidth="1"/>
    <col min="11" max="16384" width="8.90625" style="5"/>
  </cols>
  <sheetData>
    <row r="1" spans="1:12" x14ac:dyDescent="0.35">
      <c r="A1" s="428"/>
      <c r="B1" s="34"/>
      <c r="D1" s="34"/>
      <c r="E1" s="424"/>
      <c r="F1" s="425"/>
      <c r="G1" s="4"/>
      <c r="H1" s="4"/>
    </row>
    <row r="2" spans="1:12" x14ac:dyDescent="0.35">
      <c r="B2" s="1171" t="s">
        <v>0</v>
      </c>
      <c r="C2" s="1171"/>
      <c r="D2" s="1171"/>
      <c r="E2" s="1171"/>
      <c r="F2" s="1171"/>
      <c r="G2" s="1171"/>
      <c r="H2" s="4"/>
      <c r="J2"/>
      <c r="K2"/>
      <c r="L2"/>
    </row>
    <row r="3" spans="1:12" x14ac:dyDescent="0.35">
      <c r="B3" s="1171" t="s">
        <v>786</v>
      </c>
      <c r="C3" s="1171"/>
      <c r="D3" s="1171"/>
      <c r="E3" s="1171"/>
      <c r="F3" s="1171"/>
      <c r="G3" s="1171"/>
      <c r="H3" s="4"/>
      <c r="J3" s="955"/>
    </row>
    <row r="4" spans="1:12" x14ac:dyDescent="0.35">
      <c r="B4" s="1171" t="s">
        <v>787</v>
      </c>
      <c r="C4" s="1171"/>
      <c r="D4" s="1171"/>
      <c r="E4" s="1171"/>
      <c r="F4" s="1171"/>
      <c r="G4" s="1171"/>
      <c r="H4" s="4"/>
    </row>
    <row r="5" spans="1:12" x14ac:dyDescent="0.35">
      <c r="B5" s="1176" t="str">
        <f>'Stmt AD'!B5</f>
        <v>Base Period &amp; True-Up Period 12 - Months Ending December 31, 2022</v>
      </c>
      <c r="C5" s="1176"/>
      <c r="D5" s="1176"/>
      <c r="E5" s="1176"/>
      <c r="F5" s="1176"/>
      <c r="G5" s="1176"/>
      <c r="H5" s="4"/>
    </row>
    <row r="6" spans="1:12" x14ac:dyDescent="0.35">
      <c r="B6" s="1175" t="s">
        <v>5</v>
      </c>
      <c r="C6" s="1172"/>
      <c r="D6" s="1172"/>
      <c r="E6" s="1172"/>
      <c r="F6" s="1172"/>
      <c r="G6" s="1172"/>
      <c r="H6" s="4"/>
    </row>
    <row r="7" spans="1:12" x14ac:dyDescent="0.35">
      <c r="B7" s="4"/>
      <c r="C7" s="4"/>
      <c r="D7" s="4"/>
      <c r="E7" s="4"/>
      <c r="F7" s="226"/>
      <c r="G7" s="4"/>
      <c r="H7" s="4"/>
    </row>
    <row r="8" spans="1:12" x14ac:dyDescent="0.35">
      <c r="A8" s="4" t="s">
        <v>6</v>
      </c>
      <c r="B8" s="226"/>
      <c r="C8" s="4" t="s">
        <v>317</v>
      </c>
      <c r="D8" s="226"/>
      <c r="E8" s="226"/>
      <c r="F8" s="226"/>
      <c r="G8" s="4"/>
      <c r="H8" s="4" t="s">
        <v>6</v>
      </c>
    </row>
    <row r="9" spans="1:12" x14ac:dyDescent="0.35">
      <c r="A9" s="4" t="s">
        <v>7</v>
      </c>
      <c r="B9" s="34"/>
      <c r="C9" s="876" t="s">
        <v>319</v>
      </c>
      <c r="D9" s="34"/>
      <c r="E9" s="877" t="s">
        <v>8</v>
      </c>
      <c r="F9" s="4"/>
      <c r="G9" s="876" t="s">
        <v>9</v>
      </c>
      <c r="H9" s="4" t="s">
        <v>7</v>
      </c>
    </row>
    <row r="10" spans="1:12" x14ac:dyDescent="0.35">
      <c r="B10" s="34"/>
      <c r="D10" s="34"/>
      <c r="E10" s="34"/>
      <c r="F10" s="4"/>
      <c r="G10" s="1052"/>
      <c r="H10" s="4"/>
    </row>
    <row r="11" spans="1:12" x14ac:dyDescent="0.35">
      <c r="A11" s="4">
        <v>1</v>
      </c>
      <c r="B11" s="34" t="s">
        <v>788</v>
      </c>
      <c r="C11" s="49" t="s">
        <v>789</v>
      </c>
      <c r="D11" s="34"/>
      <c r="E11" s="43">
        <v>13409.227999999999</v>
      </c>
      <c r="F11" s="44"/>
      <c r="G11" s="426"/>
      <c r="H11" s="4">
        <f>A11</f>
        <v>1</v>
      </c>
      <c r="K11" s="49"/>
    </row>
    <row r="12" spans="1:12" x14ac:dyDescent="0.35">
      <c r="A12" s="4">
        <f>+A11+1</f>
        <v>2</v>
      </c>
      <c r="B12" s="34"/>
      <c r="C12" s="49"/>
      <c r="D12" s="34"/>
      <c r="E12" s="73"/>
      <c r="F12" s="44"/>
      <c r="G12" s="427"/>
      <c r="H12" s="4">
        <f>+H11+1</f>
        <v>2</v>
      </c>
      <c r="K12" s="49"/>
    </row>
    <row r="13" spans="1:12" x14ac:dyDescent="0.35">
      <c r="A13" s="4">
        <f t="shared" ref="A13:A25" si="0">+A12+1</f>
        <v>3</v>
      </c>
      <c r="B13" s="34" t="s">
        <v>790</v>
      </c>
      <c r="C13" s="49" t="s">
        <v>791</v>
      </c>
      <c r="D13" s="34"/>
      <c r="E13" s="45">
        <v>30504.011999999999</v>
      </c>
      <c r="F13" s="44"/>
      <c r="G13" s="426"/>
      <c r="H13" s="4">
        <f t="shared" ref="H13:H25" si="1">+H12+1</f>
        <v>3</v>
      </c>
      <c r="K13" s="49"/>
    </row>
    <row r="14" spans="1:12" x14ac:dyDescent="0.35">
      <c r="A14" s="4">
        <f t="shared" si="0"/>
        <v>4</v>
      </c>
      <c r="B14" s="34"/>
      <c r="C14" s="49"/>
      <c r="D14" s="34"/>
      <c r="E14" s="41"/>
      <c r="F14" s="44"/>
      <c r="G14" s="426"/>
      <c r="H14" s="4">
        <f t="shared" si="1"/>
        <v>4</v>
      </c>
      <c r="K14" s="49"/>
    </row>
    <row r="15" spans="1:12" x14ac:dyDescent="0.35">
      <c r="A15" s="4">
        <f t="shared" si="0"/>
        <v>5</v>
      </c>
      <c r="B15" s="34" t="s">
        <v>792</v>
      </c>
      <c r="C15" s="49" t="s">
        <v>793</v>
      </c>
      <c r="D15" s="34"/>
      <c r="E15" s="45">
        <v>74338.203999999998</v>
      </c>
      <c r="F15" s="44"/>
      <c r="G15" s="426"/>
      <c r="H15" s="4">
        <f t="shared" si="1"/>
        <v>5</v>
      </c>
      <c r="K15" s="49"/>
    </row>
    <row r="16" spans="1:12" x14ac:dyDescent="0.35">
      <c r="A16" s="4">
        <f t="shared" si="0"/>
        <v>6</v>
      </c>
      <c r="B16" s="34"/>
      <c r="C16" s="49"/>
      <c r="D16" s="34"/>
      <c r="E16" s="41"/>
      <c r="F16" s="44"/>
      <c r="G16" s="426"/>
      <c r="H16" s="4">
        <f t="shared" si="1"/>
        <v>6</v>
      </c>
      <c r="K16" s="49"/>
    </row>
    <row r="17" spans="1:11" x14ac:dyDescent="0.35">
      <c r="A17" s="4">
        <f t="shared" si="0"/>
        <v>7</v>
      </c>
      <c r="B17" s="34" t="s">
        <v>794</v>
      </c>
      <c r="C17" s="49" t="s">
        <v>795</v>
      </c>
      <c r="D17" s="34"/>
      <c r="E17" s="45">
        <v>18524.105</v>
      </c>
      <c r="F17" s="44"/>
      <c r="G17" s="426"/>
      <c r="H17" s="4">
        <f t="shared" si="1"/>
        <v>7</v>
      </c>
      <c r="K17" s="49"/>
    </row>
    <row r="18" spans="1:11" x14ac:dyDescent="0.35">
      <c r="A18" s="4">
        <f t="shared" si="0"/>
        <v>8</v>
      </c>
      <c r="B18" s="34"/>
      <c r="C18" s="49"/>
      <c r="D18" s="34"/>
      <c r="E18" s="41"/>
      <c r="F18" s="44"/>
      <c r="G18" s="426"/>
      <c r="H18" s="4">
        <f t="shared" si="1"/>
        <v>8</v>
      </c>
      <c r="K18" s="49"/>
    </row>
    <row r="19" spans="1:11" x14ac:dyDescent="0.35">
      <c r="A19" s="4">
        <f t="shared" si="0"/>
        <v>9</v>
      </c>
      <c r="B19" s="34" t="s">
        <v>796</v>
      </c>
      <c r="C19" s="49" t="s">
        <v>797</v>
      </c>
      <c r="D19" s="34"/>
      <c r="E19" s="45">
        <v>17194.041000000001</v>
      </c>
      <c r="F19" s="44"/>
      <c r="G19" s="426"/>
      <c r="H19" s="4">
        <f t="shared" si="1"/>
        <v>9</v>
      </c>
      <c r="K19" s="49"/>
    </row>
    <row r="20" spans="1:11" x14ac:dyDescent="0.35">
      <c r="A20" s="4">
        <f t="shared" si="0"/>
        <v>10</v>
      </c>
      <c r="B20" s="34"/>
      <c r="C20" s="49"/>
      <c r="D20" s="34"/>
      <c r="E20" s="41"/>
      <c r="F20" s="44"/>
      <c r="G20" s="426"/>
      <c r="H20" s="4">
        <f t="shared" si="1"/>
        <v>10</v>
      </c>
      <c r="K20" s="49"/>
    </row>
    <row r="21" spans="1:11" x14ac:dyDescent="0.35">
      <c r="A21" s="4">
        <f t="shared" si="0"/>
        <v>11</v>
      </c>
      <c r="B21" s="34" t="s">
        <v>798</v>
      </c>
      <c r="C21" s="49" t="s">
        <v>799</v>
      </c>
      <c r="D21" s="34"/>
      <c r="E21" s="963">
        <v>0</v>
      </c>
      <c r="F21" s="44"/>
      <c r="G21" s="426"/>
      <c r="H21" s="4">
        <f t="shared" si="1"/>
        <v>11</v>
      </c>
      <c r="K21" s="49"/>
    </row>
    <row r="22" spans="1:11" x14ac:dyDescent="0.35">
      <c r="A22" s="4">
        <f t="shared" si="0"/>
        <v>12</v>
      </c>
      <c r="B22" s="34"/>
      <c r="D22" s="34"/>
      <c r="E22" s="73"/>
      <c r="F22" s="44"/>
      <c r="G22" s="49"/>
      <c r="H22" s="4">
        <f t="shared" si="1"/>
        <v>12</v>
      </c>
    </row>
    <row r="23" spans="1:11" x14ac:dyDescent="0.35">
      <c r="A23" s="4">
        <f t="shared" si="0"/>
        <v>13</v>
      </c>
      <c r="B23" s="34" t="s">
        <v>800</v>
      </c>
      <c r="D23" s="34"/>
      <c r="E23" s="51">
        <f>SUM(E11:E21)</f>
        <v>153969.59</v>
      </c>
      <c r="F23" s="44"/>
      <c r="G23" s="47" t="s">
        <v>801</v>
      </c>
      <c r="H23" s="4">
        <f t="shared" si="1"/>
        <v>13</v>
      </c>
    </row>
    <row r="24" spans="1:11" x14ac:dyDescent="0.35">
      <c r="A24" s="4">
        <f t="shared" si="0"/>
        <v>14</v>
      </c>
      <c r="B24" s="34"/>
      <c r="D24" s="34"/>
      <c r="E24" s="51"/>
      <c r="F24" s="44"/>
      <c r="G24" s="47"/>
      <c r="H24" s="4">
        <f t="shared" si="1"/>
        <v>14</v>
      </c>
    </row>
    <row r="25" spans="1:11" ht="16" thickBot="1" x14ac:dyDescent="0.4">
      <c r="A25" s="4">
        <f t="shared" si="0"/>
        <v>15</v>
      </c>
      <c r="B25" s="34" t="s">
        <v>345</v>
      </c>
      <c r="D25" s="34"/>
      <c r="E25" s="114">
        <f>E13/E23</f>
        <v>0.19811712169916151</v>
      </c>
      <c r="F25" s="76"/>
      <c r="G25" s="4" t="s">
        <v>802</v>
      </c>
      <c r="H25" s="4">
        <f t="shared" si="1"/>
        <v>15</v>
      </c>
    </row>
    <row r="26" spans="1:11" ht="16" thickTop="1" x14ac:dyDescent="0.35">
      <c r="B26" s="34"/>
      <c r="D26" s="34"/>
      <c r="E26" s="75"/>
      <c r="F26" s="76"/>
      <c r="G26" s="4"/>
      <c r="H26" s="4"/>
    </row>
    <row r="27" spans="1:11" x14ac:dyDescent="0.35">
      <c r="B27" s="34"/>
      <c r="D27" s="34"/>
      <c r="E27" s="75"/>
      <c r="F27" s="76"/>
      <c r="G27" s="47"/>
      <c r="H27" s="4"/>
    </row>
    <row r="28" spans="1:11" x14ac:dyDescent="0.35">
      <c r="B28" s="34"/>
      <c r="D28" s="34"/>
      <c r="E28" s="162"/>
      <c r="F28" s="76"/>
      <c r="G28" s="4"/>
      <c r="H28" s="4"/>
    </row>
    <row r="29" spans="1:11" x14ac:dyDescent="0.35">
      <c r="E29" s="704"/>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Roman,Regular"&amp;10AI</oddFooter>
  </headerFooter>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90625" defaultRowHeight="15.5" x14ac:dyDescent="0.35"/>
  <cols>
    <col min="1" max="1" width="5.08984375" style="4" customWidth="1"/>
    <col min="2" max="2" width="71.54296875" style="34" customWidth="1"/>
    <col min="3" max="3" width="21.08984375" style="368" customWidth="1"/>
    <col min="4" max="4" width="1.54296875" style="34" customWidth="1"/>
    <col min="5" max="5" width="16.90625" style="34" customWidth="1"/>
    <col min="6" max="6" width="1.54296875" style="34" customWidth="1"/>
    <col min="7" max="7" width="34.54296875" style="34" customWidth="1"/>
    <col min="8" max="8" width="5.08984375" style="4" customWidth="1"/>
    <col min="9" max="9" width="20.453125" style="34" bestFit="1" customWidth="1"/>
    <col min="10" max="16384" width="8.90625" style="34"/>
  </cols>
  <sheetData>
    <row r="1" spans="1:8" x14ac:dyDescent="0.35">
      <c r="B1" s="35"/>
      <c r="E1" s="73"/>
      <c r="F1" s="44"/>
      <c r="G1" s="4"/>
    </row>
    <row r="2" spans="1:8" x14ac:dyDescent="0.35">
      <c r="B2" s="1171" t="s">
        <v>0</v>
      </c>
      <c r="C2" s="1171"/>
      <c r="D2" s="1171"/>
      <c r="E2" s="1171"/>
      <c r="F2" s="1171"/>
      <c r="G2" s="1171"/>
    </row>
    <row r="3" spans="1:8" x14ac:dyDescent="0.35">
      <c r="B3" s="1171" t="s">
        <v>803</v>
      </c>
      <c r="C3" s="1171"/>
      <c r="D3" s="1171"/>
      <c r="E3" s="1171"/>
      <c r="F3" s="1171"/>
      <c r="G3" s="1171"/>
    </row>
    <row r="4" spans="1:8" x14ac:dyDescent="0.35">
      <c r="B4" s="1171" t="s">
        <v>804</v>
      </c>
      <c r="C4" s="1171"/>
      <c r="D4" s="1171"/>
      <c r="E4" s="1171"/>
      <c r="F4" s="1171"/>
      <c r="G4" s="1171"/>
    </row>
    <row r="5" spans="1:8" x14ac:dyDescent="0.35">
      <c r="B5" s="1176" t="str">
        <f>'Stmt AD'!B5</f>
        <v>Base Period &amp; True-Up Period 12 - Months Ending December 31, 2022</v>
      </c>
      <c r="C5" s="1176"/>
      <c r="D5" s="1176"/>
      <c r="E5" s="1176"/>
      <c r="F5" s="1176"/>
      <c r="G5" s="1176"/>
    </row>
    <row r="6" spans="1:8" ht="15.75" customHeight="1" x14ac:dyDescent="0.35">
      <c r="B6" s="1186">
        <v>-1000</v>
      </c>
      <c r="C6" s="1186"/>
      <c r="D6" s="1186"/>
      <c r="E6" s="1186"/>
      <c r="F6" s="1186"/>
      <c r="G6" s="1186"/>
    </row>
    <row r="7" spans="1:8" x14ac:dyDescent="0.35">
      <c r="B7" s="4"/>
      <c r="D7" s="4"/>
      <c r="E7" s="4"/>
      <c r="F7" s="226"/>
      <c r="G7" s="4"/>
    </row>
    <row r="8" spans="1:8" x14ac:dyDescent="0.35">
      <c r="A8" s="4" t="s">
        <v>6</v>
      </c>
      <c r="B8" s="226"/>
      <c r="C8" s="4" t="s">
        <v>317</v>
      </c>
      <c r="D8" s="226"/>
      <c r="E8" s="37"/>
      <c r="F8" s="226"/>
      <c r="G8" s="4"/>
      <c r="H8" s="4" t="s">
        <v>6</v>
      </c>
    </row>
    <row r="9" spans="1:8" x14ac:dyDescent="0.35">
      <c r="A9" s="4" t="s">
        <v>7</v>
      </c>
      <c r="B9" s="226"/>
      <c r="C9" s="876" t="s">
        <v>319</v>
      </c>
      <c r="D9" s="226"/>
      <c r="E9" s="877" t="s">
        <v>8</v>
      </c>
      <c r="F9" s="226"/>
      <c r="G9" s="876" t="s">
        <v>9</v>
      </c>
      <c r="H9" s="4" t="s">
        <v>7</v>
      </c>
    </row>
    <row r="10" spans="1:8" x14ac:dyDescent="0.35">
      <c r="B10" s="226"/>
      <c r="C10" s="428"/>
      <c r="D10" s="226"/>
      <c r="E10" s="4"/>
      <c r="F10" s="226"/>
      <c r="G10" s="4"/>
    </row>
    <row r="11" spans="1:8" x14ac:dyDescent="0.35">
      <c r="A11" s="4">
        <v>1</v>
      </c>
      <c r="B11" s="35" t="s">
        <v>805</v>
      </c>
      <c r="D11" s="4"/>
      <c r="E11" s="115">
        <f>'AJ-1'!F23</f>
        <v>221170.31522599602</v>
      </c>
      <c r="F11" s="4"/>
      <c r="G11" s="49" t="s">
        <v>806</v>
      </c>
      <c r="H11" s="4">
        <f>A11</f>
        <v>1</v>
      </c>
    </row>
    <row r="12" spans="1:8" x14ac:dyDescent="0.35">
      <c r="A12" s="4">
        <f>A11+1</f>
        <v>2</v>
      </c>
      <c r="E12" s="116"/>
      <c r="F12" s="74"/>
      <c r="G12" s="49"/>
      <c r="H12" s="4">
        <f>H11+1</f>
        <v>2</v>
      </c>
    </row>
    <row r="13" spans="1:8" x14ac:dyDescent="0.35">
      <c r="A13" s="4">
        <f t="shared" ref="A13:A33" si="0">A12+1</f>
        <v>3</v>
      </c>
      <c r="B13" s="34" t="s">
        <v>807</v>
      </c>
      <c r="C13" s="4" t="s">
        <v>808</v>
      </c>
      <c r="E13" s="45">
        <f>'AJ-2'!C15</f>
        <v>10339.652970000001</v>
      </c>
      <c r="F13" s="74"/>
      <c r="G13" s="49" t="s">
        <v>809</v>
      </c>
      <c r="H13" s="4">
        <f t="shared" ref="H13:H28" si="1">H12+1</f>
        <v>3</v>
      </c>
    </row>
    <row r="14" spans="1:8" x14ac:dyDescent="0.35">
      <c r="A14" s="4">
        <f t="shared" si="0"/>
        <v>4</v>
      </c>
      <c r="C14" s="4"/>
      <c r="E14" s="116"/>
      <c r="F14" s="74"/>
      <c r="G14" s="49"/>
      <c r="H14" s="4">
        <f t="shared" si="1"/>
        <v>4</v>
      </c>
    </row>
    <row r="15" spans="1:8" x14ac:dyDescent="0.35">
      <c r="A15" s="4">
        <f t="shared" si="0"/>
        <v>5</v>
      </c>
      <c r="B15" s="34" t="s">
        <v>810</v>
      </c>
      <c r="C15" s="4" t="s">
        <v>811</v>
      </c>
      <c r="E15" s="117">
        <f>'AJ-3'!C15</f>
        <v>24419.688020000001</v>
      </c>
      <c r="F15" s="47"/>
      <c r="G15" s="49" t="s">
        <v>812</v>
      </c>
      <c r="H15" s="4">
        <f t="shared" si="1"/>
        <v>5</v>
      </c>
    </row>
    <row r="16" spans="1:8" x14ac:dyDescent="0.35">
      <c r="A16" s="4">
        <f t="shared" si="0"/>
        <v>6</v>
      </c>
      <c r="C16" s="4"/>
      <c r="E16" s="41"/>
      <c r="F16" s="76"/>
      <c r="G16" s="49"/>
      <c r="H16" s="4">
        <f t="shared" si="1"/>
        <v>6</v>
      </c>
    </row>
    <row r="17" spans="1:8" x14ac:dyDescent="0.35">
      <c r="A17" s="4">
        <f t="shared" si="0"/>
        <v>7</v>
      </c>
      <c r="B17" s="34" t="s">
        <v>813</v>
      </c>
      <c r="C17" s="4" t="s">
        <v>814</v>
      </c>
      <c r="E17" s="45">
        <f>'AJ-4'!D15</f>
        <v>142464.35851290001</v>
      </c>
      <c r="F17" s="44"/>
      <c r="G17" s="49" t="s">
        <v>815</v>
      </c>
      <c r="H17" s="4">
        <f t="shared" si="1"/>
        <v>7</v>
      </c>
    </row>
    <row r="18" spans="1:8" x14ac:dyDescent="0.35">
      <c r="A18" s="4">
        <f t="shared" si="0"/>
        <v>8</v>
      </c>
      <c r="E18" s="75"/>
      <c r="F18" s="76"/>
      <c r="G18" s="49"/>
      <c r="H18" s="4">
        <f t="shared" si="1"/>
        <v>8</v>
      </c>
    </row>
    <row r="19" spans="1:8" x14ac:dyDescent="0.35">
      <c r="A19" s="4">
        <f t="shared" si="0"/>
        <v>9</v>
      </c>
      <c r="B19" s="34" t="s">
        <v>345</v>
      </c>
      <c r="E19" s="1031">
        <f>'Stmt AI'!E25</f>
        <v>0.19811712169916151</v>
      </c>
      <c r="F19" s="76"/>
      <c r="G19" s="49" t="s">
        <v>346</v>
      </c>
      <c r="H19" s="4">
        <f t="shared" si="1"/>
        <v>9</v>
      </c>
    </row>
    <row r="20" spans="1:8" x14ac:dyDescent="0.35">
      <c r="A20" s="4">
        <f t="shared" si="0"/>
        <v>10</v>
      </c>
      <c r="E20" s="118"/>
      <c r="F20" s="76"/>
      <c r="G20" s="49"/>
      <c r="H20" s="4">
        <f t="shared" si="1"/>
        <v>10</v>
      </c>
    </row>
    <row r="21" spans="1:8" x14ac:dyDescent="0.35">
      <c r="A21" s="4">
        <f t="shared" si="0"/>
        <v>11</v>
      </c>
      <c r="B21" s="34" t="s">
        <v>816</v>
      </c>
      <c r="E21" s="78">
        <f>E13*$E$19</f>
        <v>2048.462285784587</v>
      </c>
      <c r="F21" s="74"/>
      <c r="G21" s="49" t="s">
        <v>480</v>
      </c>
      <c r="H21" s="4">
        <f t="shared" si="1"/>
        <v>11</v>
      </c>
    </row>
    <row r="22" spans="1:8" x14ac:dyDescent="0.35">
      <c r="A22" s="4">
        <f t="shared" si="0"/>
        <v>12</v>
      </c>
      <c r="E22" s="118"/>
      <c r="F22" s="76"/>
      <c r="G22" s="49"/>
      <c r="H22" s="4">
        <f t="shared" si="1"/>
        <v>12</v>
      </c>
    </row>
    <row r="23" spans="1:8" x14ac:dyDescent="0.35">
      <c r="A23" s="4">
        <f t="shared" si="0"/>
        <v>13</v>
      </c>
      <c r="B23" s="34" t="s">
        <v>817</v>
      </c>
      <c r="E23" s="41">
        <f>E15*$E$19</f>
        <v>4837.958303313897</v>
      </c>
      <c r="F23" s="44"/>
      <c r="G23" s="49" t="s">
        <v>482</v>
      </c>
      <c r="H23" s="4">
        <f t="shared" si="1"/>
        <v>13</v>
      </c>
    </row>
    <row r="24" spans="1:8" x14ac:dyDescent="0.35">
      <c r="A24" s="4">
        <f t="shared" si="0"/>
        <v>14</v>
      </c>
      <c r="B24" s="34" t="s">
        <v>1</v>
      </c>
      <c r="E24" s="79"/>
      <c r="F24" s="44"/>
      <c r="G24" s="49"/>
      <c r="H24" s="4">
        <f t="shared" si="1"/>
        <v>14</v>
      </c>
    </row>
    <row r="25" spans="1:8" x14ac:dyDescent="0.35">
      <c r="A25" s="4">
        <f t="shared" si="0"/>
        <v>15</v>
      </c>
      <c r="B25" s="34" t="s">
        <v>818</v>
      </c>
      <c r="E25" s="985">
        <f>E17*$E$19</f>
        <v>28224.628653293188</v>
      </c>
      <c r="F25" s="44"/>
      <c r="G25" s="49" t="s">
        <v>484</v>
      </c>
      <c r="H25" s="4">
        <f t="shared" si="1"/>
        <v>15</v>
      </c>
    </row>
    <row r="26" spans="1:8" x14ac:dyDescent="0.35">
      <c r="A26" s="4">
        <f t="shared" si="0"/>
        <v>16</v>
      </c>
      <c r="E26" s="79"/>
      <c r="F26" s="44"/>
      <c r="G26" s="49"/>
      <c r="H26" s="4">
        <f t="shared" si="1"/>
        <v>16</v>
      </c>
    </row>
    <row r="27" spans="1:8" ht="16" thickBot="1" x14ac:dyDescent="0.4">
      <c r="A27" s="4">
        <f t="shared" si="0"/>
        <v>17</v>
      </c>
      <c r="B27" s="34" t="s">
        <v>819</v>
      </c>
      <c r="D27" s="51"/>
      <c r="E27" s="80">
        <f>E11+E21+E23+E25</f>
        <v>256281.36446838771</v>
      </c>
      <c r="F27" s="74"/>
      <c r="G27" s="49" t="s">
        <v>485</v>
      </c>
      <c r="H27" s="4">
        <f t="shared" si="1"/>
        <v>17</v>
      </c>
    </row>
    <row r="28" spans="1:8" ht="16" thickTop="1" x14ac:dyDescent="0.35">
      <c r="A28" s="4">
        <f t="shared" si="0"/>
        <v>18</v>
      </c>
      <c r="D28" s="51"/>
      <c r="E28" s="51"/>
      <c r="F28" s="44"/>
      <c r="G28" s="49"/>
      <c r="H28" s="4">
        <f t="shared" si="1"/>
        <v>18</v>
      </c>
    </row>
    <row r="29" spans="1:8" ht="16" thickBot="1" x14ac:dyDescent="0.4">
      <c r="A29" s="4">
        <f>A28+1</f>
        <v>19</v>
      </c>
      <c r="B29" s="34" t="s">
        <v>52</v>
      </c>
      <c r="D29" s="51"/>
      <c r="E29" s="81">
        <f>'AJ-5'!F25</f>
        <v>0</v>
      </c>
      <c r="F29" s="44"/>
      <c r="G29" s="49" t="s">
        <v>820</v>
      </c>
      <c r="H29" s="4">
        <f>H28+1</f>
        <v>19</v>
      </c>
    </row>
    <row r="30" spans="1:8" ht="16" thickTop="1" x14ac:dyDescent="0.35">
      <c r="A30" s="4">
        <f t="shared" si="0"/>
        <v>20</v>
      </c>
      <c r="D30" s="51"/>
      <c r="F30" s="44"/>
      <c r="G30" s="49"/>
      <c r="H30" s="4">
        <f t="shared" ref="H30:H33" si="2">H29+1</f>
        <v>20</v>
      </c>
    </row>
    <row r="31" spans="1:8" ht="19" thickBot="1" x14ac:dyDescent="0.4">
      <c r="A31" s="4">
        <f>A30+1</f>
        <v>21</v>
      </c>
      <c r="B31" s="34" t="s">
        <v>821</v>
      </c>
      <c r="D31" s="429"/>
      <c r="E31" s="81">
        <f>'AJ-6'!C17</f>
        <v>0</v>
      </c>
      <c r="F31" s="274"/>
      <c r="G31" s="49" t="s">
        <v>822</v>
      </c>
      <c r="H31" s="4">
        <f>H30+1</f>
        <v>21</v>
      </c>
    </row>
    <row r="32" spans="1:8" ht="16" thickTop="1" x14ac:dyDescent="0.35">
      <c r="A32" s="4">
        <f t="shared" si="0"/>
        <v>22</v>
      </c>
      <c r="D32" s="41"/>
      <c r="E32" s="41"/>
      <c r="F32" s="44"/>
      <c r="G32" s="49"/>
      <c r="H32" s="4">
        <f t="shared" si="2"/>
        <v>22</v>
      </c>
    </row>
    <row r="33" spans="1:8" ht="16" thickBot="1" x14ac:dyDescent="0.4">
      <c r="A33" s="4">
        <f t="shared" si="0"/>
        <v>23</v>
      </c>
      <c r="B33" s="34" t="s">
        <v>823</v>
      </c>
      <c r="C33" s="428"/>
      <c r="D33" s="116"/>
      <c r="E33" s="81">
        <f>'AJ-7'!C17</f>
        <v>0</v>
      </c>
      <c r="F33" s="44"/>
      <c r="G33" s="49" t="s">
        <v>824</v>
      </c>
      <c r="H33" s="4">
        <f t="shared" si="2"/>
        <v>23</v>
      </c>
    </row>
    <row r="34" spans="1:8" ht="16" thickTop="1" x14ac:dyDescent="0.35">
      <c r="B34" s="35"/>
      <c r="E34" s="116"/>
      <c r="F34" s="44"/>
      <c r="G34" s="52"/>
    </row>
    <row r="35" spans="1:8" x14ac:dyDescent="0.35">
      <c r="B35" s="35"/>
      <c r="E35" s="116"/>
      <c r="F35" s="44"/>
      <c r="G35" s="52"/>
    </row>
    <row r="36" spans="1:8" ht="18" x14ac:dyDescent="0.35">
      <c r="A36" s="276">
        <v>1</v>
      </c>
      <c r="B36" s="34" t="s">
        <v>825</v>
      </c>
      <c r="E36" s="51"/>
      <c r="F36" s="44"/>
      <c r="G36" s="49"/>
    </row>
    <row r="37" spans="1:8" x14ac:dyDescent="0.35">
      <c r="E37" s="51"/>
      <c r="F37" s="44"/>
      <c r="G37" s="49"/>
    </row>
    <row r="38" spans="1:8" x14ac:dyDescent="0.35">
      <c r="B38" s="259"/>
      <c r="E38" s="41"/>
      <c r="F38" s="44"/>
      <c r="G38" s="49"/>
    </row>
    <row r="39" spans="1:8" x14ac:dyDescent="0.35">
      <c r="B39" s="1"/>
      <c r="C39" s="428"/>
      <c r="E39" s="119"/>
      <c r="F39" s="44"/>
      <c r="G39" s="430"/>
    </row>
    <row r="40" spans="1:8" x14ac:dyDescent="0.35">
      <c r="B40" s="259"/>
      <c r="E40" s="73"/>
      <c r="F40" s="44"/>
      <c r="G40" s="430"/>
    </row>
    <row r="41" spans="1:8" x14ac:dyDescent="0.35">
      <c r="F41" s="4"/>
      <c r="G41" s="49"/>
    </row>
  </sheetData>
  <mergeCells count="5">
    <mergeCell ref="B5:G5"/>
    <mergeCell ref="B2:G2"/>
    <mergeCell ref="B3:G3"/>
    <mergeCell ref="B4:G4"/>
    <mergeCell ref="B6:G6"/>
  </mergeCells>
  <printOptions horizontalCentered="1"/>
  <pageMargins left="0.5" right="0.5" top="0.5" bottom="0.5" header="0.25" footer="0.25"/>
  <pageSetup orientation="portrait" r:id="rId1"/>
  <headerFooter scaleWithDoc="0">
    <oddFooter>&amp;C&amp;"Times New Roman,Regular"&amp;10AJ</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H28"/>
  <sheetViews>
    <sheetView zoomScale="80" zoomScaleNormal="80" workbookViewId="0"/>
  </sheetViews>
  <sheetFormatPr defaultColWidth="9.08984375" defaultRowHeight="15.5" x14ac:dyDescent="0.35"/>
  <cols>
    <col min="1" max="1" width="5.08984375" style="4" customWidth="1"/>
    <col min="2" max="2" width="8.54296875" style="34" customWidth="1"/>
    <col min="3" max="3" width="53.08984375" style="34" customWidth="1"/>
    <col min="4" max="4" width="18.54296875" style="34" customWidth="1"/>
    <col min="5" max="5" width="27.90625" style="34" customWidth="1"/>
    <col min="6" max="6" width="18.54296875" style="34" customWidth="1"/>
    <col min="7" max="7" width="27.90625" style="34" customWidth="1"/>
    <col min="8" max="8" width="5.08984375" style="4" customWidth="1"/>
    <col min="9" max="16384" width="9.08984375" style="34"/>
  </cols>
  <sheetData>
    <row r="2" spans="1:8" x14ac:dyDescent="0.35">
      <c r="B2" s="1171" t="s">
        <v>0</v>
      </c>
      <c r="C2" s="1171"/>
      <c r="D2" s="1171"/>
      <c r="E2" s="1171"/>
      <c r="F2" s="1171"/>
      <c r="G2" s="1171"/>
      <c r="H2" s="226"/>
    </row>
    <row r="3" spans="1:8" x14ac:dyDescent="0.35">
      <c r="B3" s="1171" t="s">
        <v>826</v>
      </c>
      <c r="C3" s="1171"/>
      <c r="D3" s="1171"/>
      <c r="E3" s="1171"/>
      <c r="F3" s="1171"/>
      <c r="G3" s="1171"/>
      <c r="H3" s="226"/>
    </row>
    <row r="4" spans="1:8" x14ac:dyDescent="0.35">
      <c r="B4" s="1171" t="s">
        <v>827</v>
      </c>
      <c r="C4" s="1171"/>
      <c r="D4" s="1171"/>
      <c r="E4" s="1171"/>
      <c r="F4" s="1171"/>
      <c r="G4" s="1171"/>
      <c r="H4" s="226"/>
    </row>
    <row r="5" spans="1:8" x14ac:dyDescent="0.35">
      <c r="B5" s="1171" t="s">
        <v>583</v>
      </c>
      <c r="C5" s="1171"/>
      <c r="D5" s="1171"/>
      <c r="E5" s="1171"/>
      <c r="F5" s="1171"/>
      <c r="G5" s="1171"/>
    </row>
    <row r="6" spans="1:8" x14ac:dyDescent="0.35">
      <c r="B6" s="1186">
        <v>-1000</v>
      </c>
      <c r="C6" s="1186"/>
      <c r="D6" s="1186"/>
      <c r="E6" s="1186"/>
      <c r="F6" s="1186"/>
      <c r="G6" s="1186"/>
    </row>
    <row r="7" spans="1:8" x14ac:dyDescent="0.35">
      <c r="B7" s="1053"/>
      <c r="C7" s="1029"/>
      <c r="D7" s="1029"/>
      <c r="E7" s="1029"/>
      <c r="F7" s="979"/>
    </row>
    <row r="8" spans="1:8" x14ac:dyDescent="0.35">
      <c r="B8" s="1054"/>
      <c r="C8" s="987"/>
      <c r="D8" s="431" t="s">
        <v>588</v>
      </c>
      <c r="E8" s="1055"/>
      <c r="F8" s="431"/>
      <c r="G8" s="1055"/>
    </row>
    <row r="9" spans="1:8" s="226" customFormat="1" x14ac:dyDescent="0.35">
      <c r="B9" s="280"/>
      <c r="C9" s="280"/>
      <c r="D9" s="284" t="s">
        <v>406</v>
      </c>
      <c r="E9" s="280"/>
      <c r="F9" s="281" t="s">
        <v>406</v>
      </c>
      <c r="G9" s="280"/>
      <c r="H9" s="4"/>
    </row>
    <row r="10" spans="1:8" x14ac:dyDescent="0.35">
      <c r="A10" s="4" t="s">
        <v>6</v>
      </c>
      <c r="B10" s="280" t="s">
        <v>422</v>
      </c>
      <c r="C10" s="280"/>
      <c r="D10" s="284" t="s">
        <v>828</v>
      </c>
      <c r="E10" s="280"/>
      <c r="F10" s="284" t="s">
        <v>828</v>
      </c>
      <c r="G10" s="280"/>
      <c r="H10" s="4" t="s">
        <v>6</v>
      </c>
    </row>
    <row r="11" spans="1:8" ht="18" x14ac:dyDescent="0.35">
      <c r="A11" s="4" t="s">
        <v>7</v>
      </c>
      <c r="B11" s="285" t="s">
        <v>7</v>
      </c>
      <c r="C11" s="285" t="s">
        <v>423</v>
      </c>
      <c r="D11" s="286" t="s">
        <v>369</v>
      </c>
      <c r="E11" s="285" t="s">
        <v>9</v>
      </c>
      <c r="F11" s="286" t="s">
        <v>370</v>
      </c>
      <c r="G11" s="285" t="s">
        <v>9</v>
      </c>
      <c r="H11" s="4" t="s">
        <v>7</v>
      </c>
    </row>
    <row r="12" spans="1:8" x14ac:dyDescent="0.35">
      <c r="A12" s="4">
        <v>1</v>
      </c>
      <c r="B12" s="995">
        <v>303</v>
      </c>
      <c r="C12" s="1056" t="s">
        <v>431</v>
      </c>
      <c r="D12" s="67">
        <v>0</v>
      </c>
      <c r="E12" s="995" t="s">
        <v>372</v>
      </c>
      <c r="F12" s="67">
        <v>0</v>
      </c>
      <c r="G12" s="1057" t="s">
        <v>372</v>
      </c>
      <c r="H12" s="4">
        <f>A12</f>
        <v>1</v>
      </c>
    </row>
    <row r="13" spans="1:8" x14ac:dyDescent="0.35">
      <c r="A13" s="4">
        <f>A12+1</f>
        <v>2</v>
      </c>
      <c r="B13" s="995">
        <v>350</v>
      </c>
      <c r="C13" s="1056" t="s">
        <v>829</v>
      </c>
      <c r="D13" s="55">
        <v>1991.6069200000002</v>
      </c>
      <c r="E13" s="241"/>
      <c r="F13" s="55">
        <v>0</v>
      </c>
      <c r="G13" s="364"/>
      <c r="H13" s="4">
        <f>H12+1</f>
        <v>2</v>
      </c>
    </row>
    <row r="14" spans="1:8" x14ac:dyDescent="0.35">
      <c r="A14" s="4">
        <f t="shared" ref="A14:A24" si="0">A13+1</f>
        <v>3</v>
      </c>
      <c r="B14" s="995">
        <v>352</v>
      </c>
      <c r="C14" s="242" t="s">
        <v>830</v>
      </c>
      <c r="D14" s="55">
        <v>17921.982520000001</v>
      </c>
      <c r="E14" s="241"/>
      <c r="F14" s="55">
        <v>0</v>
      </c>
      <c r="G14" s="364"/>
      <c r="H14" s="4">
        <f t="shared" ref="H14:H24" si="1">H13+1</f>
        <v>3</v>
      </c>
    </row>
    <row r="15" spans="1:8" x14ac:dyDescent="0.35">
      <c r="A15" s="4">
        <f t="shared" si="0"/>
        <v>4</v>
      </c>
      <c r="B15" s="995">
        <v>353</v>
      </c>
      <c r="C15" s="242" t="s">
        <v>437</v>
      </c>
      <c r="D15" s="55">
        <v>77138.506770000007</v>
      </c>
      <c r="E15" s="241"/>
      <c r="F15" s="55">
        <v>0</v>
      </c>
      <c r="G15" s="364"/>
      <c r="H15" s="4">
        <f t="shared" si="1"/>
        <v>4</v>
      </c>
    </row>
    <row r="16" spans="1:8" x14ac:dyDescent="0.35">
      <c r="A16" s="4">
        <f t="shared" si="0"/>
        <v>5</v>
      </c>
      <c r="B16" s="995">
        <v>354</v>
      </c>
      <c r="C16" s="242" t="s">
        <v>438</v>
      </c>
      <c r="D16" s="55">
        <v>23380.063689999999</v>
      </c>
      <c r="E16" s="241"/>
      <c r="F16" s="55">
        <v>0</v>
      </c>
      <c r="G16" s="364"/>
      <c r="H16" s="4">
        <f t="shared" si="1"/>
        <v>5</v>
      </c>
    </row>
    <row r="17" spans="1:8" x14ac:dyDescent="0.35">
      <c r="A17" s="4">
        <f t="shared" si="0"/>
        <v>6</v>
      </c>
      <c r="B17" s="995">
        <v>355</v>
      </c>
      <c r="C17" s="242" t="s">
        <v>439</v>
      </c>
      <c r="D17" s="55">
        <v>46246.60353</v>
      </c>
      <c r="E17" s="241"/>
      <c r="F17" s="55">
        <v>0</v>
      </c>
      <c r="G17" s="364"/>
      <c r="H17" s="4">
        <f t="shared" si="1"/>
        <v>6</v>
      </c>
    </row>
    <row r="18" spans="1:8" x14ac:dyDescent="0.35">
      <c r="A18" s="4">
        <f t="shared" si="0"/>
        <v>7</v>
      </c>
      <c r="B18" s="995">
        <v>356</v>
      </c>
      <c r="C18" s="242" t="s">
        <v>831</v>
      </c>
      <c r="D18" s="55">
        <v>26536.280890000002</v>
      </c>
      <c r="E18" s="241"/>
      <c r="F18" s="55">
        <v>0</v>
      </c>
      <c r="G18" s="364"/>
      <c r="H18" s="4">
        <f t="shared" si="1"/>
        <v>7</v>
      </c>
    </row>
    <row r="19" spans="1:8" x14ac:dyDescent="0.35">
      <c r="A19" s="4">
        <f t="shared" si="0"/>
        <v>8</v>
      </c>
      <c r="B19" s="995">
        <v>357</v>
      </c>
      <c r="C19" s="242" t="s">
        <v>441</v>
      </c>
      <c r="D19" s="55">
        <v>12275.95594</v>
      </c>
      <c r="E19" s="241"/>
      <c r="F19" s="55">
        <v>0</v>
      </c>
      <c r="G19" s="364"/>
      <c r="H19" s="4">
        <f t="shared" si="1"/>
        <v>8</v>
      </c>
    </row>
    <row r="20" spans="1:8" x14ac:dyDescent="0.35">
      <c r="A20" s="4">
        <f t="shared" si="0"/>
        <v>9</v>
      </c>
      <c r="B20" s="995">
        <v>358</v>
      </c>
      <c r="C20" s="242" t="s">
        <v>832</v>
      </c>
      <c r="D20" s="55">
        <v>12388.13164</v>
      </c>
      <c r="E20" s="241"/>
      <c r="F20" s="55">
        <v>0</v>
      </c>
      <c r="G20" s="364"/>
      <c r="H20" s="4">
        <f t="shared" si="1"/>
        <v>9</v>
      </c>
    </row>
    <row r="21" spans="1:8" x14ac:dyDescent="0.35">
      <c r="A21" s="4">
        <f t="shared" si="0"/>
        <v>10</v>
      </c>
      <c r="B21" s="432">
        <v>359</v>
      </c>
      <c r="C21" s="295" t="s">
        <v>833</v>
      </c>
      <c r="D21" s="55">
        <v>6447.2694000000001</v>
      </c>
      <c r="E21" s="432" t="s">
        <v>372</v>
      </c>
      <c r="F21" s="55">
        <v>0</v>
      </c>
      <c r="G21" s="71" t="s">
        <v>372</v>
      </c>
      <c r="H21" s="4">
        <f t="shared" si="1"/>
        <v>10</v>
      </c>
    </row>
    <row r="22" spans="1:8" x14ac:dyDescent="0.35">
      <c r="A22" s="4">
        <f t="shared" si="0"/>
        <v>11</v>
      </c>
      <c r="B22" s="987"/>
      <c r="C22" s="987"/>
      <c r="D22" s="57"/>
      <c r="E22" s="987"/>
      <c r="F22" s="57"/>
      <c r="G22" s="987"/>
      <c r="H22" s="4">
        <f t="shared" si="1"/>
        <v>11</v>
      </c>
    </row>
    <row r="23" spans="1:8" x14ac:dyDescent="0.35">
      <c r="A23" s="4">
        <f t="shared" si="0"/>
        <v>12</v>
      </c>
      <c r="B23" s="288"/>
      <c r="C23" s="288" t="s">
        <v>834</v>
      </c>
      <c r="D23" s="58">
        <f>'AJ-1A'!D37</f>
        <v>224326.4013</v>
      </c>
      <c r="E23" s="995" t="s">
        <v>835</v>
      </c>
      <c r="F23" s="58">
        <f>'AJ-1A'!J37</f>
        <v>221170.31522599602</v>
      </c>
      <c r="G23" s="995" t="s">
        <v>836</v>
      </c>
      <c r="H23" s="4">
        <f t="shared" si="1"/>
        <v>12</v>
      </c>
    </row>
    <row r="24" spans="1:8" x14ac:dyDescent="0.35">
      <c r="A24" s="4">
        <f t="shared" si="0"/>
        <v>13</v>
      </c>
      <c r="B24" s="124"/>
      <c r="C24" s="124"/>
      <c r="D24" s="433"/>
      <c r="E24" s="124"/>
      <c r="F24" s="433"/>
      <c r="G24" s="124"/>
      <c r="H24" s="4">
        <f t="shared" si="1"/>
        <v>13</v>
      </c>
    </row>
    <row r="27" spans="1:8" ht="18" x14ac:dyDescent="0.35">
      <c r="A27" s="276">
        <v>1</v>
      </c>
      <c r="B27" s="34" t="s">
        <v>837</v>
      </c>
    </row>
    <row r="28" spans="1:8" x14ac:dyDescent="0.35">
      <c r="A28" s="226"/>
      <c r="B28" s="34" t="s">
        <v>497</v>
      </c>
      <c r="G28" s="434"/>
    </row>
  </sheetData>
  <mergeCells count="5">
    <mergeCell ref="B2:G2"/>
    <mergeCell ref="B3:G3"/>
    <mergeCell ref="B4:G4"/>
    <mergeCell ref="B5:G5"/>
    <mergeCell ref="B6:G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170"/>
  <sheetViews>
    <sheetView zoomScale="80" zoomScaleNormal="80" workbookViewId="0"/>
  </sheetViews>
  <sheetFormatPr defaultColWidth="8.90625" defaultRowHeight="15.5" x14ac:dyDescent="0.35"/>
  <cols>
    <col min="1" max="1" width="5.08984375" style="4" customWidth="1"/>
    <col min="2" max="2" width="11.08984375" style="34" customWidth="1"/>
    <col min="3" max="3" width="35.90625" style="34" customWidth="1"/>
    <col min="4" max="10" width="18.54296875" style="123" customWidth="1"/>
    <col min="11" max="11" width="25.54296875" style="6" customWidth="1"/>
    <col min="12" max="12" width="5.08984375" style="4" customWidth="1"/>
    <col min="13" max="13" width="12.08984375" style="34" customWidth="1"/>
    <col min="14" max="14" width="12.08984375" style="34" bestFit="1" customWidth="1"/>
    <col min="15" max="16384" width="8.90625" style="34"/>
  </cols>
  <sheetData>
    <row r="1" spans="1:12" s="1" customFormat="1" ht="15" x14ac:dyDescent="0.35">
      <c r="A1" s="226" t="s">
        <v>1</v>
      </c>
      <c r="L1" s="226"/>
    </row>
    <row r="2" spans="1:12" s="1" customFormat="1" ht="15" x14ac:dyDescent="0.35">
      <c r="A2" s="226"/>
      <c r="B2" s="1171" t="s">
        <v>0</v>
      </c>
      <c r="C2" s="1171"/>
      <c r="D2" s="1171"/>
      <c r="E2" s="1171"/>
      <c r="F2" s="1171"/>
      <c r="G2" s="1171"/>
      <c r="H2" s="1171"/>
      <c r="I2" s="1171"/>
      <c r="J2" s="1171"/>
      <c r="K2" s="1171"/>
      <c r="L2" s="226"/>
    </row>
    <row r="3" spans="1:12" s="1" customFormat="1" ht="15" x14ac:dyDescent="0.35">
      <c r="A3" s="226"/>
      <c r="B3" s="1171" t="s">
        <v>407</v>
      </c>
      <c r="C3" s="1171"/>
      <c r="D3" s="1171"/>
      <c r="E3" s="1171"/>
      <c r="F3" s="1171"/>
      <c r="G3" s="1171"/>
      <c r="H3" s="1171"/>
      <c r="I3" s="1171"/>
      <c r="J3" s="1171"/>
      <c r="K3" s="1171"/>
      <c r="L3" s="226"/>
    </row>
    <row r="4" spans="1:12" ht="12.75" customHeight="1" x14ac:dyDescent="0.35">
      <c r="B4" s="1171" t="s">
        <v>838</v>
      </c>
      <c r="C4" s="1171"/>
      <c r="D4" s="1171"/>
      <c r="E4" s="1171"/>
      <c r="F4" s="1171"/>
      <c r="G4" s="1171"/>
      <c r="H4" s="1171"/>
      <c r="I4" s="1171"/>
      <c r="J4" s="1171"/>
      <c r="K4" s="1171"/>
      <c r="L4" s="226"/>
    </row>
    <row r="5" spans="1:12" x14ac:dyDescent="0.35">
      <c r="B5" s="1171" t="s">
        <v>839</v>
      </c>
      <c r="C5" s="1171"/>
      <c r="D5" s="1171"/>
      <c r="E5" s="1171"/>
      <c r="F5" s="1171"/>
      <c r="G5" s="1171"/>
      <c r="H5" s="1171"/>
      <c r="I5" s="1171"/>
      <c r="J5" s="1171"/>
      <c r="K5" s="1171"/>
      <c r="L5" s="226"/>
    </row>
    <row r="6" spans="1:12" x14ac:dyDescent="0.35">
      <c r="B6" s="1171" t="s">
        <v>448</v>
      </c>
      <c r="C6" s="1171"/>
      <c r="D6" s="1171"/>
      <c r="E6" s="1171"/>
      <c r="F6" s="1171"/>
      <c r="G6" s="1171"/>
      <c r="H6" s="1171"/>
      <c r="I6" s="1171"/>
      <c r="J6" s="1171"/>
      <c r="K6" s="1171"/>
      <c r="L6" s="226"/>
    </row>
    <row r="7" spans="1:12" x14ac:dyDescent="0.35">
      <c r="B7" s="1175" t="s">
        <v>5</v>
      </c>
      <c r="C7" s="1171"/>
      <c r="D7" s="1171"/>
      <c r="E7" s="1171"/>
      <c r="F7" s="1171"/>
      <c r="G7" s="1171"/>
      <c r="H7" s="1171"/>
      <c r="I7" s="1171"/>
      <c r="J7" s="1171"/>
      <c r="K7" s="1171"/>
      <c r="L7" s="226"/>
    </row>
    <row r="8" spans="1:12" x14ac:dyDescent="0.35">
      <c r="C8" s="277"/>
      <c r="D8" s="278"/>
      <c r="E8" s="304" t="s">
        <v>840</v>
      </c>
      <c r="F8" s="304"/>
      <c r="G8" s="304"/>
      <c r="H8" s="304"/>
      <c r="I8" s="304"/>
      <c r="J8" s="304"/>
      <c r="K8" s="304"/>
    </row>
    <row r="9" spans="1:12" s="226" customFormat="1" ht="15" x14ac:dyDescent="0.35">
      <c r="B9" s="988"/>
      <c r="C9" s="1006"/>
      <c r="D9" s="1007" t="s">
        <v>410</v>
      </c>
      <c r="E9" s="1007" t="s">
        <v>411</v>
      </c>
      <c r="F9" s="1007" t="s">
        <v>412</v>
      </c>
      <c r="G9" s="435" t="s">
        <v>413</v>
      </c>
      <c r="H9" s="1007" t="s">
        <v>414</v>
      </c>
      <c r="I9" s="1007" t="s">
        <v>415</v>
      </c>
      <c r="J9" s="1007" t="s">
        <v>416</v>
      </c>
      <c r="K9" s="1007"/>
    </row>
    <row r="10" spans="1:12" x14ac:dyDescent="0.35">
      <c r="B10" s="1058"/>
      <c r="C10" s="989"/>
      <c r="D10" s="309"/>
      <c r="E10" s="305"/>
      <c r="F10" s="309"/>
      <c r="G10" s="436"/>
      <c r="H10" s="305" t="s">
        <v>841</v>
      </c>
      <c r="I10" s="306"/>
      <c r="J10" s="305"/>
      <c r="K10" s="1008"/>
    </row>
    <row r="11" spans="1:12" x14ac:dyDescent="0.35">
      <c r="B11" s="1058"/>
      <c r="C11" s="989"/>
      <c r="D11" s="309" t="s">
        <v>265</v>
      </c>
      <c r="E11" s="305" t="s">
        <v>401</v>
      </c>
      <c r="F11" s="309" t="s">
        <v>406</v>
      </c>
      <c r="G11" s="436" t="s">
        <v>406</v>
      </c>
      <c r="H11" s="305" t="s">
        <v>406</v>
      </c>
      <c r="I11" s="306" t="s">
        <v>842</v>
      </c>
      <c r="J11" s="305" t="s">
        <v>843</v>
      </c>
      <c r="K11" s="995"/>
    </row>
    <row r="12" spans="1:12" x14ac:dyDescent="0.35">
      <c r="B12" s="342"/>
      <c r="C12" s="242"/>
      <c r="D12" s="309" t="s">
        <v>406</v>
      </c>
      <c r="E12" s="1059" t="s">
        <v>844</v>
      </c>
      <c r="F12" s="1059" t="s">
        <v>844</v>
      </c>
      <c r="G12" s="278" t="s">
        <v>844</v>
      </c>
      <c r="H12" s="305" t="s">
        <v>828</v>
      </c>
      <c r="I12" s="310" t="s">
        <v>452</v>
      </c>
      <c r="J12" s="1059" t="s">
        <v>828</v>
      </c>
      <c r="K12" s="280"/>
    </row>
    <row r="13" spans="1:12" ht="18" x14ac:dyDescent="0.35">
      <c r="A13" s="4" t="s">
        <v>6</v>
      </c>
      <c r="B13" s="329"/>
      <c r="C13" s="288"/>
      <c r="D13" s="437" t="s">
        <v>845</v>
      </c>
      <c r="E13" s="1059" t="s">
        <v>846</v>
      </c>
      <c r="F13" s="1059" t="s">
        <v>846</v>
      </c>
      <c r="G13" s="315" t="s">
        <v>846</v>
      </c>
      <c r="H13" s="439" t="s">
        <v>847</v>
      </c>
      <c r="I13" s="438" t="s">
        <v>848</v>
      </c>
      <c r="J13" s="439" t="s">
        <v>849</v>
      </c>
      <c r="K13" s="280"/>
      <c r="L13" s="4" t="s">
        <v>6</v>
      </c>
    </row>
    <row r="14" spans="1:12" ht="18" x14ac:dyDescent="0.35">
      <c r="A14" s="4" t="s">
        <v>7</v>
      </c>
      <c r="B14" s="316" t="s">
        <v>422</v>
      </c>
      <c r="C14" s="285" t="s">
        <v>423</v>
      </c>
      <c r="D14" s="286" t="s">
        <v>850</v>
      </c>
      <c r="E14" s="311" t="s">
        <v>425</v>
      </c>
      <c r="F14" s="311" t="s">
        <v>851</v>
      </c>
      <c r="G14" s="1060" t="s">
        <v>852</v>
      </c>
      <c r="H14" s="285" t="s">
        <v>853</v>
      </c>
      <c r="I14" s="1061" t="s">
        <v>854</v>
      </c>
      <c r="J14" s="285" t="s">
        <v>855</v>
      </c>
      <c r="K14" s="285" t="s">
        <v>9</v>
      </c>
      <c r="L14" s="4" t="s">
        <v>7</v>
      </c>
    </row>
    <row r="15" spans="1:12" x14ac:dyDescent="0.35">
      <c r="B15" s="242"/>
      <c r="C15" s="242" t="s">
        <v>430</v>
      </c>
      <c r="D15" s="242"/>
      <c r="E15" s="242"/>
      <c r="F15" s="242"/>
      <c r="G15" s="65"/>
      <c r="H15" s="242"/>
      <c r="I15" s="242"/>
      <c r="J15" s="242"/>
      <c r="K15" s="995"/>
    </row>
    <row r="16" spans="1:12" x14ac:dyDescent="0.35">
      <c r="A16" s="4">
        <v>1</v>
      </c>
      <c r="B16" s="1010">
        <v>182</v>
      </c>
      <c r="C16" s="242" t="s">
        <v>856</v>
      </c>
      <c r="D16" s="1016">
        <v>0</v>
      </c>
      <c r="E16" s="1016">
        <v>0</v>
      </c>
      <c r="F16" s="1016">
        <v>0</v>
      </c>
      <c r="G16" s="1016">
        <v>0</v>
      </c>
      <c r="H16" s="240">
        <f>SUM(D16:G16)</f>
        <v>0</v>
      </c>
      <c r="I16" s="1016">
        <v>0</v>
      </c>
      <c r="J16" s="240">
        <f t="shared" ref="J16:J21" si="0">+H16+I16</f>
        <v>0</v>
      </c>
      <c r="K16" s="995" t="s">
        <v>372</v>
      </c>
      <c r="L16" s="4">
        <f>A16</f>
        <v>1</v>
      </c>
    </row>
    <row r="17" spans="1:14" x14ac:dyDescent="0.35">
      <c r="A17" s="4">
        <f t="shared" ref="A17:A37" si="1">A16+1</f>
        <v>2</v>
      </c>
      <c r="B17" s="1010">
        <v>186</v>
      </c>
      <c r="C17" s="242" t="s">
        <v>857</v>
      </c>
      <c r="D17" s="1017">
        <v>0</v>
      </c>
      <c r="E17" s="1017">
        <v>0</v>
      </c>
      <c r="F17" s="1017">
        <v>0</v>
      </c>
      <c r="G17" s="1017">
        <v>0</v>
      </c>
      <c r="H17" s="241">
        <f>SUM(D17:G17)</f>
        <v>0</v>
      </c>
      <c r="I17" s="1017">
        <v>15.744</v>
      </c>
      <c r="J17" s="241">
        <f t="shared" si="0"/>
        <v>15.744</v>
      </c>
      <c r="K17" s="995" t="s">
        <v>372</v>
      </c>
      <c r="L17" s="4">
        <f t="shared" ref="L17:L37" si="2">L16+1</f>
        <v>2</v>
      </c>
    </row>
    <row r="18" spans="1:14" x14ac:dyDescent="0.35">
      <c r="A18" s="4">
        <f t="shared" si="1"/>
        <v>3</v>
      </c>
      <c r="B18" s="1010">
        <v>303</v>
      </c>
      <c r="C18" s="242" t="s">
        <v>431</v>
      </c>
      <c r="D18" s="1017">
        <v>0</v>
      </c>
      <c r="E18" s="1017">
        <v>0</v>
      </c>
      <c r="F18" s="1017">
        <v>0</v>
      </c>
      <c r="G18" s="1017">
        <v>0</v>
      </c>
      <c r="H18" s="241">
        <f t="shared" ref="H18:H21" si="3">SUM(D18:G18)</f>
        <v>0</v>
      </c>
      <c r="I18" s="1017">
        <v>0</v>
      </c>
      <c r="J18" s="241">
        <f t="shared" si="0"/>
        <v>0</v>
      </c>
      <c r="K18" s="995" t="s">
        <v>372</v>
      </c>
      <c r="L18" s="4">
        <f t="shared" si="2"/>
        <v>3</v>
      </c>
    </row>
    <row r="19" spans="1:14" x14ac:dyDescent="0.35">
      <c r="A19" s="4">
        <f t="shared" si="1"/>
        <v>4</v>
      </c>
      <c r="B19" s="1010">
        <v>360</v>
      </c>
      <c r="C19" s="1011" t="s">
        <v>858</v>
      </c>
      <c r="D19" s="1017">
        <v>0</v>
      </c>
      <c r="E19" s="1017">
        <v>0.61314000000000002</v>
      </c>
      <c r="F19" s="1017">
        <v>0</v>
      </c>
      <c r="G19" s="1017">
        <v>0</v>
      </c>
      <c r="H19" s="241">
        <f t="shared" si="3"/>
        <v>0.61314000000000002</v>
      </c>
      <c r="I19" s="1017">
        <v>0</v>
      </c>
      <c r="J19" s="241">
        <f t="shared" si="0"/>
        <v>0.61314000000000002</v>
      </c>
      <c r="K19" s="995" t="s">
        <v>372</v>
      </c>
      <c r="L19" s="4">
        <f t="shared" si="2"/>
        <v>4</v>
      </c>
    </row>
    <row r="20" spans="1:14" x14ac:dyDescent="0.35">
      <c r="A20" s="4">
        <f t="shared" si="1"/>
        <v>5</v>
      </c>
      <c r="B20" s="1010">
        <v>361</v>
      </c>
      <c r="C20" s="242" t="s">
        <v>434</v>
      </c>
      <c r="D20" s="1017">
        <v>0</v>
      </c>
      <c r="E20" s="1017">
        <v>56.077264999999997</v>
      </c>
      <c r="F20" s="1017">
        <v>0</v>
      </c>
      <c r="G20" s="1017">
        <v>0</v>
      </c>
      <c r="H20" s="241">
        <f t="shared" si="3"/>
        <v>56.077264999999997</v>
      </c>
      <c r="I20" s="1017">
        <v>0</v>
      </c>
      <c r="J20" s="241">
        <f t="shared" si="0"/>
        <v>56.077264999999997</v>
      </c>
      <c r="K20" s="995" t="s">
        <v>372</v>
      </c>
      <c r="L20" s="4">
        <f t="shared" si="2"/>
        <v>5</v>
      </c>
    </row>
    <row r="21" spans="1:14" x14ac:dyDescent="0.35">
      <c r="A21" s="4">
        <f t="shared" si="1"/>
        <v>6</v>
      </c>
      <c r="B21" s="1010">
        <v>362</v>
      </c>
      <c r="C21" s="242" t="s">
        <v>437</v>
      </c>
      <c r="D21" s="1017">
        <v>0</v>
      </c>
      <c r="E21" s="1017">
        <v>0</v>
      </c>
      <c r="F21" s="1017">
        <v>0</v>
      </c>
      <c r="G21" s="1017">
        <v>0</v>
      </c>
      <c r="H21" s="241">
        <f t="shared" si="3"/>
        <v>0</v>
      </c>
      <c r="I21" s="1017">
        <v>0</v>
      </c>
      <c r="J21" s="241">
        <f t="shared" si="0"/>
        <v>0</v>
      </c>
      <c r="K21" s="995" t="s">
        <v>372</v>
      </c>
      <c r="L21" s="4">
        <f t="shared" si="2"/>
        <v>6</v>
      </c>
    </row>
    <row r="22" spans="1:14" x14ac:dyDescent="0.35">
      <c r="A22" s="4">
        <f t="shared" si="1"/>
        <v>7</v>
      </c>
      <c r="B22" s="995"/>
      <c r="C22" s="242"/>
      <c r="D22" s="1062"/>
      <c r="E22" s="1062"/>
      <c r="F22" s="241"/>
      <c r="G22" s="65"/>
      <c r="H22" s="242"/>
      <c r="I22" s="242"/>
      <c r="J22" s="242"/>
      <c r="K22" s="995"/>
      <c r="L22" s="4">
        <f t="shared" si="2"/>
        <v>7</v>
      </c>
    </row>
    <row r="23" spans="1:14" s="1" customFormat="1" x14ac:dyDescent="0.35">
      <c r="A23" s="4">
        <f t="shared" si="1"/>
        <v>8</v>
      </c>
      <c r="B23" s="1012" t="s">
        <v>435</v>
      </c>
      <c r="C23" s="1013" t="s">
        <v>436</v>
      </c>
      <c r="D23" s="1063">
        <f t="shared" ref="D23:I23" si="4">SUM(D16:D22)</f>
        <v>0</v>
      </c>
      <c r="E23" s="1063">
        <f t="shared" si="4"/>
        <v>56.690404999999998</v>
      </c>
      <c r="F23" s="1014">
        <f t="shared" si="4"/>
        <v>0</v>
      </c>
      <c r="G23" s="244">
        <f t="shared" si="4"/>
        <v>0</v>
      </c>
      <c r="H23" s="1014">
        <f t="shared" si="4"/>
        <v>56.690404999999998</v>
      </c>
      <c r="I23" s="1014">
        <f t="shared" si="4"/>
        <v>15.744</v>
      </c>
      <c r="J23" s="1014">
        <f>SUM(J16:J22)</f>
        <v>72.434404999999998</v>
      </c>
      <c r="K23" s="1015" t="s">
        <v>196</v>
      </c>
      <c r="L23" s="4">
        <f t="shared" si="2"/>
        <v>8</v>
      </c>
    </row>
    <row r="24" spans="1:14" x14ac:dyDescent="0.35">
      <c r="A24" s="4">
        <f t="shared" si="1"/>
        <v>9</v>
      </c>
      <c r="B24" s="995"/>
      <c r="C24" s="242"/>
      <c r="D24" s="1017"/>
      <c r="E24" s="1017"/>
      <c r="F24" s="241"/>
      <c r="G24" s="55"/>
      <c r="H24" s="55"/>
      <c r="I24" s="1004"/>
      <c r="J24" s="242"/>
      <c r="K24" s="995"/>
      <c r="L24" s="4">
        <f t="shared" si="2"/>
        <v>9</v>
      </c>
      <c r="N24" s="440"/>
    </row>
    <row r="25" spans="1:14" x14ac:dyDescent="0.35">
      <c r="A25" s="4">
        <f t="shared" si="1"/>
        <v>10</v>
      </c>
      <c r="B25" s="1010">
        <v>350</v>
      </c>
      <c r="C25" s="242" t="s">
        <v>433</v>
      </c>
      <c r="D25" s="1016">
        <v>1991.6069200000002</v>
      </c>
      <c r="E25" s="1016"/>
      <c r="F25" s="1016"/>
      <c r="G25" s="1016">
        <v>-11.572911504</v>
      </c>
      <c r="H25" s="240">
        <f>SUM(D25:G25)</f>
        <v>1980.0340084960001</v>
      </c>
      <c r="I25" s="1016">
        <v>0</v>
      </c>
      <c r="J25" s="240">
        <f t="shared" ref="J25:J33" si="5">H25+I25</f>
        <v>1980.0340084960001</v>
      </c>
      <c r="K25" s="995" t="s">
        <v>372</v>
      </c>
      <c r="L25" s="4">
        <f t="shared" si="2"/>
        <v>10</v>
      </c>
    </row>
    <row r="26" spans="1:14" x14ac:dyDescent="0.35">
      <c r="A26" s="4">
        <f t="shared" si="1"/>
        <v>11</v>
      </c>
      <c r="B26" s="1010">
        <v>352</v>
      </c>
      <c r="C26" s="242" t="s">
        <v>434</v>
      </c>
      <c r="D26" s="1017">
        <v>17921.982520000001</v>
      </c>
      <c r="E26" s="1017"/>
      <c r="F26" s="1017">
        <v>-45.497190000000003</v>
      </c>
      <c r="G26" s="1017">
        <v>-2581.1245475000001</v>
      </c>
      <c r="H26" s="241">
        <f>SUM(D26:G26)</f>
        <v>15295.360782500004</v>
      </c>
      <c r="I26" s="1017">
        <v>0</v>
      </c>
      <c r="J26" s="241">
        <f t="shared" si="5"/>
        <v>15295.360782500004</v>
      </c>
      <c r="K26" s="995" t="s">
        <v>372</v>
      </c>
      <c r="L26" s="4">
        <f t="shared" si="2"/>
        <v>11</v>
      </c>
      <c r="M26" s="441"/>
    </row>
    <row r="27" spans="1:14" x14ac:dyDescent="0.35">
      <c r="A27" s="4">
        <f t="shared" si="1"/>
        <v>12</v>
      </c>
      <c r="B27" s="1010">
        <v>353</v>
      </c>
      <c r="C27" s="242" t="s">
        <v>437</v>
      </c>
      <c r="D27" s="1017">
        <v>77138.506770000007</v>
      </c>
      <c r="E27" s="1017"/>
      <c r="F27" s="1017">
        <v>-469.93112000000002</v>
      </c>
      <c r="G27" s="1017">
        <v>-83.869929999999997</v>
      </c>
      <c r="H27" s="241">
        <f t="shared" ref="H27:H33" si="6">SUM(D27:G27)</f>
        <v>76584.705720000013</v>
      </c>
      <c r="I27" s="1017">
        <v>0</v>
      </c>
      <c r="J27" s="241">
        <f t="shared" si="5"/>
        <v>76584.705720000013</v>
      </c>
      <c r="K27" s="995" t="s">
        <v>372</v>
      </c>
      <c r="L27" s="4">
        <f t="shared" si="2"/>
        <v>12</v>
      </c>
      <c r="M27" s="442"/>
    </row>
    <row r="28" spans="1:14" x14ac:dyDescent="0.35">
      <c r="A28" s="4">
        <f t="shared" si="1"/>
        <v>13</v>
      </c>
      <c r="B28" s="1010">
        <v>354</v>
      </c>
      <c r="C28" s="242" t="s">
        <v>438</v>
      </c>
      <c r="D28" s="1017">
        <v>23380.063689999999</v>
      </c>
      <c r="E28" s="1017"/>
      <c r="F28" s="1017"/>
      <c r="G28" s="1017">
        <v>0</v>
      </c>
      <c r="H28" s="241">
        <f t="shared" si="6"/>
        <v>23380.063689999999</v>
      </c>
      <c r="I28" s="1017">
        <v>0</v>
      </c>
      <c r="J28" s="241">
        <f t="shared" si="5"/>
        <v>23380.063689999999</v>
      </c>
      <c r="K28" s="995" t="s">
        <v>372</v>
      </c>
      <c r="L28" s="4">
        <f t="shared" si="2"/>
        <v>13</v>
      </c>
    </row>
    <row r="29" spans="1:14" x14ac:dyDescent="0.35">
      <c r="A29" s="4">
        <f t="shared" si="1"/>
        <v>14</v>
      </c>
      <c r="B29" s="1010">
        <v>355</v>
      </c>
      <c r="C29" s="242" t="s">
        <v>439</v>
      </c>
      <c r="D29" s="1017">
        <v>46246.60353</v>
      </c>
      <c r="E29" s="1017"/>
      <c r="F29" s="1017"/>
      <c r="G29" s="1017">
        <v>0</v>
      </c>
      <c r="H29" s="241">
        <f t="shared" si="6"/>
        <v>46246.60353</v>
      </c>
      <c r="I29" s="1017">
        <v>0</v>
      </c>
      <c r="J29" s="241">
        <f t="shared" si="5"/>
        <v>46246.60353</v>
      </c>
      <c r="K29" s="995" t="s">
        <v>372</v>
      </c>
      <c r="L29" s="4">
        <f t="shared" si="2"/>
        <v>14</v>
      </c>
    </row>
    <row r="30" spans="1:14" x14ac:dyDescent="0.35">
      <c r="A30" s="4">
        <f t="shared" si="1"/>
        <v>15</v>
      </c>
      <c r="B30" s="1010">
        <v>356</v>
      </c>
      <c r="C30" s="242" t="s">
        <v>440</v>
      </c>
      <c r="D30" s="1017">
        <v>26536.280890000002</v>
      </c>
      <c r="E30" s="1017"/>
      <c r="F30" s="1017"/>
      <c r="G30" s="1017">
        <v>0</v>
      </c>
      <c r="H30" s="241">
        <f t="shared" si="6"/>
        <v>26536.280890000002</v>
      </c>
      <c r="I30" s="1017">
        <v>0</v>
      </c>
      <c r="J30" s="241">
        <f t="shared" si="5"/>
        <v>26536.280890000002</v>
      </c>
      <c r="K30" s="995" t="s">
        <v>372</v>
      </c>
      <c r="L30" s="4">
        <f t="shared" si="2"/>
        <v>15</v>
      </c>
    </row>
    <row r="31" spans="1:14" x14ac:dyDescent="0.35">
      <c r="A31" s="4">
        <f t="shared" si="1"/>
        <v>16</v>
      </c>
      <c r="B31" s="1010">
        <v>357</v>
      </c>
      <c r="C31" s="242" t="s">
        <v>441</v>
      </c>
      <c r="D31" s="1017">
        <v>12275.95594</v>
      </c>
      <c r="E31" s="1017"/>
      <c r="F31" s="1017"/>
      <c r="G31" s="1017">
        <v>0</v>
      </c>
      <c r="H31" s="241">
        <f t="shared" si="6"/>
        <v>12275.95594</v>
      </c>
      <c r="I31" s="1017">
        <v>0</v>
      </c>
      <c r="J31" s="241">
        <f t="shared" si="5"/>
        <v>12275.95594</v>
      </c>
      <c r="K31" s="995" t="s">
        <v>372</v>
      </c>
      <c r="L31" s="4">
        <f t="shared" si="2"/>
        <v>16</v>
      </c>
    </row>
    <row r="32" spans="1:14" x14ac:dyDescent="0.35">
      <c r="A32" s="4">
        <f t="shared" si="1"/>
        <v>17</v>
      </c>
      <c r="B32" s="1010">
        <v>358</v>
      </c>
      <c r="C32" s="242" t="s">
        <v>442</v>
      </c>
      <c r="D32" s="1017">
        <v>12388.13164</v>
      </c>
      <c r="E32" s="1017"/>
      <c r="F32" s="1017">
        <v>-36.52478</v>
      </c>
      <c r="G32" s="1017">
        <v>0</v>
      </c>
      <c r="H32" s="241">
        <f t="shared" si="6"/>
        <v>12351.60686</v>
      </c>
      <c r="I32" s="1017">
        <v>0</v>
      </c>
      <c r="J32" s="241">
        <f t="shared" si="5"/>
        <v>12351.60686</v>
      </c>
      <c r="K32" s="995" t="s">
        <v>372</v>
      </c>
      <c r="L32" s="4">
        <f t="shared" si="2"/>
        <v>17</v>
      </c>
    </row>
    <row r="33" spans="1:14" x14ac:dyDescent="0.35">
      <c r="A33" s="4">
        <f t="shared" si="1"/>
        <v>18</v>
      </c>
      <c r="B33" s="1010">
        <v>359</v>
      </c>
      <c r="C33" s="242" t="s">
        <v>443</v>
      </c>
      <c r="D33" s="1017">
        <v>6447.2694000000001</v>
      </c>
      <c r="E33" s="1017"/>
      <c r="F33" s="1017"/>
      <c r="G33" s="1017">
        <v>0</v>
      </c>
      <c r="H33" s="241">
        <f t="shared" si="6"/>
        <v>6447.2694000000001</v>
      </c>
      <c r="I33" s="1017">
        <v>0</v>
      </c>
      <c r="J33" s="241">
        <f t="shared" si="5"/>
        <v>6447.2694000000001</v>
      </c>
      <c r="K33" s="995" t="s">
        <v>372</v>
      </c>
      <c r="L33" s="4">
        <f t="shared" si="2"/>
        <v>18</v>
      </c>
    </row>
    <row r="34" spans="1:14" x14ac:dyDescent="0.35">
      <c r="A34" s="4">
        <f t="shared" si="1"/>
        <v>19</v>
      </c>
      <c r="B34" s="1034"/>
      <c r="C34" s="242"/>
      <c r="D34" s="241" t="s">
        <v>1</v>
      </c>
      <c r="E34" s="98"/>
      <c r="F34" s="98"/>
      <c r="G34" s="6"/>
      <c r="H34" s="98"/>
      <c r="I34" s="98"/>
      <c r="J34" s="98"/>
      <c r="K34" s="1010"/>
      <c r="L34" s="4">
        <f t="shared" si="2"/>
        <v>19</v>
      </c>
    </row>
    <row r="35" spans="1:14" x14ac:dyDescent="0.35">
      <c r="A35" s="4">
        <f t="shared" si="1"/>
        <v>20</v>
      </c>
      <c r="B35" s="1018" t="s">
        <v>435</v>
      </c>
      <c r="C35" s="1013" t="s">
        <v>405</v>
      </c>
      <c r="D35" s="1014">
        <f t="shared" ref="D35:J35" si="7">SUM(D25:D34)</f>
        <v>224326.4013</v>
      </c>
      <c r="E35" s="1014">
        <f t="shared" si="7"/>
        <v>0</v>
      </c>
      <c r="F35" s="1014">
        <f t="shared" si="7"/>
        <v>-551.95308999999997</v>
      </c>
      <c r="G35" s="244">
        <f t="shared" si="7"/>
        <v>-2676.5673890039998</v>
      </c>
      <c r="H35" s="1014">
        <f t="shared" si="7"/>
        <v>221097.88082099601</v>
      </c>
      <c r="I35" s="1014">
        <f t="shared" si="7"/>
        <v>0</v>
      </c>
      <c r="J35" s="1014">
        <f t="shared" si="7"/>
        <v>221097.88082099601</v>
      </c>
      <c r="K35" s="1019" t="s">
        <v>859</v>
      </c>
      <c r="L35" s="4">
        <f t="shared" si="2"/>
        <v>20</v>
      </c>
    </row>
    <row r="36" spans="1:14" x14ac:dyDescent="0.35">
      <c r="A36" s="4">
        <f t="shared" si="1"/>
        <v>21</v>
      </c>
      <c r="B36" s="342"/>
      <c r="D36" s="34"/>
      <c r="E36" s="6"/>
      <c r="F36" s="6"/>
      <c r="G36" s="6"/>
      <c r="H36" s="6"/>
      <c r="I36" s="6"/>
      <c r="J36" s="6"/>
      <c r="K36" s="443"/>
      <c r="L36" s="4">
        <f t="shared" si="2"/>
        <v>21</v>
      </c>
    </row>
    <row r="37" spans="1:14" x14ac:dyDescent="0.35">
      <c r="A37" s="4">
        <f t="shared" si="1"/>
        <v>22</v>
      </c>
      <c r="B37" s="343" t="s">
        <v>445</v>
      </c>
      <c r="C37" s="1020"/>
      <c r="D37" s="595">
        <f t="shared" ref="D37:J37" si="8">D35+D23</f>
        <v>224326.4013</v>
      </c>
      <c r="E37" s="595">
        <f t="shared" si="8"/>
        <v>56.690404999999998</v>
      </c>
      <c r="F37" s="595">
        <f t="shared" si="8"/>
        <v>-551.95308999999997</v>
      </c>
      <c r="G37" s="66">
        <f t="shared" si="8"/>
        <v>-2676.5673890039998</v>
      </c>
      <c r="H37" s="595">
        <f t="shared" si="8"/>
        <v>221154.57122599601</v>
      </c>
      <c r="I37" s="595">
        <f t="shared" si="8"/>
        <v>15.744</v>
      </c>
      <c r="J37" s="595">
        <f t="shared" si="8"/>
        <v>221170.31522599602</v>
      </c>
      <c r="K37" s="1015" t="s">
        <v>860</v>
      </c>
      <c r="L37" s="4">
        <f t="shared" si="2"/>
        <v>22</v>
      </c>
    </row>
    <row r="38" spans="1:14" x14ac:dyDescent="0.35">
      <c r="D38" s="34"/>
      <c r="E38" s="6"/>
      <c r="F38" s="6"/>
      <c r="G38" s="6"/>
      <c r="H38" s="6"/>
      <c r="I38" s="6"/>
      <c r="J38" s="6"/>
    </row>
    <row r="39" spans="1:14" x14ac:dyDescent="0.35">
      <c r="D39" s="34"/>
      <c r="E39" s="6"/>
      <c r="F39" s="6"/>
      <c r="G39" s="6"/>
      <c r="H39" s="6"/>
      <c r="I39" s="6"/>
      <c r="J39" s="6"/>
    </row>
    <row r="40" spans="1:14" x14ac:dyDescent="0.35">
      <c r="B40" s="34" t="s">
        <v>861</v>
      </c>
      <c r="D40" s="2"/>
      <c r="E40" s="6"/>
      <c r="F40" s="6"/>
      <c r="G40" s="6"/>
      <c r="H40" s="6"/>
      <c r="I40" s="6"/>
      <c r="J40" s="6"/>
    </row>
    <row r="41" spans="1:14" x14ac:dyDescent="0.35">
      <c r="D41" s="34"/>
    </row>
    <row r="42" spans="1:14" ht="18" x14ac:dyDescent="0.35">
      <c r="A42" s="276">
        <v>1</v>
      </c>
      <c r="B42" s="34" t="s">
        <v>862</v>
      </c>
      <c r="D42" s="34"/>
    </row>
    <row r="43" spans="1:14" ht="18" x14ac:dyDescent="0.35">
      <c r="A43" s="276">
        <v>2</v>
      </c>
      <c r="B43" s="34" t="s">
        <v>863</v>
      </c>
      <c r="D43" s="34"/>
    </row>
    <row r="44" spans="1:14" s="123" customFormat="1" x14ac:dyDescent="0.35">
      <c r="A44" s="4"/>
      <c r="B44" s="34" t="s">
        <v>864</v>
      </c>
      <c r="C44" s="34"/>
      <c r="D44" s="34"/>
      <c r="K44" s="6"/>
      <c r="L44" s="4"/>
      <c r="M44" s="34"/>
      <c r="N44" s="34"/>
    </row>
    <row r="45" spans="1:14" s="123" customFormat="1" ht="18" x14ac:dyDescent="0.35">
      <c r="A45" s="276">
        <v>3</v>
      </c>
      <c r="B45" s="34" t="s">
        <v>865</v>
      </c>
      <c r="C45" s="34"/>
      <c r="D45" s="34"/>
      <c r="G45" s="444"/>
      <c r="K45" s="6"/>
      <c r="L45" s="4"/>
      <c r="M45" s="34"/>
      <c r="N45" s="34"/>
    </row>
    <row r="46" spans="1:14" s="123" customFormat="1" x14ac:dyDescent="0.35">
      <c r="A46" s="4"/>
      <c r="B46" s="34" t="s">
        <v>866</v>
      </c>
      <c r="C46" s="34"/>
      <c r="D46" s="34"/>
      <c r="K46" s="6"/>
      <c r="L46" s="4"/>
      <c r="M46" s="34"/>
      <c r="N46" s="34"/>
    </row>
    <row r="47" spans="1:14" s="123" customFormat="1" x14ac:dyDescent="0.35">
      <c r="A47" s="4"/>
      <c r="B47" s="34" t="s">
        <v>867</v>
      </c>
      <c r="C47" s="34"/>
      <c r="D47" s="34"/>
      <c r="K47" s="6"/>
      <c r="L47" s="4"/>
      <c r="M47" s="34"/>
      <c r="N47" s="34"/>
    </row>
    <row r="48" spans="1:14" s="123" customFormat="1" x14ac:dyDescent="0.35">
      <c r="A48" s="4"/>
      <c r="B48" s="34"/>
      <c r="C48" s="34"/>
      <c r="D48" s="34"/>
      <c r="K48" s="6"/>
      <c r="L48" s="4"/>
      <c r="M48" s="34"/>
      <c r="N48" s="34"/>
    </row>
    <row r="49" spans="1:14" s="123" customFormat="1" x14ac:dyDescent="0.35">
      <c r="A49" s="4"/>
      <c r="B49" s="34"/>
      <c r="C49" s="34"/>
      <c r="D49" s="34"/>
      <c r="K49" s="6"/>
      <c r="L49" s="4"/>
      <c r="M49" s="34"/>
      <c r="N49" s="34"/>
    </row>
    <row r="50" spans="1:14" s="123" customFormat="1" x14ac:dyDescent="0.35">
      <c r="A50" s="4"/>
      <c r="B50" s="34"/>
      <c r="C50" s="34"/>
      <c r="D50" s="34"/>
      <c r="K50" s="6"/>
      <c r="L50" s="4"/>
      <c r="M50" s="34"/>
      <c r="N50" s="34"/>
    </row>
    <row r="51" spans="1:14" s="123" customFormat="1" x14ac:dyDescent="0.35">
      <c r="A51" s="4"/>
      <c r="B51" s="34"/>
      <c r="C51" s="34"/>
      <c r="D51" s="34"/>
      <c r="K51" s="6"/>
      <c r="L51" s="4"/>
      <c r="M51" s="34"/>
      <c r="N51" s="34"/>
    </row>
    <row r="52" spans="1:14" s="123" customFormat="1" x14ac:dyDescent="0.35">
      <c r="A52" s="4"/>
      <c r="B52" s="34"/>
      <c r="C52" s="34"/>
      <c r="D52" s="34"/>
      <c r="K52" s="6"/>
      <c r="L52" s="4"/>
      <c r="M52" s="34"/>
      <c r="N52" s="34"/>
    </row>
    <row r="53" spans="1:14" s="123" customFormat="1" x14ac:dyDescent="0.35">
      <c r="A53" s="4"/>
      <c r="B53" s="34"/>
      <c r="C53" s="34"/>
      <c r="D53" s="34"/>
      <c r="K53" s="6"/>
      <c r="L53" s="4"/>
      <c r="M53" s="34"/>
      <c r="N53" s="34"/>
    </row>
    <row r="54" spans="1:14" s="123" customFormat="1" x14ac:dyDescent="0.35">
      <c r="A54" s="4"/>
      <c r="B54" s="34"/>
      <c r="C54" s="34"/>
      <c r="D54" s="34"/>
      <c r="K54" s="6"/>
      <c r="L54" s="4"/>
      <c r="M54" s="34"/>
      <c r="N54" s="34"/>
    </row>
    <row r="55" spans="1:14" s="123" customFormat="1" x14ac:dyDescent="0.35">
      <c r="A55" s="4"/>
      <c r="B55" s="34"/>
      <c r="C55" s="34"/>
      <c r="D55" s="34"/>
      <c r="K55" s="6"/>
      <c r="L55" s="4"/>
      <c r="M55" s="34"/>
      <c r="N55" s="34"/>
    </row>
    <row r="56" spans="1:14" s="123" customFormat="1" x14ac:dyDescent="0.35">
      <c r="A56" s="4"/>
      <c r="B56" s="34"/>
      <c r="C56" s="34"/>
      <c r="D56" s="34"/>
      <c r="K56" s="6"/>
      <c r="L56" s="4"/>
      <c r="M56" s="34"/>
      <c r="N56" s="34"/>
    </row>
    <row r="57" spans="1:14" s="123" customFormat="1" x14ac:dyDescent="0.35">
      <c r="A57" s="4"/>
      <c r="B57" s="34"/>
      <c r="C57" s="34"/>
      <c r="D57" s="34"/>
      <c r="K57" s="6"/>
      <c r="L57" s="4"/>
      <c r="M57" s="34"/>
      <c r="N57" s="34"/>
    </row>
    <row r="58" spans="1:14" s="123" customFormat="1" x14ac:dyDescent="0.35">
      <c r="A58" s="4"/>
      <c r="B58" s="34"/>
      <c r="C58" s="34"/>
      <c r="D58" s="34"/>
      <c r="K58" s="6"/>
      <c r="L58" s="4"/>
      <c r="M58" s="34"/>
      <c r="N58" s="34"/>
    </row>
    <row r="59" spans="1:14" s="123" customFormat="1" x14ac:dyDescent="0.35">
      <c r="A59" s="4"/>
      <c r="B59" s="34"/>
      <c r="C59" s="34"/>
      <c r="D59" s="34"/>
      <c r="K59" s="6"/>
      <c r="L59" s="4"/>
      <c r="M59" s="34"/>
      <c r="N59" s="34"/>
    </row>
    <row r="60" spans="1:14" s="123" customFormat="1" x14ac:dyDescent="0.35">
      <c r="A60" s="4"/>
      <c r="B60" s="34"/>
      <c r="C60" s="34"/>
      <c r="D60" s="34"/>
      <c r="K60" s="6"/>
      <c r="L60" s="4"/>
      <c r="M60" s="34"/>
      <c r="N60" s="34"/>
    </row>
    <row r="61" spans="1:14" s="123" customFormat="1" x14ac:dyDescent="0.35">
      <c r="A61" s="4"/>
      <c r="B61" s="34"/>
      <c r="C61" s="34"/>
      <c r="D61" s="34"/>
      <c r="K61" s="6"/>
      <c r="L61" s="4"/>
      <c r="M61" s="34"/>
      <c r="N61" s="34"/>
    </row>
    <row r="62" spans="1:14" s="123" customFormat="1" x14ac:dyDescent="0.35">
      <c r="A62" s="4"/>
      <c r="B62" s="34"/>
      <c r="C62" s="34"/>
      <c r="D62" s="34"/>
      <c r="K62" s="6"/>
      <c r="L62" s="4"/>
      <c r="M62" s="34"/>
      <c r="N62" s="34"/>
    </row>
    <row r="63" spans="1:14" s="123" customFormat="1" x14ac:dyDescent="0.35">
      <c r="A63" s="4"/>
      <c r="B63" s="34"/>
      <c r="C63" s="34"/>
      <c r="D63" s="34"/>
      <c r="K63" s="6"/>
      <c r="L63" s="4"/>
      <c r="M63" s="34"/>
      <c r="N63" s="34"/>
    </row>
    <row r="64" spans="1:14" s="123" customFormat="1" x14ac:dyDescent="0.35">
      <c r="A64" s="4"/>
      <c r="B64" s="34"/>
      <c r="C64" s="34"/>
      <c r="D64" s="34"/>
      <c r="K64" s="6"/>
      <c r="L64" s="4"/>
      <c r="M64" s="34"/>
      <c r="N64" s="34"/>
    </row>
    <row r="65" spans="1:14" s="123" customFormat="1" x14ac:dyDescent="0.35">
      <c r="A65" s="4"/>
      <c r="B65" s="34"/>
      <c r="C65" s="34"/>
      <c r="D65" s="34"/>
      <c r="K65" s="6"/>
      <c r="L65" s="4"/>
      <c r="M65" s="34"/>
      <c r="N65" s="34"/>
    </row>
    <row r="66" spans="1:14" s="123" customFormat="1" x14ac:dyDescent="0.35">
      <c r="A66" s="4"/>
      <c r="B66" s="34"/>
      <c r="C66" s="34"/>
      <c r="D66" s="34"/>
      <c r="K66" s="6"/>
      <c r="L66" s="4"/>
      <c r="M66" s="34"/>
      <c r="N66" s="34"/>
    </row>
    <row r="67" spans="1:14" s="123" customFormat="1" x14ac:dyDescent="0.35">
      <c r="A67" s="4"/>
      <c r="B67" s="34"/>
      <c r="C67" s="34"/>
      <c r="D67" s="34"/>
      <c r="K67" s="6"/>
      <c r="L67" s="4"/>
      <c r="M67" s="34"/>
      <c r="N67" s="34"/>
    </row>
    <row r="68" spans="1:14" s="123" customFormat="1" x14ac:dyDescent="0.35">
      <c r="A68" s="4"/>
      <c r="B68" s="34"/>
      <c r="C68" s="34"/>
      <c r="D68" s="34"/>
      <c r="K68" s="6"/>
      <c r="L68" s="4"/>
      <c r="M68" s="34"/>
      <c r="N68" s="34"/>
    </row>
    <row r="69" spans="1:14" s="123" customFormat="1" x14ac:dyDescent="0.35">
      <c r="A69" s="4"/>
      <c r="B69" s="34"/>
      <c r="C69" s="34"/>
      <c r="D69" s="34"/>
      <c r="K69" s="6"/>
      <c r="L69" s="4"/>
      <c r="M69" s="34"/>
      <c r="N69" s="34"/>
    </row>
    <row r="70" spans="1:14" s="123" customFormat="1" x14ac:dyDescent="0.35">
      <c r="A70" s="4"/>
      <c r="B70" s="34"/>
      <c r="C70" s="34"/>
      <c r="D70" s="34"/>
      <c r="K70" s="6"/>
      <c r="L70" s="4"/>
      <c r="M70" s="34"/>
      <c r="N70" s="34"/>
    </row>
    <row r="71" spans="1:14" s="123" customFormat="1" x14ac:dyDescent="0.35">
      <c r="A71" s="4"/>
      <c r="B71" s="34"/>
      <c r="C71" s="34"/>
      <c r="D71" s="34"/>
      <c r="K71" s="6"/>
      <c r="L71" s="4"/>
      <c r="M71" s="34"/>
      <c r="N71" s="34"/>
    </row>
    <row r="72" spans="1:14" s="123" customFormat="1" x14ac:dyDescent="0.35">
      <c r="A72" s="4"/>
      <c r="B72" s="34"/>
      <c r="C72" s="34"/>
      <c r="D72" s="34"/>
      <c r="K72" s="6"/>
      <c r="L72" s="4"/>
      <c r="M72" s="34"/>
      <c r="N72" s="34"/>
    </row>
    <row r="73" spans="1:14" s="123" customFormat="1" x14ac:dyDescent="0.35">
      <c r="A73" s="4"/>
      <c r="B73" s="34"/>
      <c r="C73" s="34"/>
      <c r="D73" s="34"/>
      <c r="K73" s="6"/>
      <c r="L73" s="4"/>
      <c r="M73" s="34"/>
      <c r="N73" s="34"/>
    </row>
    <row r="74" spans="1:14" s="123" customFormat="1" x14ac:dyDescent="0.35">
      <c r="A74" s="4"/>
      <c r="B74" s="34"/>
      <c r="C74" s="34"/>
      <c r="D74" s="34"/>
      <c r="K74" s="6"/>
      <c r="L74" s="4"/>
      <c r="M74" s="34"/>
      <c r="N74" s="34"/>
    </row>
    <row r="75" spans="1:14" s="123" customFormat="1" x14ac:dyDescent="0.35">
      <c r="A75" s="4"/>
      <c r="B75" s="34"/>
      <c r="C75" s="34"/>
      <c r="D75" s="34"/>
      <c r="K75" s="6"/>
      <c r="L75" s="4"/>
      <c r="M75" s="34"/>
      <c r="N75" s="34"/>
    </row>
    <row r="76" spans="1:14" s="123" customFormat="1" x14ac:dyDescent="0.35">
      <c r="A76" s="4"/>
      <c r="B76" s="34"/>
      <c r="C76" s="34"/>
      <c r="D76" s="34"/>
      <c r="K76" s="6"/>
      <c r="L76" s="4"/>
      <c r="M76" s="34"/>
      <c r="N76" s="34"/>
    </row>
    <row r="77" spans="1:14" s="123" customFormat="1" x14ac:dyDescent="0.35">
      <c r="A77" s="4"/>
      <c r="B77" s="34"/>
      <c r="C77" s="34"/>
      <c r="D77" s="34"/>
      <c r="K77" s="6"/>
      <c r="L77" s="4"/>
      <c r="M77" s="34"/>
      <c r="N77" s="34"/>
    </row>
    <row r="78" spans="1:14" s="123" customFormat="1" x14ac:dyDescent="0.35">
      <c r="A78" s="4"/>
      <c r="B78" s="34"/>
      <c r="C78" s="34"/>
      <c r="D78" s="34"/>
      <c r="K78" s="6"/>
      <c r="L78" s="4"/>
      <c r="M78" s="34"/>
      <c r="N78" s="34"/>
    </row>
    <row r="79" spans="1:14" s="123" customFormat="1" x14ac:dyDescent="0.35">
      <c r="A79" s="4"/>
      <c r="B79" s="34"/>
      <c r="C79" s="34"/>
      <c r="D79" s="34"/>
      <c r="K79" s="6"/>
      <c r="L79" s="4"/>
      <c r="M79" s="34"/>
      <c r="N79" s="34"/>
    </row>
    <row r="80" spans="1:14" s="123" customFormat="1" x14ac:dyDescent="0.35">
      <c r="A80" s="4"/>
      <c r="B80" s="34"/>
      <c r="C80" s="34"/>
      <c r="D80" s="34"/>
      <c r="K80" s="6"/>
      <c r="L80" s="4"/>
      <c r="M80" s="34"/>
      <c r="N80" s="34"/>
    </row>
    <row r="81" spans="1:14" s="123" customFormat="1" x14ac:dyDescent="0.35">
      <c r="A81" s="4"/>
      <c r="B81" s="34"/>
      <c r="C81" s="34"/>
      <c r="D81" s="34"/>
      <c r="K81" s="6"/>
      <c r="L81" s="4"/>
      <c r="M81" s="34"/>
      <c r="N81" s="34"/>
    </row>
    <row r="82" spans="1:14" s="123" customFormat="1" x14ac:dyDescent="0.35">
      <c r="A82" s="4"/>
      <c r="B82" s="34"/>
      <c r="C82" s="34"/>
      <c r="D82" s="34"/>
      <c r="K82" s="6"/>
      <c r="L82" s="4"/>
      <c r="M82" s="34"/>
      <c r="N82" s="34"/>
    </row>
    <row r="83" spans="1:14" s="123" customFormat="1" x14ac:dyDescent="0.35">
      <c r="A83" s="4"/>
      <c r="B83" s="34"/>
      <c r="C83" s="34"/>
      <c r="D83" s="34"/>
      <c r="K83" s="6"/>
      <c r="L83" s="4"/>
      <c r="M83" s="34"/>
      <c r="N83" s="34"/>
    </row>
    <row r="84" spans="1:14" s="123" customFormat="1" x14ac:dyDescent="0.35">
      <c r="A84" s="4"/>
      <c r="B84" s="34"/>
      <c r="C84" s="34"/>
      <c r="D84" s="34"/>
      <c r="K84" s="6"/>
      <c r="L84" s="4"/>
      <c r="M84" s="34"/>
      <c r="N84" s="34"/>
    </row>
    <row r="85" spans="1:14" s="123" customFormat="1" x14ac:dyDescent="0.35">
      <c r="A85" s="4"/>
      <c r="B85" s="34"/>
      <c r="C85" s="34"/>
      <c r="D85" s="34"/>
      <c r="K85" s="6"/>
      <c r="L85" s="4"/>
      <c r="M85" s="34"/>
      <c r="N85" s="34"/>
    </row>
    <row r="86" spans="1:14" s="123" customFormat="1" x14ac:dyDescent="0.35">
      <c r="A86" s="4"/>
      <c r="B86" s="34"/>
      <c r="C86" s="34"/>
      <c r="D86" s="34"/>
      <c r="K86" s="6"/>
      <c r="L86" s="4"/>
      <c r="M86" s="34"/>
      <c r="N86" s="34"/>
    </row>
    <row r="87" spans="1:14" s="123" customFormat="1" x14ac:dyDescent="0.35">
      <c r="A87" s="4"/>
      <c r="B87" s="34"/>
      <c r="C87" s="34"/>
      <c r="D87" s="34"/>
      <c r="K87" s="6"/>
      <c r="L87" s="4"/>
      <c r="M87" s="34"/>
      <c r="N87" s="34"/>
    </row>
    <row r="88" spans="1:14" s="123" customFormat="1" x14ac:dyDescent="0.35">
      <c r="A88" s="4"/>
      <c r="B88" s="34"/>
      <c r="C88" s="34"/>
      <c r="D88" s="34"/>
      <c r="K88" s="6"/>
      <c r="L88" s="4"/>
      <c r="M88" s="34"/>
      <c r="N88" s="34"/>
    </row>
    <row r="89" spans="1:14" s="123" customFormat="1" x14ac:dyDescent="0.35">
      <c r="A89" s="4"/>
      <c r="B89" s="34"/>
      <c r="C89" s="34"/>
      <c r="D89" s="34"/>
      <c r="K89" s="6"/>
      <c r="L89" s="4"/>
      <c r="M89" s="34"/>
      <c r="N89" s="34"/>
    </row>
    <row r="90" spans="1:14" s="123" customFormat="1" x14ac:dyDescent="0.35">
      <c r="A90" s="4"/>
      <c r="B90" s="34"/>
      <c r="C90" s="34"/>
      <c r="D90" s="34"/>
      <c r="K90" s="6"/>
      <c r="L90" s="4"/>
      <c r="M90" s="34"/>
      <c r="N90" s="34"/>
    </row>
    <row r="91" spans="1:14" s="123" customFormat="1" x14ac:dyDescent="0.35">
      <c r="A91" s="4"/>
      <c r="B91" s="34"/>
      <c r="C91" s="34"/>
      <c r="D91" s="34"/>
      <c r="K91" s="6"/>
      <c r="L91" s="4"/>
      <c r="M91" s="34"/>
      <c r="N91" s="34"/>
    </row>
    <row r="92" spans="1:14" s="123" customFormat="1" x14ac:dyDescent="0.35">
      <c r="A92" s="4"/>
      <c r="B92" s="34"/>
      <c r="C92" s="34"/>
      <c r="D92" s="34"/>
      <c r="K92" s="6"/>
      <c r="L92" s="4"/>
      <c r="M92" s="34"/>
      <c r="N92" s="34"/>
    </row>
    <row r="93" spans="1:14" s="123" customFormat="1" x14ac:dyDescent="0.35">
      <c r="A93" s="4"/>
      <c r="B93" s="34"/>
      <c r="C93" s="34"/>
      <c r="D93" s="34"/>
      <c r="K93" s="6"/>
      <c r="L93" s="4"/>
      <c r="M93" s="34"/>
      <c r="N93" s="34"/>
    </row>
    <row r="94" spans="1:14" s="123" customFormat="1" x14ac:dyDescent="0.35">
      <c r="A94" s="4"/>
      <c r="B94" s="34"/>
      <c r="C94" s="34"/>
      <c r="D94" s="34"/>
      <c r="K94" s="6"/>
      <c r="L94" s="4"/>
      <c r="M94" s="34"/>
      <c r="N94" s="34"/>
    </row>
    <row r="95" spans="1:14" s="123" customFormat="1" x14ac:dyDescent="0.35">
      <c r="A95" s="4"/>
      <c r="B95" s="34"/>
      <c r="C95" s="34"/>
      <c r="D95" s="34"/>
      <c r="K95" s="6"/>
      <c r="L95" s="4"/>
      <c r="M95" s="34"/>
      <c r="N95" s="34"/>
    </row>
    <row r="96" spans="1:14" s="123" customFormat="1" x14ac:dyDescent="0.35">
      <c r="A96" s="4"/>
      <c r="B96" s="34"/>
      <c r="C96" s="34"/>
      <c r="D96" s="34"/>
      <c r="K96" s="6"/>
      <c r="L96" s="4"/>
      <c r="M96" s="34"/>
      <c r="N96" s="34"/>
    </row>
    <row r="97" spans="1:14" s="123" customFormat="1" x14ac:dyDescent="0.35">
      <c r="A97" s="4"/>
      <c r="B97" s="34"/>
      <c r="C97" s="34"/>
      <c r="D97" s="34"/>
      <c r="K97" s="6"/>
      <c r="L97" s="4"/>
      <c r="M97" s="34"/>
      <c r="N97" s="34"/>
    </row>
    <row r="98" spans="1:14" s="123" customFormat="1" x14ac:dyDescent="0.35">
      <c r="A98" s="4"/>
      <c r="B98" s="34"/>
      <c r="C98" s="34"/>
      <c r="D98" s="34"/>
      <c r="K98" s="6"/>
      <c r="L98" s="4"/>
      <c r="M98" s="34"/>
      <c r="N98" s="34"/>
    </row>
    <row r="99" spans="1:14" s="123" customFormat="1" x14ac:dyDescent="0.35">
      <c r="A99" s="4"/>
      <c r="B99" s="34"/>
      <c r="C99" s="34"/>
      <c r="D99" s="34"/>
      <c r="K99" s="6"/>
      <c r="L99" s="4"/>
      <c r="M99" s="34"/>
      <c r="N99" s="34"/>
    </row>
    <row r="100" spans="1:14" s="123" customFormat="1" x14ac:dyDescent="0.35">
      <c r="A100" s="4"/>
      <c r="B100" s="34"/>
      <c r="C100" s="34"/>
      <c r="D100" s="34"/>
      <c r="K100" s="6"/>
      <c r="L100" s="4"/>
      <c r="M100" s="34"/>
      <c r="N100" s="34"/>
    </row>
    <row r="101" spans="1:14" s="123" customFormat="1" x14ac:dyDescent="0.35">
      <c r="A101" s="4"/>
      <c r="B101" s="34"/>
      <c r="C101" s="34"/>
      <c r="D101" s="34"/>
      <c r="K101" s="6"/>
      <c r="L101" s="4"/>
      <c r="M101" s="34"/>
      <c r="N101" s="34"/>
    </row>
    <row r="102" spans="1:14" s="123" customFormat="1" x14ac:dyDescent="0.35">
      <c r="A102" s="4"/>
      <c r="B102" s="34"/>
      <c r="C102" s="34"/>
      <c r="D102" s="34"/>
      <c r="K102" s="6"/>
      <c r="L102" s="4"/>
      <c r="M102" s="34"/>
      <c r="N102" s="34"/>
    </row>
    <row r="103" spans="1:14" s="123" customFormat="1" x14ac:dyDescent="0.35">
      <c r="A103" s="4"/>
      <c r="B103" s="34"/>
      <c r="C103" s="34"/>
      <c r="D103" s="34"/>
      <c r="K103" s="6"/>
      <c r="L103" s="4"/>
      <c r="M103" s="34"/>
      <c r="N103" s="34"/>
    </row>
    <row r="104" spans="1:14" s="123" customFormat="1" x14ac:dyDescent="0.35">
      <c r="A104" s="4"/>
      <c r="B104" s="34"/>
      <c r="C104" s="34"/>
      <c r="D104" s="34"/>
      <c r="K104" s="6"/>
      <c r="L104" s="4"/>
      <c r="M104" s="34"/>
      <c r="N104" s="34"/>
    </row>
    <row r="105" spans="1:14" s="123" customFormat="1" x14ac:dyDescent="0.35">
      <c r="A105" s="4"/>
      <c r="B105" s="34"/>
      <c r="C105" s="34"/>
      <c r="D105" s="34"/>
      <c r="K105" s="6"/>
      <c r="L105" s="4"/>
      <c r="M105" s="34"/>
      <c r="N105" s="34"/>
    </row>
    <row r="106" spans="1:14" s="123" customFormat="1" x14ac:dyDescent="0.35">
      <c r="A106" s="4"/>
      <c r="B106" s="34"/>
      <c r="C106" s="34"/>
      <c r="D106" s="34"/>
      <c r="K106" s="6"/>
      <c r="L106" s="4"/>
      <c r="M106" s="34"/>
      <c r="N106" s="34"/>
    </row>
    <row r="107" spans="1:14" s="123" customFormat="1" x14ac:dyDescent="0.35">
      <c r="A107" s="4"/>
      <c r="B107" s="34"/>
      <c r="C107" s="34"/>
      <c r="D107" s="34"/>
      <c r="K107" s="6"/>
      <c r="L107" s="4"/>
      <c r="M107" s="34"/>
      <c r="N107" s="34"/>
    </row>
    <row r="108" spans="1:14" s="123" customFormat="1" x14ac:dyDescent="0.35">
      <c r="A108" s="4"/>
      <c r="B108" s="34"/>
      <c r="C108" s="34"/>
      <c r="D108" s="34"/>
      <c r="K108" s="6"/>
      <c r="L108" s="4"/>
      <c r="M108" s="34"/>
      <c r="N108" s="34"/>
    </row>
    <row r="109" spans="1:14" s="123" customFormat="1" x14ac:dyDescent="0.35">
      <c r="A109" s="4"/>
      <c r="B109" s="34"/>
      <c r="C109" s="34"/>
      <c r="D109" s="34"/>
      <c r="K109" s="6"/>
      <c r="L109" s="4"/>
      <c r="M109" s="34"/>
      <c r="N109" s="34"/>
    </row>
    <row r="110" spans="1:14" s="123" customFormat="1" x14ac:dyDescent="0.35">
      <c r="A110" s="4"/>
      <c r="B110" s="34"/>
      <c r="C110" s="34"/>
      <c r="D110" s="34"/>
      <c r="K110" s="6"/>
      <c r="L110" s="4"/>
      <c r="M110" s="34"/>
      <c r="N110" s="34"/>
    </row>
    <row r="111" spans="1:14" s="123" customFormat="1" x14ac:dyDescent="0.35">
      <c r="A111" s="4"/>
      <c r="B111" s="34"/>
      <c r="C111" s="34"/>
      <c r="D111" s="34"/>
      <c r="K111" s="6"/>
      <c r="L111" s="4"/>
      <c r="M111" s="34"/>
      <c r="N111" s="34"/>
    </row>
    <row r="112" spans="1:14" s="123" customFormat="1" x14ac:dyDescent="0.35">
      <c r="A112" s="4"/>
      <c r="B112" s="34"/>
      <c r="C112" s="34"/>
      <c r="D112" s="34"/>
      <c r="K112" s="6"/>
      <c r="L112" s="4"/>
      <c r="M112" s="34"/>
      <c r="N112" s="34"/>
    </row>
    <row r="113" spans="1:14" s="123" customFormat="1" x14ac:dyDescent="0.35">
      <c r="A113" s="4"/>
      <c r="B113" s="34"/>
      <c r="C113" s="34"/>
      <c r="D113" s="34"/>
      <c r="K113" s="6"/>
      <c r="L113" s="4"/>
      <c r="M113" s="34"/>
      <c r="N113" s="34"/>
    </row>
    <row r="114" spans="1:14" s="123" customFormat="1" x14ac:dyDescent="0.35">
      <c r="A114" s="4"/>
      <c r="B114" s="34"/>
      <c r="C114" s="34"/>
      <c r="D114" s="34"/>
      <c r="K114" s="6"/>
      <c r="L114" s="4"/>
      <c r="M114" s="34"/>
      <c r="N114" s="34"/>
    </row>
    <row r="115" spans="1:14" s="123" customFormat="1" x14ac:dyDescent="0.35">
      <c r="A115" s="4"/>
      <c r="B115" s="34"/>
      <c r="C115" s="34"/>
      <c r="D115" s="34"/>
      <c r="K115" s="6"/>
      <c r="L115" s="4"/>
      <c r="M115" s="34"/>
      <c r="N115" s="34"/>
    </row>
    <row r="116" spans="1:14" s="123" customFormat="1" x14ac:dyDescent="0.35">
      <c r="A116" s="4"/>
      <c r="B116" s="34"/>
      <c r="C116" s="34"/>
      <c r="D116" s="34"/>
      <c r="K116" s="6"/>
      <c r="L116" s="4"/>
      <c r="M116" s="34"/>
      <c r="N116" s="34"/>
    </row>
    <row r="117" spans="1:14" s="123" customFormat="1" x14ac:dyDescent="0.35">
      <c r="A117" s="4"/>
      <c r="B117" s="34"/>
      <c r="C117" s="34"/>
      <c r="D117" s="34"/>
      <c r="K117" s="6"/>
      <c r="L117" s="4"/>
      <c r="M117" s="34"/>
      <c r="N117" s="34"/>
    </row>
    <row r="118" spans="1:14" s="123" customFormat="1" x14ac:dyDescent="0.35">
      <c r="A118" s="4"/>
      <c r="B118" s="34"/>
      <c r="C118" s="34"/>
      <c r="D118" s="34"/>
      <c r="K118" s="6"/>
      <c r="L118" s="4"/>
      <c r="M118" s="34"/>
      <c r="N118" s="34"/>
    </row>
    <row r="119" spans="1:14" s="123" customFormat="1" x14ac:dyDescent="0.35">
      <c r="A119" s="4"/>
      <c r="B119" s="34"/>
      <c r="C119" s="34"/>
      <c r="D119" s="34"/>
      <c r="K119" s="6"/>
      <c r="L119" s="4"/>
      <c r="M119" s="34"/>
      <c r="N119" s="34"/>
    </row>
    <row r="120" spans="1:14" s="123" customFormat="1" x14ac:dyDescent="0.35">
      <c r="A120" s="4"/>
      <c r="B120" s="34"/>
      <c r="C120" s="34"/>
      <c r="D120" s="34"/>
      <c r="K120" s="6"/>
      <c r="L120" s="4"/>
      <c r="M120" s="34"/>
      <c r="N120" s="34"/>
    </row>
    <row r="121" spans="1:14" s="123" customFormat="1" x14ac:dyDescent="0.35">
      <c r="A121" s="4"/>
      <c r="B121" s="34"/>
      <c r="C121" s="34"/>
      <c r="D121" s="34"/>
      <c r="K121" s="6"/>
      <c r="L121" s="4"/>
      <c r="M121" s="34"/>
      <c r="N121" s="34"/>
    </row>
    <row r="122" spans="1:14" s="123" customFormat="1" x14ac:dyDescent="0.35">
      <c r="A122" s="4"/>
      <c r="B122" s="34"/>
      <c r="C122" s="34"/>
      <c r="D122" s="34"/>
      <c r="K122" s="6"/>
      <c r="L122" s="4"/>
      <c r="M122" s="34"/>
      <c r="N122" s="34"/>
    </row>
    <row r="123" spans="1:14" s="123" customFormat="1" x14ac:dyDescent="0.35">
      <c r="A123" s="4"/>
      <c r="B123" s="34"/>
      <c r="C123" s="34"/>
      <c r="D123" s="34"/>
      <c r="K123" s="6"/>
      <c r="L123" s="4"/>
      <c r="M123" s="34"/>
      <c r="N123" s="34"/>
    </row>
    <row r="124" spans="1:14" s="123" customFormat="1" x14ac:dyDescent="0.35">
      <c r="A124" s="4"/>
      <c r="B124" s="34"/>
      <c r="C124" s="34"/>
      <c r="D124" s="34"/>
      <c r="K124" s="6"/>
      <c r="L124" s="4"/>
      <c r="M124" s="34"/>
      <c r="N124" s="34"/>
    </row>
    <row r="125" spans="1:14" s="123" customFormat="1" x14ac:dyDescent="0.35">
      <c r="A125" s="4"/>
      <c r="B125" s="34"/>
      <c r="C125" s="34"/>
      <c r="D125" s="34"/>
      <c r="K125" s="6"/>
      <c r="L125" s="4"/>
      <c r="M125" s="34"/>
      <c r="N125" s="34"/>
    </row>
    <row r="126" spans="1:14" s="123" customFormat="1" x14ac:dyDescent="0.35">
      <c r="A126" s="4"/>
      <c r="B126" s="34"/>
      <c r="C126" s="34"/>
      <c r="D126" s="34"/>
      <c r="K126" s="6"/>
      <c r="L126" s="4"/>
      <c r="M126" s="34"/>
      <c r="N126" s="34"/>
    </row>
    <row r="127" spans="1:14" s="123" customFormat="1" x14ac:dyDescent="0.35">
      <c r="A127" s="4"/>
      <c r="B127" s="34"/>
      <c r="C127" s="34"/>
      <c r="D127" s="34"/>
      <c r="K127" s="6"/>
      <c r="L127" s="4"/>
      <c r="M127" s="34"/>
      <c r="N127" s="34"/>
    </row>
    <row r="128" spans="1:14" s="123" customFormat="1" x14ac:dyDescent="0.35">
      <c r="A128" s="4"/>
      <c r="B128" s="34"/>
      <c r="C128" s="34"/>
      <c r="D128" s="34"/>
      <c r="K128" s="6"/>
      <c r="L128" s="4"/>
      <c r="M128" s="34"/>
      <c r="N128" s="34"/>
    </row>
    <row r="129" spans="1:14" s="123" customFormat="1" x14ac:dyDescent="0.35">
      <c r="A129" s="4"/>
      <c r="B129" s="34"/>
      <c r="C129" s="34"/>
      <c r="D129" s="34"/>
      <c r="K129" s="6"/>
      <c r="L129" s="4"/>
      <c r="M129" s="34"/>
      <c r="N129" s="34"/>
    </row>
    <row r="130" spans="1:14" s="123" customFormat="1" x14ac:dyDescent="0.35">
      <c r="A130" s="4"/>
      <c r="B130" s="34"/>
      <c r="C130" s="34"/>
      <c r="D130" s="34"/>
      <c r="K130" s="6"/>
      <c r="L130" s="4"/>
      <c r="M130" s="34"/>
      <c r="N130" s="34"/>
    </row>
    <row r="131" spans="1:14" s="123" customFormat="1" x14ac:dyDescent="0.35">
      <c r="A131" s="4"/>
      <c r="B131" s="34"/>
      <c r="C131" s="34"/>
      <c r="D131" s="34"/>
      <c r="K131" s="6"/>
      <c r="L131" s="4"/>
      <c r="M131" s="34"/>
      <c r="N131" s="34"/>
    </row>
    <row r="132" spans="1:14" s="123" customFormat="1" x14ac:dyDescent="0.35">
      <c r="A132" s="4"/>
      <c r="B132" s="34"/>
      <c r="C132" s="34"/>
      <c r="D132" s="34"/>
      <c r="K132" s="6"/>
      <c r="L132" s="4"/>
      <c r="M132" s="34"/>
      <c r="N132" s="34"/>
    </row>
    <row r="133" spans="1:14" s="123" customFormat="1" x14ac:dyDescent="0.35">
      <c r="A133" s="4"/>
      <c r="B133" s="34"/>
      <c r="C133" s="34"/>
      <c r="D133" s="34"/>
      <c r="K133" s="6"/>
      <c r="L133" s="4"/>
      <c r="M133" s="34"/>
      <c r="N133" s="34"/>
    </row>
    <row r="134" spans="1:14" s="123" customFormat="1" x14ac:dyDescent="0.35">
      <c r="A134" s="4"/>
      <c r="B134" s="34"/>
      <c r="C134" s="34"/>
      <c r="D134" s="34"/>
      <c r="K134" s="6"/>
      <c r="L134" s="4"/>
      <c r="M134" s="34"/>
      <c r="N134" s="34"/>
    </row>
    <row r="135" spans="1:14" s="123" customFormat="1" x14ac:dyDescent="0.35">
      <c r="A135" s="4"/>
      <c r="B135" s="34"/>
      <c r="C135" s="34"/>
      <c r="D135" s="34"/>
      <c r="K135" s="6"/>
      <c r="L135" s="4"/>
      <c r="M135" s="34"/>
      <c r="N135" s="34"/>
    </row>
    <row r="136" spans="1:14" s="123" customFormat="1" x14ac:dyDescent="0.35">
      <c r="A136" s="4"/>
      <c r="B136" s="34"/>
      <c r="C136" s="34"/>
      <c r="D136" s="34"/>
      <c r="K136" s="6"/>
      <c r="L136" s="4"/>
      <c r="M136" s="34"/>
      <c r="N136" s="34"/>
    </row>
    <row r="137" spans="1:14" s="123" customFormat="1" x14ac:dyDescent="0.35">
      <c r="A137" s="4"/>
      <c r="B137" s="34"/>
      <c r="C137" s="34"/>
      <c r="D137" s="34"/>
      <c r="K137" s="6"/>
      <c r="L137" s="4"/>
      <c r="M137" s="34"/>
      <c r="N137" s="34"/>
    </row>
    <row r="138" spans="1:14" s="123" customFormat="1" x14ac:dyDescent="0.35">
      <c r="A138" s="4"/>
      <c r="B138" s="34"/>
      <c r="C138" s="34"/>
      <c r="D138" s="34"/>
      <c r="K138" s="6"/>
      <c r="L138" s="4"/>
      <c r="M138" s="34"/>
      <c r="N138" s="34"/>
    </row>
    <row r="139" spans="1:14" s="123" customFormat="1" x14ac:dyDescent="0.35">
      <c r="A139" s="4"/>
      <c r="B139" s="34"/>
      <c r="C139" s="34"/>
      <c r="D139" s="34"/>
      <c r="K139" s="6"/>
      <c r="L139" s="4"/>
      <c r="M139" s="34"/>
      <c r="N139" s="34"/>
    </row>
    <row r="140" spans="1:14" s="123" customFormat="1" x14ac:dyDescent="0.35">
      <c r="A140" s="4"/>
      <c r="B140" s="34"/>
      <c r="C140" s="34"/>
      <c r="D140" s="34"/>
      <c r="K140" s="6"/>
      <c r="L140" s="4"/>
      <c r="M140" s="34"/>
      <c r="N140" s="34"/>
    </row>
    <row r="141" spans="1:14" s="123" customFormat="1" x14ac:dyDescent="0.35">
      <c r="A141" s="4"/>
      <c r="B141" s="34"/>
      <c r="C141" s="34"/>
      <c r="D141" s="34"/>
      <c r="K141" s="6"/>
      <c r="L141" s="4"/>
      <c r="M141" s="34"/>
      <c r="N141" s="34"/>
    </row>
    <row r="142" spans="1:14" s="123" customFormat="1" x14ac:dyDescent="0.35">
      <c r="A142" s="4"/>
      <c r="B142" s="34"/>
      <c r="C142" s="34"/>
      <c r="D142" s="34"/>
      <c r="K142" s="6"/>
      <c r="L142" s="4"/>
      <c r="M142" s="34"/>
      <c r="N142" s="34"/>
    </row>
    <row r="143" spans="1:14" s="123" customFormat="1" x14ac:dyDescent="0.35">
      <c r="A143" s="4"/>
      <c r="B143" s="34"/>
      <c r="C143" s="34"/>
      <c r="D143" s="34"/>
      <c r="K143" s="6"/>
      <c r="L143" s="4"/>
      <c r="M143" s="34"/>
      <c r="N143" s="34"/>
    </row>
    <row r="144" spans="1:14" s="123" customFormat="1" x14ac:dyDescent="0.35">
      <c r="A144" s="4"/>
      <c r="B144" s="34"/>
      <c r="C144" s="34"/>
      <c r="D144" s="34"/>
      <c r="K144" s="6"/>
      <c r="L144" s="4"/>
      <c r="M144" s="34"/>
      <c r="N144" s="34"/>
    </row>
    <row r="145" spans="1:14" s="123" customFormat="1" x14ac:dyDescent="0.35">
      <c r="A145" s="4"/>
      <c r="B145" s="34"/>
      <c r="C145" s="34"/>
      <c r="D145" s="34"/>
      <c r="K145" s="6"/>
      <c r="L145" s="4"/>
      <c r="M145" s="34"/>
      <c r="N145" s="34"/>
    </row>
    <row r="146" spans="1:14" s="123" customFormat="1" x14ac:dyDescent="0.35">
      <c r="A146" s="4"/>
      <c r="B146" s="34"/>
      <c r="C146" s="34"/>
      <c r="D146" s="34"/>
      <c r="K146" s="6"/>
      <c r="L146" s="4"/>
      <c r="M146" s="34"/>
      <c r="N146" s="34"/>
    </row>
    <row r="147" spans="1:14" s="123" customFormat="1" x14ac:dyDescent="0.35">
      <c r="A147" s="4"/>
      <c r="B147" s="34"/>
      <c r="C147" s="34"/>
      <c r="D147" s="34"/>
      <c r="K147" s="6"/>
      <c r="L147" s="4"/>
      <c r="M147" s="34"/>
      <c r="N147" s="34"/>
    </row>
    <row r="148" spans="1:14" s="123" customFormat="1" x14ac:dyDescent="0.35">
      <c r="A148" s="4"/>
      <c r="B148" s="34"/>
      <c r="C148" s="34"/>
      <c r="D148" s="34"/>
      <c r="K148" s="6"/>
      <c r="L148" s="4"/>
      <c r="M148" s="34"/>
      <c r="N148" s="34"/>
    </row>
    <row r="149" spans="1:14" s="123" customFormat="1" x14ac:dyDescent="0.35">
      <c r="A149" s="4"/>
      <c r="B149" s="34"/>
      <c r="C149" s="34"/>
      <c r="D149" s="34"/>
      <c r="K149" s="6"/>
      <c r="L149" s="4"/>
      <c r="M149" s="34"/>
      <c r="N149" s="34"/>
    </row>
    <row r="150" spans="1:14" s="123" customFormat="1" x14ac:dyDescent="0.35">
      <c r="A150" s="4"/>
      <c r="B150" s="34"/>
      <c r="C150" s="34"/>
      <c r="D150" s="34"/>
      <c r="K150" s="6"/>
      <c r="L150" s="4"/>
      <c r="M150" s="34"/>
      <c r="N150" s="34"/>
    </row>
    <row r="151" spans="1:14" s="123" customFormat="1" x14ac:dyDescent="0.35">
      <c r="A151" s="4"/>
      <c r="B151" s="34"/>
      <c r="C151" s="34"/>
      <c r="D151" s="34"/>
      <c r="K151" s="6"/>
      <c r="L151" s="4"/>
      <c r="M151" s="34"/>
      <c r="N151" s="34"/>
    </row>
    <row r="152" spans="1:14" s="123" customFormat="1" x14ac:dyDescent="0.35">
      <c r="A152" s="4"/>
      <c r="B152" s="34"/>
      <c r="C152" s="34"/>
      <c r="D152" s="34"/>
      <c r="K152" s="6"/>
      <c r="L152" s="4"/>
      <c r="M152" s="34"/>
      <c r="N152" s="34"/>
    </row>
    <row r="153" spans="1:14" s="123" customFormat="1" x14ac:dyDescent="0.35">
      <c r="A153" s="4"/>
      <c r="B153" s="34"/>
      <c r="C153" s="34"/>
      <c r="D153" s="34"/>
      <c r="K153" s="6"/>
      <c r="L153" s="4"/>
      <c r="M153" s="34"/>
      <c r="N153" s="34"/>
    </row>
    <row r="154" spans="1:14" s="123" customFormat="1" x14ac:dyDescent="0.35">
      <c r="A154" s="4"/>
      <c r="B154" s="34"/>
      <c r="C154" s="34"/>
      <c r="D154" s="34"/>
      <c r="K154" s="6"/>
      <c r="L154" s="4"/>
      <c r="M154" s="34"/>
      <c r="N154" s="34"/>
    </row>
    <row r="155" spans="1:14" s="123" customFormat="1" x14ac:dyDescent="0.35">
      <c r="A155" s="4"/>
      <c r="B155" s="34"/>
      <c r="C155" s="34"/>
      <c r="D155" s="34"/>
      <c r="K155" s="6"/>
      <c r="L155" s="4"/>
      <c r="M155" s="34"/>
      <c r="N155" s="34"/>
    </row>
    <row r="156" spans="1:14" s="123" customFormat="1" x14ac:dyDescent="0.35">
      <c r="A156" s="4"/>
      <c r="B156" s="34"/>
      <c r="C156" s="34"/>
      <c r="D156" s="34"/>
      <c r="K156" s="6"/>
      <c r="L156" s="4"/>
      <c r="M156" s="34"/>
      <c r="N156" s="34"/>
    </row>
    <row r="157" spans="1:14" s="123" customFormat="1" x14ac:dyDescent="0.35">
      <c r="A157" s="4"/>
      <c r="B157" s="34"/>
      <c r="C157" s="34"/>
      <c r="D157" s="34"/>
      <c r="K157" s="6"/>
      <c r="L157" s="4"/>
      <c r="M157" s="34"/>
      <c r="N157" s="34"/>
    </row>
    <row r="158" spans="1:14" s="123" customFormat="1" x14ac:dyDescent="0.35">
      <c r="A158" s="4"/>
      <c r="B158" s="34"/>
      <c r="C158" s="34"/>
      <c r="D158" s="34"/>
      <c r="K158" s="6"/>
      <c r="L158" s="4"/>
      <c r="M158" s="34"/>
      <c r="N158" s="34"/>
    </row>
    <row r="159" spans="1:14" s="123" customFormat="1" x14ac:dyDescent="0.35">
      <c r="A159" s="4"/>
      <c r="B159" s="34"/>
      <c r="C159" s="34"/>
      <c r="D159" s="34"/>
      <c r="K159" s="6"/>
      <c r="L159" s="4"/>
      <c r="M159" s="34"/>
      <c r="N159" s="34"/>
    </row>
    <row r="160" spans="1:14" s="123" customFormat="1" x14ac:dyDescent="0.35">
      <c r="A160" s="4"/>
      <c r="B160" s="34"/>
      <c r="C160" s="34"/>
      <c r="D160" s="34"/>
      <c r="K160" s="6"/>
      <c r="L160" s="4"/>
      <c r="M160" s="34"/>
      <c r="N160" s="34"/>
    </row>
    <row r="161" spans="1:14" s="123" customFormat="1" x14ac:dyDescent="0.35">
      <c r="A161" s="4"/>
      <c r="B161" s="34"/>
      <c r="C161" s="34"/>
      <c r="D161" s="34"/>
      <c r="K161" s="6"/>
      <c r="L161" s="4"/>
      <c r="M161" s="34"/>
      <c r="N161" s="34"/>
    </row>
    <row r="162" spans="1:14" s="123" customFormat="1" x14ac:dyDescent="0.35">
      <c r="A162" s="4"/>
      <c r="B162" s="34"/>
      <c r="C162" s="34"/>
      <c r="D162" s="34"/>
      <c r="K162" s="6"/>
      <c r="L162" s="4"/>
      <c r="M162" s="34"/>
      <c r="N162" s="34"/>
    </row>
    <row r="163" spans="1:14" s="123" customFormat="1" x14ac:dyDescent="0.35">
      <c r="A163" s="4"/>
      <c r="B163" s="34"/>
      <c r="C163" s="34"/>
      <c r="D163" s="34"/>
      <c r="K163" s="6"/>
      <c r="L163" s="4"/>
      <c r="M163" s="34"/>
      <c r="N163" s="34"/>
    </row>
    <row r="164" spans="1:14" s="123" customFormat="1" x14ac:dyDescent="0.35">
      <c r="A164" s="4"/>
      <c r="B164" s="34"/>
      <c r="C164" s="34"/>
      <c r="D164" s="34"/>
      <c r="K164" s="6"/>
      <c r="L164" s="4"/>
      <c r="M164" s="34"/>
      <c r="N164" s="34"/>
    </row>
    <row r="165" spans="1:14" s="123" customFormat="1" x14ac:dyDescent="0.35">
      <c r="A165" s="4"/>
      <c r="B165" s="34"/>
      <c r="C165" s="34"/>
      <c r="D165" s="34"/>
      <c r="K165" s="6"/>
      <c r="L165" s="4"/>
      <c r="M165" s="34"/>
      <c r="N165" s="34"/>
    </row>
    <row r="166" spans="1:14" s="123" customFormat="1" x14ac:dyDescent="0.35">
      <c r="A166" s="4"/>
      <c r="B166" s="34"/>
      <c r="C166" s="34"/>
      <c r="D166" s="34"/>
      <c r="K166" s="6"/>
      <c r="L166" s="4"/>
      <c r="M166" s="34"/>
      <c r="N166" s="34"/>
    </row>
    <row r="167" spans="1:14" s="123" customFormat="1" x14ac:dyDescent="0.35">
      <c r="A167" s="4"/>
      <c r="B167" s="34"/>
      <c r="C167" s="34"/>
      <c r="D167" s="34"/>
      <c r="K167" s="6"/>
      <c r="L167" s="4"/>
      <c r="M167" s="34"/>
      <c r="N167" s="34"/>
    </row>
    <row r="168" spans="1:14" s="123" customFormat="1" x14ac:dyDescent="0.35">
      <c r="A168" s="4"/>
      <c r="B168" s="34"/>
      <c r="C168" s="34"/>
      <c r="D168" s="34"/>
      <c r="K168" s="6"/>
      <c r="L168" s="4"/>
      <c r="M168" s="34"/>
      <c r="N168" s="34"/>
    </row>
    <row r="169" spans="1:14" s="123" customFormat="1" x14ac:dyDescent="0.35">
      <c r="A169" s="4"/>
      <c r="B169" s="34"/>
      <c r="C169" s="34"/>
      <c r="D169" s="34"/>
      <c r="K169" s="6"/>
      <c r="L169" s="4"/>
      <c r="M169" s="34"/>
      <c r="N169" s="34"/>
    </row>
    <row r="170" spans="1:14" s="123" customFormat="1" x14ac:dyDescent="0.35">
      <c r="A170" s="4"/>
      <c r="B170" s="34"/>
      <c r="C170" s="34"/>
      <c r="D170" s="34"/>
      <c r="K170" s="6"/>
      <c r="L170" s="4"/>
      <c r="M170" s="34"/>
      <c r="N170" s="34"/>
    </row>
  </sheetData>
  <mergeCells count="6">
    <mergeCell ref="B2:K2"/>
    <mergeCell ref="B6:K6"/>
    <mergeCell ref="B7:K7"/>
    <mergeCell ref="B3:K3"/>
    <mergeCell ref="B4:K4"/>
    <mergeCell ref="B5:K5"/>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48"/>
  <sheetViews>
    <sheetView zoomScale="80" zoomScaleNormal="80" workbookViewId="0"/>
  </sheetViews>
  <sheetFormatPr defaultColWidth="9.90625" defaultRowHeight="15.5" x14ac:dyDescent="0.35"/>
  <cols>
    <col min="1" max="1" width="5.08984375" style="4" customWidth="1"/>
    <col min="2" max="2" width="15.08984375" style="34" customWidth="1"/>
    <col min="3" max="3" width="25.90625" style="34" customWidth="1"/>
    <col min="4" max="6" width="16.90625" style="4" customWidth="1"/>
    <col min="7" max="7" width="5.08984375" style="4" customWidth="1"/>
    <col min="8" max="8" width="7.90625" style="34" customWidth="1"/>
    <col min="9" max="16384" width="9.90625" style="34"/>
  </cols>
  <sheetData>
    <row r="2" spans="1:10" x14ac:dyDescent="0.35">
      <c r="B2" s="1171" t="s">
        <v>0</v>
      </c>
      <c r="C2" s="1171"/>
      <c r="D2" s="1171"/>
      <c r="E2" s="1171"/>
      <c r="F2" s="1171"/>
      <c r="G2" s="226"/>
      <c r="J2"/>
    </row>
    <row r="3" spans="1:10" x14ac:dyDescent="0.35">
      <c r="B3" s="1171" t="s">
        <v>868</v>
      </c>
      <c r="C3" s="1171"/>
      <c r="D3" s="1171"/>
      <c r="E3" s="1171"/>
      <c r="F3" s="1171"/>
      <c r="G3" s="226"/>
    </row>
    <row r="4" spans="1:10" x14ac:dyDescent="0.35">
      <c r="B4" s="1171" t="s">
        <v>869</v>
      </c>
      <c r="C4" s="1171"/>
      <c r="D4" s="1171"/>
      <c r="E4" s="1171"/>
      <c r="F4" s="1171"/>
      <c r="G4" s="226"/>
    </row>
    <row r="5" spans="1:10" x14ac:dyDescent="0.35">
      <c r="B5" s="1174" t="s">
        <v>870</v>
      </c>
      <c r="C5" s="1174"/>
      <c r="D5" s="1174"/>
      <c r="E5" s="1174"/>
      <c r="F5" s="1174"/>
      <c r="G5" s="226"/>
    </row>
    <row r="6" spans="1:10" x14ac:dyDescent="0.35">
      <c r="B6" s="1174" t="s">
        <v>871</v>
      </c>
      <c r="C6" s="1174"/>
      <c r="D6" s="1174"/>
      <c r="E6" s="1174"/>
      <c r="F6" s="1174"/>
      <c r="G6" s="226"/>
    </row>
    <row r="7" spans="1:10" x14ac:dyDescent="0.35">
      <c r="A7" s="226"/>
      <c r="B7" s="4"/>
      <c r="C7" s="4"/>
    </row>
    <row r="8" spans="1:10" x14ac:dyDescent="0.35">
      <c r="A8" s="445"/>
      <c r="B8" s="298"/>
      <c r="C8" s="1006"/>
      <c r="D8" s="1006" t="s">
        <v>280</v>
      </c>
      <c r="E8" s="1006" t="s">
        <v>281</v>
      </c>
      <c r="F8" s="446" t="s">
        <v>872</v>
      </c>
      <c r="G8" s="308"/>
      <c r="H8" s="226"/>
    </row>
    <row r="9" spans="1:10" x14ac:dyDescent="0.35">
      <c r="A9" s="445" t="s">
        <v>6</v>
      </c>
      <c r="B9" s="284" t="s">
        <v>588</v>
      </c>
      <c r="C9" s="280"/>
      <c r="D9" s="280" t="s">
        <v>873</v>
      </c>
      <c r="E9" s="280" t="s">
        <v>874</v>
      </c>
      <c r="F9" s="308" t="s">
        <v>265</v>
      </c>
      <c r="G9" s="307" t="s">
        <v>6</v>
      </c>
      <c r="H9" s="226"/>
    </row>
    <row r="10" spans="1:10" x14ac:dyDescent="0.35">
      <c r="A10" s="445" t="s">
        <v>7</v>
      </c>
      <c r="B10" s="286" t="s">
        <v>422</v>
      </c>
      <c r="C10" s="285" t="s">
        <v>423</v>
      </c>
      <c r="D10" s="285" t="s">
        <v>875</v>
      </c>
      <c r="E10" s="285" t="s">
        <v>875</v>
      </c>
      <c r="F10" s="316" t="s">
        <v>875</v>
      </c>
      <c r="G10" s="307" t="s">
        <v>7</v>
      </c>
      <c r="H10" s="226"/>
    </row>
    <row r="11" spans="1:10" x14ac:dyDescent="0.35">
      <c r="A11" s="445">
        <v>1</v>
      </c>
      <c r="B11" s="312" t="s">
        <v>876</v>
      </c>
      <c r="C11" s="1015" t="s">
        <v>399</v>
      </c>
      <c r="D11" s="1064">
        <v>1.3599999999999999E-2</v>
      </c>
      <c r="E11" s="1064">
        <v>1.01E-2</v>
      </c>
      <c r="F11" s="121">
        <f>D11+E11</f>
        <v>2.3699999999999999E-2</v>
      </c>
      <c r="G11" s="307">
        <f>A11</f>
        <v>1</v>
      </c>
      <c r="H11" s="4"/>
    </row>
    <row r="12" spans="1:10" x14ac:dyDescent="0.35">
      <c r="A12" s="445">
        <f>A11+1</f>
        <v>2</v>
      </c>
      <c r="B12" s="312" t="s">
        <v>877</v>
      </c>
      <c r="C12" s="1015" t="s">
        <v>842</v>
      </c>
      <c r="D12" s="1064">
        <v>1.2500000000000001E-2</v>
      </c>
      <c r="E12" s="1064">
        <v>9.2999999999999992E-3</v>
      </c>
      <c r="F12" s="121">
        <f t="shared" ref="F12:F13" si="0">D12+E12</f>
        <v>2.18E-2</v>
      </c>
      <c r="G12" s="307">
        <f>G11+1</f>
        <v>2</v>
      </c>
      <c r="H12" s="4"/>
    </row>
    <row r="13" spans="1:10" x14ac:dyDescent="0.35">
      <c r="A13" s="445">
        <f t="shared" ref="A13:A44" si="1">A12+1</f>
        <v>3</v>
      </c>
      <c r="B13" s="312" t="s">
        <v>878</v>
      </c>
      <c r="C13" s="1015" t="s">
        <v>879</v>
      </c>
      <c r="D13" s="1064">
        <v>1.38E-2</v>
      </c>
      <c r="E13" s="1064">
        <v>1.03E-2</v>
      </c>
      <c r="F13" s="121">
        <f t="shared" si="0"/>
        <v>2.41E-2</v>
      </c>
      <c r="G13" s="307">
        <f t="shared" ref="G13:G44" si="2">G12+1</f>
        <v>3</v>
      </c>
      <c r="H13" s="4"/>
    </row>
    <row r="14" spans="1:10" x14ac:dyDescent="0.35">
      <c r="A14" s="445">
        <f t="shared" si="1"/>
        <v>4</v>
      </c>
      <c r="B14" s="447" t="s">
        <v>880</v>
      </c>
      <c r="C14" s="1065" t="s">
        <v>881</v>
      </c>
      <c r="D14" s="1066">
        <v>1.3547393555538323E-2</v>
      </c>
      <c r="E14" s="1066">
        <v>1.0070700341587144E-2</v>
      </c>
      <c r="F14" s="122">
        <f>D14+E14</f>
        <v>2.3618093897125467E-2</v>
      </c>
      <c r="G14" s="307">
        <f t="shared" si="2"/>
        <v>4</v>
      </c>
      <c r="H14" s="4"/>
    </row>
    <row r="15" spans="1:10" x14ac:dyDescent="0.35">
      <c r="A15" s="445">
        <f t="shared" si="1"/>
        <v>5</v>
      </c>
      <c r="B15" s="312" t="s">
        <v>882</v>
      </c>
      <c r="C15" s="1015" t="s">
        <v>399</v>
      </c>
      <c r="D15" s="1064">
        <v>2.06E-2</v>
      </c>
      <c r="E15" s="1064">
        <v>1.43E-2</v>
      </c>
      <c r="F15" s="121">
        <f t="shared" ref="F15:F18" si="3">D15+E15</f>
        <v>3.49E-2</v>
      </c>
      <c r="G15" s="307">
        <f t="shared" si="2"/>
        <v>5</v>
      </c>
      <c r="H15" s="4"/>
    </row>
    <row r="16" spans="1:10" x14ac:dyDescent="0.35">
      <c r="A16" s="445">
        <f t="shared" si="1"/>
        <v>6</v>
      </c>
      <c r="B16" s="312" t="s">
        <v>883</v>
      </c>
      <c r="C16" s="1015" t="s">
        <v>842</v>
      </c>
      <c r="D16" s="1064">
        <v>2.0500000000000001E-2</v>
      </c>
      <c r="E16" s="1064">
        <v>1.44E-2</v>
      </c>
      <c r="F16" s="121">
        <f t="shared" si="3"/>
        <v>3.49E-2</v>
      </c>
      <c r="G16" s="307">
        <f t="shared" si="2"/>
        <v>6</v>
      </c>
      <c r="H16" s="4"/>
    </row>
    <row r="17" spans="1:8" x14ac:dyDescent="0.35">
      <c r="A17" s="445">
        <f t="shared" si="1"/>
        <v>7</v>
      </c>
      <c r="B17" s="312" t="s">
        <v>884</v>
      </c>
      <c r="C17" s="1015" t="s">
        <v>885</v>
      </c>
      <c r="D17" s="1064">
        <v>2.1399999999999999E-2</v>
      </c>
      <c r="E17" s="1064">
        <v>1.4999999999999999E-2</v>
      </c>
      <c r="F17" s="121">
        <f t="shared" si="3"/>
        <v>3.6400000000000002E-2</v>
      </c>
      <c r="G17" s="307">
        <f t="shared" si="2"/>
        <v>7</v>
      </c>
      <c r="H17" s="4"/>
    </row>
    <row r="18" spans="1:8" x14ac:dyDescent="0.35">
      <c r="A18" s="445">
        <f t="shared" si="1"/>
        <v>8</v>
      </c>
      <c r="B18" s="312" t="s">
        <v>886</v>
      </c>
      <c r="C18" s="1015" t="s">
        <v>879</v>
      </c>
      <c r="D18" s="1064">
        <v>2.0500000000000001E-2</v>
      </c>
      <c r="E18" s="1064">
        <v>1.43E-2</v>
      </c>
      <c r="F18" s="121">
        <f t="shared" si="3"/>
        <v>3.4799999999999998E-2</v>
      </c>
      <c r="G18" s="307">
        <f t="shared" si="2"/>
        <v>8</v>
      </c>
      <c r="H18" s="4"/>
    </row>
    <row r="19" spans="1:8" x14ac:dyDescent="0.35">
      <c r="A19" s="445">
        <f t="shared" si="1"/>
        <v>9</v>
      </c>
      <c r="B19" s="447" t="s">
        <v>887</v>
      </c>
      <c r="C19" s="1065" t="s">
        <v>888</v>
      </c>
      <c r="D19" s="1066">
        <v>2.0578114759564156E-2</v>
      </c>
      <c r="E19" s="1066">
        <v>1.4315325244520338E-2</v>
      </c>
      <c r="F19" s="122">
        <f>D19+E19</f>
        <v>3.4893440004084494E-2</v>
      </c>
      <c r="G19" s="307">
        <f t="shared" si="2"/>
        <v>9</v>
      </c>
      <c r="H19" s="4"/>
    </row>
    <row r="20" spans="1:8" x14ac:dyDescent="0.35">
      <c r="A20" s="445">
        <f t="shared" si="1"/>
        <v>10</v>
      </c>
      <c r="B20" s="312" t="s">
        <v>889</v>
      </c>
      <c r="C20" s="1015" t="s">
        <v>399</v>
      </c>
      <c r="D20" s="1064">
        <v>1.35E-2</v>
      </c>
      <c r="E20" s="1064">
        <v>1.01E-2</v>
      </c>
      <c r="F20" s="121">
        <f t="shared" ref="F20:F22" si="4">D20+E20</f>
        <v>2.3599999999999999E-2</v>
      </c>
      <c r="G20" s="307">
        <f t="shared" si="2"/>
        <v>10</v>
      </c>
      <c r="H20" s="4"/>
    </row>
    <row r="21" spans="1:8" x14ac:dyDescent="0.35">
      <c r="A21" s="445">
        <f t="shared" si="1"/>
        <v>11</v>
      </c>
      <c r="B21" s="312" t="s">
        <v>890</v>
      </c>
      <c r="C21" s="1015" t="s">
        <v>842</v>
      </c>
      <c r="D21" s="1064">
        <v>1.1599999999999999E-2</v>
      </c>
      <c r="E21" s="1064">
        <v>8.6E-3</v>
      </c>
      <c r="F21" s="121">
        <f t="shared" si="4"/>
        <v>2.0199999999999999E-2</v>
      </c>
      <c r="G21" s="307">
        <f t="shared" si="2"/>
        <v>11</v>
      </c>
      <c r="H21" s="4"/>
    </row>
    <row r="22" spans="1:8" x14ac:dyDescent="0.35">
      <c r="A22" s="445">
        <f t="shared" si="1"/>
        <v>12</v>
      </c>
      <c r="B22" s="312" t="s">
        <v>891</v>
      </c>
      <c r="C22" s="1015" t="s">
        <v>879</v>
      </c>
      <c r="D22" s="1064">
        <v>1.47E-2</v>
      </c>
      <c r="E22" s="1064">
        <v>1.0999999999999999E-2</v>
      </c>
      <c r="F22" s="121">
        <f t="shared" si="4"/>
        <v>2.5700000000000001E-2</v>
      </c>
      <c r="G22" s="307">
        <f t="shared" si="2"/>
        <v>12</v>
      </c>
      <c r="H22" s="4"/>
    </row>
    <row r="23" spans="1:8" x14ac:dyDescent="0.35">
      <c r="A23" s="445">
        <f t="shared" si="1"/>
        <v>13</v>
      </c>
      <c r="B23" s="447" t="s">
        <v>892</v>
      </c>
      <c r="C23" s="1065" t="s">
        <v>893</v>
      </c>
      <c r="D23" s="1066">
        <v>1.4361562492187467E-2</v>
      </c>
      <c r="E23" s="1066">
        <v>1.0741176891024797E-2</v>
      </c>
      <c r="F23" s="122">
        <f>D23+E23</f>
        <v>2.5102739383212266E-2</v>
      </c>
      <c r="G23" s="307">
        <f t="shared" si="2"/>
        <v>13</v>
      </c>
      <c r="H23" s="4"/>
    </row>
    <row r="24" spans="1:8" x14ac:dyDescent="0.35">
      <c r="A24" s="445">
        <f t="shared" si="1"/>
        <v>14</v>
      </c>
      <c r="B24" s="312" t="s">
        <v>894</v>
      </c>
      <c r="C24" s="1015" t="s">
        <v>399</v>
      </c>
      <c r="D24" s="1064">
        <v>2.29E-2</v>
      </c>
      <c r="E24" s="1064">
        <v>2.2800000000000001E-2</v>
      </c>
      <c r="F24" s="121">
        <f t="shared" ref="F24:F26" si="5">D24+E24</f>
        <v>4.5700000000000005E-2</v>
      </c>
      <c r="G24" s="307">
        <f t="shared" si="2"/>
        <v>14</v>
      </c>
      <c r="H24" s="4"/>
    </row>
    <row r="25" spans="1:8" x14ac:dyDescent="0.35">
      <c r="A25" s="445">
        <f t="shared" si="1"/>
        <v>15</v>
      </c>
      <c r="B25" s="312" t="s">
        <v>895</v>
      </c>
      <c r="C25" s="1015" t="s">
        <v>842</v>
      </c>
      <c r="D25" s="1064">
        <v>1.7000000000000001E-2</v>
      </c>
      <c r="E25" s="1064">
        <v>1.7000000000000001E-2</v>
      </c>
      <c r="F25" s="121">
        <f t="shared" si="5"/>
        <v>3.4000000000000002E-2</v>
      </c>
      <c r="G25" s="307">
        <f t="shared" si="2"/>
        <v>15</v>
      </c>
      <c r="H25" s="4"/>
    </row>
    <row r="26" spans="1:8" x14ac:dyDescent="0.35">
      <c r="A26" s="445">
        <f t="shared" si="1"/>
        <v>16</v>
      </c>
      <c r="B26" s="312" t="s">
        <v>896</v>
      </c>
      <c r="C26" s="1015" t="s">
        <v>879</v>
      </c>
      <c r="D26" s="1064">
        <v>2.2599999999999999E-2</v>
      </c>
      <c r="E26" s="1064">
        <v>2.2499999999999999E-2</v>
      </c>
      <c r="F26" s="121">
        <f t="shared" si="5"/>
        <v>4.5100000000000001E-2</v>
      </c>
      <c r="G26" s="307">
        <f t="shared" si="2"/>
        <v>16</v>
      </c>
      <c r="H26" s="4"/>
    </row>
    <row r="27" spans="1:8" x14ac:dyDescent="0.35">
      <c r="A27" s="445">
        <f t="shared" si="1"/>
        <v>17</v>
      </c>
      <c r="B27" s="447" t="s">
        <v>897</v>
      </c>
      <c r="C27" s="1065" t="s">
        <v>898</v>
      </c>
      <c r="D27" s="1066">
        <v>2.2761711025645035E-2</v>
      </c>
      <c r="E27" s="1066">
        <v>2.2740189328758181E-2</v>
      </c>
      <c r="F27" s="122">
        <f>D27+E27</f>
        <v>4.5501900354403213E-2</v>
      </c>
      <c r="G27" s="307">
        <f t="shared" si="2"/>
        <v>17</v>
      </c>
      <c r="H27" s="4"/>
    </row>
    <row r="28" spans="1:8" x14ac:dyDescent="0.35">
      <c r="A28" s="445">
        <f t="shared" si="1"/>
        <v>18</v>
      </c>
      <c r="B28" s="312" t="s">
        <v>899</v>
      </c>
      <c r="C28" s="1015" t="s">
        <v>399</v>
      </c>
      <c r="D28" s="1064">
        <v>1.52E-2</v>
      </c>
      <c r="E28" s="1064">
        <v>1.5100000000000001E-2</v>
      </c>
      <c r="F28" s="121">
        <f t="shared" ref="F28:F30" si="6">D28+E28</f>
        <v>3.0300000000000001E-2</v>
      </c>
      <c r="G28" s="307">
        <f t="shared" si="2"/>
        <v>18</v>
      </c>
      <c r="H28" s="4"/>
    </row>
    <row r="29" spans="1:8" x14ac:dyDescent="0.35">
      <c r="A29" s="445">
        <f t="shared" si="1"/>
        <v>19</v>
      </c>
      <c r="B29" s="312" t="s">
        <v>900</v>
      </c>
      <c r="C29" s="1015" t="s">
        <v>842</v>
      </c>
      <c r="D29" s="1064">
        <v>7.1000000000000004E-3</v>
      </c>
      <c r="E29" s="1064">
        <v>7.1000000000000004E-3</v>
      </c>
      <c r="F29" s="121">
        <f t="shared" si="6"/>
        <v>1.4200000000000001E-2</v>
      </c>
      <c r="G29" s="307">
        <f t="shared" si="2"/>
        <v>19</v>
      </c>
      <c r="H29" s="4"/>
    </row>
    <row r="30" spans="1:8" x14ac:dyDescent="0.35">
      <c r="A30" s="445">
        <f t="shared" si="1"/>
        <v>20</v>
      </c>
      <c r="B30" s="312" t="s">
        <v>901</v>
      </c>
      <c r="C30" s="1015" t="s">
        <v>879</v>
      </c>
      <c r="D30" s="1064">
        <v>1.61E-2</v>
      </c>
      <c r="E30" s="1064">
        <v>1.61E-2</v>
      </c>
      <c r="F30" s="121">
        <f t="shared" si="6"/>
        <v>3.2199999999999999E-2</v>
      </c>
      <c r="G30" s="307">
        <f t="shared" si="2"/>
        <v>20</v>
      </c>
      <c r="H30" s="4"/>
    </row>
    <row r="31" spans="1:8" x14ac:dyDescent="0.35">
      <c r="A31" s="445">
        <f t="shared" si="1"/>
        <v>21</v>
      </c>
      <c r="B31" s="447" t="s">
        <v>902</v>
      </c>
      <c r="C31" s="1065" t="s">
        <v>903</v>
      </c>
      <c r="D31" s="1066">
        <v>1.4928136556414208E-2</v>
      </c>
      <c r="E31" s="1066">
        <v>1.4875233540054603E-2</v>
      </c>
      <c r="F31" s="122">
        <f>D31+E31</f>
        <v>2.9803370096468811E-2</v>
      </c>
      <c r="G31" s="307">
        <f t="shared" si="2"/>
        <v>21</v>
      </c>
      <c r="H31" s="4"/>
    </row>
    <row r="32" spans="1:8" x14ac:dyDescent="0.35">
      <c r="A32" s="445">
        <f t="shared" si="1"/>
        <v>22</v>
      </c>
      <c r="B32" s="312" t="s">
        <v>904</v>
      </c>
      <c r="C32" s="1015" t="s">
        <v>905</v>
      </c>
      <c r="D32" s="1064">
        <v>1.6500000000000001E-2</v>
      </c>
      <c r="E32" s="1064">
        <v>4.8999999999999998E-3</v>
      </c>
      <c r="F32" s="121">
        <f t="shared" ref="F32:F33" si="7">D32+E32</f>
        <v>2.1400000000000002E-2</v>
      </c>
      <c r="G32" s="307">
        <f t="shared" si="2"/>
        <v>22</v>
      </c>
      <c r="H32" s="4"/>
    </row>
    <row r="33" spans="1:10" x14ac:dyDescent="0.35">
      <c r="A33" s="445">
        <f t="shared" si="1"/>
        <v>23</v>
      </c>
      <c r="B33" s="312" t="s">
        <v>906</v>
      </c>
      <c r="C33" s="1015" t="s">
        <v>907</v>
      </c>
      <c r="D33" s="1064">
        <v>1.6899999999999998E-2</v>
      </c>
      <c r="E33" s="1064">
        <v>5.1000000000000004E-3</v>
      </c>
      <c r="F33" s="121">
        <f t="shared" si="7"/>
        <v>2.1999999999999999E-2</v>
      </c>
      <c r="G33" s="307">
        <f t="shared" si="2"/>
        <v>23</v>
      </c>
      <c r="H33" s="4"/>
    </row>
    <row r="34" spans="1:10" x14ac:dyDescent="0.35">
      <c r="A34" s="445">
        <f t="shared" si="1"/>
        <v>24</v>
      </c>
      <c r="B34" s="447" t="s">
        <v>908</v>
      </c>
      <c r="C34" s="1065" t="s">
        <v>909</v>
      </c>
      <c r="D34" s="1066">
        <v>1.6402677961013835E-2</v>
      </c>
      <c r="E34" s="1066">
        <v>4.9279834074780491E-3</v>
      </c>
      <c r="F34" s="122">
        <f>D34+E34</f>
        <v>2.1330661368491884E-2</v>
      </c>
      <c r="G34" s="307">
        <f t="shared" si="2"/>
        <v>24</v>
      </c>
      <c r="H34" s="4"/>
    </row>
    <row r="35" spans="1:10" x14ac:dyDescent="0.35">
      <c r="A35" s="445">
        <f t="shared" si="1"/>
        <v>25</v>
      </c>
      <c r="B35" s="312" t="s">
        <v>910</v>
      </c>
      <c r="C35" s="1015" t="s">
        <v>905</v>
      </c>
      <c r="D35" s="1064">
        <v>1.9400000000000001E-2</v>
      </c>
      <c r="E35" s="1064">
        <v>1.9E-3</v>
      </c>
      <c r="F35" s="121">
        <f t="shared" ref="F35:F36" si="8">D35+E35</f>
        <v>2.1299999999999999E-2</v>
      </c>
      <c r="G35" s="307">
        <f t="shared" si="2"/>
        <v>25</v>
      </c>
      <c r="H35" s="4"/>
    </row>
    <row r="36" spans="1:10" x14ac:dyDescent="0.35">
      <c r="A36" s="445">
        <f t="shared" si="1"/>
        <v>26</v>
      </c>
      <c r="B36" s="312" t="s">
        <v>911</v>
      </c>
      <c r="C36" s="1015" t="s">
        <v>907</v>
      </c>
      <c r="D36" s="1064">
        <v>1.9900000000000001E-2</v>
      </c>
      <c r="E36" s="1064">
        <v>2E-3</v>
      </c>
      <c r="F36" s="121">
        <f t="shared" si="8"/>
        <v>2.1900000000000003E-2</v>
      </c>
      <c r="G36" s="307">
        <f t="shared" si="2"/>
        <v>26</v>
      </c>
      <c r="H36" s="4"/>
    </row>
    <row r="37" spans="1:10" x14ac:dyDescent="0.35">
      <c r="A37" s="445">
        <f t="shared" si="1"/>
        <v>27</v>
      </c>
      <c r="B37" s="447" t="s">
        <v>912</v>
      </c>
      <c r="C37" s="1065" t="s">
        <v>913</v>
      </c>
      <c r="D37" s="1066">
        <v>1.9454664564587554E-2</v>
      </c>
      <c r="E37" s="1066">
        <v>1.9218201311294704E-3</v>
      </c>
      <c r="F37" s="122">
        <f>D37+E37</f>
        <v>2.1376484695717023E-2</v>
      </c>
      <c r="G37" s="307">
        <f t="shared" si="2"/>
        <v>27</v>
      </c>
      <c r="H37" s="4"/>
    </row>
    <row r="38" spans="1:10" x14ac:dyDescent="0.35">
      <c r="A38" s="445">
        <f t="shared" si="1"/>
        <v>28</v>
      </c>
      <c r="B38" s="312" t="s">
        <v>914</v>
      </c>
      <c r="C38" s="1015" t="s">
        <v>399</v>
      </c>
      <c r="D38" s="1064">
        <v>1.6899999999999998E-2</v>
      </c>
      <c r="E38" s="1064">
        <v>0</v>
      </c>
      <c r="F38" s="121">
        <f t="shared" ref="F38:F40" si="9">D38+E38</f>
        <v>1.6899999999999998E-2</v>
      </c>
      <c r="G38" s="307">
        <f t="shared" si="2"/>
        <v>28</v>
      </c>
      <c r="H38" s="4"/>
    </row>
    <row r="39" spans="1:10" x14ac:dyDescent="0.35">
      <c r="A39" s="445">
        <f t="shared" si="1"/>
        <v>29</v>
      </c>
      <c r="B39" s="312" t="s">
        <v>915</v>
      </c>
      <c r="C39" s="1015" t="s">
        <v>842</v>
      </c>
      <c r="D39" s="1064">
        <v>1.5100000000000001E-2</v>
      </c>
      <c r="E39" s="1064">
        <v>0</v>
      </c>
      <c r="F39" s="121">
        <f t="shared" si="9"/>
        <v>1.5100000000000001E-2</v>
      </c>
      <c r="G39" s="307">
        <f t="shared" si="2"/>
        <v>29</v>
      </c>
      <c r="H39" s="4"/>
    </row>
    <row r="40" spans="1:10" x14ac:dyDescent="0.35">
      <c r="A40" s="445">
        <f t="shared" si="1"/>
        <v>30</v>
      </c>
      <c r="B40" s="312" t="s">
        <v>916</v>
      </c>
      <c r="C40" s="1015" t="s">
        <v>879</v>
      </c>
      <c r="D40" s="1064">
        <v>1.66E-2</v>
      </c>
      <c r="E40" s="1064">
        <v>0</v>
      </c>
      <c r="F40" s="121">
        <f t="shared" si="9"/>
        <v>1.66E-2</v>
      </c>
      <c r="G40" s="307">
        <f t="shared" si="2"/>
        <v>30</v>
      </c>
      <c r="H40" s="4"/>
    </row>
    <row r="41" spans="1:10" x14ac:dyDescent="0.35">
      <c r="A41" s="445">
        <f t="shared" si="1"/>
        <v>31</v>
      </c>
      <c r="B41" s="447" t="s">
        <v>917</v>
      </c>
      <c r="C41" s="1065" t="s">
        <v>443</v>
      </c>
      <c r="D41" s="1066">
        <v>1.665289952849431E-2</v>
      </c>
      <c r="E41" s="1066">
        <v>0</v>
      </c>
      <c r="F41" s="122">
        <f>D41+E41</f>
        <v>1.665289952849431E-2</v>
      </c>
      <c r="G41" s="307">
        <f t="shared" si="2"/>
        <v>31</v>
      </c>
      <c r="H41" s="4"/>
    </row>
    <row r="42" spans="1:10" x14ac:dyDescent="0.35">
      <c r="A42" s="445">
        <f t="shared" si="1"/>
        <v>32</v>
      </c>
      <c r="B42" s="1067"/>
      <c r="C42" s="448"/>
      <c r="D42" s="1064"/>
      <c r="E42" s="1064"/>
      <c r="F42" s="1068"/>
      <c r="G42" s="307">
        <f t="shared" si="2"/>
        <v>32</v>
      </c>
      <c r="H42" s="4"/>
    </row>
    <row r="43" spans="1:10" x14ac:dyDescent="0.35">
      <c r="A43" s="445">
        <f t="shared" si="1"/>
        <v>33</v>
      </c>
      <c r="B43" s="1187" t="s">
        <v>203</v>
      </c>
      <c r="C43" s="1188"/>
      <c r="D43" s="1066">
        <v>1.8061106069025085E-2</v>
      </c>
      <c r="E43" s="1066">
        <v>1.2191668055469243E-2</v>
      </c>
      <c r="F43" s="122">
        <f>D43+E43</f>
        <v>3.0252774124494328E-2</v>
      </c>
      <c r="G43" s="307">
        <f t="shared" si="2"/>
        <v>33</v>
      </c>
      <c r="H43" s="4"/>
    </row>
    <row r="44" spans="1:10" x14ac:dyDescent="0.35">
      <c r="A44" s="445">
        <f t="shared" si="1"/>
        <v>34</v>
      </c>
      <c r="B44" s="1067"/>
      <c r="C44" s="448"/>
      <c r="D44" s="1064"/>
      <c r="E44" s="1064"/>
      <c r="F44" s="1068"/>
      <c r="G44" s="307">
        <f t="shared" si="2"/>
        <v>34</v>
      </c>
    </row>
    <row r="46" spans="1:10" ht="18" x14ac:dyDescent="0.35">
      <c r="A46" s="276"/>
      <c r="B46" s="34" t="s">
        <v>918</v>
      </c>
      <c r="J46" s="263"/>
    </row>
    <row r="47" spans="1:10" x14ac:dyDescent="0.35">
      <c r="B47" s="34" t="s">
        <v>919</v>
      </c>
      <c r="D47" s="53"/>
      <c r="E47" s="53"/>
      <c r="J47" s="263"/>
    </row>
    <row r="48" spans="1:10" x14ac:dyDescent="0.35">
      <c r="B48" s="34" t="s">
        <v>920</v>
      </c>
      <c r="D48" s="53"/>
      <c r="E48" s="449"/>
    </row>
  </sheetData>
  <mergeCells count="6">
    <mergeCell ref="B43:C43"/>
    <mergeCell ref="B2:F2"/>
    <mergeCell ref="B3:F3"/>
    <mergeCell ref="B4:F4"/>
    <mergeCell ref="B5:F5"/>
    <mergeCell ref="B6:F6"/>
  </mergeCells>
  <printOptions horizontalCentered="1"/>
  <pageMargins left="0.5" right="0.5" top="0.5" bottom="0.5" header="0.25" footer="0.25"/>
  <pageSetup orientation="portrait" r:id="rId1"/>
  <headerFooter scaleWithDoc="0">
    <oddFooter>&amp;C&amp;"Times New Roman,Regular"&amp;10Transmission Plant Depreciation Rates
&amp;A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11" style="1" customWidth="1"/>
    <col min="7" max="7" width="7.08984375" style="1" customWidth="1"/>
    <col min="8" max="8" width="9.08984375" style="1" customWidth="1"/>
    <col min="9" max="9" width="14" style="1" customWidth="1"/>
    <col min="10" max="10" width="13.453125" style="1" customWidth="1"/>
    <col min="11" max="16384" width="9.08984375" style="1"/>
  </cols>
  <sheetData>
    <row r="2" spans="1:5" x14ac:dyDescent="0.35">
      <c r="B2" s="1171" t="s">
        <v>0</v>
      </c>
      <c r="C2" s="1171"/>
      <c r="D2" s="1171"/>
    </row>
    <row r="3" spans="1:5" x14ac:dyDescent="0.35">
      <c r="B3" s="1171" t="s">
        <v>826</v>
      </c>
      <c r="C3" s="1171"/>
      <c r="D3" s="1171"/>
    </row>
    <row r="4" spans="1:5" x14ac:dyDescent="0.35">
      <c r="B4" s="1171" t="s">
        <v>921</v>
      </c>
      <c r="C4" s="1171"/>
      <c r="D4" s="1171"/>
    </row>
    <row r="5" spans="1:5" x14ac:dyDescent="0.35">
      <c r="B5" s="1171" t="s">
        <v>364</v>
      </c>
      <c r="C5" s="1171"/>
      <c r="D5" s="1171"/>
    </row>
    <row r="6" spans="1:5" x14ac:dyDescent="0.35">
      <c r="B6" s="1175" t="s">
        <v>5</v>
      </c>
      <c r="C6" s="1175"/>
      <c r="D6" s="1175"/>
    </row>
    <row r="7" spans="1:5" x14ac:dyDescent="0.35">
      <c r="B7" s="277"/>
      <c r="C7" s="277"/>
      <c r="D7" s="277"/>
    </row>
    <row r="8" spans="1:5" x14ac:dyDescent="0.35">
      <c r="B8" s="1171" t="s">
        <v>453</v>
      </c>
      <c r="C8" s="1171"/>
      <c r="D8" s="1171"/>
    </row>
    <row r="10" spans="1:5" x14ac:dyDescent="0.35">
      <c r="B10" s="987"/>
      <c r="C10" s="1035" t="s">
        <v>588</v>
      </c>
      <c r="D10" s="1025"/>
    </row>
    <row r="11" spans="1:5" ht="15.5" x14ac:dyDescent="0.35">
      <c r="A11" s="4"/>
      <c r="B11" s="280"/>
      <c r="C11" s="280" t="s">
        <v>922</v>
      </c>
      <c r="D11" s="989"/>
      <c r="E11" s="4"/>
    </row>
    <row r="12" spans="1:5" ht="15.5" x14ac:dyDescent="0.35">
      <c r="A12" s="4" t="s">
        <v>6</v>
      </c>
      <c r="B12" s="280"/>
      <c r="C12" s="280" t="s">
        <v>402</v>
      </c>
      <c r="D12" s="989"/>
      <c r="E12" s="4" t="s">
        <v>6</v>
      </c>
    </row>
    <row r="13" spans="1:5" ht="15.5" x14ac:dyDescent="0.35">
      <c r="A13" s="4" t="s">
        <v>7</v>
      </c>
      <c r="B13" s="285" t="s">
        <v>368</v>
      </c>
      <c r="C13" s="285" t="s">
        <v>828</v>
      </c>
      <c r="D13" s="285" t="s">
        <v>9</v>
      </c>
      <c r="E13" s="4" t="s">
        <v>7</v>
      </c>
    </row>
    <row r="14" spans="1:5" ht="15.5" x14ac:dyDescent="0.35">
      <c r="A14" s="4"/>
      <c r="B14" s="283"/>
      <c r="C14" s="1023"/>
      <c r="D14" s="1026"/>
      <c r="E14" s="4"/>
    </row>
    <row r="15" spans="1:5" ht="15.5" x14ac:dyDescent="0.35">
      <c r="A15" s="4">
        <v>1</v>
      </c>
      <c r="B15" s="1069" t="str">
        <f>'AG-1'!B26</f>
        <v>Dec-22</v>
      </c>
      <c r="C15" s="240">
        <v>10339.652970000001</v>
      </c>
      <c r="D15" s="992" t="s">
        <v>923</v>
      </c>
      <c r="E15" s="4">
        <f>A15</f>
        <v>1</v>
      </c>
    </row>
    <row r="16" spans="1:5" ht="15.5" x14ac:dyDescent="0.35">
      <c r="A16" s="4">
        <f>A15+1</f>
        <v>2</v>
      </c>
      <c r="B16" s="124"/>
      <c r="C16" s="97"/>
      <c r="D16" s="97"/>
      <c r="E16" s="4">
        <f>E15+1</f>
        <v>2</v>
      </c>
    </row>
    <row r="17" spans="1:5" ht="15.5" x14ac:dyDescent="0.35">
      <c r="A17" s="4"/>
      <c r="B17" s="34"/>
      <c r="C17" s="31"/>
      <c r="D17" s="34"/>
    </row>
    <row r="18" spans="1:5" ht="15.5" x14ac:dyDescent="0.35">
      <c r="B18" s="34"/>
      <c r="C18" s="34"/>
      <c r="D18" s="34"/>
    </row>
    <row r="19" spans="1:5" ht="15.5" x14ac:dyDescent="0.35">
      <c r="B19" s="34"/>
      <c r="C19" s="34"/>
      <c r="D19" s="34"/>
    </row>
    <row r="20" spans="1:5" ht="15.5" x14ac:dyDescent="0.35">
      <c r="B20" s="34"/>
      <c r="C20" s="34"/>
      <c r="D20" s="34"/>
    </row>
    <row r="21" spans="1:5" ht="15.5" x14ac:dyDescent="0.35">
      <c r="B21" s="34"/>
      <c r="C21" s="34"/>
      <c r="D21" s="34"/>
    </row>
    <row r="22" spans="1:5" ht="15.5" x14ac:dyDescent="0.35">
      <c r="B22" s="34"/>
      <c r="C22" s="34"/>
      <c r="D22" s="34"/>
    </row>
    <row r="23" spans="1:5" ht="15.5" x14ac:dyDescent="0.35">
      <c r="B23" s="34"/>
      <c r="C23" s="34"/>
      <c r="D23" s="34"/>
    </row>
    <row r="24" spans="1:5" ht="15.5" x14ac:dyDescent="0.35">
      <c r="B24" s="34"/>
      <c r="C24" s="34"/>
      <c r="D24" s="34"/>
    </row>
    <row r="25" spans="1:5" ht="15.5" x14ac:dyDescent="0.35">
      <c r="B25" s="34"/>
      <c r="C25" s="34"/>
      <c r="D25" s="34"/>
    </row>
    <row r="26" spans="1:5" ht="15.5" x14ac:dyDescent="0.35">
      <c r="B26" s="34"/>
      <c r="C26" s="34"/>
      <c r="D26" s="34"/>
    </row>
    <row r="27" spans="1:5" ht="15.5" x14ac:dyDescent="0.35">
      <c r="B27" s="34"/>
      <c r="C27" s="34"/>
      <c r="D27" s="34"/>
    </row>
    <row r="28" spans="1:5" ht="15.5" x14ac:dyDescent="0.35">
      <c r="B28" s="34"/>
      <c r="C28" s="34"/>
      <c r="D28" s="34"/>
    </row>
    <row r="29" spans="1:5" ht="15.5" x14ac:dyDescent="0.35">
      <c r="B29" s="34"/>
      <c r="C29" s="34"/>
      <c r="D29" s="34"/>
    </row>
    <row r="30" spans="1:5" ht="15.5" x14ac:dyDescent="0.35">
      <c r="B30" s="34"/>
      <c r="C30" s="34"/>
      <c r="D30" s="34"/>
    </row>
    <row r="31" spans="1:5" s="34" customFormat="1" ht="15.5" x14ac:dyDescent="0.35">
      <c r="A31" s="4"/>
      <c r="E31" s="4"/>
    </row>
    <row r="32" spans="1:5" s="34" customFormat="1" ht="15.5" x14ac:dyDescent="0.35">
      <c r="A32" s="4"/>
      <c r="E32" s="4"/>
    </row>
    <row r="33" spans="1:5" s="34" customFormat="1" ht="15.5" x14ac:dyDescent="0.35">
      <c r="A33" s="4"/>
      <c r="E33" s="4"/>
    </row>
    <row r="34" spans="1:5" s="34" customFormat="1" ht="15.5" x14ac:dyDescent="0.35">
      <c r="A34" s="4"/>
      <c r="E34" s="4"/>
    </row>
    <row r="35" spans="1:5" s="34" customFormat="1" ht="15.5" x14ac:dyDescent="0.35">
      <c r="A35" s="4"/>
      <c r="E35" s="4"/>
    </row>
    <row r="36" spans="1:5" s="34" customFormat="1" ht="15.5" x14ac:dyDescent="0.35">
      <c r="A36" s="4"/>
      <c r="E36" s="4"/>
    </row>
    <row r="37" spans="1:5" s="34" customFormat="1" ht="15.5" x14ac:dyDescent="0.3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9" x14ac:dyDescent="0.35">
      <c r="B2" s="1171" t="s">
        <v>0</v>
      </c>
      <c r="C2" s="1171"/>
      <c r="D2" s="1171"/>
      <c r="E2" s="1171"/>
      <c r="F2" s="1171"/>
    </row>
    <row r="3" spans="1:9" x14ac:dyDescent="0.35">
      <c r="B3" s="1171" t="s">
        <v>362</v>
      </c>
      <c r="C3" s="1171"/>
      <c r="D3" s="1171"/>
      <c r="E3" s="1171"/>
      <c r="F3" s="1171"/>
    </row>
    <row r="4" spans="1:9" x14ac:dyDescent="0.35">
      <c r="B4" s="1171" t="s">
        <v>363</v>
      </c>
      <c r="C4" s="1171"/>
      <c r="D4" s="1171"/>
      <c r="E4" s="1171"/>
      <c r="F4" s="1171"/>
    </row>
    <row r="5" spans="1:9" x14ac:dyDescent="0.35">
      <c r="B5" s="1171" t="s">
        <v>364</v>
      </c>
      <c r="C5" s="1171"/>
      <c r="D5" s="1171"/>
      <c r="E5" s="1171"/>
      <c r="F5" s="1171"/>
    </row>
    <row r="6" spans="1:9" x14ac:dyDescent="0.35">
      <c r="B6" s="1175" t="s">
        <v>5</v>
      </c>
      <c r="C6" s="1175"/>
      <c r="D6" s="1175"/>
      <c r="E6" s="1175"/>
      <c r="F6" s="1175"/>
    </row>
    <row r="7" spans="1:9" x14ac:dyDescent="0.35">
      <c r="B7" s="277"/>
      <c r="C7" s="278"/>
      <c r="D7" s="277"/>
      <c r="E7" s="277"/>
      <c r="F7" s="277"/>
    </row>
    <row r="8" spans="1:9" x14ac:dyDescent="0.35">
      <c r="B8" s="1171" t="s">
        <v>365</v>
      </c>
      <c r="C8" s="1171"/>
      <c r="D8" s="1171"/>
      <c r="E8" s="1171"/>
      <c r="F8" s="1171"/>
    </row>
    <row r="10" spans="1:9" x14ac:dyDescent="0.35">
      <c r="B10" s="987"/>
      <c r="C10" s="279" t="s">
        <v>265</v>
      </c>
      <c r="D10" s="988"/>
      <c r="E10" s="279"/>
      <c r="F10" s="988"/>
    </row>
    <row r="11" spans="1:9" x14ac:dyDescent="0.35">
      <c r="B11" s="280"/>
      <c r="C11" s="226" t="s">
        <v>366</v>
      </c>
      <c r="D11" s="280"/>
      <c r="E11" s="281" t="s">
        <v>366</v>
      </c>
      <c r="F11" s="989"/>
    </row>
    <row r="12" spans="1:9" ht="15.5" x14ac:dyDescent="0.35">
      <c r="A12" s="4" t="s">
        <v>6</v>
      </c>
      <c r="B12" s="283"/>
      <c r="C12" s="226" t="s">
        <v>367</v>
      </c>
      <c r="D12" s="280"/>
      <c r="E12" s="284" t="s">
        <v>367</v>
      </c>
      <c r="F12" s="989"/>
      <c r="G12" s="4" t="s">
        <v>6</v>
      </c>
    </row>
    <row r="13" spans="1:9" ht="18" x14ac:dyDescent="0.35">
      <c r="A13" s="4" t="s">
        <v>7</v>
      </c>
      <c r="B13" s="285" t="s">
        <v>368</v>
      </c>
      <c r="C13" s="990" t="s">
        <v>369</v>
      </c>
      <c r="D13" s="285" t="s">
        <v>9</v>
      </c>
      <c r="E13" s="286" t="s">
        <v>370</v>
      </c>
      <c r="F13" s="285" t="s">
        <v>9</v>
      </c>
      <c r="G13" s="4" t="s">
        <v>7</v>
      </c>
    </row>
    <row r="14" spans="1:9" ht="15.5" x14ac:dyDescent="0.35">
      <c r="A14" s="4">
        <v>1</v>
      </c>
      <c r="B14" s="991" t="s">
        <v>371</v>
      </c>
      <c r="C14" s="61">
        <v>555600.96037999995</v>
      </c>
      <c r="D14" s="992" t="s">
        <v>372</v>
      </c>
      <c r="E14" s="67">
        <v>571265.49594999989</v>
      </c>
      <c r="F14" s="992" t="s">
        <v>373</v>
      </c>
      <c r="G14" s="4">
        <f>A14</f>
        <v>1</v>
      </c>
      <c r="H14" s="287"/>
      <c r="I14" s="287"/>
    </row>
    <row r="15" spans="1:9" ht="15.5" x14ac:dyDescent="0.35">
      <c r="A15" s="4">
        <f>A14+1</f>
        <v>2</v>
      </c>
      <c r="B15" s="991" t="s">
        <v>374</v>
      </c>
      <c r="C15" s="55">
        <v>555567.25159</v>
      </c>
      <c r="D15" s="993"/>
      <c r="E15" s="68">
        <v>571231.78715999995</v>
      </c>
      <c r="F15" s="993"/>
      <c r="G15" s="4">
        <f>G14+1</f>
        <v>2</v>
      </c>
    </row>
    <row r="16" spans="1:9" ht="15.5" x14ac:dyDescent="0.35">
      <c r="A16" s="4">
        <f t="shared" ref="A16:A32" si="0">A15+1</f>
        <v>3</v>
      </c>
      <c r="B16" s="994" t="s">
        <v>375</v>
      </c>
      <c r="C16" s="55">
        <v>555597.78162999998</v>
      </c>
      <c r="D16" s="993"/>
      <c r="E16" s="68">
        <v>571262.31719999993</v>
      </c>
      <c r="F16" s="993"/>
      <c r="G16" s="4">
        <f t="shared" ref="G16:G32" si="1">G15+1</f>
        <v>3</v>
      </c>
    </row>
    <row r="17" spans="1:9" ht="15.5" x14ac:dyDescent="0.35">
      <c r="A17" s="4">
        <f t="shared" si="0"/>
        <v>4</v>
      </c>
      <c r="B17" s="994" t="s">
        <v>376</v>
      </c>
      <c r="C17" s="55">
        <v>555632.81006000005</v>
      </c>
      <c r="D17" s="993"/>
      <c r="E17" s="68">
        <v>571297.34563</v>
      </c>
      <c r="F17" s="993"/>
      <c r="G17" s="4">
        <f t="shared" si="1"/>
        <v>4</v>
      </c>
    </row>
    <row r="18" spans="1:9" ht="15.5" x14ac:dyDescent="0.35">
      <c r="A18" s="4">
        <f t="shared" si="0"/>
        <v>5</v>
      </c>
      <c r="B18" s="994" t="s">
        <v>377</v>
      </c>
      <c r="C18" s="55">
        <v>555821.97386000003</v>
      </c>
      <c r="D18" s="993"/>
      <c r="E18" s="68">
        <v>571486.50942999998</v>
      </c>
      <c r="F18" s="993"/>
      <c r="G18" s="4">
        <f t="shared" si="1"/>
        <v>5</v>
      </c>
    </row>
    <row r="19" spans="1:9" ht="15.5" x14ac:dyDescent="0.35">
      <c r="A19" s="4">
        <f t="shared" si="0"/>
        <v>6</v>
      </c>
      <c r="B19" s="994" t="s">
        <v>378</v>
      </c>
      <c r="C19" s="55">
        <v>557110.76413000003</v>
      </c>
      <c r="D19" s="993"/>
      <c r="E19" s="68">
        <v>572775.29969999997</v>
      </c>
      <c r="F19" s="993"/>
      <c r="G19" s="4">
        <f t="shared" si="1"/>
        <v>6</v>
      </c>
    </row>
    <row r="20" spans="1:9" ht="15.5" x14ac:dyDescent="0.35">
      <c r="A20" s="4">
        <f>A19+1</f>
        <v>7</v>
      </c>
      <c r="B20" s="994" t="s">
        <v>379</v>
      </c>
      <c r="C20" s="55">
        <v>557348.22820000001</v>
      </c>
      <c r="D20" s="993"/>
      <c r="E20" s="68">
        <v>573012.76376999996</v>
      </c>
      <c r="F20" s="993"/>
      <c r="G20" s="4">
        <f>G19+1</f>
        <v>7</v>
      </c>
    </row>
    <row r="21" spans="1:9" ht="15.5" x14ac:dyDescent="0.35">
      <c r="A21" s="4">
        <f t="shared" si="0"/>
        <v>8</v>
      </c>
      <c r="B21" s="994" t="s">
        <v>380</v>
      </c>
      <c r="C21" s="55">
        <v>558730.63647000003</v>
      </c>
      <c r="D21" s="993"/>
      <c r="E21" s="68">
        <v>574395.17203999998</v>
      </c>
      <c r="F21" s="993"/>
      <c r="G21" s="4">
        <f t="shared" si="1"/>
        <v>8</v>
      </c>
    </row>
    <row r="22" spans="1:9" ht="15.5" x14ac:dyDescent="0.35">
      <c r="A22" s="4">
        <f t="shared" si="0"/>
        <v>9</v>
      </c>
      <c r="B22" s="994" t="s">
        <v>381</v>
      </c>
      <c r="C22" s="55">
        <v>558565.88648999995</v>
      </c>
      <c r="D22" s="993"/>
      <c r="E22" s="68">
        <v>574230.4220599999</v>
      </c>
      <c r="F22" s="993"/>
      <c r="G22" s="4">
        <f t="shared" si="1"/>
        <v>9</v>
      </c>
    </row>
    <row r="23" spans="1:9" ht="15.5" x14ac:dyDescent="0.35">
      <c r="A23" s="4">
        <f t="shared" si="0"/>
        <v>10</v>
      </c>
      <c r="B23" s="994" t="s">
        <v>382</v>
      </c>
      <c r="C23" s="55">
        <v>558566.52060000005</v>
      </c>
      <c r="D23" s="993"/>
      <c r="E23" s="68">
        <v>574231.05617</v>
      </c>
      <c r="F23" s="993"/>
      <c r="G23" s="4">
        <f t="shared" si="1"/>
        <v>10</v>
      </c>
    </row>
    <row r="24" spans="1:9" ht="15.5" x14ac:dyDescent="0.35">
      <c r="A24" s="4">
        <f t="shared" si="0"/>
        <v>11</v>
      </c>
      <c r="B24" s="994" t="s">
        <v>383</v>
      </c>
      <c r="C24" s="55">
        <v>558589.06221</v>
      </c>
      <c r="D24" s="993"/>
      <c r="E24" s="68">
        <v>574253.59777999995</v>
      </c>
      <c r="F24" s="993"/>
      <c r="G24" s="4">
        <f t="shared" si="1"/>
        <v>11</v>
      </c>
    </row>
    <row r="25" spans="1:9" ht="15.5" x14ac:dyDescent="0.35">
      <c r="A25" s="4">
        <f t="shared" si="0"/>
        <v>12</v>
      </c>
      <c r="B25" s="994" t="s">
        <v>384</v>
      </c>
      <c r="C25" s="55">
        <v>561777.84617000003</v>
      </c>
      <c r="D25" s="993"/>
      <c r="E25" s="68">
        <v>577442.38173999998</v>
      </c>
      <c r="F25" s="993"/>
      <c r="G25" s="4">
        <f t="shared" si="1"/>
        <v>12</v>
      </c>
    </row>
    <row r="26" spans="1:9" ht="15.5" x14ac:dyDescent="0.35">
      <c r="A26" s="4">
        <f t="shared" si="0"/>
        <v>13</v>
      </c>
      <c r="B26" s="652" t="s">
        <v>385</v>
      </c>
      <c r="C26" s="56">
        <v>562408.95432000002</v>
      </c>
      <c r="D26" s="992" t="s">
        <v>372</v>
      </c>
      <c r="E26" s="56">
        <v>578073.48988999997</v>
      </c>
      <c r="F26" s="992" t="s">
        <v>386</v>
      </c>
      <c r="G26" s="4">
        <f t="shared" si="1"/>
        <v>13</v>
      </c>
      <c r="I26" s="287"/>
    </row>
    <row r="27" spans="1:9" ht="15.5" x14ac:dyDescent="0.35">
      <c r="A27" s="4">
        <f t="shared" si="0"/>
        <v>14</v>
      </c>
      <c r="B27" s="288"/>
      <c r="C27" s="57"/>
      <c r="D27" s="987"/>
      <c r="E27" s="60"/>
      <c r="F27" s="987"/>
      <c r="G27" s="4">
        <f t="shared" si="1"/>
        <v>14</v>
      </c>
    </row>
    <row r="28" spans="1:9" ht="15.5" x14ac:dyDescent="0.35">
      <c r="A28" s="4">
        <f t="shared" si="0"/>
        <v>15</v>
      </c>
      <c r="B28" s="288" t="s">
        <v>387</v>
      </c>
      <c r="C28" s="58">
        <f>SUM(C14:C26)</f>
        <v>7251318.6761100013</v>
      </c>
      <c r="D28" s="995" t="s">
        <v>388</v>
      </c>
      <c r="E28" s="58">
        <f>SUM(E14:E26)</f>
        <v>7454957.6385199986</v>
      </c>
      <c r="F28" s="995" t="s">
        <v>388</v>
      </c>
      <c r="G28" s="4">
        <f t="shared" si="1"/>
        <v>15</v>
      </c>
    </row>
    <row r="29" spans="1:9" ht="15.5" x14ac:dyDescent="0.35">
      <c r="A29" s="4">
        <f t="shared" si="0"/>
        <v>16</v>
      </c>
      <c r="B29" s="124"/>
      <c r="C29" s="59"/>
      <c r="D29" s="124"/>
      <c r="E29" s="59"/>
      <c r="F29" s="124"/>
      <c r="G29" s="4">
        <f t="shared" si="1"/>
        <v>16</v>
      </c>
    </row>
    <row r="30" spans="1:9" ht="15.5" x14ac:dyDescent="0.35">
      <c r="A30" s="4">
        <f t="shared" si="0"/>
        <v>17</v>
      </c>
      <c r="B30" s="288"/>
      <c r="C30" s="58"/>
      <c r="D30" s="288"/>
      <c r="E30" s="58"/>
      <c r="F30" s="288"/>
      <c r="G30" s="4">
        <f t="shared" si="1"/>
        <v>17</v>
      </c>
    </row>
    <row r="31" spans="1:9" ht="15.5" x14ac:dyDescent="0.35">
      <c r="A31" s="4">
        <f t="shared" si="0"/>
        <v>18</v>
      </c>
      <c r="B31" s="288" t="s">
        <v>389</v>
      </c>
      <c r="C31" s="58">
        <f>C28/13</f>
        <v>557793.74431615393</v>
      </c>
      <c r="D31" s="992" t="s">
        <v>390</v>
      </c>
      <c r="E31" s="58">
        <f>E28/13</f>
        <v>573458.27988615376</v>
      </c>
      <c r="F31" s="992" t="s">
        <v>391</v>
      </c>
      <c r="G31" s="4">
        <f t="shared" si="1"/>
        <v>18</v>
      </c>
      <c r="H31" s="287"/>
      <c r="I31" s="287"/>
    </row>
    <row r="32" spans="1:9" ht="15.5" x14ac:dyDescent="0.35">
      <c r="A32" s="4">
        <f t="shared" si="0"/>
        <v>19</v>
      </c>
      <c r="B32" s="124"/>
      <c r="C32" s="289"/>
      <c r="D32" s="124"/>
      <c r="E32" s="289"/>
      <c r="F32" s="124"/>
      <c r="G32" s="4">
        <f t="shared" si="1"/>
        <v>19</v>
      </c>
    </row>
    <row r="33" spans="1:5" ht="15.5" x14ac:dyDescent="0.35">
      <c r="A33" s="4"/>
      <c r="C33" s="290"/>
      <c r="E33" s="290"/>
    </row>
    <row r="34" spans="1:5" x14ac:dyDescent="0.35">
      <c r="C34" s="290"/>
      <c r="E34" s="290"/>
    </row>
    <row r="35" spans="1:5" ht="18" x14ac:dyDescent="0.35">
      <c r="A35" s="276">
        <v>1</v>
      </c>
      <c r="B35" s="34" t="s">
        <v>392</v>
      </c>
      <c r="C35" s="290"/>
      <c r="E35" s="290"/>
    </row>
    <row r="36" spans="1:5" ht="15.5" x14ac:dyDescent="0.35">
      <c r="B36" s="34" t="s">
        <v>393</v>
      </c>
      <c r="C36" s="290"/>
      <c r="E36" s="290"/>
    </row>
    <row r="37" spans="1:5" x14ac:dyDescent="0.35">
      <c r="C37" s="290"/>
      <c r="E37" s="290"/>
    </row>
    <row r="38" spans="1:5" x14ac:dyDescent="0.35">
      <c r="C38" s="290"/>
      <c r="E38" s="290"/>
    </row>
    <row r="39" spans="1:5" x14ac:dyDescent="0.35">
      <c r="C39" s="290"/>
      <c r="E39" s="290"/>
    </row>
    <row r="40" spans="1:5" x14ac:dyDescent="0.35">
      <c r="C40" s="290"/>
      <c r="E40" s="290"/>
    </row>
    <row r="41" spans="1:5" x14ac:dyDescent="0.35">
      <c r="C41" s="290"/>
      <c r="E41" s="290"/>
    </row>
    <row r="42" spans="1:5" x14ac:dyDescent="0.35">
      <c r="C42" s="290"/>
      <c r="E42" s="290"/>
    </row>
    <row r="43" spans="1:5" x14ac:dyDescent="0.35">
      <c r="C43" s="290"/>
      <c r="E43" s="290"/>
    </row>
    <row r="44" spans="1:5" x14ac:dyDescent="0.35">
      <c r="C44" s="290"/>
      <c r="E44" s="290"/>
    </row>
    <row r="45" spans="1:5" x14ac:dyDescent="0.35">
      <c r="C45" s="290"/>
      <c r="E45" s="290"/>
    </row>
    <row r="46" spans="1:5" x14ac:dyDescent="0.35">
      <c r="C46" s="290"/>
      <c r="E46" s="290"/>
    </row>
    <row r="47" spans="1:5" x14ac:dyDescent="0.35">
      <c r="C47" s="290"/>
      <c r="E47" s="290"/>
    </row>
  </sheetData>
  <mergeCells count="6">
    <mergeCell ref="B8:F8"/>
    <mergeCell ref="B5:F5"/>
    <mergeCell ref="B2:F2"/>
    <mergeCell ref="B3:F3"/>
    <mergeCell ref="B4:F4"/>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heetViews>
  <sheetFormatPr defaultColWidth="8.90625" defaultRowHeight="15.5" x14ac:dyDescent="0.35"/>
  <cols>
    <col min="1" max="1" width="5.08984375" style="4" customWidth="1"/>
    <col min="2" max="2" width="15.08984375" style="4" customWidth="1"/>
    <col min="3" max="3" width="50.90625" style="34" customWidth="1"/>
    <col min="4" max="4" width="16.90625" style="4" customWidth="1"/>
    <col min="5" max="5" width="5.08984375" style="34" customWidth="1"/>
    <col min="6" max="16384" width="8.90625" style="34"/>
  </cols>
  <sheetData>
    <row r="1" spans="1:8" x14ac:dyDescent="0.35">
      <c r="B1" s="226"/>
      <c r="C1" s="226"/>
      <c r="D1" s="226"/>
      <c r="E1" s="226"/>
      <c r="F1" s="226"/>
    </row>
    <row r="2" spans="1:8" x14ac:dyDescent="0.35">
      <c r="B2" s="1171" t="s">
        <v>0</v>
      </c>
      <c r="C2" s="1183"/>
      <c r="D2" s="1183"/>
      <c r="E2" s="226"/>
      <c r="F2" s="226"/>
      <c r="G2" s="226"/>
      <c r="H2" s="226"/>
    </row>
    <row r="3" spans="1:8" x14ac:dyDescent="0.35">
      <c r="B3" s="1171" t="s">
        <v>868</v>
      </c>
      <c r="C3" s="1183"/>
      <c r="D3" s="1183"/>
      <c r="E3" s="226"/>
      <c r="F3" s="226"/>
      <c r="G3" s="226"/>
      <c r="H3" s="226"/>
    </row>
    <row r="4" spans="1:8" x14ac:dyDescent="0.35">
      <c r="B4" s="1171" t="s">
        <v>924</v>
      </c>
      <c r="C4" s="1183"/>
      <c r="D4" s="1183"/>
      <c r="E4" s="226"/>
      <c r="F4" s="226"/>
      <c r="G4" s="226"/>
      <c r="H4" s="226"/>
    </row>
    <row r="5" spans="1:8" x14ac:dyDescent="0.35">
      <c r="B5" s="1174" t="s">
        <v>870</v>
      </c>
      <c r="C5" s="1189"/>
      <c r="D5" s="1189"/>
      <c r="E5" s="226"/>
      <c r="F5" s="226"/>
      <c r="G5" s="226"/>
      <c r="H5" s="226"/>
    </row>
    <row r="7" spans="1:8" x14ac:dyDescent="0.35">
      <c r="A7" s="4" t="s">
        <v>6</v>
      </c>
      <c r="B7" s="1006" t="s">
        <v>588</v>
      </c>
      <c r="C7" s="1070"/>
      <c r="D7" s="1071" t="s">
        <v>925</v>
      </c>
      <c r="E7" s="4" t="s">
        <v>6</v>
      </c>
    </row>
    <row r="8" spans="1:8" s="1" customFormat="1" x14ac:dyDescent="0.35">
      <c r="A8" s="4" t="s">
        <v>7</v>
      </c>
      <c r="B8" s="285" t="s">
        <v>926</v>
      </c>
      <c r="C8" s="1072" t="s">
        <v>927</v>
      </c>
      <c r="D8" s="450" t="s">
        <v>928</v>
      </c>
      <c r="E8" s="4" t="s">
        <v>7</v>
      </c>
    </row>
    <row r="9" spans="1:8" x14ac:dyDescent="0.35">
      <c r="B9" s="995"/>
      <c r="D9" s="995"/>
      <c r="E9" s="4"/>
    </row>
    <row r="10" spans="1:8" x14ac:dyDescent="0.35">
      <c r="A10" s="4">
        <v>1</v>
      </c>
      <c r="B10" s="1073"/>
      <c r="C10" s="1074" t="s">
        <v>929</v>
      </c>
      <c r="D10" s="1073"/>
      <c r="E10" s="4">
        <f>A10</f>
        <v>1</v>
      </c>
    </row>
    <row r="11" spans="1:8" x14ac:dyDescent="0.35">
      <c r="A11" s="4">
        <f>A10+1</f>
        <v>2</v>
      </c>
      <c r="B11" s="995" t="s">
        <v>930</v>
      </c>
      <c r="C11" s="35" t="s">
        <v>931</v>
      </c>
      <c r="D11" s="1075" t="s">
        <v>932</v>
      </c>
      <c r="E11" s="4">
        <f>E10+1</f>
        <v>2</v>
      </c>
    </row>
    <row r="12" spans="1:8" x14ac:dyDescent="0.35">
      <c r="A12" s="4">
        <f t="shared" ref="A12:A15" si="0">A11+1</f>
        <v>3</v>
      </c>
      <c r="B12" s="1015" t="s">
        <v>933</v>
      </c>
      <c r="C12" s="1076" t="s">
        <v>934</v>
      </c>
      <c r="D12" s="1077" t="s">
        <v>935</v>
      </c>
      <c r="E12" s="4">
        <f t="shared" ref="E12:E16" si="1">E11+1</f>
        <v>3</v>
      </c>
    </row>
    <row r="13" spans="1:8" x14ac:dyDescent="0.35">
      <c r="A13" s="4">
        <f t="shared" si="0"/>
        <v>4</v>
      </c>
      <c r="B13" s="995"/>
      <c r="D13" s="995"/>
      <c r="E13" s="4">
        <f t="shared" si="1"/>
        <v>4</v>
      </c>
    </row>
    <row r="14" spans="1:8" x14ac:dyDescent="0.35">
      <c r="A14" s="4">
        <f t="shared" si="0"/>
        <v>5</v>
      </c>
      <c r="B14" s="1015"/>
      <c r="C14" s="1078" t="s">
        <v>936</v>
      </c>
      <c r="D14" s="1015"/>
      <c r="E14" s="4">
        <f t="shared" si="1"/>
        <v>5</v>
      </c>
    </row>
    <row r="15" spans="1:8" x14ac:dyDescent="0.35">
      <c r="A15" s="4">
        <f t="shared" si="0"/>
        <v>6</v>
      </c>
      <c r="B15" s="1015" t="s">
        <v>937</v>
      </c>
      <c r="C15" s="1076" t="s">
        <v>938</v>
      </c>
      <c r="D15" s="1077" t="s">
        <v>939</v>
      </c>
      <c r="E15" s="4">
        <f t="shared" si="1"/>
        <v>6</v>
      </c>
    </row>
    <row r="16" spans="1:8" x14ac:dyDescent="0.35">
      <c r="A16" s="4">
        <f>A15+1</f>
        <v>7</v>
      </c>
      <c r="B16" s="432"/>
      <c r="C16" s="979"/>
      <c r="D16" s="451"/>
      <c r="E16" s="4">
        <f t="shared" si="1"/>
        <v>7</v>
      </c>
    </row>
    <row r="17" spans="1:4" x14ac:dyDescent="0.35">
      <c r="D17" s="270"/>
    </row>
    <row r="18" spans="1:4" ht="18" x14ac:dyDescent="0.35">
      <c r="A18" s="276"/>
      <c r="B18" s="34" t="s">
        <v>940</v>
      </c>
    </row>
    <row r="19" spans="1:4" x14ac:dyDescent="0.35">
      <c r="B19" s="34" t="s">
        <v>941</v>
      </c>
    </row>
    <row r="20" spans="1:4" x14ac:dyDescent="0.35">
      <c r="B20" s="35" t="s">
        <v>942</v>
      </c>
    </row>
    <row r="21" spans="1:4" x14ac:dyDescent="0.35">
      <c r="B21" s="34" t="s">
        <v>943</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1" customWidth="1"/>
    <col min="4" max="4" width="62.54296875" style="1" customWidth="1"/>
    <col min="5" max="5" width="5.08984375" style="226" customWidth="1"/>
    <col min="6" max="6" width="11" style="1" customWidth="1"/>
    <col min="7" max="7" width="7.08984375" style="1" customWidth="1"/>
    <col min="8" max="8" width="9.08984375" style="1" customWidth="1"/>
    <col min="9" max="9" width="14" style="1" customWidth="1"/>
    <col min="10" max="10" width="13.453125" style="1" customWidth="1"/>
    <col min="11" max="16384" width="9.08984375" style="1"/>
  </cols>
  <sheetData>
    <row r="2" spans="1:5" x14ac:dyDescent="0.35">
      <c r="B2" s="1171" t="s">
        <v>0</v>
      </c>
      <c r="C2" s="1171"/>
      <c r="D2" s="1171"/>
    </row>
    <row r="3" spans="1:5" x14ac:dyDescent="0.35">
      <c r="B3" s="1171" t="s">
        <v>826</v>
      </c>
      <c r="C3" s="1171"/>
      <c r="D3" s="1171"/>
    </row>
    <row r="4" spans="1:5" x14ac:dyDescent="0.35">
      <c r="B4" s="1171" t="s">
        <v>921</v>
      </c>
      <c r="C4" s="1171"/>
      <c r="D4" s="1171"/>
    </row>
    <row r="5" spans="1:5" x14ac:dyDescent="0.35">
      <c r="B5" s="1171" t="s">
        <v>364</v>
      </c>
      <c r="C5" s="1171"/>
      <c r="D5" s="1171"/>
    </row>
    <row r="6" spans="1:5" x14ac:dyDescent="0.35">
      <c r="B6" s="1175" t="s">
        <v>5</v>
      </c>
      <c r="C6" s="1175"/>
      <c r="D6" s="1175"/>
    </row>
    <row r="7" spans="1:5" x14ac:dyDescent="0.35">
      <c r="B7" s="277"/>
      <c r="C7" s="277"/>
      <c r="D7" s="277"/>
    </row>
    <row r="8" spans="1:5" x14ac:dyDescent="0.35">
      <c r="B8" s="1171" t="s">
        <v>457</v>
      </c>
      <c r="C8" s="1171"/>
      <c r="D8" s="1171"/>
    </row>
    <row r="10" spans="1:5" ht="15.5" x14ac:dyDescent="0.35">
      <c r="B10" s="987"/>
      <c r="C10" s="1035" t="s">
        <v>588</v>
      </c>
      <c r="D10" s="1025"/>
      <c r="E10" s="4"/>
    </row>
    <row r="11" spans="1:5" ht="15.5" x14ac:dyDescent="0.35">
      <c r="A11" s="4"/>
      <c r="B11" s="280"/>
      <c r="C11" s="280" t="s">
        <v>944</v>
      </c>
      <c r="D11" s="989"/>
      <c r="E11" s="4"/>
    </row>
    <row r="12" spans="1:5" ht="15.5" x14ac:dyDescent="0.35">
      <c r="A12" s="4" t="s">
        <v>6</v>
      </c>
      <c r="B12" s="280"/>
      <c r="C12" s="280" t="s">
        <v>402</v>
      </c>
      <c r="D12" s="989"/>
      <c r="E12" s="4" t="s">
        <v>6</v>
      </c>
    </row>
    <row r="13" spans="1:5" ht="15.5" x14ac:dyDescent="0.35">
      <c r="A13" s="4" t="s">
        <v>7</v>
      </c>
      <c r="B13" s="285" t="s">
        <v>368</v>
      </c>
      <c r="C13" s="285" t="s">
        <v>828</v>
      </c>
      <c r="D13" s="285" t="s">
        <v>9</v>
      </c>
      <c r="E13" s="4" t="s">
        <v>7</v>
      </c>
    </row>
    <row r="14" spans="1:5" ht="15.5" x14ac:dyDescent="0.35">
      <c r="A14" s="4"/>
      <c r="B14" s="283"/>
      <c r="C14" s="1023"/>
      <c r="D14" s="1026"/>
      <c r="E14" s="4"/>
    </row>
    <row r="15" spans="1:5" ht="15.5" x14ac:dyDescent="0.35">
      <c r="A15" s="4">
        <v>1</v>
      </c>
      <c r="B15" s="1069" t="str">
        <f>'AJ-2'!B15</f>
        <v>Dec-22</v>
      </c>
      <c r="C15" s="240">
        <v>24419.688020000001</v>
      </c>
      <c r="D15" s="1001" t="s">
        <v>945</v>
      </c>
      <c r="E15" s="4">
        <f>A15</f>
        <v>1</v>
      </c>
    </row>
    <row r="16" spans="1:5" ht="15.5" x14ac:dyDescent="0.35">
      <c r="A16" s="4">
        <f>A15+1</f>
        <v>2</v>
      </c>
      <c r="B16" s="124"/>
      <c r="C16" s="97"/>
      <c r="D16" s="97"/>
      <c r="E16" s="4">
        <f>E15+1</f>
        <v>2</v>
      </c>
    </row>
    <row r="17" spans="1:5" ht="15.5" x14ac:dyDescent="0.35">
      <c r="A17" s="4"/>
      <c r="B17" s="34"/>
      <c r="C17" s="31"/>
      <c r="D17" s="34"/>
      <c r="E17" s="4"/>
    </row>
    <row r="18" spans="1:5" ht="15.5" x14ac:dyDescent="0.35">
      <c r="B18" s="34"/>
      <c r="C18" s="34"/>
      <c r="D18" s="34"/>
    </row>
    <row r="19" spans="1:5" ht="15.5" x14ac:dyDescent="0.35">
      <c r="B19" s="34"/>
      <c r="C19" s="34"/>
      <c r="D19" s="34"/>
    </row>
    <row r="20" spans="1:5" ht="15.5" x14ac:dyDescent="0.35">
      <c r="B20" s="34"/>
      <c r="C20" s="34"/>
      <c r="D20" s="34"/>
    </row>
    <row r="21" spans="1:5" ht="15.5" x14ac:dyDescent="0.35">
      <c r="B21" s="34"/>
      <c r="C21" s="34"/>
      <c r="D21" s="34"/>
    </row>
    <row r="22" spans="1:5" ht="15.5" x14ac:dyDescent="0.35">
      <c r="B22" s="34"/>
      <c r="C22" s="34"/>
      <c r="D22" s="34"/>
    </row>
    <row r="23" spans="1:5" ht="15.5" x14ac:dyDescent="0.35">
      <c r="B23" s="34"/>
      <c r="C23" s="34"/>
      <c r="D23" s="34"/>
    </row>
    <row r="24" spans="1:5" ht="15.5" x14ac:dyDescent="0.35">
      <c r="B24" s="34"/>
      <c r="C24" s="34"/>
      <c r="D24" s="34"/>
    </row>
    <row r="25" spans="1:5" ht="15.5" x14ac:dyDescent="0.35">
      <c r="B25" s="34"/>
      <c r="C25" s="34"/>
      <c r="D25" s="34"/>
    </row>
    <row r="26" spans="1:5" ht="15.5" x14ac:dyDescent="0.35">
      <c r="B26" s="34"/>
      <c r="C26" s="34"/>
      <c r="D26" s="34"/>
    </row>
    <row r="27" spans="1:5" ht="15.5" x14ac:dyDescent="0.35">
      <c r="B27" s="34"/>
      <c r="C27" s="34"/>
      <c r="D27" s="34"/>
    </row>
    <row r="28" spans="1:5" ht="15.5" x14ac:dyDescent="0.35">
      <c r="B28" s="34"/>
      <c r="C28" s="34"/>
      <c r="D28" s="34"/>
    </row>
    <row r="29" spans="1:5" ht="15.5" x14ac:dyDescent="0.35">
      <c r="B29" s="34"/>
      <c r="C29" s="34"/>
      <c r="D29" s="34"/>
    </row>
    <row r="30" spans="1:5" ht="15.5" x14ac:dyDescent="0.35">
      <c r="B30" s="34"/>
      <c r="C30" s="34"/>
      <c r="D30" s="34"/>
    </row>
    <row r="31" spans="1:5" s="34" customFormat="1" ht="15.5" x14ac:dyDescent="0.35">
      <c r="A31" s="4"/>
      <c r="E31" s="4"/>
    </row>
    <row r="32" spans="1:5" s="34" customFormat="1" ht="15.5" x14ac:dyDescent="0.35">
      <c r="A32" s="4"/>
      <c r="E32" s="4"/>
    </row>
    <row r="33" spans="1:5" s="34" customFormat="1" ht="15.5" x14ac:dyDescent="0.35">
      <c r="A33" s="4"/>
      <c r="E33" s="4"/>
    </row>
    <row r="34" spans="1:5" s="34" customFormat="1" ht="15.5" x14ac:dyDescent="0.35">
      <c r="A34" s="4"/>
      <c r="E34" s="4"/>
    </row>
    <row r="35" spans="1:5" s="34" customFormat="1" ht="15.5" x14ac:dyDescent="0.35">
      <c r="A35" s="4"/>
      <c r="E35" s="4"/>
    </row>
    <row r="36" spans="1:5" s="34" customFormat="1" ht="15.5" x14ac:dyDescent="0.35">
      <c r="A36" s="4"/>
      <c r="E36" s="4"/>
    </row>
    <row r="37" spans="1:5" s="34" customFormat="1" ht="15.5" x14ac:dyDescent="0.35">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zoomScale="80" zoomScaleNormal="80" workbookViewId="0"/>
  </sheetViews>
  <sheetFormatPr defaultColWidth="8.90625" defaultRowHeight="15.5" x14ac:dyDescent="0.35"/>
  <cols>
    <col min="1" max="1" width="5.08984375" style="4" customWidth="1"/>
    <col min="2" max="2" width="15.08984375" style="34" customWidth="1"/>
    <col min="3" max="3" width="25.90625" style="34" customWidth="1"/>
    <col min="4" max="6" width="16.90625" style="4" customWidth="1"/>
    <col min="7" max="7" width="5.08984375" style="4" customWidth="1"/>
    <col min="8" max="8" width="10.90625" style="34" customWidth="1"/>
    <col min="9" max="9" width="8.08984375" style="34" bestFit="1" customWidth="1"/>
    <col min="10" max="16384" width="8.90625" style="34"/>
  </cols>
  <sheetData>
    <row r="2" spans="1:9" x14ac:dyDescent="0.35">
      <c r="B2" s="1171" t="s">
        <v>0</v>
      </c>
      <c r="C2" s="1171"/>
      <c r="D2" s="1171"/>
      <c r="E2" s="1171"/>
      <c r="F2" s="1171"/>
    </row>
    <row r="3" spans="1:9" x14ac:dyDescent="0.35">
      <c r="B3" s="1171" t="s">
        <v>868</v>
      </c>
      <c r="C3" s="1171"/>
      <c r="D3" s="1171"/>
      <c r="E3" s="1171"/>
      <c r="F3" s="1171"/>
    </row>
    <row r="4" spans="1:9" x14ac:dyDescent="0.35">
      <c r="B4" s="1171" t="s">
        <v>946</v>
      </c>
      <c r="C4" s="1171"/>
      <c r="D4" s="1171"/>
      <c r="E4" s="1171"/>
      <c r="F4" s="1171"/>
    </row>
    <row r="5" spans="1:9" x14ac:dyDescent="0.35">
      <c r="B5" s="1174" t="s">
        <v>870</v>
      </c>
      <c r="C5" s="1174"/>
      <c r="D5" s="1174"/>
      <c r="E5" s="1174"/>
      <c r="F5" s="1174"/>
    </row>
    <row r="6" spans="1:9" x14ac:dyDescent="0.35">
      <c r="B6" s="1174" t="s">
        <v>871</v>
      </c>
      <c r="C6" s="1174"/>
      <c r="D6" s="1174"/>
      <c r="E6" s="1174"/>
      <c r="F6" s="1174"/>
    </row>
    <row r="7" spans="1:9" x14ac:dyDescent="0.35">
      <c r="B7" s="4"/>
    </row>
    <row r="8" spans="1:9" x14ac:dyDescent="0.35">
      <c r="B8" s="1171" t="s">
        <v>947</v>
      </c>
      <c r="C8" s="1171"/>
      <c r="D8" s="1171"/>
      <c r="E8" s="1171"/>
      <c r="F8" s="1171"/>
    </row>
    <row r="9" spans="1:9" x14ac:dyDescent="0.35">
      <c r="A9" s="226"/>
      <c r="B9" s="1190" t="s">
        <v>948</v>
      </c>
      <c r="C9" s="1191"/>
      <c r="D9" s="1191"/>
      <c r="E9" s="1191"/>
      <c r="F9" s="1192"/>
    </row>
    <row r="10" spans="1:9" x14ac:dyDescent="0.35">
      <c r="A10" s="226"/>
      <c r="B10" s="1006"/>
      <c r="C10" s="1006"/>
      <c r="D10" s="1041" t="s">
        <v>280</v>
      </c>
      <c r="E10" s="1006" t="s">
        <v>281</v>
      </c>
      <c r="F10" s="988" t="s">
        <v>872</v>
      </c>
    </row>
    <row r="11" spans="1:9" x14ac:dyDescent="0.35">
      <c r="A11" s="4" t="s">
        <v>6</v>
      </c>
      <c r="B11" s="280" t="s">
        <v>588</v>
      </c>
      <c r="C11" s="226"/>
      <c r="D11" s="280" t="s">
        <v>873</v>
      </c>
      <c r="E11" s="280" t="s">
        <v>874</v>
      </c>
      <c r="F11" s="280" t="s">
        <v>265</v>
      </c>
      <c r="G11" s="4" t="s">
        <v>6</v>
      </c>
    </row>
    <row r="12" spans="1:9" x14ac:dyDescent="0.35">
      <c r="A12" s="4" t="s">
        <v>7</v>
      </c>
      <c r="B12" s="285" t="s">
        <v>422</v>
      </c>
      <c r="C12" s="285" t="s">
        <v>423</v>
      </c>
      <c r="D12" s="990" t="s">
        <v>875</v>
      </c>
      <c r="E12" s="450" t="s">
        <v>875</v>
      </c>
      <c r="F12" s="285" t="s">
        <v>875</v>
      </c>
      <c r="G12" s="4" t="s">
        <v>7</v>
      </c>
      <c r="I12" s="226"/>
    </row>
    <row r="13" spans="1:9" x14ac:dyDescent="0.35">
      <c r="B13" s="288"/>
      <c r="C13" s="288"/>
      <c r="D13" s="226"/>
      <c r="E13" s="280"/>
      <c r="F13" s="280"/>
    </row>
    <row r="14" spans="1:9" x14ac:dyDescent="0.35">
      <c r="A14" s="4">
        <v>1</v>
      </c>
      <c r="B14" s="1015" t="s">
        <v>949</v>
      </c>
      <c r="C14" s="1079" t="s">
        <v>950</v>
      </c>
      <c r="D14" s="1080">
        <v>2.5600000000000001E-2</v>
      </c>
      <c r="E14" s="1081">
        <v>0</v>
      </c>
      <c r="F14" s="1064">
        <f>D14+E14</f>
        <v>2.5600000000000001E-2</v>
      </c>
      <c r="G14" s="4">
        <f>A14</f>
        <v>1</v>
      </c>
      <c r="I14" s="50"/>
    </row>
    <row r="15" spans="1:9" x14ac:dyDescent="0.35">
      <c r="A15" s="4">
        <f t="shared" ref="A15:A27" si="0">A14+1</f>
        <v>2</v>
      </c>
      <c r="B15" s="1015" t="s">
        <v>951</v>
      </c>
      <c r="C15" s="1079" t="s">
        <v>952</v>
      </c>
      <c r="D15" s="1080">
        <v>0</v>
      </c>
      <c r="E15" s="1081">
        <v>0</v>
      </c>
      <c r="F15" s="1064">
        <f>D15+E15</f>
        <v>0</v>
      </c>
      <c r="G15" s="4">
        <f t="shared" ref="G15:G27" si="1">G14+1</f>
        <v>2</v>
      </c>
      <c r="I15" s="50"/>
    </row>
    <row r="16" spans="1:9" x14ac:dyDescent="0.35">
      <c r="A16" s="4">
        <f t="shared" si="0"/>
        <v>3</v>
      </c>
      <c r="B16" s="1015" t="s">
        <v>953</v>
      </c>
      <c r="C16" s="1079" t="s">
        <v>954</v>
      </c>
      <c r="D16" s="1080">
        <v>4.3499999999999997E-2</v>
      </c>
      <c r="E16" s="1081">
        <v>0</v>
      </c>
      <c r="F16" s="1064">
        <f t="shared" ref="F16:F26" si="2">D16+E16</f>
        <v>4.3499999999999997E-2</v>
      </c>
      <c r="G16" s="4">
        <f t="shared" si="1"/>
        <v>3</v>
      </c>
      <c r="I16" s="50"/>
    </row>
    <row r="17" spans="1:9" x14ac:dyDescent="0.35">
      <c r="A17" s="4">
        <f t="shared" si="0"/>
        <v>4</v>
      </c>
      <c r="B17" s="1015" t="s">
        <v>955</v>
      </c>
      <c r="C17" s="1079" t="s">
        <v>956</v>
      </c>
      <c r="D17" s="1080">
        <v>4.0099999999999997E-2</v>
      </c>
      <c r="E17" s="1081">
        <v>0</v>
      </c>
      <c r="F17" s="1064">
        <f t="shared" si="2"/>
        <v>4.0099999999999997E-2</v>
      </c>
      <c r="G17" s="4">
        <f t="shared" si="1"/>
        <v>4</v>
      </c>
      <c r="I17" s="50"/>
    </row>
    <row r="18" spans="1:9" x14ac:dyDescent="0.35">
      <c r="A18" s="4">
        <f t="shared" si="0"/>
        <v>5</v>
      </c>
      <c r="B18" s="995" t="s">
        <v>957</v>
      </c>
      <c r="C18" s="242" t="s">
        <v>958</v>
      </c>
      <c r="D18" s="1080">
        <v>3.73E-2</v>
      </c>
      <c r="E18" s="1081">
        <v>0</v>
      </c>
      <c r="F18" s="1064">
        <f t="shared" si="2"/>
        <v>3.73E-2</v>
      </c>
      <c r="G18" s="4">
        <f t="shared" si="1"/>
        <v>5</v>
      </c>
      <c r="I18" s="50"/>
    </row>
    <row r="19" spans="1:9" x14ac:dyDescent="0.35">
      <c r="A19" s="4">
        <f t="shared" si="0"/>
        <v>6</v>
      </c>
      <c r="B19" s="1015" t="s">
        <v>959</v>
      </c>
      <c r="C19" s="1079" t="s">
        <v>960</v>
      </c>
      <c r="D19" s="1080">
        <v>2.5100000000000001E-2</v>
      </c>
      <c r="E19" s="1081">
        <v>0</v>
      </c>
      <c r="F19" s="1064">
        <f t="shared" si="2"/>
        <v>2.5100000000000001E-2</v>
      </c>
      <c r="G19" s="4">
        <f t="shared" si="1"/>
        <v>6</v>
      </c>
      <c r="I19" s="50"/>
    </row>
    <row r="20" spans="1:9" x14ac:dyDescent="0.35">
      <c r="A20" s="4">
        <f t="shared" si="0"/>
        <v>7</v>
      </c>
      <c r="B20" s="995" t="s">
        <v>961</v>
      </c>
      <c r="C20" s="242" t="s">
        <v>962</v>
      </c>
      <c r="D20" s="1080">
        <v>4.5699999999999998E-2</v>
      </c>
      <c r="E20" s="1081">
        <v>0</v>
      </c>
      <c r="F20" s="1064">
        <f t="shared" si="2"/>
        <v>4.5699999999999998E-2</v>
      </c>
      <c r="G20" s="4">
        <f t="shared" si="1"/>
        <v>7</v>
      </c>
      <c r="I20" s="50"/>
    </row>
    <row r="21" spans="1:9" x14ac:dyDescent="0.35">
      <c r="A21" s="4">
        <f t="shared" si="0"/>
        <v>8</v>
      </c>
      <c r="B21" s="1015" t="s">
        <v>963</v>
      </c>
      <c r="C21" s="1079" t="s">
        <v>964</v>
      </c>
      <c r="D21" s="1080">
        <v>3.1E-2</v>
      </c>
      <c r="E21" s="1081">
        <v>1.77E-2</v>
      </c>
      <c r="F21" s="1064">
        <f t="shared" si="2"/>
        <v>4.87E-2</v>
      </c>
      <c r="G21" s="4">
        <f t="shared" si="1"/>
        <v>8</v>
      </c>
      <c r="I21" s="50"/>
    </row>
    <row r="22" spans="1:9" x14ac:dyDescent="0.35">
      <c r="A22" s="4">
        <f t="shared" si="0"/>
        <v>9</v>
      </c>
      <c r="B22" s="995" t="s">
        <v>965</v>
      </c>
      <c r="C22" s="242" t="s">
        <v>966</v>
      </c>
      <c r="D22" s="1080">
        <v>2.7699999999999999E-2</v>
      </c>
      <c r="E22" s="1081">
        <v>1.6299999999999999E-2</v>
      </c>
      <c r="F22" s="1064">
        <f t="shared" si="2"/>
        <v>4.3999999999999997E-2</v>
      </c>
      <c r="G22" s="4">
        <f t="shared" si="1"/>
        <v>9</v>
      </c>
      <c r="I22" s="50"/>
    </row>
    <row r="23" spans="1:9" x14ac:dyDescent="0.35">
      <c r="A23" s="4">
        <f t="shared" si="0"/>
        <v>10</v>
      </c>
      <c r="B23" s="1015" t="s">
        <v>967</v>
      </c>
      <c r="C23" s="1079" t="s">
        <v>968</v>
      </c>
      <c r="D23" s="1080">
        <v>3.1300000000000001E-2</v>
      </c>
      <c r="E23" s="1081">
        <v>0</v>
      </c>
      <c r="F23" s="1064">
        <f t="shared" si="2"/>
        <v>3.1300000000000001E-2</v>
      </c>
      <c r="G23" s="4">
        <f t="shared" si="1"/>
        <v>10</v>
      </c>
      <c r="I23" s="50"/>
    </row>
    <row r="24" spans="1:9" x14ac:dyDescent="0.35">
      <c r="A24" s="4">
        <f t="shared" si="0"/>
        <v>11</v>
      </c>
      <c r="B24" s="1015" t="s">
        <v>969</v>
      </c>
      <c r="C24" s="1079" t="s">
        <v>970</v>
      </c>
      <c r="D24" s="1080">
        <v>3.3500000000000002E-2</v>
      </c>
      <c r="E24" s="1081">
        <v>1.7299999999999999E-2</v>
      </c>
      <c r="F24" s="1064">
        <f t="shared" si="2"/>
        <v>5.0799999999999998E-2</v>
      </c>
      <c r="G24" s="4">
        <f t="shared" si="1"/>
        <v>11</v>
      </c>
      <c r="I24" s="50"/>
    </row>
    <row r="25" spans="1:9" x14ac:dyDescent="0.35">
      <c r="A25" s="4">
        <f t="shared" si="0"/>
        <v>12</v>
      </c>
      <c r="B25" s="1015" t="s">
        <v>971</v>
      </c>
      <c r="C25" s="1079" t="s">
        <v>972</v>
      </c>
      <c r="D25" s="1080">
        <v>6.25E-2</v>
      </c>
      <c r="E25" s="1081">
        <v>0</v>
      </c>
      <c r="F25" s="1064">
        <f t="shared" si="2"/>
        <v>6.25E-2</v>
      </c>
      <c r="G25" s="4">
        <f t="shared" si="1"/>
        <v>12</v>
      </c>
      <c r="I25" s="50"/>
    </row>
    <row r="26" spans="1:9" x14ac:dyDescent="0.35">
      <c r="A26" s="4">
        <f t="shared" si="0"/>
        <v>13</v>
      </c>
      <c r="B26" s="1015" t="s">
        <v>973</v>
      </c>
      <c r="C26" s="1079" t="s">
        <v>974</v>
      </c>
      <c r="D26" s="1080">
        <v>0</v>
      </c>
      <c r="E26" s="1081">
        <v>0</v>
      </c>
      <c r="F26" s="1064">
        <f t="shared" si="2"/>
        <v>0</v>
      </c>
      <c r="G26" s="4">
        <f t="shared" si="1"/>
        <v>13</v>
      </c>
    </row>
    <row r="27" spans="1:9" x14ac:dyDescent="0.35">
      <c r="A27" s="4">
        <f t="shared" si="0"/>
        <v>14</v>
      </c>
      <c r="B27" s="1082"/>
      <c r="C27" s="1079"/>
      <c r="D27" s="1068"/>
      <c r="E27" s="1064"/>
      <c r="F27" s="1015" t="s">
        <v>1</v>
      </c>
      <c r="G27" s="4">
        <f t="shared" si="1"/>
        <v>14</v>
      </c>
    </row>
    <row r="29" spans="1:9" ht="18" x14ac:dyDescent="0.35">
      <c r="A29" s="276"/>
      <c r="B29" s="35" t="s">
        <v>975</v>
      </c>
    </row>
    <row r="30" spans="1:9" x14ac:dyDescent="0.35">
      <c r="B30" s="35" t="s">
        <v>976</v>
      </c>
    </row>
    <row r="31" spans="1:9" ht="18" x14ac:dyDescent="0.35">
      <c r="A31" s="276"/>
      <c r="B31" s="34" t="s">
        <v>977</v>
      </c>
    </row>
    <row r="32" spans="1:9" x14ac:dyDescent="0.35">
      <c r="B32" s="34" t="s">
        <v>978</v>
      </c>
    </row>
    <row r="33" spans="2:2" x14ac:dyDescent="0.35">
      <c r="B33" s="34" t="s">
        <v>979</v>
      </c>
    </row>
    <row r="34" spans="2:2" x14ac:dyDescent="0.35">
      <c r="B34" s="34" t="s">
        <v>980</v>
      </c>
    </row>
    <row r="36" spans="2:2" x14ac:dyDescent="0.35">
      <c r="B36" s="35"/>
    </row>
  </sheetData>
  <mergeCells count="7">
    <mergeCell ref="B9:F9"/>
    <mergeCell ref="B8:F8"/>
    <mergeCell ref="B2:F2"/>
    <mergeCell ref="B3:F3"/>
    <mergeCell ref="B4:F4"/>
    <mergeCell ref="B5:F5"/>
    <mergeCell ref="B6:F6"/>
  </mergeCells>
  <printOptions horizontalCentered="1"/>
  <pageMargins left="0.5" right="0.5" top="0.5" bottom="0.5" header="0.25" footer="0.25"/>
  <pageSetup orientation="portrait" r:id="rId1"/>
  <headerFooter scaleWithDoc="0">
    <oddFooter>&amp;C&amp;"Times New Roman,Regular"&amp;10General Plant Depreciation Rates
&amp;A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zoomScale="80" zoomScaleNormal="80" workbookViewId="0"/>
  </sheetViews>
  <sheetFormatPr defaultColWidth="9.08984375" defaultRowHeight="15" x14ac:dyDescent="0.35"/>
  <cols>
    <col min="1" max="1" width="5.08984375" style="226" customWidth="1"/>
    <col min="2" max="2" width="8.54296875" style="1" customWidth="1"/>
    <col min="3" max="3" width="41.08984375" style="1" customWidth="1"/>
    <col min="4" max="4" width="18.54296875" style="1" customWidth="1"/>
    <col min="5" max="5" width="62.54296875" style="1" customWidth="1"/>
    <col min="6" max="6" width="5.08984375" style="226" customWidth="1"/>
    <col min="7" max="7" width="24" style="1" customWidth="1"/>
    <col min="8" max="8" width="11" style="1" customWidth="1"/>
    <col min="9" max="9" width="7.08984375" style="1" customWidth="1"/>
    <col min="10" max="10" width="9.08984375" style="1" customWidth="1"/>
    <col min="11" max="11" width="14" style="1" customWidth="1"/>
    <col min="12" max="12" width="13.453125" style="1" customWidth="1"/>
    <col min="13" max="16384" width="9.08984375" style="1"/>
  </cols>
  <sheetData>
    <row r="2" spans="1:7" x14ac:dyDescent="0.35">
      <c r="B2" s="1171" t="s">
        <v>0</v>
      </c>
      <c r="C2" s="1171"/>
      <c r="D2" s="1171"/>
      <c r="E2" s="1171"/>
    </row>
    <row r="3" spans="1:7" x14ac:dyDescent="0.35">
      <c r="B3" s="1171" t="s">
        <v>826</v>
      </c>
      <c r="C3" s="1171"/>
      <c r="D3" s="1171"/>
      <c r="E3" s="1171"/>
      <c r="G3"/>
    </row>
    <row r="4" spans="1:7" x14ac:dyDescent="0.35">
      <c r="B4" s="1171" t="s">
        <v>921</v>
      </c>
      <c r="C4" s="1171"/>
      <c r="D4" s="1171"/>
      <c r="E4" s="1171"/>
    </row>
    <row r="5" spans="1:7" x14ac:dyDescent="0.35">
      <c r="B5" s="1193" t="s">
        <v>364</v>
      </c>
      <c r="C5" s="1193"/>
      <c r="D5" s="1193"/>
      <c r="E5" s="1193"/>
      <c r="F5" s="498"/>
    </row>
    <row r="6" spans="1:7" x14ac:dyDescent="0.35">
      <c r="B6" s="1194" t="s">
        <v>5</v>
      </c>
      <c r="C6" s="1194"/>
      <c r="D6" s="1194"/>
      <c r="E6" s="1194"/>
      <c r="F6" s="498"/>
    </row>
    <row r="7" spans="1:7" x14ac:dyDescent="0.35">
      <c r="B7" s="453"/>
      <c r="C7" s="453"/>
      <c r="D7" s="453"/>
      <c r="E7" s="453"/>
      <c r="F7" s="498"/>
    </row>
    <row r="8" spans="1:7" x14ac:dyDescent="0.35">
      <c r="B8" s="1193" t="s">
        <v>459</v>
      </c>
      <c r="C8" s="1193"/>
      <c r="D8" s="1193"/>
      <c r="E8" s="1193"/>
      <c r="F8" s="498"/>
    </row>
    <row r="9" spans="1:7" x14ac:dyDescent="0.35">
      <c r="B9" s="452"/>
      <c r="C9" s="452"/>
      <c r="D9" s="452"/>
      <c r="E9" s="452"/>
      <c r="F9" s="498"/>
    </row>
    <row r="10" spans="1:7" ht="15.5" x14ac:dyDescent="0.35">
      <c r="A10" s="4" t="s">
        <v>6</v>
      </c>
      <c r="B10" s="331"/>
      <c r="C10" s="331"/>
      <c r="D10" s="332"/>
      <c r="E10" s="333"/>
      <c r="F10" s="4" t="s">
        <v>6</v>
      </c>
    </row>
    <row r="11" spans="1:7" ht="15.5" x14ac:dyDescent="0.35">
      <c r="A11" s="4" t="s">
        <v>7</v>
      </c>
      <c r="B11" s="316" t="s">
        <v>368</v>
      </c>
      <c r="C11" s="316" t="s">
        <v>423</v>
      </c>
      <c r="D11" s="316" t="s">
        <v>8</v>
      </c>
      <c r="E11" s="285" t="s">
        <v>9</v>
      </c>
      <c r="F11" s="4" t="s">
        <v>7</v>
      </c>
    </row>
    <row r="12" spans="1:7" ht="15.5" x14ac:dyDescent="0.35">
      <c r="A12" s="4"/>
      <c r="B12" s="334"/>
      <c r="C12" s="334"/>
      <c r="D12" s="334"/>
      <c r="E12" s="589"/>
      <c r="F12" s="351"/>
    </row>
    <row r="13" spans="1:7" ht="15.5" x14ac:dyDescent="0.35">
      <c r="A13" s="4">
        <v>1</v>
      </c>
      <c r="B13" s="651" t="str">
        <f>'AJ-3'!B15</f>
        <v>Dec-22</v>
      </c>
      <c r="C13" s="336" t="s">
        <v>460</v>
      </c>
      <c r="D13" s="1083">
        <v>194703.23699999999</v>
      </c>
      <c r="E13" s="589" t="s">
        <v>510</v>
      </c>
      <c r="F13" s="4">
        <f>A13</f>
        <v>1</v>
      </c>
    </row>
    <row r="14" spans="1:7" ht="15.5" x14ac:dyDescent="0.35">
      <c r="A14" s="4">
        <f>A13+1</f>
        <v>2</v>
      </c>
      <c r="B14" s="336"/>
      <c r="C14" s="336" t="s">
        <v>462</v>
      </c>
      <c r="D14" s="255">
        <v>0.73170000000000002</v>
      </c>
      <c r="E14" s="1027" t="s">
        <v>511</v>
      </c>
      <c r="F14" s="4">
        <f>F13+1</f>
        <v>2</v>
      </c>
    </row>
    <row r="15" spans="1:7" ht="15.5" x14ac:dyDescent="0.35">
      <c r="A15" s="4">
        <f t="shared" ref="A15:A16" si="0">A14+1</f>
        <v>3</v>
      </c>
      <c r="B15" s="336"/>
      <c r="C15" s="336" t="s">
        <v>981</v>
      </c>
      <c r="D15" s="1084">
        <f>D13*D14</f>
        <v>142464.35851290001</v>
      </c>
      <c r="E15" s="1001" t="s">
        <v>982</v>
      </c>
      <c r="F15" s="4">
        <f t="shared" ref="F15:F16" si="1">F14+1</f>
        <v>3</v>
      </c>
    </row>
    <row r="16" spans="1:7" ht="15.5" x14ac:dyDescent="0.35">
      <c r="A16" s="4">
        <f t="shared" si="0"/>
        <v>4</v>
      </c>
      <c r="B16" s="337"/>
      <c r="C16" s="316"/>
      <c r="D16" s="337"/>
      <c r="E16" s="301"/>
      <c r="F16" s="4">
        <f t="shared" si="1"/>
        <v>4</v>
      </c>
    </row>
    <row r="17" spans="1:6" ht="15.5" x14ac:dyDescent="0.35">
      <c r="A17" s="4"/>
      <c r="B17" s="34"/>
      <c r="C17" s="34"/>
      <c r="D17" s="110"/>
      <c r="E17" s="34"/>
      <c r="F17" s="4"/>
    </row>
    <row r="18" spans="1:6" ht="15.5" x14ac:dyDescent="0.35">
      <c r="B18" s="34"/>
      <c r="C18" s="34"/>
      <c r="D18" s="34"/>
      <c r="E18" s="34"/>
      <c r="F18" s="4"/>
    </row>
    <row r="19" spans="1:6" ht="15.5" x14ac:dyDescent="0.35">
      <c r="B19" s="34"/>
      <c r="C19" s="34"/>
      <c r="D19" s="34"/>
      <c r="E19" s="34"/>
    </row>
    <row r="20" spans="1:6" ht="15.5" x14ac:dyDescent="0.35">
      <c r="B20" s="34"/>
      <c r="C20" s="34"/>
      <c r="D20" s="34"/>
      <c r="E20" s="34"/>
    </row>
  </sheetData>
  <mergeCells count="6">
    <mergeCell ref="B8:E8"/>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heetViews>
  <sheetFormatPr defaultColWidth="8.90625" defaultRowHeight="15.5" x14ac:dyDescent="0.35"/>
  <cols>
    <col min="1" max="1" width="5.08984375" style="4" customWidth="1"/>
    <col min="2" max="2" width="15.08984375" style="34" customWidth="1"/>
    <col min="3" max="3" width="25.90625" style="34" customWidth="1"/>
    <col min="4" max="6" width="16.90625" style="4" customWidth="1"/>
    <col min="7" max="7" width="5.08984375" style="4" customWidth="1"/>
    <col min="8" max="8" width="10.90625" style="34" customWidth="1"/>
    <col min="9" max="9" width="8.08984375" style="34" bestFit="1" customWidth="1"/>
    <col min="10" max="16384" width="8.90625" style="34"/>
  </cols>
  <sheetData>
    <row r="2" spans="1:9" x14ac:dyDescent="0.35">
      <c r="B2" s="1171" t="s">
        <v>0</v>
      </c>
      <c r="C2" s="1171"/>
      <c r="D2" s="1171"/>
      <c r="E2" s="1171"/>
      <c r="F2" s="1171"/>
    </row>
    <row r="3" spans="1:9" x14ac:dyDescent="0.35">
      <c r="B3" s="1193" t="s">
        <v>868</v>
      </c>
      <c r="C3" s="1193"/>
      <c r="D3" s="1193"/>
      <c r="E3" s="1193"/>
      <c r="F3" s="1193"/>
      <c r="G3" s="351"/>
    </row>
    <row r="4" spans="1:9" x14ac:dyDescent="0.35">
      <c r="B4" s="1193" t="s">
        <v>983</v>
      </c>
      <c r="C4" s="1193"/>
      <c r="D4" s="1193"/>
      <c r="E4" s="1193"/>
      <c r="F4" s="1193"/>
      <c r="G4" s="351"/>
    </row>
    <row r="5" spans="1:9" x14ac:dyDescent="0.35">
      <c r="B5" s="1198" t="s">
        <v>870</v>
      </c>
      <c r="C5" s="1198"/>
      <c r="D5" s="1198"/>
      <c r="E5" s="1198"/>
      <c r="F5" s="1198"/>
      <c r="G5" s="351"/>
    </row>
    <row r="6" spans="1:9" x14ac:dyDescent="0.35">
      <c r="B6" s="1198" t="s">
        <v>871</v>
      </c>
      <c r="C6" s="1198"/>
      <c r="D6" s="1198"/>
      <c r="E6" s="1198"/>
      <c r="F6" s="1198"/>
      <c r="G6" s="351"/>
    </row>
    <row r="7" spans="1:9" x14ac:dyDescent="0.35">
      <c r="A7" s="351"/>
      <c r="B7" s="351"/>
      <c r="C7" s="5"/>
      <c r="D7" s="351"/>
      <c r="E7" s="351"/>
      <c r="F7" s="351"/>
      <c r="G7" s="351"/>
    </row>
    <row r="8" spans="1:9" x14ac:dyDescent="0.35">
      <c r="A8" s="351"/>
      <c r="B8" s="1193" t="s">
        <v>984</v>
      </c>
      <c r="C8" s="1193"/>
      <c r="D8" s="1193"/>
      <c r="E8" s="1193"/>
      <c r="F8" s="1193"/>
      <c r="G8" s="351"/>
    </row>
    <row r="9" spans="1:9" x14ac:dyDescent="0.35">
      <c r="A9" s="498"/>
      <c r="B9" s="1195" t="s">
        <v>948</v>
      </c>
      <c r="C9" s="1196"/>
      <c r="D9" s="1196"/>
      <c r="E9" s="1196"/>
      <c r="F9" s="1197"/>
      <c r="G9" s="351"/>
    </row>
    <row r="10" spans="1:9" x14ac:dyDescent="0.35">
      <c r="A10" s="498"/>
      <c r="B10" s="1085"/>
      <c r="C10" s="1085"/>
      <c r="D10" s="1086" t="s">
        <v>280</v>
      </c>
      <c r="E10" s="1085" t="s">
        <v>281</v>
      </c>
      <c r="F10" s="1087" t="s">
        <v>872</v>
      </c>
      <c r="G10" s="351"/>
    </row>
    <row r="11" spans="1:9" x14ac:dyDescent="0.35">
      <c r="A11" s="351" t="s">
        <v>6</v>
      </c>
      <c r="B11" s="856" t="s">
        <v>588</v>
      </c>
      <c r="C11" s="498"/>
      <c r="D11" s="856" t="s">
        <v>873</v>
      </c>
      <c r="E11" s="856" t="s">
        <v>874</v>
      </c>
      <c r="F11" s="856" t="s">
        <v>265</v>
      </c>
      <c r="G11" s="351" t="s">
        <v>6</v>
      </c>
    </row>
    <row r="12" spans="1:9" x14ac:dyDescent="0.35">
      <c r="A12" s="351" t="s">
        <v>7</v>
      </c>
      <c r="B12" s="454" t="s">
        <v>422</v>
      </c>
      <c r="C12" s="454" t="s">
        <v>423</v>
      </c>
      <c r="D12" s="1088" t="s">
        <v>875</v>
      </c>
      <c r="E12" s="659" t="s">
        <v>875</v>
      </c>
      <c r="F12" s="454" t="s">
        <v>875</v>
      </c>
      <c r="G12" s="351" t="s">
        <v>7</v>
      </c>
      <c r="I12" s="226"/>
    </row>
    <row r="13" spans="1:9" x14ac:dyDescent="0.35">
      <c r="A13" s="351"/>
      <c r="B13" s="1089"/>
      <c r="C13" s="1089"/>
      <c r="D13" s="498"/>
      <c r="E13" s="856"/>
      <c r="F13" s="856"/>
      <c r="G13" s="351"/>
    </row>
    <row r="14" spans="1:9" x14ac:dyDescent="0.35">
      <c r="A14" s="351">
        <v>1</v>
      </c>
      <c r="B14" s="1090" t="s">
        <v>985</v>
      </c>
      <c r="C14" s="1091" t="s">
        <v>986</v>
      </c>
      <c r="D14" s="1092">
        <v>3.0700000000000002E-2</v>
      </c>
      <c r="E14" s="1093">
        <v>4.8999999999999998E-3</v>
      </c>
      <c r="F14" s="1094">
        <f>D14+E14</f>
        <v>3.56E-2</v>
      </c>
      <c r="G14" s="351">
        <f>A14</f>
        <v>1</v>
      </c>
      <c r="I14" s="50"/>
    </row>
    <row r="15" spans="1:9" x14ac:dyDescent="0.35">
      <c r="A15" s="351">
        <f t="shared" ref="A15:A27" si="0">A14+1</f>
        <v>2</v>
      </c>
      <c r="B15" s="1095" t="s">
        <v>987</v>
      </c>
      <c r="C15" s="1062" t="s">
        <v>988</v>
      </c>
      <c r="D15" s="1092">
        <v>5.6899999999999999E-2</v>
      </c>
      <c r="E15" s="1093">
        <v>0</v>
      </c>
      <c r="F15" s="1094">
        <f t="shared" ref="F15:F26" si="1">D15+E15</f>
        <v>5.6899999999999999E-2</v>
      </c>
      <c r="G15" s="351">
        <f t="shared" ref="G15:G27" si="2">G14+1</f>
        <v>2</v>
      </c>
      <c r="I15" s="50"/>
    </row>
    <row r="16" spans="1:9" x14ac:dyDescent="0.35">
      <c r="A16" s="351">
        <f t="shared" si="0"/>
        <v>3</v>
      </c>
      <c r="B16" s="1090" t="s">
        <v>989</v>
      </c>
      <c r="C16" s="1091" t="s">
        <v>990</v>
      </c>
      <c r="D16" s="1092">
        <v>0.21310000000000001</v>
      </c>
      <c r="E16" s="1093">
        <v>0</v>
      </c>
      <c r="F16" s="1094">
        <f t="shared" si="1"/>
        <v>0.21310000000000001</v>
      </c>
      <c r="G16" s="351">
        <f t="shared" si="2"/>
        <v>3</v>
      </c>
      <c r="I16" s="50"/>
    </row>
    <row r="17" spans="1:9" x14ac:dyDescent="0.35">
      <c r="A17" s="351">
        <f t="shared" si="0"/>
        <v>4</v>
      </c>
      <c r="B17" s="1090" t="s">
        <v>991</v>
      </c>
      <c r="C17" s="1091" t="s">
        <v>952</v>
      </c>
      <c r="D17" s="1092">
        <v>7.0000000000000007E-2</v>
      </c>
      <c r="E17" s="1093">
        <v>0</v>
      </c>
      <c r="F17" s="1094">
        <f t="shared" si="1"/>
        <v>7.0000000000000007E-2</v>
      </c>
      <c r="G17" s="351">
        <f t="shared" si="2"/>
        <v>4</v>
      </c>
      <c r="I17" s="50"/>
    </row>
    <row r="18" spans="1:9" x14ac:dyDescent="0.35">
      <c r="A18" s="351">
        <f t="shared" si="0"/>
        <v>5</v>
      </c>
      <c r="B18" s="1090" t="s">
        <v>992</v>
      </c>
      <c r="C18" s="1091" t="s">
        <v>954</v>
      </c>
      <c r="D18" s="1092">
        <v>4.9299999999999997E-2</v>
      </c>
      <c r="E18" s="1093">
        <v>0</v>
      </c>
      <c r="F18" s="1094">
        <f t="shared" si="1"/>
        <v>4.9299999999999997E-2</v>
      </c>
      <c r="G18" s="351">
        <f t="shared" si="2"/>
        <v>5</v>
      </c>
      <c r="I18" s="50"/>
    </row>
    <row r="19" spans="1:9" x14ac:dyDescent="0.35">
      <c r="A19" s="351">
        <f t="shared" si="0"/>
        <v>6</v>
      </c>
      <c r="B19" s="1095" t="s">
        <v>993</v>
      </c>
      <c r="C19" s="1062" t="s">
        <v>994</v>
      </c>
      <c r="D19" s="1096">
        <v>9.4600000000000004E-2</v>
      </c>
      <c r="E19" s="660">
        <v>0</v>
      </c>
      <c r="F19" s="1094">
        <f t="shared" si="1"/>
        <v>9.4600000000000004E-2</v>
      </c>
      <c r="G19" s="351">
        <f t="shared" si="2"/>
        <v>6</v>
      </c>
      <c r="I19" s="50"/>
    </row>
    <row r="20" spans="1:9" x14ac:dyDescent="0.35">
      <c r="A20" s="351">
        <f t="shared" si="0"/>
        <v>7</v>
      </c>
      <c r="B20" s="1090" t="s">
        <v>995</v>
      </c>
      <c r="C20" s="1091" t="s">
        <v>956</v>
      </c>
      <c r="D20" s="1092">
        <v>4.8500000000000001E-2</v>
      </c>
      <c r="E20" s="1093">
        <v>0</v>
      </c>
      <c r="F20" s="1094">
        <f t="shared" si="1"/>
        <v>4.8500000000000001E-2</v>
      </c>
      <c r="G20" s="351">
        <f t="shared" si="2"/>
        <v>7</v>
      </c>
      <c r="I20" s="50"/>
    </row>
    <row r="21" spans="1:9" x14ac:dyDescent="0.35">
      <c r="A21" s="351">
        <f t="shared" si="0"/>
        <v>8</v>
      </c>
      <c r="B21" s="1095" t="s">
        <v>996</v>
      </c>
      <c r="C21" s="1062" t="s">
        <v>958</v>
      </c>
      <c r="D21" s="1092">
        <v>4.0899999999999999E-2</v>
      </c>
      <c r="E21" s="1093">
        <v>0</v>
      </c>
      <c r="F21" s="1094">
        <f t="shared" si="1"/>
        <v>4.0899999999999999E-2</v>
      </c>
      <c r="G21" s="351">
        <f t="shared" si="2"/>
        <v>8</v>
      </c>
      <c r="I21" s="50"/>
    </row>
    <row r="22" spans="1:9" x14ac:dyDescent="0.35">
      <c r="A22" s="351">
        <f t="shared" si="0"/>
        <v>9</v>
      </c>
      <c r="B22" s="1090" t="s">
        <v>997</v>
      </c>
      <c r="C22" s="1091" t="s">
        <v>998</v>
      </c>
      <c r="D22" s="1092">
        <v>1.6899999999999998E-2</v>
      </c>
      <c r="E22" s="1093">
        <v>0</v>
      </c>
      <c r="F22" s="1094">
        <f t="shared" si="1"/>
        <v>1.6899999999999998E-2</v>
      </c>
      <c r="G22" s="351">
        <f t="shared" si="2"/>
        <v>9</v>
      </c>
      <c r="I22" s="50"/>
    </row>
    <row r="23" spans="1:9" x14ac:dyDescent="0.35">
      <c r="A23" s="351">
        <f t="shared" si="0"/>
        <v>10</v>
      </c>
      <c r="B23" s="1095" t="s">
        <v>999</v>
      </c>
      <c r="C23" s="1062" t="s">
        <v>1000</v>
      </c>
      <c r="D23" s="1092">
        <v>6.2199999999999998E-2</v>
      </c>
      <c r="E23" s="1093">
        <v>0</v>
      </c>
      <c r="F23" s="1094">
        <f t="shared" si="1"/>
        <v>6.2199999999999998E-2</v>
      </c>
      <c r="G23" s="351">
        <f t="shared" si="2"/>
        <v>10</v>
      </c>
      <c r="I23" s="50"/>
    </row>
    <row r="24" spans="1:9" x14ac:dyDescent="0.35">
      <c r="A24" s="351">
        <f t="shared" si="0"/>
        <v>11</v>
      </c>
      <c r="B24" s="1090" t="s">
        <v>1001</v>
      </c>
      <c r="C24" s="1091" t="s">
        <v>962</v>
      </c>
      <c r="D24" s="1092">
        <v>4.36E-2</v>
      </c>
      <c r="E24" s="1093">
        <v>0</v>
      </c>
      <c r="F24" s="1094">
        <f t="shared" si="1"/>
        <v>4.36E-2</v>
      </c>
      <c r="G24" s="351">
        <f t="shared" si="2"/>
        <v>11</v>
      </c>
      <c r="I24" s="50"/>
    </row>
    <row r="25" spans="1:9" x14ac:dyDescent="0.35">
      <c r="A25" s="351">
        <f t="shared" si="0"/>
        <v>12</v>
      </c>
      <c r="B25" s="1090" t="s">
        <v>1002</v>
      </c>
      <c r="C25" s="1091" t="s">
        <v>964</v>
      </c>
      <c r="D25" s="1092">
        <v>7.7200000000000005E-2</v>
      </c>
      <c r="E25" s="1093">
        <v>0</v>
      </c>
      <c r="F25" s="1094">
        <f t="shared" si="1"/>
        <v>7.7200000000000005E-2</v>
      </c>
      <c r="G25" s="351">
        <f t="shared" si="2"/>
        <v>12</v>
      </c>
      <c r="I25" s="50"/>
    </row>
    <row r="26" spans="1:9" x14ac:dyDescent="0.35">
      <c r="A26" s="351">
        <f t="shared" si="0"/>
        <v>13</v>
      </c>
      <c r="B26" s="1095" t="s">
        <v>1003</v>
      </c>
      <c r="C26" s="1062" t="s">
        <v>972</v>
      </c>
      <c r="D26" s="1092">
        <v>6.4000000000000001E-2</v>
      </c>
      <c r="E26" s="1093">
        <v>0</v>
      </c>
      <c r="F26" s="1094">
        <f t="shared" si="1"/>
        <v>6.4000000000000001E-2</v>
      </c>
      <c r="G26" s="351">
        <f t="shared" si="2"/>
        <v>13</v>
      </c>
    </row>
    <row r="27" spans="1:9" x14ac:dyDescent="0.35">
      <c r="A27" s="351">
        <f t="shared" si="0"/>
        <v>14</v>
      </c>
      <c r="B27" s="1097"/>
      <c r="C27" s="1091"/>
      <c r="D27" s="1098" t="s">
        <v>1</v>
      </c>
      <c r="E27" s="1090" t="s">
        <v>1</v>
      </c>
      <c r="F27" s="1090" t="s">
        <v>1</v>
      </c>
      <c r="G27" s="351">
        <f t="shared" si="2"/>
        <v>14</v>
      </c>
    </row>
    <row r="28" spans="1:9" x14ac:dyDescent="0.35">
      <c r="A28" s="351"/>
      <c r="B28" s="5"/>
      <c r="C28" s="5"/>
      <c r="D28" s="351"/>
      <c r="E28" s="351"/>
      <c r="F28" s="351"/>
      <c r="G28" s="351"/>
    </row>
    <row r="29" spans="1:9" ht="18" x14ac:dyDescent="0.35">
      <c r="A29" s="276"/>
      <c r="B29" s="35" t="s">
        <v>1004</v>
      </c>
    </row>
    <row r="30" spans="1:9" x14ac:dyDescent="0.35">
      <c r="B30" s="35" t="s">
        <v>976</v>
      </c>
    </row>
    <row r="31" spans="1:9" ht="18" x14ac:dyDescent="0.35">
      <c r="A31" s="276"/>
      <c r="B31" s="34" t="s">
        <v>977</v>
      </c>
    </row>
    <row r="32" spans="1:9" x14ac:dyDescent="0.35">
      <c r="B32" s="34" t="s">
        <v>978</v>
      </c>
    </row>
    <row r="33" spans="2:6" x14ac:dyDescent="0.35">
      <c r="B33" s="34" t="s">
        <v>979</v>
      </c>
      <c r="D33" s="34"/>
      <c r="E33" s="34"/>
      <c r="F33" s="34"/>
    </row>
    <row r="34" spans="2:6" x14ac:dyDescent="0.35">
      <c r="B34" s="34" t="s">
        <v>980</v>
      </c>
      <c r="D34" s="34"/>
      <c r="E34" s="34"/>
      <c r="F34" s="34"/>
    </row>
    <row r="35" spans="2:6" x14ac:dyDescent="0.35">
      <c r="B35" s="35"/>
    </row>
    <row r="36" spans="2:6" x14ac:dyDescent="0.35">
      <c r="B36" s="35"/>
    </row>
  </sheetData>
  <mergeCells count="7">
    <mergeCell ref="B9:F9"/>
    <mergeCell ref="B8:F8"/>
    <mergeCell ref="B2:F2"/>
    <mergeCell ref="B3:F3"/>
    <mergeCell ref="B4:F4"/>
    <mergeCell ref="B5:F5"/>
    <mergeCell ref="B6:F6"/>
  </mergeCells>
  <printOptions horizontalCentered="1"/>
  <pageMargins left="0.5" right="0.5" top="0.5" bottom="0.5" header="0.25" footer="0.25"/>
  <pageSetup orientation="portrait" r:id="rId1"/>
  <headerFooter scaleWithDoc="0">
    <oddFooter>&amp;C&amp;"Times New Roman,Regular"&amp;10Common Plant Depreciation Rates
&amp;A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K28"/>
  <sheetViews>
    <sheetView zoomScale="80" zoomScaleNormal="80" workbookViewId="0"/>
  </sheetViews>
  <sheetFormatPr defaultColWidth="9.08984375" defaultRowHeight="15" x14ac:dyDescent="0.35"/>
  <cols>
    <col min="1" max="1" width="5.08984375" style="226" customWidth="1"/>
    <col min="2" max="2" width="8.54296875" style="1" customWidth="1"/>
    <col min="3" max="3" width="53.08984375" style="1" customWidth="1"/>
    <col min="4" max="4" width="18.54296875" style="1" customWidth="1"/>
    <col min="5" max="5" width="27.90625" style="1" customWidth="1"/>
    <col min="6" max="6" width="18.54296875" style="1" customWidth="1"/>
    <col min="7" max="7" width="27.90625" style="1" customWidth="1"/>
    <col min="8" max="8" width="5.08984375" style="226" customWidth="1"/>
    <col min="9" max="9" width="9.453125" style="1" bestFit="1" customWidth="1"/>
    <col min="10" max="16384" width="9.08984375" style="1"/>
  </cols>
  <sheetData>
    <row r="2" spans="1:11" x14ac:dyDescent="0.35">
      <c r="B2" s="1171" t="s">
        <v>0</v>
      </c>
      <c r="C2" s="1171"/>
      <c r="D2" s="1171"/>
      <c r="E2" s="1171"/>
      <c r="F2" s="1171"/>
      <c r="G2" s="1171"/>
    </row>
    <row r="3" spans="1:11" x14ac:dyDescent="0.35">
      <c r="B3" s="1171" t="s">
        <v>826</v>
      </c>
      <c r="C3" s="1171"/>
      <c r="D3" s="1171"/>
      <c r="E3" s="1171"/>
      <c r="F3" s="1171"/>
      <c r="G3" s="1171"/>
    </row>
    <row r="4" spans="1:11" x14ac:dyDescent="0.35">
      <c r="B4" s="1171" t="s">
        <v>1005</v>
      </c>
      <c r="C4" s="1171"/>
      <c r="D4" s="1171"/>
      <c r="E4" s="1171"/>
      <c r="F4" s="1171"/>
      <c r="G4" s="1171"/>
    </row>
    <row r="5" spans="1:11" x14ac:dyDescent="0.35">
      <c r="B5" s="1171" t="s">
        <v>1006</v>
      </c>
      <c r="C5" s="1171"/>
      <c r="D5" s="1171"/>
      <c r="E5" s="1171"/>
      <c r="F5" s="1171"/>
      <c r="G5" s="1171"/>
    </row>
    <row r="6" spans="1:11" x14ac:dyDescent="0.35">
      <c r="B6" s="1171" t="s">
        <v>5</v>
      </c>
      <c r="C6" s="1171"/>
      <c r="D6" s="1171"/>
      <c r="E6" s="1171"/>
      <c r="F6" s="1171"/>
      <c r="G6" s="1171"/>
    </row>
    <row r="7" spans="1:11" x14ac:dyDescent="0.35">
      <c r="B7" s="226"/>
      <c r="C7" s="226"/>
      <c r="D7" s="226"/>
      <c r="E7" s="226"/>
      <c r="F7" s="226"/>
      <c r="G7" s="226"/>
    </row>
    <row r="8" spans="1:11" x14ac:dyDescent="0.35">
      <c r="B8" s="1171" t="s">
        <v>449</v>
      </c>
      <c r="C8" s="1171"/>
      <c r="D8" s="1171"/>
      <c r="E8" s="1171"/>
      <c r="F8" s="1171"/>
      <c r="G8" s="1171"/>
    </row>
    <row r="9" spans="1:11" x14ac:dyDescent="0.35">
      <c r="B9" s="1053"/>
      <c r="C9" s="1029"/>
      <c r="D9" s="1029"/>
      <c r="E9" s="1029"/>
      <c r="F9" s="1029"/>
    </row>
    <row r="10" spans="1:11" ht="15.5" x14ac:dyDescent="0.35">
      <c r="B10" s="1054"/>
      <c r="C10" s="987"/>
      <c r="D10" s="988" t="s">
        <v>450</v>
      </c>
      <c r="E10" s="988"/>
      <c r="F10" s="988" t="s">
        <v>450</v>
      </c>
      <c r="G10" s="988"/>
      <c r="H10" s="4"/>
    </row>
    <row r="11" spans="1:11" s="226" customFormat="1" ht="15.5" x14ac:dyDescent="0.35">
      <c r="A11" s="4"/>
      <c r="B11" s="280"/>
      <c r="C11" s="280"/>
      <c r="D11" s="280" t="s">
        <v>406</v>
      </c>
      <c r="E11" s="280"/>
      <c r="F11" s="280" t="s">
        <v>406</v>
      </c>
      <c r="G11" s="280"/>
      <c r="H11" s="4"/>
      <c r="J11" s="1"/>
      <c r="K11" s="1"/>
    </row>
    <row r="12" spans="1:11" ht="15.5" x14ac:dyDescent="0.35">
      <c r="A12" s="4" t="s">
        <v>6</v>
      </c>
      <c r="B12" s="280" t="s">
        <v>422</v>
      </c>
      <c r="C12" s="280"/>
      <c r="D12" s="280" t="s">
        <v>828</v>
      </c>
      <c r="E12" s="280"/>
      <c r="F12" s="280" t="s">
        <v>828</v>
      </c>
      <c r="G12" s="280"/>
      <c r="H12" s="4" t="s">
        <v>6</v>
      </c>
    </row>
    <row r="13" spans="1:11" ht="15.5" x14ac:dyDescent="0.35">
      <c r="A13" s="4" t="s">
        <v>7</v>
      </c>
      <c r="B13" s="285" t="s">
        <v>7</v>
      </c>
      <c r="C13" s="285" t="s">
        <v>423</v>
      </c>
      <c r="D13" s="285" t="s">
        <v>369</v>
      </c>
      <c r="E13" s="285" t="s">
        <v>9</v>
      </c>
      <c r="F13" s="285" t="s">
        <v>1007</v>
      </c>
      <c r="G13" s="285" t="s">
        <v>9</v>
      </c>
      <c r="H13" s="4" t="s">
        <v>7</v>
      </c>
    </row>
    <row r="14" spans="1:11" ht="15.5" x14ac:dyDescent="0.35">
      <c r="A14" s="4">
        <v>1</v>
      </c>
      <c r="B14" s="995">
        <v>303</v>
      </c>
      <c r="C14" s="1056" t="s">
        <v>431</v>
      </c>
      <c r="D14" s="240">
        <v>0</v>
      </c>
      <c r="E14" s="995" t="s">
        <v>372</v>
      </c>
      <c r="F14" s="240">
        <v>0</v>
      </c>
      <c r="G14" s="589" t="s">
        <v>372</v>
      </c>
      <c r="H14" s="4">
        <f>A14</f>
        <v>1</v>
      </c>
    </row>
    <row r="15" spans="1:11" ht="15.5" x14ac:dyDescent="0.35">
      <c r="A15" s="4">
        <f>A14+1</f>
        <v>2</v>
      </c>
      <c r="B15" s="995">
        <v>350</v>
      </c>
      <c r="C15" s="1056" t="s">
        <v>829</v>
      </c>
      <c r="D15" s="241">
        <v>0</v>
      </c>
      <c r="E15" s="1062"/>
      <c r="F15" s="241">
        <v>0</v>
      </c>
      <c r="G15" s="944"/>
      <c r="H15" s="4">
        <f>H14+1</f>
        <v>2</v>
      </c>
    </row>
    <row r="16" spans="1:11" ht="15.5" x14ac:dyDescent="0.35">
      <c r="A16" s="4">
        <f t="shared" ref="A16:A26" si="0">A15+1</f>
        <v>3</v>
      </c>
      <c r="B16" s="995">
        <v>352</v>
      </c>
      <c r="C16" s="242" t="s">
        <v>830</v>
      </c>
      <c r="D16" s="241">
        <v>0</v>
      </c>
      <c r="E16" s="1062"/>
      <c r="F16" s="241">
        <v>0</v>
      </c>
      <c r="G16" s="944"/>
      <c r="H16" s="4">
        <f t="shared" ref="H16:H26" si="1">H15+1</f>
        <v>3</v>
      </c>
    </row>
    <row r="17" spans="1:9" ht="15.5" x14ac:dyDescent="0.35">
      <c r="A17" s="4">
        <f t="shared" si="0"/>
        <v>4</v>
      </c>
      <c r="B17" s="995">
        <v>353</v>
      </c>
      <c r="C17" s="242" t="s">
        <v>437</v>
      </c>
      <c r="D17" s="241">
        <v>0</v>
      </c>
      <c r="E17" s="1062"/>
      <c r="F17" s="241">
        <v>0</v>
      </c>
      <c r="G17" s="944"/>
      <c r="H17" s="4">
        <f t="shared" si="1"/>
        <v>4</v>
      </c>
    </row>
    <row r="18" spans="1:9" ht="15.5" x14ac:dyDescent="0.35">
      <c r="A18" s="4">
        <f t="shared" si="0"/>
        <v>5</v>
      </c>
      <c r="B18" s="995">
        <v>354</v>
      </c>
      <c r="C18" s="242" t="s">
        <v>438</v>
      </c>
      <c r="D18" s="241">
        <v>0</v>
      </c>
      <c r="E18" s="1062"/>
      <c r="F18" s="241">
        <v>0</v>
      </c>
      <c r="G18" s="944"/>
      <c r="H18" s="4">
        <f t="shared" si="1"/>
        <v>5</v>
      </c>
    </row>
    <row r="19" spans="1:9" ht="15.5" x14ac:dyDescent="0.35">
      <c r="A19" s="4">
        <f t="shared" si="0"/>
        <v>6</v>
      </c>
      <c r="B19" s="995">
        <v>355</v>
      </c>
      <c r="C19" s="242" t="s">
        <v>439</v>
      </c>
      <c r="D19" s="241">
        <v>0</v>
      </c>
      <c r="E19" s="1062"/>
      <c r="F19" s="241">
        <v>0</v>
      </c>
      <c r="G19" s="944"/>
      <c r="H19" s="4">
        <f t="shared" si="1"/>
        <v>6</v>
      </c>
    </row>
    <row r="20" spans="1:9" ht="15.5" x14ac:dyDescent="0.35">
      <c r="A20" s="4">
        <f t="shared" si="0"/>
        <v>7</v>
      </c>
      <c r="B20" s="995">
        <v>356</v>
      </c>
      <c r="C20" s="242" t="s">
        <v>831</v>
      </c>
      <c r="D20" s="241">
        <v>0</v>
      </c>
      <c r="E20" s="1062"/>
      <c r="F20" s="241">
        <v>0</v>
      </c>
      <c r="G20" s="944"/>
      <c r="H20" s="4">
        <f t="shared" si="1"/>
        <v>7</v>
      </c>
    </row>
    <row r="21" spans="1:9" ht="15.5" x14ac:dyDescent="0.35">
      <c r="A21" s="4">
        <f t="shared" si="0"/>
        <v>8</v>
      </c>
      <c r="B21" s="995">
        <v>357</v>
      </c>
      <c r="C21" s="242" t="s">
        <v>441</v>
      </c>
      <c r="D21" s="241">
        <v>0</v>
      </c>
      <c r="E21" s="1062"/>
      <c r="F21" s="241">
        <v>0</v>
      </c>
      <c r="G21" s="944"/>
      <c r="H21" s="4">
        <f t="shared" si="1"/>
        <v>8</v>
      </c>
    </row>
    <row r="22" spans="1:9" ht="15.5" x14ac:dyDescent="0.35">
      <c r="A22" s="4">
        <f t="shared" si="0"/>
        <v>9</v>
      </c>
      <c r="B22" s="995">
        <v>358</v>
      </c>
      <c r="C22" s="242" t="s">
        <v>832</v>
      </c>
      <c r="D22" s="241">
        <v>0</v>
      </c>
      <c r="E22" s="1062"/>
      <c r="F22" s="241">
        <v>0</v>
      </c>
      <c r="G22" s="944"/>
      <c r="H22" s="4">
        <f t="shared" si="1"/>
        <v>9</v>
      </c>
    </row>
    <row r="23" spans="1:9" ht="15.5" x14ac:dyDescent="0.35">
      <c r="A23" s="4">
        <f t="shared" si="0"/>
        <v>10</v>
      </c>
      <c r="B23" s="432">
        <v>359</v>
      </c>
      <c r="C23" s="295" t="s">
        <v>833</v>
      </c>
      <c r="D23" s="98">
        <v>0</v>
      </c>
      <c r="E23" s="611" t="s">
        <v>372</v>
      </c>
      <c r="F23" s="98">
        <v>0</v>
      </c>
      <c r="G23" s="611" t="s">
        <v>372</v>
      </c>
      <c r="H23" s="4">
        <f t="shared" si="1"/>
        <v>10</v>
      </c>
    </row>
    <row r="24" spans="1:9" ht="15.5" x14ac:dyDescent="0.35">
      <c r="A24" s="4">
        <f t="shared" si="0"/>
        <v>11</v>
      </c>
      <c r="B24" s="288"/>
      <c r="C24" s="288"/>
      <c r="D24" s="1099"/>
      <c r="E24" s="1099"/>
      <c r="F24" s="288"/>
      <c r="G24" s="1099"/>
      <c r="H24" s="4">
        <f t="shared" si="1"/>
        <v>11</v>
      </c>
    </row>
    <row r="25" spans="1:9" ht="15.5" x14ac:dyDescent="0.35">
      <c r="A25" s="4">
        <f t="shared" si="0"/>
        <v>12</v>
      </c>
      <c r="B25" s="288"/>
      <c r="C25" s="288" t="s">
        <v>1008</v>
      </c>
      <c r="D25" s="1024">
        <f>SUM(D14:D23)</f>
        <v>0</v>
      </c>
      <c r="E25" s="589" t="s">
        <v>1009</v>
      </c>
      <c r="F25" s="1024">
        <f>SUM(F14:F23)</f>
        <v>0</v>
      </c>
      <c r="G25" s="589" t="s">
        <v>1009</v>
      </c>
      <c r="H25" s="4">
        <f t="shared" si="1"/>
        <v>12</v>
      </c>
      <c r="I25" s="455"/>
    </row>
    <row r="26" spans="1:9" ht="15.5" x14ac:dyDescent="0.35">
      <c r="A26" s="4">
        <f t="shared" si="0"/>
        <v>13</v>
      </c>
      <c r="B26" s="124"/>
      <c r="C26" s="124"/>
      <c r="D26" s="456"/>
      <c r="E26" s="456"/>
      <c r="F26" s="124"/>
      <c r="G26" s="456"/>
      <c r="H26" s="4">
        <f t="shared" si="1"/>
        <v>13</v>
      </c>
    </row>
    <row r="27" spans="1:9" ht="15.5" x14ac:dyDescent="0.35">
      <c r="A27" s="4"/>
    </row>
    <row r="28" spans="1:9" ht="15.5" x14ac:dyDescent="0.35">
      <c r="A28" s="4"/>
    </row>
  </sheetData>
  <mergeCells count="6">
    <mergeCell ref="B8:G8"/>
    <mergeCell ref="B2:G2"/>
    <mergeCell ref="B3:G3"/>
    <mergeCell ref="B4:G4"/>
    <mergeCell ref="B5:G5"/>
    <mergeCell ref="B6:G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9.08984375" style="1" customWidth="1"/>
    <col min="4" max="4" width="62.54296875" style="1" customWidth="1"/>
    <col min="5" max="5" width="5.08984375" style="226" customWidth="1"/>
    <col min="6" max="6" width="24" style="1" customWidth="1"/>
    <col min="7" max="7" width="11" style="1" customWidth="1"/>
    <col min="8" max="8" width="7.08984375" style="1" customWidth="1"/>
    <col min="9" max="9" width="9.08984375" style="1" customWidth="1"/>
    <col min="10" max="10" width="14" style="1" customWidth="1"/>
    <col min="11" max="11" width="13.453125" style="1" customWidth="1"/>
    <col min="12" max="16384" width="9.08984375" style="1"/>
  </cols>
  <sheetData>
    <row r="2" spans="1:5" x14ac:dyDescent="0.35">
      <c r="B2" s="1171" t="s">
        <v>0</v>
      </c>
      <c r="C2" s="1171"/>
      <c r="D2" s="1171"/>
    </row>
    <row r="3" spans="1:5" x14ac:dyDescent="0.35">
      <c r="B3" s="1171" t="s">
        <v>826</v>
      </c>
      <c r="C3" s="1171"/>
      <c r="D3" s="1171"/>
    </row>
    <row r="4" spans="1:5" x14ac:dyDescent="0.35">
      <c r="B4" s="1171" t="s">
        <v>921</v>
      </c>
      <c r="C4" s="1171"/>
      <c r="D4" s="1171"/>
    </row>
    <row r="5" spans="1:5" x14ac:dyDescent="0.35">
      <c r="B5" s="1171" t="s">
        <v>364</v>
      </c>
      <c r="C5" s="1171"/>
      <c r="D5" s="1171"/>
    </row>
    <row r="6" spans="1:5" x14ac:dyDescent="0.35">
      <c r="B6" s="1175" t="s">
        <v>5</v>
      </c>
      <c r="C6" s="1175"/>
      <c r="D6" s="1175"/>
    </row>
    <row r="7" spans="1:5" x14ac:dyDescent="0.35">
      <c r="B7" s="277"/>
      <c r="C7" s="277"/>
      <c r="D7" s="277"/>
    </row>
    <row r="8" spans="1:5" x14ac:dyDescent="0.35">
      <c r="B8" s="1171" t="s">
        <v>1010</v>
      </c>
      <c r="C8" s="1171"/>
      <c r="D8" s="1171"/>
    </row>
    <row r="10" spans="1:5" x14ac:dyDescent="0.35">
      <c r="B10" s="987"/>
      <c r="C10" s="988" t="s">
        <v>513</v>
      </c>
      <c r="D10" s="988"/>
    </row>
    <row r="11" spans="1:5" x14ac:dyDescent="0.35">
      <c r="B11" s="288"/>
      <c r="C11" s="280" t="s">
        <v>93</v>
      </c>
      <c r="D11" s="280"/>
    </row>
    <row r="12" spans="1:5" x14ac:dyDescent="0.35">
      <c r="B12" s="280"/>
      <c r="C12" s="280" t="s">
        <v>1011</v>
      </c>
      <c r="D12" s="280"/>
    </row>
    <row r="13" spans="1:5" ht="15.5" x14ac:dyDescent="0.35">
      <c r="A13" s="4"/>
      <c r="B13" s="280"/>
      <c r="C13" s="280" t="s">
        <v>1012</v>
      </c>
      <c r="D13" s="280"/>
      <c r="E13" s="4"/>
    </row>
    <row r="14" spans="1:5" ht="15.5" x14ac:dyDescent="0.35">
      <c r="A14" s="4" t="s">
        <v>6</v>
      </c>
      <c r="B14" s="283"/>
      <c r="C14" s="280" t="s">
        <v>1013</v>
      </c>
      <c r="D14" s="280"/>
      <c r="E14" s="4" t="s">
        <v>6</v>
      </c>
    </row>
    <row r="15" spans="1:5" ht="15.5" x14ac:dyDescent="0.35">
      <c r="A15" s="4" t="s">
        <v>7</v>
      </c>
      <c r="B15" s="285" t="s">
        <v>368</v>
      </c>
      <c r="C15" s="285" t="s">
        <v>369</v>
      </c>
      <c r="D15" s="285" t="s">
        <v>9</v>
      </c>
      <c r="E15" s="4" t="s">
        <v>7</v>
      </c>
    </row>
    <row r="16" spans="1:5" ht="15.5" x14ac:dyDescent="0.35">
      <c r="A16" s="4"/>
      <c r="B16" s="467"/>
      <c r="C16" s="305"/>
      <c r="D16" s="1100"/>
      <c r="E16" s="4"/>
    </row>
    <row r="17" spans="1:5" ht="15.5" x14ac:dyDescent="0.35">
      <c r="A17" s="4">
        <v>1</v>
      </c>
      <c r="B17" s="1069" t="str">
        <f>'AJ-4'!B13</f>
        <v>Dec-22</v>
      </c>
      <c r="C17" s="589">
        <v>0</v>
      </c>
      <c r="D17" s="1002" t="s">
        <v>372</v>
      </c>
      <c r="E17" s="4">
        <f>A17</f>
        <v>1</v>
      </c>
    </row>
    <row r="18" spans="1:5" ht="15.5" x14ac:dyDescent="0.35">
      <c r="A18" s="4">
        <f>A17+1</f>
        <v>2</v>
      </c>
      <c r="B18" s="124"/>
      <c r="C18" s="97"/>
      <c r="D18" s="124"/>
      <c r="E18" s="4">
        <f>E17+1</f>
        <v>2</v>
      </c>
    </row>
    <row r="19" spans="1:5" ht="15.5" x14ac:dyDescent="0.35">
      <c r="A19" s="4"/>
      <c r="B19" s="34"/>
      <c r="C19" s="110"/>
      <c r="D19" s="34"/>
      <c r="E19" s="4"/>
    </row>
    <row r="20" spans="1:5" ht="15.5" x14ac:dyDescent="0.35">
      <c r="A20" s="4"/>
      <c r="B20" s="34"/>
      <c r="C20" s="34"/>
      <c r="D20" s="34"/>
      <c r="E20" s="4"/>
    </row>
    <row r="21" spans="1:5" ht="15.5" x14ac:dyDescent="0.35">
      <c r="B21" s="34"/>
      <c r="C21" s="34"/>
      <c r="D21" s="34"/>
    </row>
    <row r="22" spans="1:5" ht="15.5" x14ac:dyDescent="0.35">
      <c r="B22" s="34"/>
      <c r="C22" s="34"/>
      <c r="D22" s="3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9.08984375" style="1" bestFit="1" customWidth="1"/>
    <col min="4" max="4" width="62.54296875" style="1" customWidth="1"/>
    <col min="5" max="5" width="5.08984375" style="226" customWidth="1"/>
    <col min="6" max="6" width="24" style="1" customWidth="1"/>
    <col min="7" max="7" width="11" style="1" customWidth="1"/>
    <col min="8" max="8" width="7.08984375" style="1" customWidth="1"/>
    <col min="9" max="9" width="9.08984375" style="1" customWidth="1"/>
    <col min="10" max="10" width="14" style="1" customWidth="1"/>
    <col min="11" max="11" width="13.453125" style="1" customWidth="1"/>
    <col min="12" max="16384" width="9.08984375" style="1"/>
  </cols>
  <sheetData>
    <row r="2" spans="1:5" x14ac:dyDescent="0.35">
      <c r="B2" s="1171" t="s">
        <v>0</v>
      </c>
      <c r="C2" s="1171"/>
      <c r="D2" s="1171"/>
    </row>
    <row r="3" spans="1:5" x14ac:dyDescent="0.35">
      <c r="B3" s="1171" t="s">
        <v>826</v>
      </c>
      <c r="C3" s="1171"/>
      <c r="D3" s="1171"/>
    </row>
    <row r="4" spans="1:5" x14ac:dyDescent="0.35">
      <c r="B4" s="1171" t="s">
        <v>921</v>
      </c>
      <c r="C4" s="1171"/>
      <c r="D4" s="1171"/>
    </row>
    <row r="5" spans="1:5" x14ac:dyDescent="0.35">
      <c r="B5" s="1171" t="s">
        <v>364</v>
      </c>
      <c r="C5" s="1171"/>
      <c r="D5" s="1171"/>
    </row>
    <row r="6" spans="1:5" x14ac:dyDescent="0.35">
      <c r="B6" s="1175" t="s">
        <v>5</v>
      </c>
      <c r="C6" s="1175"/>
      <c r="D6" s="1175"/>
    </row>
    <row r="7" spans="1:5" x14ac:dyDescent="0.35">
      <c r="B7" s="277"/>
      <c r="C7" s="277"/>
      <c r="D7" s="277"/>
    </row>
    <row r="8" spans="1:5" x14ac:dyDescent="0.35">
      <c r="B8" s="1171" t="s">
        <v>1014</v>
      </c>
      <c r="C8" s="1171"/>
      <c r="D8" s="1171"/>
    </row>
    <row r="10" spans="1:5" ht="15.5" x14ac:dyDescent="0.35">
      <c r="B10" s="987"/>
      <c r="C10" s="988" t="s">
        <v>265</v>
      </c>
      <c r="D10" s="988"/>
      <c r="E10" s="4"/>
    </row>
    <row r="11" spans="1:5" ht="15.5" x14ac:dyDescent="0.35">
      <c r="B11" s="288"/>
      <c r="C11" s="280" t="s">
        <v>93</v>
      </c>
      <c r="D11" s="280"/>
      <c r="E11" s="4"/>
    </row>
    <row r="12" spans="1:5" ht="15.5" x14ac:dyDescent="0.35">
      <c r="B12" s="280"/>
      <c r="C12" s="280" t="s">
        <v>1011</v>
      </c>
      <c r="D12" s="280"/>
      <c r="E12" s="4"/>
    </row>
    <row r="13" spans="1:5" ht="15.5" x14ac:dyDescent="0.35">
      <c r="A13" s="4"/>
      <c r="B13" s="280"/>
      <c r="C13" s="280" t="s">
        <v>1012</v>
      </c>
      <c r="D13" s="280"/>
      <c r="E13" s="4"/>
    </row>
    <row r="14" spans="1:5" ht="15.5" x14ac:dyDescent="0.35">
      <c r="A14" s="4" t="s">
        <v>6</v>
      </c>
      <c r="B14" s="283"/>
      <c r="C14" s="280" t="s">
        <v>1013</v>
      </c>
      <c r="D14" s="280"/>
      <c r="E14" s="4" t="s">
        <v>6</v>
      </c>
    </row>
    <row r="15" spans="1:5" ht="15.5" x14ac:dyDescent="0.35">
      <c r="A15" s="4" t="s">
        <v>7</v>
      </c>
      <c r="B15" s="285" t="s">
        <v>368</v>
      </c>
      <c r="C15" s="285" t="s">
        <v>369</v>
      </c>
      <c r="D15" s="285" t="s">
        <v>9</v>
      </c>
      <c r="E15" s="4" t="s">
        <v>7</v>
      </c>
    </row>
    <row r="16" spans="1:5" ht="15.5" x14ac:dyDescent="0.35">
      <c r="A16" s="4"/>
      <c r="B16" s="467"/>
      <c r="C16" s="305"/>
      <c r="D16" s="1100"/>
      <c r="E16" s="4"/>
    </row>
    <row r="17" spans="1:5" ht="15.5" x14ac:dyDescent="0.35">
      <c r="A17" s="4">
        <v>1</v>
      </c>
      <c r="B17" s="1069" t="str">
        <f>'AJ-6'!B17</f>
        <v>Dec-22</v>
      </c>
      <c r="C17" s="589">
        <v>0</v>
      </c>
      <c r="D17" s="1101" t="s">
        <v>372</v>
      </c>
      <c r="E17" s="4">
        <f>A17</f>
        <v>1</v>
      </c>
    </row>
    <row r="18" spans="1:5" ht="15.5" x14ac:dyDescent="0.35">
      <c r="A18" s="4">
        <f>A17+1</f>
        <v>2</v>
      </c>
      <c r="B18" s="124"/>
      <c r="C18" s="97"/>
      <c r="D18" s="124"/>
      <c r="E18" s="4">
        <f>E17+1</f>
        <v>2</v>
      </c>
    </row>
    <row r="19" spans="1:5" ht="15.5" x14ac:dyDescent="0.35">
      <c r="A19" s="4"/>
      <c r="B19" s="34"/>
      <c r="C19" s="110"/>
      <c r="D19" s="34"/>
      <c r="E19" s="4"/>
    </row>
    <row r="20" spans="1:5" ht="15.5" x14ac:dyDescent="0.35">
      <c r="B20" s="34"/>
      <c r="C20" s="34"/>
      <c r="D20" s="34"/>
      <c r="E20" s="4"/>
    </row>
    <row r="21" spans="1:5" ht="15.5" x14ac:dyDescent="0.35">
      <c r="A21" s="272"/>
      <c r="B21" s="34"/>
      <c r="C21" s="34"/>
      <c r="D21" s="34"/>
      <c r="E21" s="4"/>
    </row>
    <row r="22" spans="1:5" ht="15.5" x14ac:dyDescent="0.35">
      <c r="B22" s="34"/>
      <c r="C22" s="34"/>
      <c r="D22" s="34"/>
    </row>
    <row r="23" spans="1:5" ht="15.5" x14ac:dyDescent="0.35">
      <c r="B23" s="3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38"/>
  <sheetViews>
    <sheetView zoomScale="80" zoomScaleNormal="80" workbookViewId="0"/>
  </sheetViews>
  <sheetFormatPr defaultColWidth="8.90625" defaultRowHeight="15.5" x14ac:dyDescent="0.35"/>
  <cols>
    <col min="1" max="1" width="5.08984375" style="4" bestFit="1" customWidth="1"/>
    <col min="2" max="2" width="55.08984375" style="34" customWidth="1"/>
    <col min="3" max="3" width="24" style="34" customWidth="1"/>
    <col min="4" max="4" width="1.54296875" style="34" customWidth="1"/>
    <col min="5" max="5" width="16.90625" style="34" customWidth="1"/>
    <col min="6" max="6" width="1.54296875" style="34" customWidth="1"/>
    <col min="7" max="7" width="34.54296875" style="34" customWidth="1"/>
    <col min="8" max="8" width="5.08984375" style="34" bestFit="1" customWidth="1"/>
    <col min="9" max="9" width="8.90625" style="34"/>
    <col min="10" max="10" width="19.08984375" style="34" customWidth="1"/>
    <col min="11" max="11" width="17.90625" style="34" customWidth="1"/>
    <col min="12" max="12" width="17.54296875" style="34" customWidth="1"/>
    <col min="13" max="16384" width="8.90625" style="34"/>
  </cols>
  <sheetData>
    <row r="1" spans="1:11" x14ac:dyDescent="0.35">
      <c r="A1" s="4" t="s">
        <v>1</v>
      </c>
      <c r="G1" s="4"/>
      <c r="H1" s="4"/>
    </row>
    <row r="2" spans="1:11" x14ac:dyDescent="0.35">
      <c r="B2" s="1171" t="s">
        <v>0</v>
      </c>
      <c r="C2" s="1171"/>
      <c r="D2" s="1171"/>
      <c r="E2" s="1171"/>
      <c r="F2" s="1171"/>
      <c r="G2" s="1171"/>
      <c r="H2" s="4"/>
    </row>
    <row r="3" spans="1:11" x14ac:dyDescent="0.35">
      <c r="B3" s="1171" t="s">
        <v>1015</v>
      </c>
      <c r="C3" s="1171"/>
      <c r="D3" s="1171"/>
      <c r="E3" s="1171"/>
      <c r="F3" s="1171"/>
      <c r="G3" s="1171"/>
      <c r="H3" s="4"/>
    </row>
    <row r="4" spans="1:11" x14ac:dyDescent="0.35">
      <c r="B4" s="1171" t="s">
        <v>1016</v>
      </c>
      <c r="C4" s="1171"/>
      <c r="D4" s="1171"/>
      <c r="E4" s="1171"/>
      <c r="F4" s="1171"/>
      <c r="G4" s="1171"/>
      <c r="H4" s="4"/>
    </row>
    <row r="5" spans="1:11" x14ac:dyDescent="0.35">
      <c r="B5" s="1176" t="str">
        <f>'Stmt AD'!B5</f>
        <v>Base Period &amp; True-Up Period 12 - Months Ending December 31, 2022</v>
      </c>
      <c r="C5" s="1176"/>
      <c r="D5" s="1176"/>
      <c r="E5" s="1176"/>
      <c r="F5" s="1176"/>
      <c r="G5" s="1176"/>
      <c r="H5" s="4"/>
    </row>
    <row r="6" spans="1:11" x14ac:dyDescent="0.35">
      <c r="B6" s="1175" t="s">
        <v>5</v>
      </c>
      <c r="C6" s="1172"/>
      <c r="D6" s="1172"/>
      <c r="E6" s="1172"/>
      <c r="F6" s="1172"/>
      <c r="G6" s="1172"/>
      <c r="H6" s="4"/>
    </row>
    <row r="7" spans="1:11" x14ac:dyDescent="0.35">
      <c r="B7" s="4"/>
      <c r="C7" s="4"/>
      <c r="D7" s="4"/>
      <c r="E7" s="4"/>
      <c r="F7" s="4"/>
      <c r="G7" s="4"/>
      <c r="H7" s="4"/>
    </row>
    <row r="8" spans="1:11" x14ac:dyDescent="0.35">
      <c r="A8" s="4" t="s">
        <v>6</v>
      </c>
      <c r="B8" s="226"/>
      <c r="C8" s="4" t="s">
        <v>317</v>
      </c>
      <c r="D8" s="226"/>
      <c r="E8" s="226"/>
      <c r="F8" s="226"/>
      <c r="G8" s="4"/>
      <c r="H8" s="4" t="s">
        <v>6</v>
      </c>
    </row>
    <row r="9" spans="1:11" x14ac:dyDescent="0.35">
      <c r="A9" s="4" t="s">
        <v>7</v>
      </c>
      <c r="B9" s="226"/>
      <c r="C9" s="876" t="s">
        <v>319</v>
      </c>
      <c r="D9" s="226"/>
      <c r="E9" s="877" t="s">
        <v>8</v>
      </c>
      <c r="F9" s="226"/>
      <c r="G9" s="876" t="s">
        <v>9</v>
      </c>
      <c r="H9" s="4" t="s">
        <v>7</v>
      </c>
    </row>
    <row r="10" spans="1:11" x14ac:dyDescent="0.35">
      <c r="B10" s="4"/>
      <c r="C10" s="4"/>
      <c r="D10" s="4"/>
      <c r="E10" s="4"/>
      <c r="F10" s="226"/>
      <c r="G10" s="4"/>
      <c r="H10" s="4"/>
    </row>
    <row r="11" spans="1:11" ht="18" x14ac:dyDescent="0.35">
      <c r="A11" s="4">
        <v>1</v>
      </c>
      <c r="B11" s="34" t="s">
        <v>1017</v>
      </c>
      <c r="C11" s="4" t="s">
        <v>1018</v>
      </c>
      <c r="E11" s="43">
        <v>168032.29971000002</v>
      </c>
      <c r="F11" s="226"/>
      <c r="G11" s="49"/>
      <c r="H11" s="4">
        <f>A11</f>
        <v>1</v>
      </c>
      <c r="K11" s="38"/>
    </row>
    <row r="12" spans="1:11" ht="15.9" customHeight="1" x14ac:dyDescent="0.35">
      <c r="A12" s="4">
        <f>+A11+1</f>
        <v>2</v>
      </c>
      <c r="E12" s="51"/>
      <c r="F12" s="226"/>
      <c r="G12" s="457"/>
      <c r="H12" s="4">
        <f>+H11+1</f>
        <v>2</v>
      </c>
    </row>
    <row r="13" spans="1:11" ht="18" x14ac:dyDescent="0.35">
      <c r="A13" s="4">
        <f t="shared" ref="A13:A30" si="0">+A12+1</f>
        <v>3</v>
      </c>
      <c r="B13" s="34" t="s">
        <v>1019</v>
      </c>
      <c r="C13" s="4"/>
      <c r="E13" s="963">
        <v>0</v>
      </c>
      <c r="F13" s="226"/>
      <c r="G13" s="49" t="s">
        <v>572</v>
      </c>
      <c r="H13" s="4">
        <f t="shared" ref="H13:H30" si="1">+H12+1</f>
        <v>3</v>
      </c>
    </row>
    <row r="14" spans="1:11" x14ac:dyDescent="0.35">
      <c r="A14" s="4">
        <f t="shared" si="0"/>
        <v>4</v>
      </c>
      <c r="E14" s="41"/>
      <c r="F14" s="226"/>
      <c r="H14" s="4">
        <f t="shared" si="1"/>
        <v>4</v>
      </c>
    </row>
    <row r="15" spans="1:11" x14ac:dyDescent="0.35">
      <c r="A15" s="4">
        <f t="shared" si="0"/>
        <v>5</v>
      </c>
      <c r="B15" s="34" t="s">
        <v>1020</v>
      </c>
      <c r="E15" s="51">
        <f>E11+E13</f>
        <v>168032.29971000002</v>
      </c>
      <c r="F15" s="226"/>
      <c r="G15" s="49" t="s">
        <v>1021</v>
      </c>
      <c r="H15" s="4">
        <f t="shared" si="1"/>
        <v>5</v>
      </c>
    </row>
    <row r="16" spans="1:11" x14ac:dyDescent="0.35">
      <c r="A16" s="4">
        <f t="shared" si="0"/>
        <v>6</v>
      </c>
      <c r="E16" s="51"/>
      <c r="F16" s="226"/>
      <c r="H16" s="4">
        <f t="shared" si="1"/>
        <v>6</v>
      </c>
    </row>
    <row r="17" spans="1:13" ht="18" x14ac:dyDescent="0.35">
      <c r="A17" s="4">
        <f t="shared" si="0"/>
        <v>7</v>
      </c>
      <c r="B17" s="34" t="s">
        <v>1022</v>
      </c>
      <c r="C17" s="4"/>
      <c r="E17" s="963">
        <v>0</v>
      </c>
      <c r="F17" s="226"/>
      <c r="G17" s="849" t="s">
        <v>572</v>
      </c>
      <c r="H17" s="4">
        <f t="shared" si="1"/>
        <v>7</v>
      </c>
      <c r="J17" s="38"/>
    </row>
    <row r="18" spans="1:13" x14ac:dyDescent="0.35">
      <c r="A18" s="4">
        <f t="shared" si="0"/>
        <v>8</v>
      </c>
      <c r="E18" s="1102"/>
      <c r="F18" s="226"/>
      <c r="G18" s="49"/>
      <c r="H18" s="4">
        <f t="shared" si="1"/>
        <v>8</v>
      </c>
    </row>
    <row r="19" spans="1:13" x14ac:dyDescent="0.35">
      <c r="A19" s="4">
        <f>+A18+1</f>
        <v>9</v>
      </c>
      <c r="B19" s="34" t="s">
        <v>1023</v>
      </c>
      <c r="C19" s="4"/>
      <c r="D19" s="31"/>
      <c r="E19" s="51">
        <f>E15+E17</f>
        <v>168032.29971000002</v>
      </c>
      <c r="F19" s="226"/>
      <c r="G19" s="49" t="s">
        <v>1024</v>
      </c>
      <c r="H19" s="4">
        <f>+H18+1</f>
        <v>9</v>
      </c>
      <c r="J19" s="585"/>
    </row>
    <row r="20" spans="1:13" x14ac:dyDescent="0.35">
      <c r="A20" s="4">
        <f t="shared" si="0"/>
        <v>10</v>
      </c>
      <c r="C20" s="31"/>
      <c r="D20" s="31"/>
      <c r="F20" s="226"/>
      <c r="G20" s="4"/>
      <c r="H20" s="4">
        <f t="shared" si="1"/>
        <v>10</v>
      </c>
    </row>
    <row r="21" spans="1:13" x14ac:dyDescent="0.35">
      <c r="A21" s="4">
        <f t="shared" si="0"/>
        <v>11</v>
      </c>
      <c r="B21" s="34" t="s">
        <v>657</v>
      </c>
      <c r="C21" s="31"/>
      <c r="D21" s="31"/>
      <c r="E21" s="986">
        <f>'Stmt AH'!E60</f>
        <v>0.39439306044612099</v>
      </c>
      <c r="F21" s="428"/>
      <c r="G21" s="4" t="s">
        <v>1025</v>
      </c>
      <c r="H21" s="4">
        <f t="shared" si="1"/>
        <v>11</v>
      </c>
      <c r="I21" s="370"/>
    </row>
    <row r="22" spans="1:13" x14ac:dyDescent="0.35">
      <c r="A22" s="4">
        <f t="shared" si="0"/>
        <v>12</v>
      </c>
      <c r="C22" s="31"/>
      <c r="D22" s="31"/>
      <c r="F22" s="226"/>
      <c r="G22" s="4"/>
      <c r="H22" s="4">
        <f t="shared" si="1"/>
        <v>12</v>
      </c>
      <c r="I22" s="263"/>
    </row>
    <row r="23" spans="1:13" ht="16" thickBot="1" x14ac:dyDescent="0.4">
      <c r="A23" s="4">
        <f t="shared" si="0"/>
        <v>13</v>
      </c>
      <c r="B23" s="34" t="s">
        <v>1026</v>
      </c>
      <c r="C23" s="31"/>
      <c r="D23" s="31"/>
      <c r="E23" s="26">
        <f>E19*E21</f>
        <v>66270.772936426758</v>
      </c>
      <c r="F23" s="226"/>
      <c r="G23" s="4" t="s">
        <v>1027</v>
      </c>
      <c r="H23" s="4">
        <f t="shared" si="1"/>
        <v>13</v>
      </c>
    </row>
    <row r="24" spans="1:13" ht="16.5" thickTop="1" thickBot="1" x14ac:dyDescent="0.4">
      <c r="A24" s="4">
        <f t="shared" si="0"/>
        <v>14</v>
      </c>
      <c r="B24" s="891"/>
      <c r="C24" s="1103"/>
      <c r="D24" s="1103"/>
      <c r="E24" s="891"/>
      <c r="F24" s="891"/>
      <c r="G24" s="891"/>
      <c r="H24" s="4">
        <f t="shared" si="1"/>
        <v>14</v>
      </c>
    </row>
    <row r="25" spans="1:13" x14ac:dyDescent="0.35">
      <c r="A25" s="4">
        <f>+A24+1</f>
        <v>15</v>
      </c>
      <c r="C25" s="31"/>
      <c r="D25" s="31"/>
      <c r="H25" s="4">
        <f>+H24+1</f>
        <v>15</v>
      </c>
    </row>
    <row r="26" spans="1:13" ht="18" x14ac:dyDescent="0.35">
      <c r="A26" s="4">
        <f t="shared" ref="A26:A27" si="2">+A25+1</f>
        <v>16</v>
      </c>
      <c r="B26" s="34" t="s">
        <v>1028</v>
      </c>
      <c r="C26" s="4" t="s">
        <v>1029</v>
      </c>
      <c r="E26" s="43">
        <v>16775.911809999998</v>
      </c>
      <c r="F26" s="226"/>
      <c r="G26" s="95"/>
      <c r="H26" s="4">
        <f t="shared" si="1"/>
        <v>16</v>
      </c>
      <c r="J26"/>
      <c r="K26"/>
      <c r="L26"/>
      <c r="M26"/>
    </row>
    <row r="27" spans="1:13" x14ac:dyDescent="0.35">
      <c r="A27" s="4">
        <f t="shared" si="2"/>
        <v>17</v>
      </c>
      <c r="E27" s="73"/>
      <c r="F27" s="226"/>
      <c r="G27" s="49"/>
      <c r="H27" s="4">
        <f t="shared" si="1"/>
        <v>17</v>
      </c>
    </row>
    <row r="28" spans="1:13" x14ac:dyDescent="0.35">
      <c r="A28" s="4">
        <f t="shared" ref="A28" si="3">+A27+1</f>
        <v>18</v>
      </c>
      <c r="B28" s="34" t="s">
        <v>345</v>
      </c>
      <c r="E28" s="986">
        <f>'Stmt AI'!E25</f>
        <v>0.19811712169916151</v>
      </c>
      <c r="F28" s="226"/>
      <c r="G28" s="4" t="s">
        <v>346</v>
      </c>
      <c r="H28" s="4">
        <f t="shared" si="1"/>
        <v>18</v>
      </c>
      <c r="J28"/>
      <c r="K28"/>
    </row>
    <row r="29" spans="1:13" x14ac:dyDescent="0.35">
      <c r="A29" s="4">
        <f t="shared" ref="A29" si="4">+A28+1</f>
        <v>19</v>
      </c>
      <c r="E29" s="77"/>
      <c r="F29" s="226"/>
      <c r="G29" s="4"/>
      <c r="H29" s="4">
        <f t="shared" si="1"/>
        <v>19</v>
      </c>
    </row>
    <row r="30" spans="1:13" ht="16" thickBot="1" x14ac:dyDescent="0.4">
      <c r="A30" s="4">
        <f t="shared" si="0"/>
        <v>20</v>
      </c>
      <c r="B30" s="34" t="s">
        <v>1030</v>
      </c>
      <c r="E30" s="26">
        <f>E26*E28</f>
        <v>3323.5953616761703</v>
      </c>
      <c r="F30" s="226"/>
      <c r="G30" s="95" t="s">
        <v>1031</v>
      </c>
      <c r="H30" s="4">
        <f t="shared" si="1"/>
        <v>20</v>
      </c>
    </row>
    <row r="31" spans="1:13" ht="16" thickTop="1" x14ac:dyDescent="0.35">
      <c r="E31" s="10"/>
      <c r="F31" s="226"/>
      <c r="G31" s="458"/>
      <c r="H31" s="4"/>
      <c r="J31" s="368"/>
    </row>
    <row r="32" spans="1:13" x14ac:dyDescent="0.35">
      <c r="B32" s="34" t="s">
        <v>1</v>
      </c>
      <c r="E32" s="73"/>
      <c r="F32" s="73"/>
      <c r="J32" s="459"/>
    </row>
    <row r="33" spans="1:10" ht="18" x14ac:dyDescent="0.35">
      <c r="A33" s="261">
        <v>1</v>
      </c>
      <c r="B33" s="34" t="s">
        <v>1032</v>
      </c>
      <c r="J33" s="368"/>
    </row>
    <row r="34" spans="1:10" ht="18" x14ac:dyDescent="0.35">
      <c r="A34" s="261">
        <v>2</v>
      </c>
      <c r="B34" s="34" t="s">
        <v>1033</v>
      </c>
      <c r="J34" s="368"/>
    </row>
    <row r="35" spans="1:10" ht="18" x14ac:dyDescent="0.35">
      <c r="A35" s="261">
        <v>3</v>
      </c>
      <c r="B35" s="851" t="s">
        <v>1034</v>
      </c>
      <c r="J35" s="368"/>
    </row>
    <row r="36" spans="1:10" ht="18" x14ac:dyDescent="0.35">
      <c r="A36" s="850">
        <v>4</v>
      </c>
      <c r="B36" s="34" t="s">
        <v>1035</v>
      </c>
    </row>
    <row r="37" spans="1:10" x14ac:dyDescent="0.35">
      <c r="J37" s="460"/>
    </row>
    <row r="38" spans="1:10" x14ac:dyDescent="0.35">
      <c r="J38" s="460"/>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Roman,Regular"&amp;10AK</oddFooter>
  </headerFooter>
  <customProperties>
    <customPr name="_pios_id" r:id="rId2"/>
  </customProperties>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zoomScale="80" zoomScaleNormal="80" workbookViewId="0"/>
  </sheetViews>
  <sheetFormatPr defaultColWidth="8.90625" defaultRowHeight="15.5" x14ac:dyDescent="0.35"/>
  <cols>
    <col min="1" max="1" width="5.08984375" style="4" bestFit="1" customWidth="1"/>
    <col min="2" max="2" width="79.453125" style="34" customWidth="1"/>
    <col min="3" max="3" width="25.54296875" style="368" bestFit="1" customWidth="1"/>
    <col min="4" max="4" width="1.54296875" style="34" customWidth="1"/>
    <col min="5" max="5" width="16.90625" style="34" customWidth="1"/>
    <col min="6" max="6" width="1.54296875" style="34" customWidth="1"/>
    <col min="7" max="7" width="16.90625" style="34" customWidth="1"/>
    <col min="8" max="8" width="1.54296875" style="34" customWidth="1"/>
    <col min="9" max="9" width="39.453125" style="34" bestFit="1" customWidth="1"/>
    <col min="10" max="10" width="5.08984375" style="34" customWidth="1"/>
    <col min="11" max="16384" width="8.90625" style="34"/>
  </cols>
  <sheetData>
    <row r="1" spans="1:10" x14ac:dyDescent="0.35">
      <c r="H1" s="4"/>
      <c r="I1" s="4"/>
      <c r="J1" s="4"/>
    </row>
    <row r="2" spans="1:10" x14ac:dyDescent="0.35">
      <c r="B2" s="1171" t="s">
        <v>0</v>
      </c>
      <c r="C2" s="1183"/>
      <c r="D2" s="1183"/>
      <c r="E2" s="1183"/>
      <c r="F2" s="1183"/>
      <c r="G2" s="1183"/>
      <c r="H2" s="1183"/>
      <c r="I2" s="1183"/>
      <c r="J2" s="226"/>
    </row>
    <row r="3" spans="1:10" x14ac:dyDescent="0.35">
      <c r="B3" s="1171" t="s">
        <v>1036</v>
      </c>
      <c r="C3" s="1183"/>
      <c r="D3" s="1183"/>
      <c r="E3" s="1183"/>
      <c r="F3" s="1183"/>
      <c r="G3" s="1183"/>
      <c r="H3" s="1183"/>
      <c r="I3" s="1183"/>
      <c r="J3" s="226"/>
    </row>
    <row r="4" spans="1:10" x14ac:dyDescent="0.35">
      <c r="B4" s="1171" t="s">
        <v>1037</v>
      </c>
      <c r="C4" s="1183"/>
      <c r="D4" s="1183"/>
      <c r="E4" s="1183"/>
      <c r="F4" s="1183"/>
      <c r="G4" s="1183"/>
      <c r="H4" s="1183"/>
      <c r="I4" s="1183"/>
      <c r="J4" s="226"/>
    </row>
    <row r="5" spans="1:10" x14ac:dyDescent="0.35">
      <c r="B5" s="1176" t="str">
        <f>'Stmt AD'!B5</f>
        <v>Base Period &amp; True-Up Period 12 - Months Ending December 31, 2022</v>
      </c>
      <c r="C5" s="1176"/>
      <c r="D5" s="1176"/>
      <c r="E5" s="1176"/>
      <c r="F5" s="1176"/>
      <c r="G5" s="1176"/>
      <c r="H5" s="1176"/>
      <c r="I5" s="1176"/>
      <c r="J5" s="226"/>
    </row>
    <row r="6" spans="1:10" x14ac:dyDescent="0.35">
      <c r="B6" s="1175" t="s">
        <v>5</v>
      </c>
      <c r="C6" s="1175"/>
      <c r="D6" s="1175"/>
      <c r="E6" s="1175"/>
      <c r="F6" s="1175"/>
      <c r="G6" s="1175"/>
      <c r="H6" s="1175"/>
      <c r="I6" s="1175"/>
      <c r="J6" s="1"/>
    </row>
    <row r="7" spans="1:10" x14ac:dyDescent="0.35">
      <c r="B7" s="4"/>
      <c r="D7" s="4"/>
      <c r="E7" s="4"/>
      <c r="F7" s="4"/>
      <c r="G7" s="4"/>
      <c r="H7" s="226"/>
      <c r="I7" s="226"/>
      <c r="J7" s="226"/>
    </row>
    <row r="8" spans="1:10" x14ac:dyDescent="0.35">
      <c r="A8" s="4" t="s">
        <v>6</v>
      </c>
      <c r="B8" s="226"/>
      <c r="C8" s="4" t="s">
        <v>317</v>
      </c>
      <c r="D8" s="4"/>
      <c r="E8" s="4" t="s">
        <v>1038</v>
      </c>
      <c r="F8" s="4"/>
      <c r="G8" s="4" t="s">
        <v>1039</v>
      </c>
      <c r="H8" s="226"/>
      <c r="I8" s="226"/>
      <c r="J8" s="4" t="s">
        <v>6</v>
      </c>
    </row>
    <row r="9" spans="1:10" x14ac:dyDescent="0.35">
      <c r="A9" s="4" t="s">
        <v>7</v>
      </c>
      <c r="B9" s="226"/>
      <c r="C9" s="876" t="s">
        <v>319</v>
      </c>
      <c r="D9" s="226"/>
      <c r="E9" s="877" t="s">
        <v>1040</v>
      </c>
      <c r="F9" s="226"/>
      <c r="G9" s="877" t="s">
        <v>320</v>
      </c>
      <c r="H9" s="226"/>
      <c r="I9" s="876" t="s">
        <v>9</v>
      </c>
      <c r="J9" s="4" t="s">
        <v>7</v>
      </c>
    </row>
    <row r="10" spans="1:10" x14ac:dyDescent="0.35">
      <c r="B10" s="4"/>
      <c r="D10" s="4"/>
      <c r="E10" s="4"/>
      <c r="F10" s="4"/>
      <c r="G10" s="4"/>
      <c r="H10" s="4"/>
      <c r="I10" s="4"/>
      <c r="J10" s="4"/>
    </row>
    <row r="11" spans="1:10" ht="18" x14ac:dyDescent="0.35">
      <c r="A11" s="4">
        <v>1</v>
      </c>
      <c r="B11" s="34" t="s">
        <v>1041</v>
      </c>
      <c r="C11" s="4" t="s">
        <v>1042</v>
      </c>
      <c r="E11" s="51"/>
      <c r="F11" s="74"/>
      <c r="G11" s="43">
        <f>'AL-1'!C32</f>
        <v>119083.67499999999</v>
      </c>
      <c r="H11" s="74"/>
      <c r="I11" s="49" t="s">
        <v>1043</v>
      </c>
      <c r="J11" s="4">
        <f>A11</f>
        <v>1</v>
      </c>
    </row>
    <row r="12" spans="1:10" x14ac:dyDescent="0.35">
      <c r="A12" s="4">
        <f>+A11+1</f>
        <v>2</v>
      </c>
      <c r="C12" s="4"/>
      <c r="E12" s="73"/>
      <c r="F12" s="44"/>
      <c r="G12" s="44"/>
      <c r="H12" s="44"/>
      <c r="I12" s="49"/>
      <c r="J12" s="4">
        <f>+J11+1</f>
        <v>2</v>
      </c>
    </row>
    <row r="13" spans="1:10" x14ac:dyDescent="0.35">
      <c r="A13" s="4">
        <f t="shared" ref="A13:A44" si="0">+A12+1</f>
        <v>3</v>
      </c>
      <c r="B13" s="34" t="s">
        <v>1044</v>
      </c>
      <c r="C13" s="4"/>
      <c r="E13" s="75"/>
      <c r="F13" s="76"/>
      <c r="G13" s="1031">
        <f>'Stmt AD'!I45</f>
        <v>0.39290885861856473</v>
      </c>
      <c r="H13" s="74"/>
      <c r="I13" s="49" t="s">
        <v>1045</v>
      </c>
      <c r="J13" s="4">
        <f t="shared" ref="J13:J44" si="1">+J12+1</f>
        <v>3</v>
      </c>
    </row>
    <row r="14" spans="1:10" x14ac:dyDescent="0.35">
      <c r="A14" s="4">
        <f t="shared" si="0"/>
        <v>4</v>
      </c>
      <c r="C14" s="4"/>
      <c r="E14" s="73"/>
      <c r="F14" s="44"/>
      <c r="G14" s="73"/>
      <c r="H14" s="44"/>
      <c r="I14" s="49"/>
      <c r="J14" s="4">
        <f t="shared" si="1"/>
        <v>4</v>
      </c>
    </row>
    <row r="15" spans="1:10" ht="16" thickBot="1" x14ac:dyDescent="0.4">
      <c r="A15" s="4">
        <f t="shared" si="0"/>
        <v>5</v>
      </c>
      <c r="B15" s="34" t="s">
        <v>1046</v>
      </c>
      <c r="C15" s="4"/>
      <c r="E15" s="78"/>
      <c r="F15" s="44"/>
      <c r="G15" s="80">
        <f>G11*G13</f>
        <v>46789.030824354108</v>
      </c>
      <c r="H15" s="74"/>
      <c r="I15" s="49" t="s">
        <v>1047</v>
      </c>
      <c r="J15" s="4">
        <f t="shared" si="1"/>
        <v>5</v>
      </c>
    </row>
    <row r="16" spans="1:10" ht="16" thickTop="1" x14ac:dyDescent="0.35">
      <c r="A16" s="4">
        <f t="shared" si="0"/>
        <v>6</v>
      </c>
      <c r="C16" s="4"/>
      <c r="E16" s="6"/>
      <c r="F16" s="4"/>
      <c r="G16" s="4"/>
      <c r="H16" s="4"/>
      <c r="I16" s="49"/>
      <c r="J16" s="4">
        <f t="shared" si="1"/>
        <v>6</v>
      </c>
    </row>
    <row r="17" spans="1:10" ht="18" x14ac:dyDescent="0.35">
      <c r="A17" s="4">
        <f t="shared" si="0"/>
        <v>7</v>
      </c>
      <c r="B17" s="34" t="s">
        <v>1048</v>
      </c>
      <c r="C17" s="4" t="s">
        <v>1049</v>
      </c>
      <c r="D17" s="38"/>
      <c r="E17" s="51"/>
      <c r="F17" s="44"/>
      <c r="G17" s="1104">
        <f>'AL-2'!C30</f>
        <v>114189.65738461539</v>
      </c>
      <c r="H17" s="74"/>
      <c r="I17" s="49" t="s">
        <v>1050</v>
      </c>
      <c r="J17" s="4">
        <f t="shared" si="1"/>
        <v>7</v>
      </c>
    </row>
    <row r="18" spans="1:10" x14ac:dyDescent="0.35">
      <c r="A18" s="4">
        <f t="shared" si="0"/>
        <v>8</v>
      </c>
      <c r="C18" s="4"/>
      <c r="E18" s="41"/>
      <c r="F18" s="44"/>
      <c r="G18" s="44"/>
      <c r="H18" s="44"/>
      <c r="I18" s="49"/>
      <c r="J18" s="4">
        <f t="shared" si="1"/>
        <v>8</v>
      </c>
    </row>
    <row r="19" spans="1:10" ht="16" thickBot="1" x14ac:dyDescent="0.4">
      <c r="A19" s="4">
        <f t="shared" si="0"/>
        <v>9</v>
      </c>
      <c r="B19" s="34" t="s">
        <v>1051</v>
      </c>
      <c r="E19" s="51"/>
      <c r="F19" s="44"/>
      <c r="G19" s="80">
        <f>G13*G17</f>
        <v>44866.127949034191</v>
      </c>
      <c r="H19" s="74"/>
      <c r="I19" s="49" t="s">
        <v>1052</v>
      </c>
      <c r="J19" s="4">
        <f t="shared" si="1"/>
        <v>9</v>
      </c>
    </row>
    <row r="20" spans="1:10" ht="16" thickTop="1" x14ac:dyDescent="0.35">
      <c r="A20" s="4">
        <f t="shared" si="0"/>
        <v>10</v>
      </c>
      <c r="E20" s="41"/>
      <c r="F20" s="44"/>
      <c r="G20" s="44"/>
      <c r="H20" s="44"/>
      <c r="I20" s="49"/>
      <c r="J20" s="4">
        <f t="shared" si="1"/>
        <v>10</v>
      </c>
    </row>
    <row r="21" spans="1:10" x14ac:dyDescent="0.35">
      <c r="A21" s="4">
        <f t="shared" si="0"/>
        <v>11</v>
      </c>
      <c r="B21" s="259" t="s">
        <v>1053</v>
      </c>
      <c r="E21" s="41"/>
      <c r="F21" s="44"/>
      <c r="G21" s="44"/>
      <c r="H21" s="44"/>
      <c r="I21" s="49"/>
      <c r="J21" s="4">
        <f t="shared" si="1"/>
        <v>11</v>
      </c>
    </row>
    <row r="22" spans="1:10" x14ac:dyDescent="0.35">
      <c r="A22" s="4">
        <f t="shared" si="0"/>
        <v>12</v>
      </c>
      <c r="B22" s="34" t="s">
        <v>1054</v>
      </c>
      <c r="E22" s="125">
        <f>'Stmt AH'!E19</f>
        <v>104977.4005</v>
      </c>
      <c r="F22" s="44"/>
      <c r="G22" s="51"/>
      <c r="H22" s="44"/>
      <c r="I22" s="49" t="s">
        <v>12</v>
      </c>
      <c r="J22" s="4">
        <f t="shared" si="1"/>
        <v>12</v>
      </c>
    </row>
    <row r="23" spans="1:10" x14ac:dyDescent="0.35">
      <c r="A23" s="4">
        <f t="shared" si="0"/>
        <v>13</v>
      </c>
      <c r="B23" s="34" t="s">
        <v>1055</v>
      </c>
      <c r="E23" s="23">
        <f>'Stmt AH'!E41</f>
        <v>99478.28999756636</v>
      </c>
      <c r="F23" s="1"/>
      <c r="G23" s="41"/>
      <c r="H23" s="44"/>
      <c r="I23" s="49" t="s">
        <v>14</v>
      </c>
      <c r="J23" s="4">
        <f t="shared" si="1"/>
        <v>13</v>
      </c>
    </row>
    <row r="24" spans="1:10" x14ac:dyDescent="0.35">
      <c r="A24" s="4">
        <f t="shared" si="0"/>
        <v>14</v>
      </c>
      <c r="B24" s="34" t="s">
        <v>1056</v>
      </c>
      <c r="E24" s="1105">
        <f>-'Stmt AH'!E26</f>
        <v>0</v>
      </c>
      <c r="F24" s="44"/>
      <c r="G24" s="41"/>
      <c r="H24" s="44"/>
      <c r="I24" s="49" t="s">
        <v>16</v>
      </c>
      <c r="J24" s="4">
        <f t="shared" si="1"/>
        <v>14</v>
      </c>
    </row>
    <row r="25" spans="1:10" x14ac:dyDescent="0.35">
      <c r="A25" s="4">
        <f t="shared" si="0"/>
        <v>15</v>
      </c>
      <c r="B25" s="34" t="s">
        <v>1057</v>
      </c>
      <c r="E25" s="10">
        <f>SUM(E22:E24)</f>
        <v>204455.69049756636</v>
      </c>
      <c r="F25" s="1"/>
      <c r="G25" s="38"/>
      <c r="H25" s="49"/>
      <c r="I25" s="49" t="s">
        <v>1058</v>
      </c>
      <c r="J25" s="4">
        <f t="shared" si="1"/>
        <v>15</v>
      </c>
    </row>
    <row r="26" spans="1:10" x14ac:dyDescent="0.35">
      <c r="A26" s="4">
        <f t="shared" si="0"/>
        <v>16</v>
      </c>
      <c r="F26" s="4"/>
      <c r="H26" s="4"/>
      <c r="I26" s="49"/>
      <c r="J26" s="4">
        <f t="shared" si="1"/>
        <v>16</v>
      </c>
    </row>
    <row r="27" spans="1:10" x14ac:dyDescent="0.35">
      <c r="A27" s="4">
        <f t="shared" si="0"/>
        <v>17</v>
      </c>
      <c r="B27" s="34" t="s">
        <v>1059</v>
      </c>
      <c r="E27" s="974">
        <f>1/8</f>
        <v>0.125</v>
      </c>
      <c r="F27" s="4"/>
      <c r="G27" s="50"/>
      <c r="H27" s="4"/>
      <c r="I27" s="49" t="s">
        <v>1060</v>
      </c>
      <c r="J27" s="4">
        <f t="shared" si="1"/>
        <v>17</v>
      </c>
    </row>
    <row r="28" spans="1:10" x14ac:dyDescent="0.35">
      <c r="A28" s="4">
        <f t="shared" si="0"/>
        <v>18</v>
      </c>
      <c r="E28" s="73" t="s">
        <v>1</v>
      </c>
      <c r="F28" s="44"/>
      <c r="G28" s="73"/>
      <c r="H28" s="44"/>
      <c r="I28" s="49"/>
      <c r="J28" s="4">
        <f t="shared" si="1"/>
        <v>18</v>
      </c>
    </row>
    <row r="29" spans="1:10" ht="16" thickBot="1" x14ac:dyDescent="0.4">
      <c r="A29" s="4">
        <f t="shared" si="0"/>
        <v>19</v>
      </c>
      <c r="B29" s="34" t="s">
        <v>1061</v>
      </c>
      <c r="E29" s="80">
        <f>E25*E27</f>
        <v>25556.961312195795</v>
      </c>
      <c r="F29" s="1"/>
      <c r="G29" s="78"/>
      <c r="H29" s="44"/>
      <c r="I29" s="4" t="s">
        <v>1062</v>
      </c>
      <c r="J29" s="4">
        <f t="shared" si="1"/>
        <v>19</v>
      </c>
    </row>
    <row r="30" spans="1:10" ht="16" thickTop="1" x14ac:dyDescent="0.35">
      <c r="A30" s="4">
        <f t="shared" si="0"/>
        <v>20</v>
      </c>
      <c r="E30" s="78"/>
      <c r="F30" s="74"/>
      <c r="G30" s="78"/>
      <c r="H30" s="44"/>
      <c r="I30" s="4"/>
      <c r="J30" s="4">
        <f t="shared" si="1"/>
        <v>20</v>
      </c>
    </row>
    <row r="31" spans="1:10" x14ac:dyDescent="0.35">
      <c r="A31" s="4">
        <f t="shared" si="0"/>
        <v>21</v>
      </c>
      <c r="B31" s="259" t="s">
        <v>1063</v>
      </c>
      <c r="E31" s="41"/>
      <c r="F31" s="44"/>
      <c r="G31" s="44"/>
      <c r="H31" s="44"/>
      <c r="I31" s="49"/>
      <c r="J31" s="4">
        <f t="shared" si="1"/>
        <v>21</v>
      </c>
    </row>
    <row r="32" spans="1:10" x14ac:dyDescent="0.35">
      <c r="A32" s="4">
        <f t="shared" si="0"/>
        <v>22</v>
      </c>
      <c r="B32" s="34" t="s">
        <v>1056</v>
      </c>
      <c r="E32" s="51">
        <f>E24</f>
        <v>0</v>
      </c>
      <c r="F32" s="44"/>
      <c r="G32" s="51"/>
      <c r="H32" s="44"/>
      <c r="I32" s="49" t="s">
        <v>1064</v>
      </c>
      <c r="J32" s="4">
        <f t="shared" si="1"/>
        <v>22</v>
      </c>
    </row>
    <row r="33" spans="1:10" x14ac:dyDescent="0.35">
      <c r="A33" s="4">
        <f t="shared" si="0"/>
        <v>23</v>
      </c>
      <c r="E33" s="119"/>
      <c r="F33" s="44"/>
      <c r="G33" s="51"/>
      <c r="H33" s="44"/>
      <c r="I33" s="49"/>
      <c r="J33" s="4">
        <f t="shared" si="1"/>
        <v>23</v>
      </c>
    </row>
    <row r="34" spans="1:10" x14ac:dyDescent="0.35">
      <c r="A34" s="4">
        <f t="shared" si="0"/>
        <v>24</v>
      </c>
      <c r="B34" s="34" t="s">
        <v>1059</v>
      </c>
      <c r="E34" s="1106">
        <f>E27</f>
        <v>0.125</v>
      </c>
      <c r="F34" s="4"/>
      <c r="G34" s="50"/>
      <c r="H34" s="4"/>
      <c r="I34" s="49" t="s">
        <v>1065</v>
      </c>
      <c r="J34" s="4">
        <f t="shared" si="1"/>
        <v>24</v>
      </c>
    </row>
    <row r="35" spans="1:10" x14ac:dyDescent="0.35">
      <c r="A35" s="4">
        <f t="shared" si="0"/>
        <v>25</v>
      </c>
      <c r="E35" s="50"/>
      <c r="F35" s="4"/>
      <c r="G35" s="50"/>
      <c r="H35" s="4"/>
      <c r="I35" s="49"/>
      <c r="J35" s="4">
        <f t="shared" si="1"/>
        <v>25</v>
      </c>
    </row>
    <row r="36" spans="1:10" x14ac:dyDescent="0.35">
      <c r="A36" s="4">
        <f t="shared" si="0"/>
        <v>26</v>
      </c>
      <c r="B36" s="34" t="s">
        <v>1066</v>
      </c>
      <c r="E36" s="38">
        <f>E32*E34</f>
        <v>0</v>
      </c>
      <c r="F36" s="4"/>
      <c r="G36" s="50"/>
      <c r="H36" s="4"/>
      <c r="I36" s="4" t="s">
        <v>1067</v>
      </c>
      <c r="J36" s="4">
        <f t="shared" si="1"/>
        <v>26</v>
      </c>
    </row>
    <row r="37" spans="1:10" x14ac:dyDescent="0.35">
      <c r="A37" s="4">
        <f t="shared" si="0"/>
        <v>27</v>
      </c>
      <c r="J37" s="4">
        <f t="shared" si="1"/>
        <v>27</v>
      </c>
    </row>
    <row r="38" spans="1:10" ht="17.5" x14ac:dyDescent="0.35">
      <c r="A38" s="4">
        <f t="shared" si="0"/>
        <v>28</v>
      </c>
      <c r="B38" s="35" t="s">
        <v>1068</v>
      </c>
      <c r="C38" s="4"/>
      <c r="E38" s="914">
        <f>'Stmt AV'!G148</f>
        <v>9.2134790657702317E-2</v>
      </c>
      <c r="F38" s="1"/>
      <c r="I38" s="4" t="s">
        <v>30</v>
      </c>
      <c r="J38" s="4">
        <f t="shared" si="1"/>
        <v>28</v>
      </c>
    </row>
    <row r="39" spans="1:10" x14ac:dyDescent="0.35">
      <c r="A39" s="4">
        <f t="shared" si="0"/>
        <v>29</v>
      </c>
      <c r="C39" s="4"/>
      <c r="J39" s="4">
        <f t="shared" si="1"/>
        <v>29</v>
      </c>
    </row>
    <row r="40" spans="1:10" ht="19" thickBot="1" x14ac:dyDescent="0.4">
      <c r="A40" s="4">
        <f t="shared" si="0"/>
        <v>30</v>
      </c>
      <c r="B40" s="34" t="s">
        <v>1069</v>
      </c>
      <c r="C40" s="4"/>
      <c r="E40" s="80">
        <f>E36*E38</f>
        <v>0</v>
      </c>
      <c r="I40" s="4" t="s">
        <v>1070</v>
      </c>
      <c r="J40" s="4">
        <f t="shared" si="1"/>
        <v>30</v>
      </c>
    </row>
    <row r="41" spans="1:10" ht="16" thickTop="1" x14ac:dyDescent="0.35">
      <c r="A41" s="4">
        <f t="shared" si="0"/>
        <v>31</v>
      </c>
      <c r="C41" s="4"/>
      <c r="E41" s="78"/>
      <c r="I41" s="4"/>
      <c r="J41" s="4">
        <f t="shared" si="1"/>
        <v>31</v>
      </c>
    </row>
    <row r="42" spans="1:10" ht="17.5" x14ac:dyDescent="0.35">
      <c r="A42" s="4">
        <f t="shared" si="0"/>
        <v>32</v>
      </c>
      <c r="B42" s="35" t="s">
        <v>1071</v>
      </c>
      <c r="C42" s="4"/>
      <c r="E42" s="914">
        <f>'Stmt AV'!G182</f>
        <v>3.7378308604841285E-3</v>
      </c>
      <c r="I42" s="4" t="s">
        <v>36</v>
      </c>
      <c r="J42" s="4">
        <f t="shared" si="1"/>
        <v>32</v>
      </c>
    </row>
    <row r="43" spans="1:10" x14ac:dyDescent="0.35">
      <c r="A43" s="4">
        <f t="shared" si="0"/>
        <v>33</v>
      </c>
      <c r="C43" s="4"/>
      <c r="E43" s="78"/>
      <c r="I43" s="4"/>
      <c r="J43" s="4">
        <f t="shared" si="1"/>
        <v>33</v>
      </c>
    </row>
    <row r="44" spans="1:10" ht="19" thickBot="1" x14ac:dyDescent="0.4">
      <c r="A44" s="4">
        <f t="shared" si="0"/>
        <v>34</v>
      </c>
      <c r="B44" s="34" t="s">
        <v>1072</v>
      </c>
      <c r="C44" s="4"/>
      <c r="E44" s="80">
        <f>E36*E42</f>
        <v>0</v>
      </c>
      <c r="I44" s="4" t="s">
        <v>1073</v>
      </c>
      <c r="J44" s="4">
        <f t="shared" si="1"/>
        <v>34</v>
      </c>
    </row>
    <row r="45" spans="1:10" ht="16" thickTop="1" x14ac:dyDescent="0.35">
      <c r="C45" s="4"/>
      <c r="E45" s="78"/>
      <c r="I45" s="4"/>
      <c r="J45" s="4"/>
    </row>
    <row r="46" spans="1:10" x14ac:dyDescent="0.35">
      <c r="C46" s="4"/>
    </row>
    <row r="47" spans="1:10" ht="18" x14ac:dyDescent="0.35">
      <c r="A47" s="261">
        <v>1</v>
      </c>
      <c r="B47" s="34" t="s">
        <v>1074</v>
      </c>
      <c r="C47" s="4"/>
    </row>
    <row r="48" spans="1:10" ht="18" x14ac:dyDescent="0.35">
      <c r="A48" s="261">
        <v>2</v>
      </c>
      <c r="B48" s="34" t="s">
        <v>1075</v>
      </c>
      <c r="C48" s="4"/>
    </row>
    <row r="49" spans="1:2" x14ac:dyDescent="0.35">
      <c r="A49" s="226"/>
      <c r="B49" s="1"/>
    </row>
  </sheetData>
  <mergeCells count="5">
    <mergeCell ref="B2:I2"/>
    <mergeCell ref="B3:I3"/>
    <mergeCell ref="B4:I4"/>
    <mergeCell ref="B5:I5"/>
    <mergeCell ref="B6:I6"/>
  </mergeCells>
  <printOptions horizontalCentered="1"/>
  <pageMargins left="0.5" right="0.5" top="0.5" bottom="0.5" header="0.25" footer="0.25"/>
  <pageSetup orientation="portrait" r:id="rId1"/>
  <headerFooter scaleWithDoc="0">
    <oddFooter>&amp;C&amp;"Times New Roman,Regular"&amp;10AL</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1171" t="s">
        <v>0</v>
      </c>
      <c r="C2" s="1171"/>
      <c r="D2" s="1171"/>
      <c r="E2" s="1171"/>
      <c r="F2" s="1171"/>
    </row>
    <row r="3" spans="1:8" x14ac:dyDescent="0.35">
      <c r="B3" s="1171" t="s">
        <v>362</v>
      </c>
      <c r="C3" s="1171"/>
      <c r="D3" s="1171"/>
      <c r="E3" s="1171"/>
      <c r="F3" s="1171"/>
    </row>
    <row r="4" spans="1:8" x14ac:dyDescent="0.35">
      <c r="B4" s="1171" t="s">
        <v>363</v>
      </c>
      <c r="C4" s="1171"/>
      <c r="D4" s="1171"/>
      <c r="E4" s="1171"/>
      <c r="F4" s="1171"/>
    </row>
    <row r="5" spans="1:8" x14ac:dyDescent="0.35">
      <c r="B5" s="1171" t="s">
        <v>364</v>
      </c>
      <c r="C5" s="1171"/>
      <c r="D5" s="1171"/>
      <c r="E5" s="1171"/>
      <c r="F5" s="1171"/>
    </row>
    <row r="6" spans="1:8" x14ac:dyDescent="0.35">
      <c r="B6" s="1175" t="s">
        <v>5</v>
      </c>
      <c r="C6" s="1175"/>
      <c r="D6" s="1175"/>
      <c r="E6" s="1175"/>
      <c r="F6" s="1175"/>
    </row>
    <row r="7" spans="1:8" x14ac:dyDescent="0.35">
      <c r="B7" s="277"/>
      <c r="C7" s="278"/>
      <c r="D7" s="277"/>
      <c r="E7" s="277"/>
      <c r="F7" s="277"/>
    </row>
    <row r="8" spans="1:8" x14ac:dyDescent="0.35">
      <c r="B8" s="1171" t="s">
        <v>394</v>
      </c>
      <c r="C8" s="1171"/>
      <c r="D8" s="1171"/>
      <c r="E8" s="1171"/>
      <c r="F8" s="1171"/>
    </row>
    <row r="10" spans="1:8" x14ac:dyDescent="0.35">
      <c r="B10" s="987"/>
      <c r="C10" s="279" t="s">
        <v>265</v>
      </c>
      <c r="D10" s="988"/>
      <c r="E10" s="279"/>
      <c r="F10" s="988"/>
    </row>
    <row r="11" spans="1:8" x14ac:dyDescent="0.35">
      <c r="B11" s="280"/>
      <c r="C11" s="284" t="s">
        <v>395</v>
      </c>
      <c r="D11" s="280"/>
      <c r="E11" s="284" t="s">
        <v>395</v>
      </c>
      <c r="F11" s="280"/>
      <c r="H11" s="291"/>
    </row>
    <row r="12" spans="1:8" ht="15.5" x14ac:dyDescent="0.35">
      <c r="A12" s="4" t="s">
        <v>6</v>
      </c>
      <c r="B12" s="283"/>
      <c r="C12" s="226" t="s">
        <v>367</v>
      </c>
      <c r="D12" s="280"/>
      <c r="E12" s="284" t="s">
        <v>367</v>
      </c>
      <c r="F12" s="280"/>
      <c r="G12" s="4" t="s">
        <v>6</v>
      </c>
      <c r="H12" s="291"/>
    </row>
    <row r="13" spans="1:8" ht="18" x14ac:dyDescent="0.35">
      <c r="A13" s="4" t="s">
        <v>7</v>
      </c>
      <c r="B13" s="285" t="s">
        <v>368</v>
      </c>
      <c r="C13" s="990" t="s">
        <v>369</v>
      </c>
      <c r="D13" s="285" t="s">
        <v>9</v>
      </c>
      <c r="E13" s="286" t="s">
        <v>370</v>
      </c>
      <c r="F13" s="285" t="s">
        <v>9</v>
      </c>
      <c r="G13" s="4" t="s">
        <v>7</v>
      </c>
      <c r="H13" s="291"/>
    </row>
    <row r="14" spans="1:8" ht="15.5" x14ac:dyDescent="0.35">
      <c r="A14" s="4">
        <v>1</v>
      </c>
      <c r="B14" s="991" t="str">
        <f>'AD-1'!B14</f>
        <v>Dec-21</v>
      </c>
      <c r="C14" s="61">
        <v>0</v>
      </c>
      <c r="D14" s="992" t="s">
        <v>372</v>
      </c>
      <c r="E14" s="61">
        <v>0</v>
      </c>
      <c r="F14" s="992" t="s">
        <v>373</v>
      </c>
      <c r="G14" s="4">
        <f>A14</f>
        <v>1</v>
      </c>
      <c r="H14" s="287"/>
    </row>
    <row r="15" spans="1:8" ht="15.5" x14ac:dyDescent="0.35">
      <c r="A15" s="4">
        <f>A14+1</f>
        <v>2</v>
      </c>
      <c r="B15" s="991" t="str">
        <f>'AD-1'!B15</f>
        <v>Jan-22</v>
      </c>
      <c r="C15" s="55">
        <v>0</v>
      </c>
      <c r="D15" s="993"/>
      <c r="E15" s="55">
        <v>0</v>
      </c>
      <c r="F15" s="993"/>
      <c r="G15" s="4">
        <f>G14+1</f>
        <v>2</v>
      </c>
    </row>
    <row r="16" spans="1:8" ht="15.5" x14ac:dyDescent="0.35">
      <c r="A16" s="4">
        <f t="shared" ref="A16:A32" si="0">A15+1</f>
        <v>3</v>
      </c>
      <c r="B16" s="994" t="s">
        <v>375</v>
      </c>
      <c r="C16" s="55">
        <v>0</v>
      </c>
      <c r="D16" s="993"/>
      <c r="E16" s="55">
        <v>0</v>
      </c>
      <c r="F16" s="993"/>
      <c r="G16" s="4">
        <f t="shared" ref="G16:G32" si="1">G15+1</f>
        <v>3</v>
      </c>
    </row>
    <row r="17" spans="1:8" ht="15.5" x14ac:dyDescent="0.35">
      <c r="A17" s="4">
        <f t="shared" si="0"/>
        <v>4</v>
      </c>
      <c r="B17" s="994" t="s">
        <v>376</v>
      </c>
      <c r="C17" s="55">
        <v>0</v>
      </c>
      <c r="D17" s="993"/>
      <c r="E17" s="55">
        <v>0</v>
      </c>
      <c r="F17" s="993"/>
      <c r="G17" s="4">
        <f t="shared" si="1"/>
        <v>4</v>
      </c>
    </row>
    <row r="18" spans="1:8" ht="15.5" x14ac:dyDescent="0.35">
      <c r="A18" s="4">
        <f t="shared" si="0"/>
        <v>5</v>
      </c>
      <c r="B18" s="994" t="s">
        <v>377</v>
      </c>
      <c r="C18" s="55">
        <v>0</v>
      </c>
      <c r="D18" s="993"/>
      <c r="E18" s="55">
        <v>0</v>
      </c>
      <c r="F18" s="993"/>
      <c r="G18" s="4">
        <f t="shared" si="1"/>
        <v>5</v>
      </c>
    </row>
    <row r="19" spans="1:8" ht="15.5" x14ac:dyDescent="0.35">
      <c r="A19" s="4">
        <f t="shared" si="0"/>
        <v>6</v>
      </c>
      <c r="B19" s="994" t="s">
        <v>378</v>
      </c>
      <c r="C19" s="55">
        <v>0</v>
      </c>
      <c r="D19" s="993"/>
      <c r="E19" s="55">
        <v>0</v>
      </c>
      <c r="F19" s="993"/>
      <c r="G19" s="4">
        <f t="shared" si="1"/>
        <v>6</v>
      </c>
    </row>
    <row r="20" spans="1:8" ht="15.5" x14ac:dyDescent="0.35">
      <c r="A20" s="4">
        <f>A19+1</f>
        <v>7</v>
      </c>
      <c r="B20" s="994" t="s">
        <v>379</v>
      </c>
      <c r="C20" s="55">
        <v>0</v>
      </c>
      <c r="D20" s="993"/>
      <c r="E20" s="55">
        <v>0</v>
      </c>
      <c r="F20" s="993"/>
      <c r="G20" s="4">
        <f>G19+1</f>
        <v>7</v>
      </c>
    </row>
    <row r="21" spans="1:8" ht="15.5" x14ac:dyDescent="0.35">
      <c r="A21" s="4">
        <f t="shared" si="0"/>
        <v>8</v>
      </c>
      <c r="B21" s="994" t="s">
        <v>380</v>
      </c>
      <c r="C21" s="55">
        <v>0</v>
      </c>
      <c r="D21" s="993"/>
      <c r="E21" s="55">
        <v>0</v>
      </c>
      <c r="F21" s="993"/>
      <c r="G21" s="4">
        <f t="shared" si="1"/>
        <v>8</v>
      </c>
    </row>
    <row r="22" spans="1:8" ht="15.5" x14ac:dyDescent="0.35">
      <c r="A22" s="4">
        <f t="shared" si="0"/>
        <v>9</v>
      </c>
      <c r="B22" s="994" t="s">
        <v>381</v>
      </c>
      <c r="C22" s="55">
        <v>0</v>
      </c>
      <c r="D22" s="993"/>
      <c r="E22" s="55">
        <v>0</v>
      </c>
      <c r="F22" s="993"/>
      <c r="G22" s="4">
        <f t="shared" si="1"/>
        <v>9</v>
      </c>
    </row>
    <row r="23" spans="1:8" ht="15.5" x14ac:dyDescent="0.35">
      <c r="A23" s="4">
        <f t="shared" si="0"/>
        <v>10</v>
      </c>
      <c r="B23" s="994" t="s">
        <v>382</v>
      </c>
      <c r="C23" s="55">
        <v>0</v>
      </c>
      <c r="D23" s="993"/>
      <c r="E23" s="55">
        <v>0</v>
      </c>
      <c r="F23" s="993"/>
      <c r="G23" s="4">
        <f t="shared" si="1"/>
        <v>10</v>
      </c>
    </row>
    <row r="24" spans="1:8" ht="15.5" x14ac:dyDescent="0.35">
      <c r="A24" s="4">
        <f t="shared" si="0"/>
        <v>11</v>
      </c>
      <c r="B24" s="994" t="s">
        <v>383</v>
      </c>
      <c r="C24" s="55">
        <v>0</v>
      </c>
      <c r="D24" s="993"/>
      <c r="E24" s="55">
        <v>0</v>
      </c>
      <c r="F24" s="993"/>
      <c r="G24" s="4">
        <f t="shared" si="1"/>
        <v>11</v>
      </c>
    </row>
    <row r="25" spans="1:8" ht="15.5" x14ac:dyDescent="0.35">
      <c r="A25" s="4">
        <f t="shared" si="0"/>
        <v>12</v>
      </c>
      <c r="B25" s="994" t="s">
        <v>384</v>
      </c>
      <c r="C25" s="55">
        <v>0</v>
      </c>
      <c r="D25" s="993"/>
      <c r="E25" s="55">
        <v>0</v>
      </c>
      <c r="F25" s="993"/>
      <c r="G25" s="4">
        <f t="shared" si="1"/>
        <v>12</v>
      </c>
    </row>
    <row r="26" spans="1:8" ht="15.5" x14ac:dyDescent="0.35">
      <c r="A26" s="4">
        <f t="shared" si="0"/>
        <v>13</v>
      </c>
      <c r="B26" s="652" t="str">
        <f>'AD-1'!B26</f>
        <v>Dec-22</v>
      </c>
      <c r="C26" s="56">
        <v>0</v>
      </c>
      <c r="D26" s="294" t="s">
        <v>372</v>
      </c>
      <c r="E26" s="56">
        <v>0</v>
      </c>
      <c r="F26" s="992" t="s">
        <v>386</v>
      </c>
      <c r="G26" s="4">
        <f t="shared" si="1"/>
        <v>13</v>
      </c>
      <c r="H26" s="287"/>
    </row>
    <row r="27" spans="1:8" ht="15.5" x14ac:dyDescent="0.35">
      <c r="A27" s="4">
        <f t="shared" si="0"/>
        <v>14</v>
      </c>
      <c r="B27" s="288"/>
      <c r="C27" s="62"/>
      <c r="D27" s="288"/>
      <c r="E27" s="63"/>
      <c r="F27" s="987"/>
      <c r="G27" s="4">
        <f t="shared" si="1"/>
        <v>14</v>
      </c>
    </row>
    <row r="28" spans="1:8" ht="15.5" x14ac:dyDescent="0.35">
      <c r="A28" s="4">
        <f t="shared" si="0"/>
        <v>15</v>
      </c>
      <c r="B28" s="288" t="s">
        <v>387</v>
      </c>
      <c r="C28" s="58">
        <f>SUM(C14:C26)</f>
        <v>0</v>
      </c>
      <c r="D28" s="995" t="s">
        <v>388</v>
      </c>
      <c r="E28" s="58">
        <f>SUM(E14:E26)</f>
        <v>0</v>
      </c>
      <c r="F28" s="995" t="s">
        <v>388</v>
      </c>
      <c r="G28" s="4">
        <f t="shared" si="1"/>
        <v>15</v>
      </c>
    </row>
    <row r="29" spans="1:8" ht="15.5" x14ac:dyDescent="0.35">
      <c r="A29" s="4">
        <f t="shared" si="0"/>
        <v>16</v>
      </c>
      <c r="B29" s="124"/>
      <c r="C29" s="59"/>
      <c r="D29" s="124"/>
      <c r="E29" s="59"/>
      <c r="F29" s="124"/>
      <c r="G29" s="4">
        <f t="shared" si="1"/>
        <v>16</v>
      </c>
    </row>
    <row r="30" spans="1:8" ht="15.5" x14ac:dyDescent="0.35">
      <c r="A30" s="4">
        <f t="shared" si="0"/>
        <v>17</v>
      </c>
      <c r="B30" s="288"/>
      <c r="C30" s="63"/>
      <c r="D30" s="288"/>
      <c r="E30" s="63"/>
      <c r="F30" s="288"/>
      <c r="G30" s="4">
        <f t="shared" si="1"/>
        <v>17</v>
      </c>
    </row>
    <row r="31" spans="1:8" ht="15.5" x14ac:dyDescent="0.35">
      <c r="A31" s="4">
        <f t="shared" si="0"/>
        <v>18</v>
      </c>
      <c r="B31" s="288" t="s">
        <v>389</v>
      </c>
      <c r="C31" s="58">
        <f>C28/13</f>
        <v>0</v>
      </c>
      <c r="D31" s="995" t="s">
        <v>390</v>
      </c>
      <c r="E31" s="58">
        <f>E28/13</f>
        <v>0</v>
      </c>
      <c r="F31" s="992" t="s">
        <v>391</v>
      </c>
      <c r="G31" s="4">
        <f t="shared" si="1"/>
        <v>18</v>
      </c>
      <c r="H31" s="287"/>
    </row>
    <row r="32" spans="1:8" ht="15.5" x14ac:dyDescent="0.35">
      <c r="A32" s="4">
        <f t="shared" si="0"/>
        <v>19</v>
      </c>
      <c r="B32" s="124"/>
      <c r="C32" s="64"/>
      <c r="D32" s="124"/>
      <c r="E32" s="64"/>
      <c r="F32" s="124"/>
      <c r="G32" s="4">
        <f t="shared" si="1"/>
        <v>19</v>
      </c>
    </row>
    <row r="33" spans="1:7" ht="15.5" x14ac:dyDescent="0.35">
      <c r="B33" s="34"/>
      <c r="C33" s="6"/>
      <c r="D33" s="34"/>
      <c r="E33" s="6"/>
      <c r="F33" s="34"/>
      <c r="G33" s="599"/>
    </row>
    <row r="34" spans="1:7" ht="15.5" x14ac:dyDescent="0.35">
      <c r="C34" s="6"/>
      <c r="D34" s="34"/>
      <c r="E34" s="6"/>
      <c r="F34" s="34"/>
      <c r="G34" s="599"/>
    </row>
    <row r="35" spans="1:7" ht="18" x14ac:dyDescent="0.35">
      <c r="A35" s="276">
        <v>1</v>
      </c>
      <c r="B35" s="34" t="s">
        <v>392</v>
      </c>
      <c r="C35" s="292"/>
      <c r="D35" s="34"/>
      <c r="E35" s="292"/>
      <c r="F35" s="34"/>
      <c r="G35" s="599"/>
    </row>
    <row r="36" spans="1:7" ht="15.5" x14ac:dyDescent="0.35">
      <c r="B36" s="34" t="s">
        <v>393</v>
      </c>
      <c r="C36" s="292"/>
      <c r="D36" s="34"/>
      <c r="E36" s="292"/>
      <c r="F36" s="34"/>
      <c r="G36" s="599"/>
    </row>
    <row r="37" spans="1:7" ht="15.5" x14ac:dyDescent="0.35">
      <c r="C37" s="292"/>
      <c r="D37" s="34"/>
      <c r="E37" s="292"/>
      <c r="F37" s="34"/>
      <c r="G37" s="599"/>
    </row>
    <row r="38" spans="1:7" ht="15.5" x14ac:dyDescent="0.35">
      <c r="C38" s="292"/>
      <c r="D38" s="34"/>
      <c r="E38" s="292"/>
      <c r="F38" s="34"/>
      <c r="G38" s="599"/>
    </row>
    <row r="39" spans="1:7" x14ac:dyDescent="0.35">
      <c r="C39" s="291"/>
      <c r="E39" s="291"/>
      <c r="G39" s="599"/>
    </row>
  </sheetData>
  <mergeCells count="6">
    <mergeCell ref="B8:F8"/>
    <mergeCell ref="B5:F5"/>
    <mergeCell ref="B2:F2"/>
    <mergeCell ref="B3:F3"/>
    <mergeCell ref="B4:F4"/>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62.54296875" style="310" customWidth="1"/>
    <col min="5" max="5" width="5.08984375" style="310" customWidth="1"/>
    <col min="6" max="6" width="21.08984375" style="91" customWidth="1"/>
    <col min="7" max="7" width="20.08984375" style="91" customWidth="1"/>
    <col min="8" max="8" width="17.453125" style="91" customWidth="1"/>
    <col min="9" max="9" width="16.90625" style="91" customWidth="1"/>
    <col min="10" max="10" width="21.08984375" style="1" customWidth="1"/>
    <col min="11" max="11" width="15" style="1" customWidth="1"/>
    <col min="12" max="12" width="11" style="1" customWidth="1"/>
    <col min="13" max="13" width="7.08984375" style="1" customWidth="1"/>
    <col min="14" max="14" width="9.08984375" style="1" customWidth="1"/>
    <col min="15" max="15" width="14" style="1" customWidth="1"/>
    <col min="16" max="16" width="13.453125" style="1" customWidth="1"/>
    <col min="17" max="16384" width="9.08984375" style="1"/>
  </cols>
  <sheetData>
    <row r="2" spans="1:6" x14ac:dyDescent="0.35">
      <c r="B2" s="1171" t="s">
        <v>0</v>
      </c>
      <c r="C2" s="1171"/>
      <c r="D2" s="1171"/>
      <c r="E2" s="310" t="s">
        <v>1</v>
      </c>
      <c r="F2" s="1"/>
    </row>
    <row r="3" spans="1:6" x14ac:dyDescent="0.35">
      <c r="B3" s="1171" t="s">
        <v>1076</v>
      </c>
      <c r="C3" s="1171"/>
      <c r="D3" s="1171"/>
      <c r="E3" s="310" t="s">
        <v>1</v>
      </c>
      <c r="F3" s="1"/>
    </row>
    <row r="4" spans="1:6" x14ac:dyDescent="0.35">
      <c r="B4" s="1171" t="s">
        <v>1077</v>
      </c>
      <c r="C4" s="1171"/>
      <c r="D4" s="1171"/>
      <c r="E4" s="310" t="s">
        <v>1</v>
      </c>
      <c r="F4" s="1"/>
    </row>
    <row r="5" spans="1:6" x14ac:dyDescent="0.35">
      <c r="B5" s="1171" t="s">
        <v>364</v>
      </c>
      <c r="C5" s="1171"/>
      <c r="D5" s="1171"/>
      <c r="E5" s="226"/>
      <c r="F5" s="1"/>
    </row>
    <row r="6" spans="1:6" x14ac:dyDescent="0.35">
      <c r="B6" s="1199" t="s">
        <v>5</v>
      </c>
      <c r="C6" s="1199"/>
      <c r="D6" s="1199"/>
      <c r="E6" s="310" t="s">
        <v>1</v>
      </c>
      <c r="F6" s="278"/>
    </row>
    <row r="7" spans="1:6" x14ac:dyDescent="0.35">
      <c r="B7" s="461"/>
      <c r="C7" s="278"/>
      <c r="F7" s="278"/>
    </row>
    <row r="8" spans="1:6" x14ac:dyDescent="0.35">
      <c r="B8" s="1171" t="s">
        <v>1078</v>
      </c>
      <c r="C8" s="1171"/>
      <c r="D8" s="1171"/>
      <c r="E8" s="226"/>
      <c r="F8" s="278"/>
    </row>
    <row r="9" spans="1:6" x14ac:dyDescent="0.35">
      <c r="B9" s="1171" t="s">
        <v>1079</v>
      </c>
      <c r="C9" s="1171"/>
      <c r="D9" s="1171"/>
      <c r="E9" s="226"/>
    </row>
    <row r="10" spans="1:6" ht="15.5" x14ac:dyDescent="0.35">
      <c r="B10" s="979"/>
      <c r="C10" s="1107"/>
      <c r="E10" s="310" t="s">
        <v>1</v>
      </c>
    </row>
    <row r="11" spans="1:6" ht="15.5" x14ac:dyDescent="0.35">
      <c r="B11" s="987"/>
      <c r="C11" s="1006" t="s">
        <v>265</v>
      </c>
      <c r="D11" s="988"/>
      <c r="E11" s="4"/>
      <c r="F11" s="34"/>
    </row>
    <row r="12" spans="1:6" ht="15.5" x14ac:dyDescent="0.35">
      <c r="B12" s="283"/>
      <c r="C12" s="280" t="s">
        <v>1080</v>
      </c>
      <c r="D12" s="280"/>
      <c r="E12" s="4"/>
      <c r="F12" s="34"/>
    </row>
    <row r="13" spans="1:6" ht="15.5" x14ac:dyDescent="0.35">
      <c r="A13" s="4" t="s">
        <v>6</v>
      </c>
      <c r="B13" s="280"/>
      <c r="C13" s="280" t="s">
        <v>1081</v>
      </c>
      <c r="D13" s="280"/>
      <c r="E13" s="4" t="s">
        <v>6</v>
      </c>
      <c r="F13" s="34"/>
    </row>
    <row r="14" spans="1:6" ht="15.5" x14ac:dyDescent="0.35">
      <c r="A14" s="4" t="s">
        <v>7</v>
      </c>
      <c r="B14" s="285" t="s">
        <v>368</v>
      </c>
      <c r="C14" s="280" t="s">
        <v>1082</v>
      </c>
      <c r="D14" s="285" t="s">
        <v>9</v>
      </c>
      <c r="E14" s="4" t="s">
        <v>7</v>
      </c>
      <c r="F14" s="34"/>
    </row>
    <row r="15" spans="1:6" ht="15.5" x14ac:dyDescent="0.35">
      <c r="A15" s="462">
        <v>1</v>
      </c>
      <c r="B15" s="991" t="str">
        <f>'AG-1'!B14</f>
        <v>Dec-21</v>
      </c>
      <c r="C15" s="1108">
        <v>117275.564</v>
      </c>
      <c r="D15" s="1002" t="s">
        <v>372</v>
      </c>
      <c r="E15" s="462">
        <f>A15</f>
        <v>1</v>
      </c>
      <c r="F15" s="463"/>
    </row>
    <row r="16" spans="1:6" ht="15.5" x14ac:dyDescent="0.35">
      <c r="A16" s="462">
        <f>A15+1</f>
        <v>2</v>
      </c>
      <c r="B16" s="991" t="str">
        <f>'AG-1'!B15</f>
        <v>Jan-22</v>
      </c>
      <c r="C16" s="241">
        <v>114698.561</v>
      </c>
      <c r="D16" s="1002"/>
      <c r="E16" s="462">
        <f>E15+1</f>
        <v>2</v>
      </c>
      <c r="F16" s="463"/>
    </row>
    <row r="17" spans="1:6" ht="15.5" x14ac:dyDescent="0.35">
      <c r="A17" s="462">
        <f t="shared" ref="A17:A32" si="0">A16+1</f>
        <v>3</v>
      </c>
      <c r="B17" s="994" t="s">
        <v>375</v>
      </c>
      <c r="C17" s="241">
        <v>114415.564</v>
      </c>
      <c r="D17" s="1002"/>
      <c r="E17" s="462">
        <f t="shared" ref="E17:E32" si="1">E16+1</f>
        <v>3</v>
      </c>
      <c r="F17" s="463"/>
    </row>
    <row r="18" spans="1:6" ht="15.5" x14ac:dyDescent="0.35">
      <c r="A18" s="462">
        <f t="shared" si="0"/>
        <v>4</v>
      </c>
      <c r="B18" s="994" t="s">
        <v>376</v>
      </c>
      <c r="C18" s="241">
        <v>115421.423</v>
      </c>
      <c r="D18" s="1002"/>
      <c r="E18" s="462">
        <f t="shared" si="1"/>
        <v>4</v>
      </c>
      <c r="F18" s="463"/>
    </row>
    <row r="19" spans="1:6" ht="15.5" x14ac:dyDescent="0.35">
      <c r="A19" s="462">
        <f t="shared" si="0"/>
        <v>5</v>
      </c>
      <c r="B19" s="994" t="s">
        <v>377</v>
      </c>
      <c r="C19" s="241">
        <v>115891.348</v>
      </c>
      <c r="D19" s="1002"/>
      <c r="E19" s="462">
        <f t="shared" si="1"/>
        <v>5</v>
      </c>
      <c r="F19" s="463"/>
    </row>
    <row r="20" spans="1:6" ht="15.5" x14ac:dyDescent="0.35">
      <c r="A20" s="462">
        <f t="shared" si="0"/>
        <v>6</v>
      </c>
      <c r="B20" s="994" t="s">
        <v>378</v>
      </c>
      <c r="C20" s="241">
        <v>116262.08500000001</v>
      </c>
      <c r="D20" s="1002"/>
      <c r="E20" s="462">
        <f t="shared" si="1"/>
        <v>6</v>
      </c>
      <c r="F20" s="463"/>
    </row>
    <row r="21" spans="1:6" ht="15.5" x14ac:dyDescent="0.35">
      <c r="A21" s="462">
        <f t="shared" si="0"/>
        <v>7</v>
      </c>
      <c r="B21" s="994" t="s">
        <v>379</v>
      </c>
      <c r="C21" s="241">
        <v>118601.73</v>
      </c>
      <c r="D21" s="1002"/>
      <c r="E21" s="462">
        <f t="shared" si="1"/>
        <v>7</v>
      </c>
      <c r="F21" s="463"/>
    </row>
    <row r="22" spans="1:6" ht="15.5" x14ac:dyDescent="0.35">
      <c r="A22" s="462">
        <f t="shared" si="0"/>
        <v>8</v>
      </c>
      <c r="B22" s="994" t="s">
        <v>380</v>
      </c>
      <c r="C22" s="241">
        <v>121285.512</v>
      </c>
      <c r="D22" s="1002"/>
      <c r="E22" s="462">
        <f t="shared" si="1"/>
        <v>8</v>
      </c>
      <c r="F22" s="463"/>
    </row>
    <row r="23" spans="1:6" ht="15.5" x14ac:dyDescent="0.35">
      <c r="A23" s="462">
        <f t="shared" si="0"/>
        <v>9</v>
      </c>
      <c r="B23" s="994" t="s">
        <v>381</v>
      </c>
      <c r="C23" s="241">
        <v>120817.129</v>
      </c>
      <c r="D23" s="1002"/>
      <c r="E23" s="462">
        <f t="shared" si="1"/>
        <v>9</v>
      </c>
      <c r="F23" s="463"/>
    </row>
    <row r="24" spans="1:6" ht="15.5" x14ac:dyDescent="0.35">
      <c r="A24" s="462">
        <f t="shared" si="0"/>
        <v>10</v>
      </c>
      <c r="B24" s="994" t="s">
        <v>382</v>
      </c>
      <c r="C24" s="241">
        <v>121591.334</v>
      </c>
      <c r="D24" s="1002"/>
      <c r="E24" s="462">
        <f t="shared" si="1"/>
        <v>10</v>
      </c>
      <c r="F24" s="463"/>
    </row>
    <row r="25" spans="1:6" ht="15.5" x14ac:dyDescent="0.35">
      <c r="A25" s="462">
        <f t="shared" si="0"/>
        <v>11</v>
      </c>
      <c r="B25" s="994" t="s">
        <v>383</v>
      </c>
      <c r="C25" s="241">
        <v>121891.02099999999</v>
      </c>
      <c r="D25" s="1002"/>
      <c r="E25" s="462">
        <f t="shared" si="1"/>
        <v>11</v>
      </c>
      <c r="F25" s="463"/>
    </row>
    <row r="26" spans="1:6" ht="15.5" x14ac:dyDescent="0.35">
      <c r="A26" s="462">
        <f t="shared" si="0"/>
        <v>12</v>
      </c>
      <c r="B26" s="994" t="s">
        <v>384</v>
      </c>
      <c r="C26" s="241">
        <v>124227.322</v>
      </c>
      <c r="D26" s="996"/>
      <c r="E26" s="462">
        <f t="shared" si="1"/>
        <v>12</v>
      </c>
      <c r="F26" s="463"/>
    </row>
    <row r="27" spans="1:6" ht="15.5" x14ac:dyDescent="0.35">
      <c r="A27" s="462">
        <f t="shared" si="0"/>
        <v>13</v>
      </c>
      <c r="B27" s="652" t="str">
        <f>'AG-1'!B26</f>
        <v>Dec-22</v>
      </c>
      <c r="C27" s="98">
        <v>125709.182</v>
      </c>
      <c r="D27" s="71" t="s">
        <v>372</v>
      </c>
      <c r="E27" s="462">
        <f t="shared" si="1"/>
        <v>13</v>
      </c>
      <c r="F27" s="463"/>
    </row>
    <row r="28" spans="1:6" ht="15.5" x14ac:dyDescent="0.35">
      <c r="A28" s="462">
        <f t="shared" si="0"/>
        <v>14</v>
      </c>
      <c r="B28" s="1109"/>
      <c r="C28" s="1110"/>
      <c r="D28" s="1111"/>
      <c r="E28" s="462">
        <f t="shared" si="1"/>
        <v>14</v>
      </c>
      <c r="F28" s="34"/>
    </row>
    <row r="29" spans="1:6" ht="15.5" x14ac:dyDescent="0.35">
      <c r="A29" s="462">
        <f t="shared" si="0"/>
        <v>15</v>
      </c>
      <c r="B29" s="288" t="s">
        <v>387</v>
      </c>
      <c r="C29" s="1024">
        <f>SUM(C15:C27)</f>
        <v>1548087.7749999999</v>
      </c>
      <c r="D29" s="996" t="s">
        <v>388</v>
      </c>
      <c r="E29" s="462">
        <f t="shared" si="1"/>
        <v>15</v>
      </c>
      <c r="F29" s="34"/>
    </row>
    <row r="30" spans="1:6" ht="15.5" x14ac:dyDescent="0.35">
      <c r="A30" s="462">
        <f t="shared" si="0"/>
        <v>16</v>
      </c>
      <c r="B30" s="124"/>
      <c r="C30" s="97"/>
      <c r="D30" s="71"/>
      <c r="E30" s="462">
        <f t="shared" si="1"/>
        <v>16</v>
      </c>
      <c r="F30" s="34"/>
    </row>
    <row r="31" spans="1:6" ht="15.5" x14ac:dyDescent="0.35">
      <c r="A31" s="462">
        <f t="shared" si="0"/>
        <v>17</v>
      </c>
      <c r="B31" s="987"/>
      <c r="C31" s="1112"/>
      <c r="D31" s="1113"/>
      <c r="E31" s="462">
        <f t="shared" si="1"/>
        <v>17</v>
      </c>
      <c r="F31" s="34"/>
    </row>
    <row r="32" spans="1:6" ht="15.5" x14ac:dyDescent="0.35">
      <c r="A32" s="462">
        <f t="shared" si="0"/>
        <v>18</v>
      </c>
      <c r="B32" s="288" t="s">
        <v>389</v>
      </c>
      <c r="C32" s="1024">
        <f>C29/13</f>
        <v>119083.67499999999</v>
      </c>
      <c r="D32" s="589" t="s">
        <v>1083</v>
      </c>
      <c r="E32" s="462">
        <f t="shared" si="1"/>
        <v>18</v>
      </c>
      <c r="F32" s="34"/>
    </row>
    <row r="33" spans="1:6" ht="15.5" x14ac:dyDescent="0.35">
      <c r="A33" s="462">
        <f>A32+1</f>
        <v>19</v>
      </c>
      <c r="B33" s="124"/>
      <c r="C33" s="70"/>
      <c r="D33" s="464"/>
      <c r="E33" s="462">
        <f>E32+1</f>
        <v>19</v>
      </c>
      <c r="F33" s="34"/>
    </row>
    <row r="34" spans="1:6" ht="15.5" x14ac:dyDescent="0.35">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62.54296875" style="91" customWidth="1"/>
    <col min="5" max="5" width="5.08984375" style="310" customWidth="1"/>
    <col min="6" max="6" width="9.453125" style="1" bestFit="1" customWidth="1"/>
    <col min="7" max="16384" width="9.08984375" style="1"/>
  </cols>
  <sheetData>
    <row r="2" spans="1:6" s="34" customFormat="1" ht="15.5" x14ac:dyDescent="0.35">
      <c r="A2" s="4"/>
      <c r="B2" s="1171" t="s">
        <v>0</v>
      </c>
      <c r="C2" s="1171"/>
      <c r="D2" s="1171"/>
      <c r="E2" s="4"/>
      <c r="F2" s="1"/>
    </row>
    <row r="3" spans="1:6" s="34" customFormat="1" ht="15.5" x14ac:dyDescent="0.35">
      <c r="A3" s="4"/>
      <c r="B3" s="1171" t="s">
        <v>1076</v>
      </c>
      <c r="C3" s="1171"/>
      <c r="D3" s="1171"/>
      <c r="E3" s="4"/>
      <c r="F3" s="1"/>
    </row>
    <row r="4" spans="1:6" s="34" customFormat="1" ht="15.5" x14ac:dyDescent="0.35">
      <c r="A4" s="4"/>
      <c r="B4" s="1171" t="s">
        <v>1077</v>
      </c>
      <c r="C4" s="1171"/>
      <c r="D4" s="1171"/>
      <c r="E4" s="4"/>
      <c r="F4" s="1"/>
    </row>
    <row r="5" spans="1:6" s="34" customFormat="1" ht="15.5" x14ac:dyDescent="0.35">
      <c r="A5" s="4"/>
      <c r="B5" s="1171" t="s">
        <v>364</v>
      </c>
      <c r="C5" s="1171"/>
      <c r="D5" s="1171"/>
      <c r="E5" s="4"/>
      <c r="F5" s="1"/>
    </row>
    <row r="6" spans="1:6" s="34" customFormat="1" ht="15.5" x14ac:dyDescent="0.35">
      <c r="A6" s="4"/>
      <c r="B6" s="1199" t="s">
        <v>5</v>
      </c>
      <c r="C6" s="1199"/>
      <c r="D6" s="1199"/>
      <c r="E6" s="310" t="s">
        <v>1</v>
      </c>
    </row>
    <row r="7" spans="1:6" s="34" customFormat="1" ht="15.5" x14ac:dyDescent="0.35">
      <c r="A7" s="4"/>
      <c r="B7" s="465"/>
      <c r="C7" s="465"/>
      <c r="D7" s="465"/>
      <c r="E7" s="310"/>
    </row>
    <row r="8" spans="1:6" s="34" customFormat="1" ht="15.5" x14ac:dyDescent="0.35">
      <c r="A8" s="4"/>
      <c r="B8" s="1171" t="s">
        <v>1084</v>
      </c>
      <c r="C8" s="1171"/>
      <c r="D8" s="1171"/>
      <c r="E8" s="310" t="s">
        <v>1</v>
      </c>
    </row>
    <row r="9" spans="1:6" s="34" customFormat="1" ht="15.5" x14ac:dyDescent="0.35">
      <c r="A9" s="4"/>
      <c r="B9" s="1114"/>
      <c r="C9" s="1107"/>
      <c r="D9" s="91"/>
      <c r="E9" s="310"/>
    </row>
    <row r="10" spans="1:6" s="34" customFormat="1" ht="15.5" x14ac:dyDescent="0.35">
      <c r="A10" s="4"/>
      <c r="B10" s="1115"/>
      <c r="C10" s="1006" t="s">
        <v>265</v>
      </c>
      <c r="D10" s="988"/>
    </row>
    <row r="11" spans="1:6" s="34" customFormat="1" ht="15.5" x14ac:dyDescent="0.35">
      <c r="A11" s="4" t="s">
        <v>6</v>
      </c>
      <c r="B11" s="280"/>
      <c r="C11" s="280" t="s">
        <v>1080</v>
      </c>
      <c r="D11" s="280"/>
      <c r="E11" s="4" t="s">
        <v>6</v>
      </c>
    </row>
    <row r="12" spans="1:6" s="34" customFormat="1" ht="15.5" x14ac:dyDescent="0.35">
      <c r="A12" s="4" t="s">
        <v>7</v>
      </c>
      <c r="B12" s="285" t="s">
        <v>368</v>
      </c>
      <c r="C12" s="280" t="s">
        <v>1085</v>
      </c>
      <c r="D12" s="285" t="s">
        <v>9</v>
      </c>
      <c r="E12" s="4" t="s">
        <v>7</v>
      </c>
    </row>
    <row r="13" spans="1:6" s="34" customFormat="1" ht="15.5" x14ac:dyDescent="0.35">
      <c r="A13" s="462">
        <v>1</v>
      </c>
      <c r="B13" s="991" t="str">
        <f>'AL-1'!B15</f>
        <v>Dec-21</v>
      </c>
      <c r="C13" s="1108">
        <v>107245.625</v>
      </c>
      <c r="D13" s="1002" t="s">
        <v>372</v>
      </c>
      <c r="E13" s="462">
        <f>A13</f>
        <v>1</v>
      </c>
      <c r="F13" s="466"/>
    </row>
    <row r="14" spans="1:6" s="34" customFormat="1" ht="15.5" x14ac:dyDescent="0.35">
      <c r="A14" s="462">
        <f>A13+1</f>
        <v>2</v>
      </c>
      <c r="B14" s="991" t="str">
        <f>'AL-1'!B16</f>
        <v>Jan-22</v>
      </c>
      <c r="C14" s="1017">
        <v>116059.95</v>
      </c>
      <c r="D14" s="1002"/>
      <c r="E14" s="462">
        <f>E13+1</f>
        <v>2</v>
      </c>
      <c r="F14" s="466"/>
    </row>
    <row r="15" spans="1:6" s="34" customFormat="1" ht="15.5" x14ac:dyDescent="0.35">
      <c r="A15" s="462">
        <f t="shared" ref="A15:A30" si="0">A14+1</f>
        <v>3</v>
      </c>
      <c r="B15" s="994" t="s">
        <v>375</v>
      </c>
      <c r="C15" s="1017">
        <v>101055.09699999999</v>
      </c>
      <c r="D15" s="1002"/>
      <c r="E15" s="462">
        <f t="shared" ref="E15:E30" si="1">E14+1</f>
        <v>3</v>
      </c>
      <c r="F15" s="466"/>
    </row>
    <row r="16" spans="1:6" s="34" customFormat="1" ht="15.5" x14ac:dyDescent="0.35">
      <c r="A16" s="462">
        <f t="shared" si="0"/>
        <v>4</v>
      </c>
      <c r="B16" s="994" t="s">
        <v>376</v>
      </c>
      <c r="C16" s="1017">
        <v>103614.88499999999</v>
      </c>
      <c r="D16" s="1002"/>
      <c r="E16" s="462">
        <f t="shared" si="1"/>
        <v>4</v>
      </c>
      <c r="F16" s="466"/>
    </row>
    <row r="17" spans="1:6" s="34" customFormat="1" ht="15.5" x14ac:dyDescent="0.35">
      <c r="A17" s="462">
        <f t="shared" si="0"/>
        <v>5</v>
      </c>
      <c r="B17" s="994" t="s">
        <v>377</v>
      </c>
      <c r="C17" s="241">
        <v>123844.122</v>
      </c>
      <c r="D17" s="1002"/>
      <c r="E17" s="462">
        <f t="shared" si="1"/>
        <v>5</v>
      </c>
      <c r="F17" s="466"/>
    </row>
    <row r="18" spans="1:6" s="34" customFormat="1" ht="15.5" x14ac:dyDescent="0.35">
      <c r="A18" s="462">
        <f t="shared" si="0"/>
        <v>6</v>
      </c>
      <c r="B18" s="994" t="s">
        <v>378</v>
      </c>
      <c r="C18" s="241">
        <v>93990.933999999994</v>
      </c>
      <c r="D18" s="1002"/>
      <c r="E18" s="462">
        <f t="shared" si="1"/>
        <v>6</v>
      </c>
      <c r="F18" s="466"/>
    </row>
    <row r="19" spans="1:6" s="34" customFormat="1" ht="15.5" x14ac:dyDescent="0.35">
      <c r="A19" s="462">
        <f t="shared" si="0"/>
        <v>7</v>
      </c>
      <c r="B19" s="994" t="s">
        <v>379</v>
      </c>
      <c r="C19" s="241">
        <v>60578.498</v>
      </c>
      <c r="D19" s="1002"/>
      <c r="E19" s="462">
        <f t="shared" si="1"/>
        <v>7</v>
      </c>
      <c r="F19" s="466"/>
    </row>
    <row r="20" spans="1:6" s="34" customFormat="1" ht="15.5" x14ac:dyDescent="0.35">
      <c r="A20" s="462">
        <f t="shared" si="0"/>
        <v>8</v>
      </c>
      <c r="B20" s="994" t="s">
        <v>380</v>
      </c>
      <c r="C20" s="241">
        <v>149593.481</v>
      </c>
      <c r="D20" s="1002"/>
      <c r="E20" s="462">
        <f t="shared" si="1"/>
        <v>8</v>
      </c>
      <c r="F20" s="466"/>
    </row>
    <row r="21" spans="1:6" s="34" customFormat="1" ht="15.5" x14ac:dyDescent="0.35">
      <c r="A21" s="462">
        <f t="shared" si="0"/>
        <v>9</v>
      </c>
      <c r="B21" s="994" t="s">
        <v>381</v>
      </c>
      <c r="C21" s="241">
        <v>143922.45499999999</v>
      </c>
      <c r="D21" s="1002"/>
      <c r="E21" s="462">
        <f t="shared" si="1"/>
        <v>9</v>
      </c>
      <c r="F21" s="466"/>
    </row>
    <row r="22" spans="1:6" s="34" customFormat="1" ht="15.5" x14ac:dyDescent="0.35">
      <c r="A22" s="462">
        <f t="shared" si="0"/>
        <v>10</v>
      </c>
      <c r="B22" s="994" t="s">
        <v>382</v>
      </c>
      <c r="C22" s="241">
        <v>137857.75700000001</v>
      </c>
      <c r="D22" s="1002"/>
      <c r="E22" s="462">
        <f t="shared" si="1"/>
        <v>10</v>
      </c>
      <c r="F22" s="466"/>
    </row>
    <row r="23" spans="1:6" s="34" customFormat="1" ht="15.5" x14ac:dyDescent="0.35">
      <c r="A23" s="462">
        <f t="shared" si="0"/>
        <v>11</v>
      </c>
      <c r="B23" s="994" t="s">
        <v>383</v>
      </c>
      <c r="C23" s="241">
        <v>127316.86199999999</v>
      </c>
      <c r="D23" s="1002"/>
      <c r="E23" s="462">
        <f t="shared" si="1"/>
        <v>11</v>
      </c>
      <c r="F23" s="466"/>
    </row>
    <row r="24" spans="1:6" s="34" customFormat="1" ht="15.5" x14ac:dyDescent="0.35">
      <c r="A24" s="462">
        <f t="shared" si="0"/>
        <v>12</v>
      </c>
      <c r="B24" s="994" t="s">
        <v>384</v>
      </c>
      <c r="C24" s="241">
        <v>109820.587</v>
      </c>
      <c r="D24" s="1002"/>
      <c r="E24" s="462">
        <f t="shared" si="1"/>
        <v>12</v>
      </c>
      <c r="F24" s="466"/>
    </row>
    <row r="25" spans="1:6" s="34" customFormat="1" ht="15.5" x14ac:dyDescent="0.35">
      <c r="A25" s="462">
        <f t="shared" si="0"/>
        <v>13</v>
      </c>
      <c r="B25" s="652" t="str">
        <f>'AL-1'!B27</f>
        <v>Dec-22</v>
      </c>
      <c r="C25" s="98">
        <v>109565.29300000001</v>
      </c>
      <c r="D25" s="71" t="s">
        <v>372</v>
      </c>
      <c r="E25" s="462">
        <f t="shared" si="1"/>
        <v>13</v>
      </c>
      <c r="F25" s="466"/>
    </row>
    <row r="26" spans="1:6" s="34" customFormat="1" ht="15.5" x14ac:dyDescent="0.35">
      <c r="A26" s="462">
        <f t="shared" si="0"/>
        <v>14</v>
      </c>
      <c r="B26" s="1109"/>
      <c r="C26" s="1112"/>
      <c r="D26" s="1111"/>
      <c r="E26" s="462">
        <f t="shared" si="1"/>
        <v>14</v>
      </c>
      <c r="F26" s="466"/>
    </row>
    <row r="27" spans="1:6" s="34" customFormat="1" ht="15.5" x14ac:dyDescent="0.35">
      <c r="A27" s="462">
        <f t="shared" si="0"/>
        <v>15</v>
      </c>
      <c r="B27" s="288" t="s">
        <v>387</v>
      </c>
      <c r="C27" s="1024">
        <f>SUM(C13:C25)</f>
        <v>1484465.5460000001</v>
      </c>
      <c r="D27" s="996" t="s">
        <v>388</v>
      </c>
      <c r="E27" s="462">
        <f t="shared" si="1"/>
        <v>15</v>
      </c>
    </row>
    <row r="28" spans="1:6" s="34" customFormat="1" ht="15.5" x14ac:dyDescent="0.35">
      <c r="A28" s="462">
        <f t="shared" si="0"/>
        <v>16</v>
      </c>
      <c r="B28" s="124"/>
      <c r="C28" s="97"/>
      <c r="D28" s="71"/>
      <c r="E28" s="462">
        <f t="shared" si="1"/>
        <v>16</v>
      </c>
    </row>
    <row r="29" spans="1:6" s="34" customFormat="1" ht="15.5" x14ac:dyDescent="0.35">
      <c r="A29" s="462">
        <f t="shared" si="0"/>
        <v>17</v>
      </c>
      <c r="B29" s="987"/>
      <c r="C29" s="1112"/>
      <c r="D29" s="1113"/>
      <c r="E29" s="462">
        <f t="shared" si="1"/>
        <v>17</v>
      </c>
    </row>
    <row r="30" spans="1:6" s="34" customFormat="1" ht="15.5" x14ac:dyDescent="0.35">
      <c r="A30" s="462">
        <f t="shared" si="0"/>
        <v>18</v>
      </c>
      <c r="B30" s="288" t="s">
        <v>586</v>
      </c>
      <c r="C30" s="1024">
        <f>C27/13</f>
        <v>114189.65738461539</v>
      </c>
      <c r="D30" s="919" t="s">
        <v>1086</v>
      </c>
      <c r="E30" s="462">
        <f t="shared" si="1"/>
        <v>18</v>
      </c>
      <c r="F30" s="466"/>
    </row>
    <row r="31" spans="1:6" s="34" customFormat="1" ht="15.5" x14ac:dyDescent="0.35">
      <c r="A31" s="462">
        <f>A30+1</f>
        <v>19</v>
      </c>
      <c r="B31" s="124"/>
      <c r="C31" s="70"/>
      <c r="D31" s="311"/>
      <c r="E31" s="462">
        <f>E30+1</f>
        <v>19</v>
      </c>
    </row>
    <row r="32" spans="1:6" s="34" customFormat="1" ht="15.5" x14ac:dyDescent="0.35">
      <c r="A32" s="4"/>
      <c r="C32" s="6"/>
      <c r="D32" s="6"/>
      <c r="E32" s="11"/>
    </row>
    <row r="33" spans="1:8" s="34" customFormat="1" ht="15.5" x14ac:dyDescent="0.35">
      <c r="A33" s="37"/>
      <c r="E33" s="11"/>
    </row>
    <row r="34" spans="1:8" s="34" customFormat="1" ht="15.5" x14ac:dyDescent="0.35">
      <c r="A34"/>
      <c r="B34"/>
      <c r="C34"/>
      <c r="D34"/>
      <c r="E34"/>
      <c r="F34"/>
      <c r="G34" s="263"/>
    </row>
    <row r="35" spans="1:8" s="34" customFormat="1" ht="15.5" x14ac:dyDescent="0.35">
      <c r="A35"/>
      <c r="B35"/>
      <c r="C35"/>
      <c r="D35"/>
      <c r="E35"/>
      <c r="F35"/>
      <c r="H35" s="11"/>
    </row>
    <row r="36" spans="1:8" s="34" customFormat="1" ht="15.5" x14ac:dyDescent="0.35">
      <c r="A36"/>
      <c r="B36"/>
      <c r="C36"/>
      <c r="D36"/>
      <c r="E36"/>
      <c r="F36"/>
    </row>
    <row r="37" spans="1:8" s="34" customFormat="1" ht="15.5" x14ac:dyDescent="0.35">
      <c r="A37" s="4"/>
      <c r="C37" s="6"/>
      <c r="D37" s="6"/>
      <c r="E37" s="11"/>
    </row>
    <row r="38" spans="1:8" s="34" customFormat="1" ht="15.5" x14ac:dyDescent="0.35">
      <c r="A38" s="4"/>
      <c r="C38" s="6"/>
      <c r="D38" s="6"/>
      <c r="E38" s="11"/>
    </row>
    <row r="39" spans="1:8" s="34" customFormat="1" ht="15.5" x14ac:dyDescent="0.35">
      <c r="A39" s="4"/>
      <c r="C39" s="6"/>
      <c r="D39" s="6"/>
      <c r="E39" s="11"/>
    </row>
    <row r="40" spans="1:8" s="34" customFormat="1" ht="15.5" x14ac:dyDescent="0.35">
      <c r="A40" s="4"/>
      <c r="C40" s="6"/>
      <c r="D40" s="6"/>
      <c r="E40" s="11"/>
    </row>
    <row r="41" spans="1:8" s="34" customFormat="1" ht="15.5" x14ac:dyDescent="0.35">
      <c r="A41" s="4"/>
      <c r="C41" s="6"/>
      <c r="D41" s="6"/>
      <c r="E41" s="11"/>
    </row>
    <row r="42" spans="1:8" s="34" customFormat="1" ht="15.5" x14ac:dyDescent="0.35">
      <c r="A42" s="4"/>
      <c r="C42" s="6"/>
      <c r="D42" s="6"/>
      <c r="E42" s="11"/>
    </row>
    <row r="43" spans="1:8" s="34" customFormat="1" ht="15.5" x14ac:dyDescent="0.35">
      <c r="A43" s="4"/>
      <c r="C43" s="6"/>
      <c r="D43" s="6"/>
      <c r="E43" s="11"/>
    </row>
    <row r="44" spans="1:8" s="34" customFormat="1" ht="15.5" x14ac:dyDescent="0.35">
      <c r="A44" s="4"/>
      <c r="C44" s="6"/>
      <c r="D44" s="6"/>
      <c r="E44" s="11"/>
    </row>
    <row r="45" spans="1:8" s="34" customFormat="1" ht="15.5" x14ac:dyDescent="0.35">
      <c r="A45" s="4"/>
      <c r="C45" s="6"/>
      <c r="D45" s="6"/>
      <c r="E45" s="11"/>
    </row>
    <row r="46" spans="1:8" s="34" customFormat="1" ht="15.5" x14ac:dyDescent="0.35">
      <c r="A46" s="4"/>
      <c r="C46" s="6"/>
      <c r="D46" s="6"/>
      <c r="E46" s="11"/>
    </row>
    <row r="47" spans="1:8" s="34" customFormat="1" ht="15.5" x14ac:dyDescent="0.35">
      <c r="A47" s="4"/>
      <c r="C47" s="6"/>
      <c r="D47" s="6"/>
      <c r="E47" s="11"/>
    </row>
    <row r="48" spans="1:8" s="34" customFormat="1" ht="15.5" x14ac:dyDescent="0.35">
      <c r="A48" s="4"/>
      <c r="C48" s="6"/>
      <c r="D48" s="6"/>
      <c r="E48" s="11"/>
    </row>
    <row r="49" spans="1:5" s="34" customFormat="1" ht="15.5" x14ac:dyDescent="0.35">
      <c r="A49" s="4"/>
      <c r="C49" s="6"/>
      <c r="D49" s="6"/>
      <c r="E49" s="11"/>
    </row>
    <row r="50" spans="1:5" s="34" customFormat="1" ht="15.5" x14ac:dyDescent="0.35">
      <c r="A50" s="4"/>
      <c r="C50" s="6"/>
      <c r="D50" s="6"/>
      <c r="E50" s="11"/>
    </row>
    <row r="51" spans="1:5" s="34" customFormat="1" ht="15.5" x14ac:dyDescent="0.35">
      <c r="A51" s="4"/>
      <c r="C51" s="6"/>
      <c r="D51" s="6"/>
      <c r="E51" s="11"/>
    </row>
    <row r="52" spans="1:5" s="34" customFormat="1" ht="15.5" x14ac:dyDescent="0.35">
      <c r="A52" s="4"/>
      <c r="C52" s="6"/>
      <c r="D52" s="6"/>
      <c r="E52" s="11"/>
    </row>
    <row r="53" spans="1:5" s="34" customFormat="1" ht="15.5" x14ac:dyDescent="0.35">
      <c r="A53" s="4"/>
      <c r="C53" s="6"/>
      <c r="D53" s="6"/>
      <c r="E53" s="11"/>
    </row>
    <row r="54" spans="1:5" s="34" customFormat="1" ht="15.5" x14ac:dyDescent="0.35">
      <c r="A54" s="4"/>
      <c r="C54" s="6"/>
      <c r="D54" s="6"/>
      <c r="E54" s="11"/>
    </row>
    <row r="55" spans="1:5" s="34" customFormat="1" ht="15.5" x14ac:dyDescent="0.35">
      <c r="A55" s="4"/>
      <c r="C55" s="6"/>
      <c r="D55" s="6"/>
      <c r="E55" s="11"/>
    </row>
    <row r="56" spans="1:5" s="34" customFormat="1" ht="15.5" x14ac:dyDescent="0.35">
      <c r="A56" s="4"/>
      <c r="C56" s="6"/>
      <c r="D56" s="6"/>
      <c r="E56" s="11"/>
    </row>
    <row r="57" spans="1:5" s="34" customFormat="1" ht="15.5" x14ac:dyDescent="0.35">
      <c r="A57" s="4"/>
      <c r="C57" s="6"/>
      <c r="D57" s="6"/>
      <c r="E57" s="11"/>
    </row>
    <row r="58" spans="1:5" s="34" customFormat="1" ht="15.5" x14ac:dyDescent="0.35">
      <c r="A58" s="4"/>
      <c r="C58" s="6"/>
      <c r="D58" s="6"/>
      <c r="E58" s="11"/>
    </row>
    <row r="59" spans="1:5" s="34" customFormat="1" ht="15.5" x14ac:dyDescent="0.35">
      <c r="A59" s="4"/>
      <c r="C59" s="6"/>
      <c r="D59" s="6"/>
      <c r="E59" s="11"/>
    </row>
    <row r="60" spans="1:5" s="34" customFormat="1" ht="15.5" x14ac:dyDescent="0.35">
      <c r="A60" s="4"/>
      <c r="C60" s="6"/>
      <c r="D60" s="6"/>
      <c r="E60" s="11"/>
    </row>
    <row r="61" spans="1:5" s="34" customFormat="1" ht="15.5" x14ac:dyDescent="0.35">
      <c r="A61" s="4"/>
      <c r="C61" s="6"/>
      <c r="D61" s="6"/>
      <c r="E61" s="11"/>
    </row>
    <row r="62" spans="1:5" s="34" customFormat="1" ht="15.5" x14ac:dyDescent="0.35">
      <c r="A62" s="4"/>
      <c r="C62" s="6"/>
      <c r="D62" s="6"/>
      <c r="E62" s="11"/>
    </row>
    <row r="63" spans="1:5" s="34" customFormat="1" ht="15.5" x14ac:dyDescent="0.35">
      <c r="A63" s="4"/>
      <c r="C63" s="6"/>
      <c r="D63" s="6"/>
      <c r="E63" s="11"/>
    </row>
    <row r="64" spans="1:5" s="34" customFormat="1" ht="15.5" x14ac:dyDescent="0.35">
      <c r="A64" s="4"/>
      <c r="C64" s="6"/>
      <c r="D64" s="6"/>
      <c r="E64" s="11"/>
    </row>
    <row r="65" spans="1:5" s="34" customFormat="1" ht="15.5" x14ac:dyDescent="0.35">
      <c r="A65" s="4"/>
      <c r="C65" s="6"/>
      <c r="D65" s="6"/>
      <c r="E65" s="11"/>
    </row>
    <row r="66" spans="1:5" s="34" customFormat="1" ht="15.5" x14ac:dyDescent="0.35">
      <c r="A66" s="4"/>
      <c r="C66" s="6"/>
      <c r="D66" s="6"/>
      <c r="E66" s="11"/>
    </row>
    <row r="67" spans="1:5" s="34" customFormat="1" ht="15.5" x14ac:dyDescent="0.35">
      <c r="A67" s="4"/>
      <c r="C67" s="6"/>
      <c r="D67" s="6"/>
      <c r="E67" s="11"/>
    </row>
    <row r="68" spans="1:5" s="34" customFormat="1" ht="15.5" x14ac:dyDescent="0.35">
      <c r="A68" s="4"/>
      <c r="C68" s="6"/>
      <c r="D68" s="6"/>
      <c r="E68" s="11"/>
    </row>
    <row r="69" spans="1:5" s="34" customFormat="1" ht="15.5" x14ac:dyDescent="0.35">
      <c r="A69" s="4"/>
      <c r="C69" s="6"/>
      <c r="D69" s="6"/>
      <c r="E69" s="11"/>
    </row>
    <row r="70" spans="1:5" s="34" customFormat="1" ht="15.5" x14ac:dyDescent="0.35">
      <c r="A70" s="4"/>
      <c r="C70" s="6"/>
      <c r="D70" s="6"/>
      <c r="E70" s="11"/>
    </row>
    <row r="71" spans="1:5" s="34" customFormat="1" ht="15.5" x14ac:dyDescent="0.35">
      <c r="A71" s="4"/>
      <c r="C71" s="6"/>
      <c r="D71" s="6"/>
      <c r="E71" s="11"/>
    </row>
    <row r="72" spans="1:5" s="34" customFormat="1" ht="15.5" x14ac:dyDescent="0.35">
      <c r="A72" s="4"/>
      <c r="C72" s="6"/>
      <c r="D72" s="6"/>
      <c r="E72" s="11"/>
    </row>
    <row r="73" spans="1:5" s="34" customFormat="1" ht="15.5" x14ac:dyDescent="0.35">
      <c r="A73" s="4"/>
      <c r="C73" s="6"/>
      <c r="D73" s="6"/>
      <c r="E73" s="11"/>
    </row>
    <row r="74" spans="1:5" s="34" customFormat="1" ht="15.5" x14ac:dyDescent="0.35">
      <c r="A74" s="4"/>
      <c r="C74" s="6"/>
      <c r="D74" s="6"/>
      <c r="E74" s="11"/>
    </row>
    <row r="75" spans="1:5" s="34" customFormat="1" ht="15.5" x14ac:dyDescent="0.35">
      <c r="A75" s="4"/>
      <c r="C75" s="6"/>
      <c r="D75" s="6"/>
      <c r="E75" s="11"/>
    </row>
    <row r="76" spans="1:5" s="34" customFormat="1" ht="15.5" x14ac:dyDescent="0.35">
      <c r="A76" s="4"/>
      <c r="C76" s="6"/>
      <c r="D76" s="6"/>
      <c r="E76" s="11"/>
    </row>
    <row r="77" spans="1:5" s="34" customFormat="1" ht="15.5" x14ac:dyDescent="0.35">
      <c r="A77" s="4"/>
      <c r="C77" s="6"/>
      <c r="D77" s="6"/>
      <c r="E77" s="11"/>
    </row>
    <row r="78" spans="1:5" s="34" customFormat="1" ht="15.5" x14ac:dyDescent="0.35">
      <c r="A78" s="4"/>
      <c r="C78" s="6"/>
      <c r="D78" s="6"/>
      <c r="E78" s="11"/>
    </row>
    <row r="79" spans="1:5" s="34" customFormat="1" ht="15.5" x14ac:dyDescent="0.35">
      <c r="A79" s="4"/>
      <c r="C79" s="6"/>
      <c r="D79" s="6"/>
      <c r="E79" s="11"/>
    </row>
    <row r="80" spans="1:5" s="34" customFormat="1" ht="15.5" x14ac:dyDescent="0.35">
      <c r="A80" s="4"/>
      <c r="C80" s="6"/>
      <c r="D80" s="6"/>
      <c r="E80" s="11"/>
    </row>
    <row r="81" spans="1:5" s="34" customFormat="1" ht="15.5" x14ac:dyDescent="0.35">
      <c r="A81" s="4"/>
      <c r="C81" s="6"/>
      <c r="D81" s="6"/>
      <c r="E81" s="11"/>
    </row>
    <row r="82" spans="1:5" s="34" customFormat="1" ht="15.5" x14ac:dyDescent="0.35">
      <c r="A82" s="4"/>
      <c r="C82" s="6"/>
      <c r="D82" s="6"/>
      <c r="E82" s="11"/>
    </row>
    <row r="83" spans="1:5" s="34" customFormat="1" ht="15.5" x14ac:dyDescent="0.35">
      <c r="A83" s="4"/>
      <c r="C83" s="6"/>
      <c r="D83" s="6"/>
      <c r="E83" s="11"/>
    </row>
    <row r="84" spans="1:5" s="34" customFormat="1" ht="15.5" x14ac:dyDescent="0.35">
      <c r="A84" s="4"/>
      <c r="C84" s="6"/>
      <c r="D84" s="6"/>
      <c r="E84" s="11"/>
    </row>
    <row r="85" spans="1:5" s="34" customFormat="1" ht="15.5" x14ac:dyDescent="0.35">
      <c r="A85" s="4"/>
      <c r="C85" s="6"/>
      <c r="D85" s="6"/>
      <c r="E85" s="11"/>
    </row>
    <row r="86" spans="1:5" s="34" customFormat="1" ht="15.5" x14ac:dyDescent="0.35">
      <c r="A86" s="4"/>
      <c r="C86" s="6"/>
      <c r="D86" s="6"/>
      <c r="E86" s="11"/>
    </row>
    <row r="87" spans="1:5" s="34" customFormat="1" ht="15.5" x14ac:dyDescent="0.35">
      <c r="A87" s="4"/>
      <c r="C87" s="6"/>
      <c r="D87" s="6"/>
      <c r="E87" s="11"/>
    </row>
    <row r="88" spans="1:5" s="34" customFormat="1" ht="15.5" x14ac:dyDescent="0.35">
      <c r="A88" s="4"/>
      <c r="C88" s="6"/>
      <c r="D88" s="6"/>
      <c r="E88" s="11"/>
    </row>
    <row r="89" spans="1:5" s="34" customFormat="1" ht="15.5" x14ac:dyDescent="0.35">
      <c r="A89" s="4"/>
      <c r="C89" s="6"/>
      <c r="D89" s="6"/>
      <c r="E89" s="11"/>
    </row>
    <row r="90" spans="1:5" s="34" customFormat="1" ht="15.5" x14ac:dyDescent="0.35">
      <c r="A90" s="4"/>
      <c r="C90" s="6"/>
      <c r="D90" s="6"/>
      <c r="E90" s="11"/>
    </row>
    <row r="91" spans="1:5" s="34" customFormat="1" ht="15.5" x14ac:dyDescent="0.35">
      <c r="A91" s="4"/>
      <c r="C91" s="6"/>
      <c r="D91" s="6"/>
      <c r="E91" s="11"/>
    </row>
    <row r="92" spans="1:5" s="34" customFormat="1" ht="15.5" x14ac:dyDescent="0.35">
      <c r="A92" s="4"/>
      <c r="C92" s="6"/>
      <c r="D92" s="6"/>
      <c r="E92" s="11"/>
    </row>
    <row r="93" spans="1:5" s="34" customFormat="1" ht="15.5" x14ac:dyDescent="0.35">
      <c r="A93" s="4"/>
      <c r="C93" s="6"/>
      <c r="D93" s="6"/>
      <c r="E93" s="11"/>
    </row>
    <row r="94" spans="1:5" s="34" customFormat="1" ht="15.5" x14ac:dyDescent="0.35">
      <c r="A94" s="4"/>
      <c r="C94" s="6"/>
      <c r="D94" s="6"/>
      <c r="E94" s="11"/>
    </row>
    <row r="95" spans="1:5" s="34" customFormat="1" ht="15.5" x14ac:dyDescent="0.35">
      <c r="A95" s="4"/>
      <c r="C95" s="6"/>
      <c r="D95" s="6"/>
      <c r="E95" s="11"/>
    </row>
    <row r="96" spans="1:5" s="34" customFormat="1" ht="15.5" x14ac:dyDescent="0.35">
      <c r="A96" s="4"/>
      <c r="C96" s="6"/>
      <c r="D96" s="6"/>
      <c r="E96" s="11"/>
    </row>
    <row r="97" spans="1:5" s="34" customFormat="1" ht="15.5" x14ac:dyDescent="0.35">
      <c r="A97" s="4"/>
      <c r="C97" s="6"/>
      <c r="D97" s="6"/>
      <c r="E97" s="11"/>
    </row>
    <row r="98" spans="1:5" s="34" customFormat="1" ht="15.5" x14ac:dyDescent="0.35">
      <c r="A98" s="4"/>
      <c r="C98" s="6"/>
      <c r="D98" s="6"/>
      <c r="E98" s="11"/>
    </row>
    <row r="99" spans="1:5" s="34" customFormat="1" ht="15.5" x14ac:dyDescent="0.35">
      <c r="A99" s="4"/>
      <c r="C99" s="6"/>
      <c r="D99" s="6"/>
      <c r="E99" s="11"/>
    </row>
    <row r="100" spans="1:5" s="34" customFormat="1" ht="15.5" x14ac:dyDescent="0.35">
      <c r="A100" s="4"/>
      <c r="C100" s="6"/>
      <c r="D100" s="6"/>
      <c r="E100" s="11"/>
    </row>
    <row r="101" spans="1:5" s="34" customFormat="1" ht="15.5" x14ac:dyDescent="0.35">
      <c r="A101" s="4"/>
      <c r="C101" s="6"/>
      <c r="D101" s="6"/>
      <c r="E101" s="11"/>
    </row>
    <row r="102" spans="1:5" s="34" customFormat="1" ht="15.5" x14ac:dyDescent="0.35">
      <c r="A102" s="4"/>
      <c r="C102" s="6"/>
      <c r="D102" s="6"/>
      <c r="E102" s="11"/>
    </row>
    <row r="103" spans="1:5" s="34" customFormat="1" ht="15.5" x14ac:dyDescent="0.35">
      <c r="A103" s="4"/>
      <c r="C103" s="6"/>
      <c r="D103" s="6"/>
      <c r="E103" s="11"/>
    </row>
    <row r="104" spans="1:5" s="34" customFormat="1" ht="15.5" x14ac:dyDescent="0.35">
      <c r="A104" s="4"/>
      <c r="C104" s="6"/>
      <c r="D104" s="6"/>
      <c r="E104" s="11"/>
    </row>
    <row r="105" spans="1:5" s="34" customFormat="1" ht="15.5" x14ac:dyDescent="0.35">
      <c r="A105" s="4"/>
      <c r="C105" s="6"/>
      <c r="D105" s="6"/>
      <c r="E105" s="11"/>
    </row>
    <row r="106" spans="1:5" s="34" customFormat="1" ht="15.5" x14ac:dyDescent="0.35">
      <c r="A106" s="4"/>
      <c r="C106" s="6"/>
      <c r="D106" s="6"/>
      <c r="E106" s="11"/>
    </row>
    <row r="107" spans="1:5" s="34" customFormat="1" ht="15.5" x14ac:dyDescent="0.35">
      <c r="A107" s="4"/>
      <c r="C107" s="6"/>
      <c r="D107" s="6"/>
      <c r="E107" s="11"/>
    </row>
    <row r="108" spans="1:5" s="34" customFormat="1" ht="15.5" x14ac:dyDescent="0.35">
      <c r="A108" s="4"/>
      <c r="C108" s="6"/>
      <c r="D108" s="6"/>
      <c r="E108" s="11"/>
    </row>
    <row r="109" spans="1:5" s="34" customFormat="1" ht="15.5" x14ac:dyDescent="0.35">
      <c r="A109" s="4"/>
      <c r="C109" s="6"/>
      <c r="D109" s="6"/>
      <c r="E109" s="11"/>
    </row>
    <row r="110" spans="1:5" s="34" customFormat="1" ht="15.5" x14ac:dyDescent="0.35">
      <c r="A110" s="4"/>
      <c r="C110" s="6"/>
      <c r="D110" s="6"/>
      <c r="E110" s="11"/>
    </row>
    <row r="111" spans="1:5" s="34" customFormat="1" ht="15.5" x14ac:dyDescent="0.35">
      <c r="A111" s="4"/>
      <c r="C111" s="6"/>
      <c r="D111" s="6"/>
      <c r="E111" s="11"/>
    </row>
    <row r="112" spans="1:5" s="34" customFormat="1" ht="15.5" x14ac:dyDescent="0.35">
      <c r="A112" s="4"/>
      <c r="C112" s="6"/>
      <c r="D112" s="6"/>
      <c r="E112" s="11"/>
    </row>
    <row r="113" spans="1:5" s="34" customFormat="1" ht="15.5" x14ac:dyDescent="0.35">
      <c r="A113" s="4"/>
      <c r="C113" s="6"/>
      <c r="D113" s="6"/>
      <c r="E113" s="11"/>
    </row>
    <row r="114" spans="1:5" s="34" customFormat="1" ht="15.5" x14ac:dyDescent="0.35">
      <c r="A114" s="4"/>
      <c r="C114" s="6"/>
      <c r="D114" s="6"/>
      <c r="E114" s="11"/>
    </row>
    <row r="115" spans="1:5" s="34" customFormat="1" ht="15.5" x14ac:dyDescent="0.35">
      <c r="A115" s="4"/>
      <c r="C115" s="6"/>
      <c r="D115" s="6"/>
      <c r="E115" s="11"/>
    </row>
    <row r="116" spans="1:5" s="34" customFormat="1" ht="15.5" x14ac:dyDescent="0.35">
      <c r="A116" s="4"/>
      <c r="C116" s="6"/>
      <c r="D116" s="6"/>
      <c r="E116" s="11"/>
    </row>
    <row r="117" spans="1:5" s="34" customFormat="1" ht="15.5" x14ac:dyDescent="0.35">
      <c r="A117" s="4"/>
      <c r="C117" s="6"/>
      <c r="D117" s="6"/>
      <c r="E117" s="11"/>
    </row>
    <row r="118" spans="1:5" s="34" customFormat="1" ht="15.5" x14ac:dyDescent="0.35">
      <c r="A118" s="4"/>
      <c r="C118" s="6"/>
      <c r="D118" s="6"/>
      <c r="E118" s="11"/>
    </row>
    <row r="119" spans="1:5" s="34" customFormat="1" ht="15.5" x14ac:dyDescent="0.35">
      <c r="A119" s="4"/>
      <c r="C119" s="6"/>
      <c r="D119" s="6"/>
      <c r="E119" s="11"/>
    </row>
    <row r="120" spans="1:5" s="34" customFormat="1" ht="15.5" x14ac:dyDescent="0.35">
      <c r="A120" s="4"/>
      <c r="C120" s="6"/>
      <c r="D120" s="6"/>
      <c r="E120" s="11"/>
    </row>
    <row r="121" spans="1:5" s="34" customFormat="1" ht="15.5" x14ac:dyDescent="0.35">
      <c r="A121" s="4"/>
      <c r="C121" s="6"/>
      <c r="D121" s="6"/>
      <c r="E121" s="11"/>
    </row>
    <row r="122" spans="1:5" s="34" customFormat="1" ht="15.5" x14ac:dyDescent="0.35">
      <c r="A122" s="4"/>
      <c r="C122" s="6"/>
      <c r="D122" s="6"/>
      <c r="E122" s="11"/>
    </row>
    <row r="123" spans="1:5" s="34" customFormat="1" ht="15.5" x14ac:dyDescent="0.35">
      <c r="A123" s="4"/>
      <c r="C123" s="6"/>
      <c r="D123" s="6"/>
      <c r="E123" s="11"/>
    </row>
    <row r="124" spans="1:5" s="34" customFormat="1" ht="15.5" x14ac:dyDescent="0.35">
      <c r="A124" s="4"/>
      <c r="C124" s="6"/>
      <c r="D124" s="6"/>
      <c r="E124" s="11"/>
    </row>
    <row r="125" spans="1:5" s="34" customFormat="1" ht="15.5" x14ac:dyDescent="0.35">
      <c r="A125" s="4"/>
      <c r="C125" s="6"/>
      <c r="D125" s="6"/>
      <c r="E125" s="11"/>
    </row>
    <row r="126" spans="1:5" s="34" customFormat="1" ht="15.5" x14ac:dyDescent="0.35">
      <c r="A126" s="4"/>
      <c r="C126" s="6"/>
      <c r="D126" s="6"/>
      <c r="E126" s="11"/>
    </row>
    <row r="127" spans="1:5" s="34" customFormat="1" ht="15.5" x14ac:dyDescent="0.35">
      <c r="A127" s="4"/>
      <c r="C127" s="6"/>
      <c r="D127" s="6"/>
      <c r="E127" s="11"/>
    </row>
    <row r="128" spans="1:5" s="34" customFormat="1" ht="15.5" x14ac:dyDescent="0.35">
      <c r="A128" s="4"/>
      <c r="C128" s="6"/>
      <c r="D128" s="6"/>
      <c r="E128" s="11"/>
    </row>
    <row r="129" spans="1:5" s="34" customFormat="1" ht="15.5" x14ac:dyDescent="0.35">
      <c r="A129" s="4"/>
      <c r="C129" s="6"/>
      <c r="D129" s="6"/>
      <c r="E129" s="11"/>
    </row>
    <row r="130" spans="1:5" s="34" customFormat="1" ht="15.5" x14ac:dyDescent="0.35">
      <c r="A130" s="4"/>
      <c r="C130" s="6"/>
      <c r="D130" s="6"/>
      <c r="E130" s="11"/>
    </row>
    <row r="131" spans="1:5" s="34" customFormat="1" ht="15.5" x14ac:dyDescent="0.35">
      <c r="A131" s="4"/>
      <c r="C131" s="6"/>
      <c r="D131" s="6"/>
      <c r="E131" s="11"/>
    </row>
    <row r="132" spans="1:5" s="34" customFormat="1" ht="15.5" x14ac:dyDescent="0.35">
      <c r="A132" s="4"/>
      <c r="C132" s="6"/>
      <c r="D132" s="6"/>
      <c r="E132" s="11"/>
    </row>
    <row r="133" spans="1:5" s="34" customFormat="1" ht="15.5" x14ac:dyDescent="0.35">
      <c r="A133" s="4"/>
      <c r="C133" s="6"/>
      <c r="D133" s="6"/>
      <c r="E133" s="11"/>
    </row>
    <row r="134" spans="1:5" s="34" customFormat="1" ht="15.5" x14ac:dyDescent="0.35">
      <c r="A134" s="4"/>
      <c r="C134" s="6"/>
      <c r="D134" s="6"/>
      <c r="E134" s="11"/>
    </row>
    <row r="135" spans="1:5" s="34" customFormat="1" ht="15.5" x14ac:dyDescent="0.35">
      <c r="A135" s="4"/>
      <c r="C135" s="6"/>
      <c r="D135" s="6"/>
      <c r="E135" s="11"/>
    </row>
    <row r="136" spans="1:5" s="34" customFormat="1" ht="15.5" x14ac:dyDescent="0.35">
      <c r="A136" s="4"/>
      <c r="C136" s="6"/>
      <c r="D136" s="6"/>
      <c r="E136" s="11"/>
    </row>
    <row r="137" spans="1:5" s="34" customFormat="1" ht="15.5" x14ac:dyDescent="0.35">
      <c r="A137" s="4"/>
      <c r="C137" s="6"/>
      <c r="D137" s="6"/>
      <c r="E137" s="11"/>
    </row>
    <row r="138" spans="1:5" s="34" customFormat="1" ht="15.5" x14ac:dyDescent="0.35">
      <c r="A138" s="4"/>
      <c r="C138" s="6"/>
      <c r="D138" s="6"/>
      <c r="E138" s="11"/>
    </row>
    <row r="139" spans="1:5" s="34" customFormat="1" ht="15.5" x14ac:dyDescent="0.35">
      <c r="A139" s="4"/>
      <c r="C139" s="6"/>
      <c r="D139" s="6"/>
      <c r="E139" s="11"/>
    </row>
    <row r="140" spans="1:5" s="34" customFormat="1" ht="15.5" x14ac:dyDescent="0.35">
      <c r="A140" s="4"/>
      <c r="C140" s="6"/>
      <c r="D140" s="6"/>
      <c r="E140" s="11"/>
    </row>
    <row r="141" spans="1:5" s="34" customFormat="1" ht="15.5" x14ac:dyDescent="0.35">
      <c r="A141" s="4"/>
      <c r="C141" s="6"/>
      <c r="D141" s="6"/>
      <c r="E141" s="11"/>
    </row>
    <row r="142" spans="1:5" s="34" customFormat="1" ht="15.5" x14ac:dyDescent="0.35">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90625" defaultRowHeight="15.5" x14ac:dyDescent="0.35"/>
  <cols>
    <col min="1" max="1" width="5.08984375" style="4" customWidth="1"/>
    <col min="2" max="2" width="52.54296875" style="34" customWidth="1"/>
    <col min="3" max="3" width="21.08984375" style="34" customWidth="1"/>
    <col min="4" max="4" width="1.54296875" style="34" customWidth="1"/>
    <col min="5" max="5" width="16.90625" style="34" customWidth="1"/>
    <col min="6" max="6" width="1.54296875" style="34" customWidth="1"/>
    <col min="7" max="7" width="34.54296875" style="34" customWidth="1"/>
    <col min="8" max="8" width="5.08984375" style="4" customWidth="1"/>
    <col min="9" max="16384" width="8.90625" style="34"/>
  </cols>
  <sheetData>
    <row r="1" spans="1:8" x14ac:dyDescent="0.35">
      <c r="C1" s="4"/>
      <c r="D1" s="4"/>
    </row>
    <row r="2" spans="1:8" x14ac:dyDescent="0.35">
      <c r="B2" s="1171" t="s">
        <v>0</v>
      </c>
      <c r="C2" s="1183"/>
      <c r="D2" s="1183"/>
      <c r="E2" s="1183"/>
      <c r="F2" s="1183"/>
      <c r="G2" s="1183"/>
    </row>
    <row r="3" spans="1:8" x14ac:dyDescent="0.35">
      <c r="B3" s="1171" t="s">
        <v>1087</v>
      </c>
      <c r="C3" s="1173"/>
      <c r="D3" s="1173"/>
      <c r="E3" s="1173"/>
      <c r="F3" s="1173"/>
      <c r="G3" s="1173"/>
    </row>
    <row r="4" spans="1:8" x14ac:dyDescent="0.35">
      <c r="B4" s="1171" t="s">
        <v>1088</v>
      </c>
      <c r="C4" s="1173"/>
      <c r="D4" s="1173"/>
      <c r="E4" s="1173"/>
      <c r="F4" s="1173"/>
      <c r="G4" s="1173"/>
    </row>
    <row r="5" spans="1:8" x14ac:dyDescent="0.35">
      <c r="B5" s="1176" t="str">
        <f>'Stmt AD'!B5</f>
        <v>Base Period &amp; True-Up Period 12 - Months Ending December 31, 2022</v>
      </c>
      <c r="C5" s="1176"/>
      <c r="D5" s="1177"/>
      <c r="E5" s="1177"/>
      <c r="F5" s="1177"/>
      <c r="G5" s="1177"/>
    </row>
    <row r="6" spans="1:8" x14ac:dyDescent="0.35">
      <c r="B6" s="1175" t="s">
        <v>5</v>
      </c>
      <c r="C6" s="1173"/>
      <c r="D6" s="1173"/>
      <c r="E6" s="1173"/>
      <c r="F6" s="1173"/>
      <c r="G6" s="1173"/>
    </row>
    <row r="7" spans="1:8" x14ac:dyDescent="0.35">
      <c r="B7" s="4"/>
      <c r="C7" s="4"/>
      <c r="D7" s="4"/>
    </row>
    <row r="8" spans="1:8" x14ac:dyDescent="0.35">
      <c r="A8" s="4" t="s">
        <v>6</v>
      </c>
      <c r="B8" s="226"/>
      <c r="C8" s="4" t="s">
        <v>317</v>
      </c>
      <c r="D8" s="4"/>
      <c r="E8" s="4" t="s">
        <v>1039</v>
      </c>
      <c r="F8" s="226"/>
      <c r="H8" s="4" t="s">
        <v>6</v>
      </c>
    </row>
    <row r="9" spans="1:8" x14ac:dyDescent="0.35">
      <c r="A9" s="4" t="s">
        <v>7</v>
      </c>
      <c r="B9" s="226"/>
      <c r="C9" s="876" t="s">
        <v>319</v>
      </c>
      <c r="D9" s="226"/>
      <c r="E9" s="877" t="s">
        <v>320</v>
      </c>
      <c r="F9" s="226"/>
      <c r="G9" s="876" t="s">
        <v>9</v>
      </c>
      <c r="H9" s="4" t="s">
        <v>7</v>
      </c>
    </row>
    <row r="10" spans="1:8" x14ac:dyDescent="0.35">
      <c r="C10" s="273"/>
      <c r="D10" s="273"/>
      <c r="E10" s="273"/>
      <c r="F10" s="273"/>
      <c r="G10" s="273"/>
    </row>
    <row r="11" spans="1:8" ht="18.5" thickBot="1" x14ac:dyDescent="0.4">
      <c r="A11" s="4">
        <v>1</v>
      </c>
      <c r="B11" s="34" t="s">
        <v>1089</v>
      </c>
      <c r="C11" s="51"/>
      <c r="D11" s="44"/>
      <c r="E11" s="81">
        <f>'AM-1'!E31</f>
        <v>0</v>
      </c>
      <c r="F11" s="44"/>
      <c r="G11" s="49" t="s">
        <v>1090</v>
      </c>
      <c r="H11" s="4">
        <f>A11</f>
        <v>1</v>
      </c>
    </row>
    <row r="12" spans="1:8" ht="16" thickTop="1" x14ac:dyDescent="0.35">
      <c r="C12" s="4"/>
      <c r="D12" s="4"/>
    </row>
    <row r="13" spans="1:8" x14ac:dyDescent="0.35">
      <c r="C13" s="4"/>
      <c r="D13" s="4"/>
    </row>
    <row r="14" spans="1:8" ht="18" x14ac:dyDescent="0.35">
      <c r="A14" s="276">
        <v>1</v>
      </c>
      <c r="B14" s="34" t="s">
        <v>1091</v>
      </c>
      <c r="C14" s="4"/>
      <c r="D14" s="4"/>
    </row>
    <row r="15" spans="1:8" ht="18" x14ac:dyDescent="0.35">
      <c r="A15" s="276"/>
      <c r="B15" s="34" t="s">
        <v>1092</v>
      </c>
      <c r="C15" s="4"/>
      <c r="D15" s="4"/>
    </row>
    <row r="16" spans="1:8" x14ac:dyDescent="0.35">
      <c r="C16" s="4"/>
      <c r="D16" s="4"/>
    </row>
    <row r="17" spans="3:4" x14ac:dyDescent="0.35">
      <c r="C17" s="4"/>
      <c r="D17" s="4"/>
    </row>
    <row r="18" spans="3:4" x14ac:dyDescent="0.35">
      <c r="C18" s="4"/>
      <c r="D18" s="4"/>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Roman,Regular"&amp;10AM</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9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1171" t="s">
        <v>0</v>
      </c>
      <c r="C2" s="1171"/>
      <c r="D2" s="1171"/>
      <c r="E2" s="1171"/>
      <c r="F2" s="1171"/>
    </row>
    <row r="3" spans="1:8" x14ac:dyDescent="0.35">
      <c r="B3" s="1171" t="s">
        <v>1093</v>
      </c>
      <c r="C3" s="1171"/>
      <c r="D3" s="1171"/>
      <c r="E3" s="1171"/>
      <c r="F3" s="1171"/>
    </row>
    <row r="4" spans="1:8" x14ac:dyDescent="0.35">
      <c r="B4" s="1171" t="s">
        <v>363</v>
      </c>
      <c r="C4" s="1171"/>
      <c r="D4" s="1171"/>
      <c r="E4" s="1171"/>
      <c r="F4" s="1171"/>
    </row>
    <row r="5" spans="1:8" x14ac:dyDescent="0.35">
      <c r="B5" s="1171" t="s">
        <v>364</v>
      </c>
      <c r="C5" s="1171"/>
      <c r="D5" s="1171"/>
      <c r="E5" s="1171"/>
      <c r="F5" s="1171"/>
    </row>
    <row r="6" spans="1:8" x14ac:dyDescent="0.35">
      <c r="B6" s="1175" t="s">
        <v>5</v>
      </c>
      <c r="C6" s="1175"/>
      <c r="D6" s="1175"/>
      <c r="E6" s="1175"/>
      <c r="F6" s="1175"/>
    </row>
    <row r="7" spans="1:8" x14ac:dyDescent="0.35">
      <c r="B7" s="277"/>
      <c r="C7" s="278"/>
      <c r="D7" s="278"/>
      <c r="E7" s="277"/>
      <c r="F7" s="277"/>
    </row>
    <row r="8" spans="1:8" x14ac:dyDescent="0.35">
      <c r="B8" s="1171" t="s">
        <v>1094</v>
      </c>
      <c r="C8" s="1171"/>
      <c r="D8" s="1171"/>
      <c r="E8" s="1171"/>
      <c r="F8" s="1171"/>
    </row>
    <row r="10" spans="1:8" x14ac:dyDescent="0.35">
      <c r="B10" s="987"/>
      <c r="C10" s="279" t="s">
        <v>513</v>
      </c>
      <c r="D10" s="988"/>
      <c r="E10" s="279" t="s">
        <v>450</v>
      </c>
      <c r="F10" s="988"/>
    </row>
    <row r="11" spans="1:8" ht="15.5" x14ac:dyDescent="0.35">
      <c r="A11" s="4"/>
      <c r="B11" s="280"/>
      <c r="C11" s="284" t="s">
        <v>406</v>
      </c>
      <c r="D11" s="280"/>
      <c r="E11" s="284" t="s">
        <v>406</v>
      </c>
      <c r="F11" s="280"/>
      <c r="G11" s="4"/>
    </row>
    <row r="12" spans="1:8" ht="15.5" x14ac:dyDescent="0.35">
      <c r="A12" s="4" t="s">
        <v>6</v>
      </c>
      <c r="B12" s="283"/>
      <c r="C12" s="226" t="s">
        <v>1095</v>
      </c>
      <c r="D12" s="280"/>
      <c r="E12" s="281" t="s">
        <v>1095</v>
      </c>
      <c r="F12" s="280"/>
      <c r="G12" s="4" t="s">
        <v>6</v>
      </c>
    </row>
    <row r="13" spans="1:8" ht="15.5" x14ac:dyDescent="0.35">
      <c r="A13" s="4" t="s">
        <v>7</v>
      </c>
      <c r="B13" s="285" t="s">
        <v>368</v>
      </c>
      <c r="C13" s="990" t="s">
        <v>369</v>
      </c>
      <c r="D13" s="285" t="s">
        <v>9</v>
      </c>
      <c r="E13" s="286" t="s">
        <v>452</v>
      </c>
      <c r="F13" s="285" t="s">
        <v>9</v>
      </c>
      <c r="G13" s="4" t="s">
        <v>7</v>
      </c>
    </row>
    <row r="14" spans="1:8" ht="15.5" x14ac:dyDescent="0.35">
      <c r="A14" s="4">
        <v>1</v>
      </c>
      <c r="B14" s="991" t="str">
        <f>'AL-2'!B13</f>
        <v>Dec-21</v>
      </c>
      <c r="C14" s="61">
        <v>0</v>
      </c>
      <c r="D14" s="996" t="s">
        <v>372</v>
      </c>
      <c r="E14" s="61">
        <v>0</v>
      </c>
      <c r="F14" s="997" t="s">
        <v>372</v>
      </c>
      <c r="G14" s="4">
        <f>A14</f>
        <v>1</v>
      </c>
      <c r="H14" s="291"/>
    </row>
    <row r="15" spans="1:8" ht="15.5" x14ac:dyDescent="0.35">
      <c r="A15" s="4">
        <f>A14+1</f>
        <v>2</v>
      </c>
      <c r="B15" s="991" t="str">
        <f>'AL-2'!B14</f>
        <v>Jan-22</v>
      </c>
      <c r="C15" s="55">
        <v>0</v>
      </c>
      <c r="D15" s="998"/>
      <c r="E15" s="68">
        <v>0</v>
      </c>
      <c r="F15" s="997"/>
      <c r="G15" s="4">
        <f>G14+1</f>
        <v>2</v>
      </c>
      <c r="H15" s="291"/>
    </row>
    <row r="16" spans="1:8" ht="15.5" x14ac:dyDescent="0.35">
      <c r="A16" s="4">
        <f t="shared" ref="A16:A32" si="0">A15+1</f>
        <v>3</v>
      </c>
      <c r="B16" s="994" t="s">
        <v>375</v>
      </c>
      <c r="C16" s="55">
        <v>0</v>
      </c>
      <c r="D16" s="998"/>
      <c r="E16" s="68">
        <v>0</v>
      </c>
      <c r="F16" s="997"/>
      <c r="G16" s="4">
        <f t="shared" ref="G16:G32" si="1">G15+1</f>
        <v>3</v>
      </c>
      <c r="H16" s="291"/>
    </row>
    <row r="17" spans="1:8" ht="15.5" x14ac:dyDescent="0.35">
      <c r="A17" s="4">
        <f t="shared" si="0"/>
        <v>4</v>
      </c>
      <c r="B17" s="994" t="s">
        <v>376</v>
      </c>
      <c r="C17" s="55">
        <v>0</v>
      </c>
      <c r="D17" s="998"/>
      <c r="E17" s="68">
        <v>0</v>
      </c>
      <c r="F17" s="997"/>
      <c r="G17" s="4">
        <f t="shared" si="1"/>
        <v>4</v>
      </c>
      <c r="H17" s="291"/>
    </row>
    <row r="18" spans="1:8" ht="15.5" x14ac:dyDescent="0.35">
      <c r="A18" s="4">
        <f t="shared" si="0"/>
        <v>5</v>
      </c>
      <c r="B18" s="994" t="s">
        <v>377</v>
      </c>
      <c r="C18" s="55">
        <v>0</v>
      </c>
      <c r="D18" s="998"/>
      <c r="E18" s="68">
        <v>0</v>
      </c>
      <c r="F18" s="997"/>
      <c r="G18" s="4">
        <f t="shared" si="1"/>
        <v>5</v>
      </c>
      <c r="H18" s="291"/>
    </row>
    <row r="19" spans="1:8" ht="15.5" x14ac:dyDescent="0.35">
      <c r="A19" s="4">
        <f t="shared" si="0"/>
        <v>6</v>
      </c>
      <c r="B19" s="994" t="s">
        <v>378</v>
      </c>
      <c r="C19" s="55">
        <v>0</v>
      </c>
      <c r="D19" s="998"/>
      <c r="E19" s="68">
        <v>0</v>
      </c>
      <c r="F19" s="997"/>
      <c r="G19" s="4">
        <f t="shared" si="1"/>
        <v>6</v>
      </c>
      <c r="H19" s="291"/>
    </row>
    <row r="20" spans="1:8" ht="15.5" x14ac:dyDescent="0.35">
      <c r="A20" s="4">
        <f t="shared" si="0"/>
        <v>7</v>
      </c>
      <c r="B20" s="994" t="s">
        <v>379</v>
      </c>
      <c r="C20" s="55">
        <v>0</v>
      </c>
      <c r="D20" s="998"/>
      <c r="E20" s="68">
        <v>0</v>
      </c>
      <c r="F20" s="997"/>
      <c r="G20" s="4">
        <f t="shared" si="1"/>
        <v>7</v>
      </c>
      <c r="H20" s="291"/>
    </row>
    <row r="21" spans="1:8" ht="15.5" x14ac:dyDescent="0.35">
      <c r="A21" s="4">
        <f t="shared" si="0"/>
        <v>8</v>
      </c>
      <c r="B21" s="994" t="s">
        <v>380</v>
      </c>
      <c r="C21" s="55">
        <v>0</v>
      </c>
      <c r="D21" s="998"/>
      <c r="E21" s="68">
        <v>0</v>
      </c>
      <c r="F21" s="997"/>
      <c r="G21" s="4">
        <f t="shared" si="1"/>
        <v>8</v>
      </c>
      <c r="H21" s="291"/>
    </row>
    <row r="22" spans="1:8" ht="15.5" x14ac:dyDescent="0.35">
      <c r="A22" s="4">
        <f t="shared" si="0"/>
        <v>9</v>
      </c>
      <c r="B22" s="994" t="s">
        <v>381</v>
      </c>
      <c r="C22" s="55">
        <v>0</v>
      </c>
      <c r="D22" s="998"/>
      <c r="E22" s="68">
        <v>0</v>
      </c>
      <c r="F22" s="997"/>
      <c r="G22" s="4">
        <f t="shared" si="1"/>
        <v>9</v>
      </c>
      <c r="H22" s="291"/>
    </row>
    <row r="23" spans="1:8" ht="15.5" x14ac:dyDescent="0.35">
      <c r="A23" s="4">
        <f t="shared" si="0"/>
        <v>10</v>
      </c>
      <c r="B23" s="994" t="s">
        <v>382</v>
      </c>
      <c r="C23" s="55">
        <v>0</v>
      </c>
      <c r="D23" s="998"/>
      <c r="E23" s="68">
        <v>0</v>
      </c>
      <c r="F23" s="997"/>
      <c r="G23" s="4">
        <f t="shared" si="1"/>
        <v>10</v>
      </c>
      <c r="H23" s="291"/>
    </row>
    <row r="24" spans="1:8" ht="15.5" x14ac:dyDescent="0.35">
      <c r="A24" s="4">
        <f t="shared" si="0"/>
        <v>11</v>
      </c>
      <c r="B24" s="994" t="s">
        <v>383</v>
      </c>
      <c r="C24" s="55">
        <v>0</v>
      </c>
      <c r="D24" s="998"/>
      <c r="E24" s="68">
        <v>0</v>
      </c>
      <c r="F24" s="997"/>
      <c r="G24" s="4">
        <f t="shared" si="1"/>
        <v>11</v>
      </c>
      <c r="H24" s="291"/>
    </row>
    <row r="25" spans="1:8" ht="15.5" x14ac:dyDescent="0.35">
      <c r="A25" s="4">
        <f t="shared" si="0"/>
        <v>12</v>
      </c>
      <c r="B25" s="994" t="s">
        <v>384</v>
      </c>
      <c r="C25" s="55">
        <v>0</v>
      </c>
      <c r="D25" s="998"/>
      <c r="E25" s="68">
        <v>0</v>
      </c>
      <c r="F25" s="997"/>
      <c r="G25" s="4">
        <f t="shared" si="1"/>
        <v>12</v>
      </c>
      <c r="H25" s="292"/>
    </row>
    <row r="26" spans="1:8" ht="15.5" x14ac:dyDescent="0.35">
      <c r="A26" s="4">
        <f t="shared" si="0"/>
        <v>13</v>
      </c>
      <c r="B26" s="652" t="str">
        <f>'AL-2'!B25</f>
        <v>Dec-22</v>
      </c>
      <c r="C26" s="56">
        <v>0</v>
      </c>
      <c r="D26" s="71" t="s">
        <v>372</v>
      </c>
      <c r="E26" s="56">
        <v>0</v>
      </c>
      <c r="F26" s="609" t="s">
        <v>372</v>
      </c>
      <c r="G26" s="4">
        <f t="shared" si="1"/>
        <v>13</v>
      </c>
      <c r="H26" s="292"/>
    </row>
    <row r="27" spans="1:8" ht="15.5" x14ac:dyDescent="0.35">
      <c r="A27" s="4">
        <f t="shared" si="0"/>
        <v>14</v>
      </c>
      <c r="B27" s="467"/>
      <c r="C27" s="63"/>
      <c r="D27" s="314"/>
      <c r="E27" s="63"/>
      <c r="F27" s="1116"/>
      <c r="G27" s="4">
        <f t="shared" si="1"/>
        <v>14</v>
      </c>
      <c r="H27" s="34"/>
    </row>
    <row r="28" spans="1:8" ht="15.5" x14ac:dyDescent="0.35">
      <c r="A28" s="4">
        <f t="shared" si="0"/>
        <v>15</v>
      </c>
      <c r="B28" s="288" t="s">
        <v>387</v>
      </c>
      <c r="C28" s="58">
        <f>SUM(C14:C26)</f>
        <v>0</v>
      </c>
      <c r="D28" s="996" t="s">
        <v>388</v>
      </c>
      <c r="E28" s="58">
        <f>SUM(E14:E26)</f>
        <v>0</v>
      </c>
      <c r="F28" s="997" t="s">
        <v>388</v>
      </c>
      <c r="G28" s="4">
        <f t="shared" si="1"/>
        <v>15</v>
      </c>
      <c r="H28" s="292"/>
    </row>
    <row r="29" spans="1:8" ht="15.5" x14ac:dyDescent="0.35">
      <c r="A29" s="4">
        <f t="shared" si="0"/>
        <v>16</v>
      </c>
      <c r="B29" s="124"/>
      <c r="C29" s="64"/>
      <c r="D29" s="98"/>
      <c r="E29" s="64"/>
      <c r="F29" s="320"/>
      <c r="G29" s="4">
        <f t="shared" si="1"/>
        <v>16</v>
      </c>
      <c r="H29" s="292"/>
    </row>
    <row r="30" spans="1:8" ht="15.5" x14ac:dyDescent="0.35">
      <c r="A30" s="4">
        <f t="shared" si="0"/>
        <v>17</v>
      </c>
      <c r="B30" s="288"/>
      <c r="C30" s="63"/>
      <c r="D30" s="241"/>
      <c r="E30" s="63"/>
      <c r="F30" s="1022"/>
      <c r="G30" s="4">
        <f t="shared" si="1"/>
        <v>17</v>
      </c>
      <c r="H30" s="291"/>
    </row>
    <row r="31" spans="1:8" ht="15.5" x14ac:dyDescent="0.35">
      <c r="A31" s="4">
        <f t="shared" si="0"/>
        <v>18</v>
      </c>
      <c r="B31" s="288" t="s">
        <v>389</v>
      </c>
      <c r="C31" s="58">
        <f>C28/13</f>
        <v>0</v>
      </c>
      <c r="D31" s="996" t="s">
        <v>390</v>
      </c>
      <c r="E31" s="58">
        <f>E28/13</f>
        <v>0</v>
      </c>
      <c r="F31" s="997" t="s">
        <v>390</v>
      </c>
      <c r="G31" s="4">
        <f t="shared" si="1"/>
        <v>18</v>
      </c>
      <c r="H31" s="291"/>
    </row>
    <row r="32" spans="1:8" ht="15.5" x14ac:dyDescent="0.35">
      <c r="A32" s="4">
        <f t="shared" si="0"/>
        <v>19</v>
      </c>
      <c r="B32" s="124"/>
      <c r="C32" s="64"/>
      <c r="D32" s="97"/>
      <c r="E32" s="64"/>
      <c r="F32" s="293"/>
      <c r="G32" s="4">
        <f t="shared" si="1"/>
        <v>19</v>
      </c>
      <c r="H32" s="291"/>
    </row>
    <row r="33" spans="2:8" ht="15.5" x14ac:dyDescent="0.35">
      <c r="B33" s="34"/>
      <c r="C33" s="6"/>
      <c r="D33" s="6"/>
      <c r="E33" s="6"/>
      <c r="F33" s="292"/>
      <c r="G33" s="599"/>
      <c r="H33" s="291"/>
    </row>
    <row r="34" spans="2:8" ht="15.5" x14ac:dyDescent="0.35">
      <c r="B34" s="303"/>
      <c r="C34" s="292"/>
      <c r="D34" s="292"/>
      <c r="E34" s="292"/>
      <c r="F34" s="292"/>
      <c r="G34" s="599"/>
      <c r="H34" s="291"/>
    </row>
    <row r="35" spans="2:8" ht="15.5" x14ac:dyDescent="0.35">
      <c r="B35" s="34"/>
      <c r="C35" s="292"/>
      <c r="D35" s="292"/>
      <c r="E35" s="292"/>
      <c r="F35" s="292"/>
      <c r="G35" s="599"/>
      <c r="H35" s="291"/>
    </row>
    <row r="36" spans="2:8" ht="15.5" x14ac:dyDescent="0.35">
      <c r="B36" s="34"/>
      <c r="C36" s="292"/>
      <c r="D36" s="292"/>
      <c r="E36" s="292"/>
      <c r="F36" s="292"/>
      <c r="G36" s="599"/>
      <c r="H36" s="291"/>
    </row>
    <row r="37" spans="2:8" ht="15.5" x14ac:dyDescent="0.35">
      <c r="B37" s="34"/>
      <c r="C37" s="292"/>
      <c r="D37" s="292"/>
      <c r="E37" s="292"/>
      <c r="F37" s="292"/>
      <c r="G37" s="599"/>
      <c r="H37" s="291"/>
    </row>
    <row r="38" spans="2:8" x14ac:dyDescent="0.35">
      <c r="C38" s="291"/>
      <c r="D38" s="291"/>
      <c r="E38" s="291"/>
      <c r="F38" s="291"/>
      <c r="G38" s="599"/>
      <c r="H38" s="291"/>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90625" defaultRowHeight="15.5" x14ac:dyDescent="0.35"/>
  <cols>
    <col min="1" max="1" width="5.08984375" style="34" customWidth="1"/>
    <col min="2" max="2" width="55.08984375" style="34" customWidth="1"/>
    <col min="3" max="3" width="24" style="34" customWidth="1"/>
    <col min="4" max="4" width="1.54296875" style="34" customWidth="1"/>
    <col min="5" max="5" width="16.90625" style="34" customWidth="1"/>
    <col min="6" max="6" width="1.54296875" style="34" customWidth="1"/>
    <col min="7" max="7" width="34.54296875" style="34" customWidth="1"/>
    <col min="8" max="8" width="5.08984375" style="34" customWidth="1"/>
    <col min="9" max="16384" width="8.90625" style="34"/>
  </cols>
  <sheetData>
    <row r="1" spans="1:8" x14ac:dyDescent="0.35">
      <c r="A1" s="4"/>
      <c r="E1" s="73"/>
      <c r="F1" s="73"/>
      <c r="G1" s="4"/>
      <c r="H1" s="4"/>
    </row>
    <row r="2" spans="1:8" x14ac:dyDescent="0.35">
      <c r="A2" s="4"/>
      <c r="B2" s="1171" t="s">
        <v>0</v>
      </c>
      <c r="C2" s="1171"/>
      <c r="D2" s="1171"/>
      <c r="E2" s="1171"/>
      <c r="F2" s="1171"/>
      <c r="G2" s="1171"/>
      <c r="H2" s="4"/>
    </row>
    <row r="3" spans="1:8" x14ac:dyDescent="0.35">
      <c r="A3" s="4"/>
      <c r="B3" s="1171" t="s">
        <v>1096</v>
      </c>
      <c r="C3" s="1171"/>
      <c r="D3" s="1171"/>
      <c r="E3" s="1171"/>
      <c r="F3" s="1171"/>
      <c r="G3" s="1171"/>
      <c r="H3" s="4"/>
    </row>
    <row r="4" spans="1:8" x14ac:dyDescent="0.35">
      <c r="A4" s="4"/>
      <c r="B4" s="1171" t="s">
        <v>1097</v>
      </c>
      <c r="C4" s="1171"/>
      <c r="D4" s="1171"/>
      <c r="E4" s="1171"/>
      <c r="F4" s="1171"/>
      <c r="G4" s="1171"/>
      <c r="H4" s="4"/>
    </row>
    <row r="5" spans="1:8" x14ac:dyDescent="0.35">
      <c r="A5" s="4"/>
      <c r="B5" s="1176" t="str">
        <f>'Stmt AD'!B5</f>
        <v>Base Period &amp; True-Up Period 12 - Months Ending December 31, 2022</v>
      </c>
      <c r="C5" s="1176"/>
      <c r="D5" s="1176"/>
      <c r="E5" s="1176"/>
      <c r="F5" s="1176"/>
      <c r="G5" s="1176"/>
      <c r="H5" s="4"/>
    </row>
    <row r="6" spans="1:8" x14ac:dyDescent="0.35">
      <c r="A6" s="4"/>
      <c r="B6" s="1175" t="s">
        <v>5</v>
      </c>
      <c r="C6" s="1172"/>
      <c r="D6" s="1172"/>
      <c r="E6" s="1172"/>
      <c r="F6" s="1172"/>
      <c r="G6" s="1172"/>
      <c r="H6" s="4"/>
    </row>
    <row r="7" spans="1:8" x14ac:dyDescent="0.35">
      <c r="A7" s="4"/>
      <c r="B7" s="4"/>
      <c r="C7" s="4"/>
      <c r="D7" s="4"/>
      <c r="E7" s="4"/>
      <c r="F7" s="4"/>
      <c r="G7" s="4"/>
      <c r="H7" s="4"/>
    </row>
    <row r="8" spans="1:8" x14ac:dyDescent="0.35">
      <c r="A8" s="4" t="s">
        <v>6</v>
      </c>
      <c r="B8" s="4"/>
      <c r="C8" s="4" t="s">
        <v>317</v>
      </c>
      <c r="D8" s="4"/>
      <c r="E8" s="4"/>
      <c r="F8" s="4"/>
      <c r="G8" s="4"/>
      <c r="H8" s="4" t="s">
        <v>6</v>
      </c>
    </row>
    <row r="9" spans="1:8" x14ac:dyDescent="0.35">
      <c r="A9" s="4" t="s">
        <v>7</v>
      </c>
      <c r="C9" s="876" t="s">
        <v>319</v>
      </c>
      <c r="E9" s="876" t="s">
        <v>8</v>
      </c>
      <c r="F9" s="73"/>
      <c r="G9" s="876" t="s">
        <v>9</v>
      </c>
      <c r="H9" s="4" t="s">
        <v>7</v>
      </c>
    </row>
    <row r="10" spans="1:8" x14ac:dyDescent="0.35">
      <c r="A10" s="4"/>
      <c r="E10" s="73"/>
      <c r="F10" s="73"/>
      <c r="G10" s="4"/>
      <c r="H10" s="4"/>
    </row>
    <row r="11" spans="1:8" x14ac:dyDescent="0.35">
      <c r="A11" s="4">
        <f>+A10+1</f>
        <v>1</v>
      </c>
      <c r="B11" s="34" t="s">
        <v>1098</v>
      </c>
      <c r="C11" s="4" t="s">
        <v>1099</v>
      </c>
      <c r="E11" s="703">
        <v>1304.0991895338727</v>
      </c>
      <c r="F11" s="73"/>
      <c r="G11" s="426"/>
      <c r="H11" s="4">
        <f>A11</f>
        <v>1</v>
      </c>
    </row>
    <row r="12" spans="1:8" x14ac:dyDescent="0.35">
      <c r="A12" s="4">
        <f>+A11+1</f>
        <v>2</v>
      </c>
      <c r="E12" s="73"/>
      <c r="F12" s="73"/>
      <c r="G12" s="4"/>
      <c r="H12" s="4">
        <f>+H11+1</f>
        <v>2</v>
      </c>
    </row>
    <row r="13" spans="1:8" ht="16" thickBot="1" x14ac:dyDescent="0.4">
      <c r="A13" s="4">
        <f>+A12+1</f>
        <v>3</v>
      </c>
      <c r="B13" s="34" t="s">
        <v>1100</v>
      </c>
      <c r="E13" s="40">
        <f>E11</f>
        <v>1304.0991895338727</v>
      </c>
      <c r="F13" s="38"/>
      <c r="G13" s="4" t="s">
        <v>1101</v>
      </c>
      <c r="H13" s="4">
        <f>+H12+1</f>
        <v>3</v>
      </c>
    </row>
    <row r="14" spans="1:8" ht="16" thickTop="1" x14ac:dyDescent="0.35"/>
    <row r="18" spans="2:2" x14ac:dyDescent="0.35">
      <c r="B18" s="39"/>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Roman,Regular"&amp;10AQ</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90625" defaultRowHeight="15.5" x14ac:dyDescent="0.35"/>
  <cols>
    <col min="1" max="1" width="5.08984375" style="4" bestFit="1" customWidth="1"/>
    <col min="2" max="2" width="68.90625" style="34" customWidth="1"/>
    <col min="3" max="3" width="25.453125" style="34" bestFit="1" customWidth="1"/>
    <col min="4" max="4" width="1.54296875" style="34" customWidth="1"/>
    <col min="5" max="5" width="16.90625" style="34" customWidth="1"/>
    <col min="6" max="6" width="1.54296875" style="34" customWidth="1"/>
    <col min="7" max="7" width="34.54296875" style="34" customWidth="1"/>
    <col min="8" max="8" width="5.08984375" style="34" customWidth="1"/>
    <col min="9" max="9" width="8.90625" style="34"/>
    <col min="10" max="10" width="20.453125" style="34" bestFit="1" customWidth="1"/>
    <col min="11" max="16384" width="8.90625" style="34"/>
  </cols>
  <sheetData>
    <row r="1" spans="1:8" x14ac:dyDescent="0.35">
      <c r="E1" s="73"/>
      <c r="F1" s="73"/>
      <c r="G1" s="4"/>
      <c r="H1" s="4"/>
    </row>
    <row r="2" spans="1:8" x14ac:dyDescent="0.35">
      <c r="B2" s="1171" t="s">
        <v>0</v>
      </c>
      <c r="C2" s="1171"/>
      <c r="D2" s="1171"/>
      <c r="E2" s="1171"/>
      <c r="F2" s="1171"/>
      <c r="G2" s="1171"/>
      <c r="H2" s="4"/>
    </row>
    <row r="3" spans="1:8" x14ac:dyDescent="0.35">
      <c r="B3" s="1171" t="s">
        <v>1102</v>
      </c>
      <c r="C3" s="1171"/>
      <c r="D3" s="1171"/>
      <c r="E3" s="1171"/>
      <c r="F3" s="1171"/>
      <c r="G3" s="1171"/>
      <c r="H3" s="4"/>
    </row>
    <row r="4" spans="1:8" x14ac:dyDescent="0.35">
      <c r="B4" s="1171" t="s">
        <v>1103</v>
      </c>
      <c r="C4" s="1171"/>
      <c r="D4" s="1171"/>
      <c r="E4" s="1171"/>
      <c r="F4" s="1171"/>
      <c r="G4" s="1171"/>
      <c r="H4" s="4"/>
    </row>
    <row r="5" spans="1:8" x14ac:dyDescent="0.35">
      <c r="B5" s="1176" t="str">
        <f>'Stmt AD'!B5</f>
        <v>Base Period &amp; True-Up Period 12 - Months Ending December 31, 2022</v>
      </c>
      <c r="C5" s="1176"/>
      <c r="D5" s="1176"/>
      <c r="E5" s="1176"/>
      <c r="F5" s="1176"/>
      <c r="G5" s="1176"/>
      <c r="H5" s="4"/>
    </row>
    <row r="6" spans="1:8" x14ac:dyDescent="0.35">
      <c r="B6" s="1175" t="s">
        <v>5</v>
      </c>
      <c r="C6" s="1172"/>
      <c r="D6" s="1172"/>
      <c r="E6" s="1172"/>
      <c r="F6" s="1172"/>
      <c r="G6" s="1172"/>
      <c r="H6" s="4"/>
    </row>
    <row r="7" spans="1:8" x14ac:dyDescent="0.35">
      <c r="B7" s="4"/>
      <c r="C7" s="4"/>
      <c r="D7" s="4"/>
      <c r="E7" s="4"/>
      <c r="F7" s="4"/>
      <c r="G7" s="4"/>
      <c r="H7" s="4"/>
    </row>
    <row r="8" spans="1:8" x14ac:dyDescent="0.35">
      <c r="A8" s="4" t="s">
        <v>6</v>
      </c>
      <c r="C8" s="4" t="s">
        <v>317</v>
      </c>
      <c r="E8" s="4"/>
      <c r="F8" s="4"/>
      <c r="G8" s="4"/>
      <c r="H8" s="4" t="s">
        <v>6</v>
      </c>
    </row>
    <row r="9" spans="1:8" x14ac:dyDescent="0.35">
      <c r="A9" s="4" t="s">
        <v>7</v>
      </c>
      <c r="B9" s="34" t="s">
        <v>1</v>
      </c>
      <c r="C9" s="876" t="s">
        <v>319</v>
      </c>
      <c r="E9" s="876" t="s">
        <v>8</v>
      </c>
      <c r="F9" s="644"/>
      <c r="G9" s="876" t="s">
        <v>9</v>
      </c>
      <c r="H9" s="4" t="s">
        <v>7</v>
      </c>
    </row>
    <row r="10" spans="1:8" x14ac:dyDescent="0.35">
      <c r="E10" s="73"/>
      <c r="F10" s="73"/>
      <c r="G10" s="4"/>
      <c r="H10" s="4"/>
    </row>
    <row r="11" spans="1:8" ht="18" x14ac:dyDescent="0.35">
      <c r="A11" s="4">
        <f>+A10+1</f>
        <v>1</v>
      </c>
      <c r="B11" s="34" t="s">
        <v>1104</v>
      </c>
      <c r="C11" s="4" t="s">
        <v>1105</v>
      </c>
      <c r="E11" s="87">
        <v>-264.76299999999998</v>
      </c>
      <c r="F11" s="644"/>
      <c r="G11" s="644"/>
      <c r="H11" s="4">
        <f>A11</f>
        <v>1</v>
      </c>
    </row>
    <row r="12" spans="1:8" x14ac:dyDescent="0.35">
      <c r="A12" s="4">
        <f>+A11+1</f>
        <v>2</v>
      </c>
      <c r="E12" s="73"/>
      <c r="F12" s="73"/>
      <c r="G12" s="644"/>
      <c r="H12" s="4">
        <f>+H11+1</f>
        <v>2</v>
      </c>
    </row>
    <row r="13" spans="1:8" x14ac:dyDescent="0.35">
      <c r="A13" s="4">
        <f>+A12+1</f>
        <v>3</v>
      </c>
      <c r="B13" s="34" t="s">
        <v>1106</v>
      </c>
      <c r="E13" s="73"/>
      <c r="F13" s="644"/>
      <c r="G13" s="644"/>
      <c r="H13" s="4">
        <f>+H12+1</f>
        <v>3</v>
      </c>
    </row>
    <row r="14" spans="1:8" x14ac:dyDescent="0.35">
      <c r="A14" s="4">
        <f t="shared" ref="A14:A19" si="0">+A13+1</f>
        <v>4</v>
      </c>
      <c r="B14" s="35" t="s">
        <v>1107</v>
      </c>
      <c r="C14" s="4"/>
      <c r="E14" s="45">
        <f>'AR-1'!G18</f>
        <v>1440.8258887628724</v>
      </c>
      <c r="F14" s="644"/>
      <c r="G14" s="4" t="s">
        <v>1108</v>
      </c>
      <c r="H14" s="4">
        <f t="shared" ref="H14:H19" si="1">+H13+1</f>
        <v>4</v>
      </c>
    </row>
    <row r="15" spans="1:8" x14ac:dyDescent="0.35">
      <c r="A15" s="4">
        <f t="shared" si="0"/>
        <v>5</v>
      </c>
      <c r="B15" s="35" t="s">
        <v>1109</v>
      </c>
      <c r="C15" s="4"/>
      <c r="E15" s="45">
        <f>'AR-1'!G25</f>
        <v>-4935.0729666012649</v>
      </c>
      <c r="F15" s="644"/>
      <c r="G15" s="4" t="s">
        <v>1110</v>
      </c>
      <c r="H15" s="4">
        <f t="shared" si="1"/>
        <v>5</v>
      </c>
    </row>
    <row r="16" spans="1:8" x14ac:dyDescent="0.35">
      <c r="A16" s="4">
        <f t="shared" si="0"/>
        <v>6</v>
      </c>
      <c r="B16" s="35" t="s">
        <v>1111</v>
      </c>
      <c r="C16" s="4"/>
      <c r="E16" s="963">
        <f>'AR-1'!G33</f>
        <v>0</v>
      </c>
      <c r="F16" s="644"/>
      <c r="G16" s="4" t="s">
        <v>1112</v>
      </c>
      <c r="H16" s="4">
        <f t="shared" si="1"/>
        <v>6</v>
      </c>
    </row>
    <row r="17" spans="1:8" x14ac:dyDescent="0.35">
      <c r="A17" s="4">
        <f t="shared" si="0"/>
        <v>7</v>
      </c>
      <c r="B17" s="35" t="s">
        <v>1113</v>
      </c>
      <c r="C17" s="4"/>
      <c r="E17" s="1117">
        <f>SUM(E14:E16)</f>
        <v>-3494.2470778383922</v>
      </c>
      <c r="F17" s="644"/>
      <c r="G17" s="4" t="s">
        <v>1114</v>
      </c>
      <c r="H17" s="4">
        <f t="shared" si="1"/>
        <v>7</v>
      </c>
    </row>
    <row r="18" spans="1:8" x14ac:dyDescent="0.35">
      <c r="A18" s="4">
        <f t="shared" si="0"/>
        <v>8</v>
      </c>
      <c r="E18" s="6"/>
      <c r="F18" s="6"/>
      <c r="G18" s="47"/>
      <c r="H18" s="4">
        <f t="shared" si="1"/>
        <v>8</v>
      </c>
    </row>
    <row r="19" spans="1:8" ht="16" thickBot="1" x14ac:dyDescent="0.4">
      <c r="A19" s="4">
        <f t="shared" si="0"/>
        <v>9</v>
      </c>
      <c r="B19" s="34" t="s">
        <v>1115</v>
      </c>
      <c r="E19" s="40">
        <f>E11+E17</f>
        <v>-3759.0100778383921</v>
      </c>
      <c r="F19" s="38"/>
      <c r="G19" s="4" t="s">
        <v>1116</v>
      </c>
      <c r="H19" s="4">
        <f t="shared" si="1"/>
        <v>9</v>
      </c>
    </row>
    <row r="20" spans="1:8" ht="16" thickTop="1" x14ac:dyDescent="0.35">
      <c r="E20" s="38"/>
      <c r="F20" s="38"/>
      <c r="G20" s="4"/>
      <c r="H20" s="4"/>
    </row>
    <row r="21" spans="1:8" x14ac:dyDescent="0.35">
      <c r="H21" s="4"/>
    </row>
    <row r="22" spans="1:8" ht="18" x14ac:dyDescent="0.35">
      <c r="A22" s="261">
        <v>1</v>
      </c>
      <c r="B22" s="34" t="s">
        <v>1117</v>
      </c>
      <c r="H22" s="4"/>
    </row>
    <row r="23" spans="1:8" ht="18" x14ac:dyDescent="0.35">
      <c r="A23" s="276"/>
      <c r="B23" s="35"/>
      <c r="H23" s="4"/>
    </row>
    <row r="24" spans="1:8" x14ac:dyDescent="0.35">
      <c r="B24" s="35"/>
      <c r="H24" s="4"/>
    </row>
    <row r="25" spans="1:8" x14ac:dyDescent="0.35">
      <c r="B25" s="751"/>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Roman,Regular"&amp;10AR</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zoomScale="80" zoomScaleNormal="80" workbookViewId="0"/>
  </sheetViews>
  <sheetFormatPr defaultColWidth="8.54296875" defaultRowHeight="15.5" x14ac:dyDescent="0.35"/>
  <cols>
    <col min="1" max="1" width="5.453125" style="4" customWidth="1"/>
    <col min="2" max="2" width="50.90625" style="34" customWidth="1"/>
    <col min="3" max="3" width="20.08984375" style="34" customWidth="1"/>
    <col min="4" max="4" width="1.54296875" style="34" customWidth="1"/>
    <col min="5" max="5" width="21.08984375" style="34" bestFit="1" customWidth="1"/>
    <col min="6" max="6" width="1.54296875" style="34" customWidth="1"/>
    <col min="7" max="7" width="23.453125" style="34" bestFit="1" customWidth="1"/>
    <col min="8" max="8" width="62.54296875" style="34" customWidth="1"/>
    <col min="9" max="9" width="5.453125" style="4" customWidth="1"/>
    <col min="10" max="10" width="9.90625" style="34" bestFit="1" customWidth="1"/>
    <col min="11" max="11" width="10.453125" style="34" customWidth="1"/>
    <col min="12" max="16384" width="8.54296875" style="34"/>
  </cols>
  <sheetData>
    <row r="2" spans="1:11" x14ac:dyDescent="0.35">
      <c r="B2" s="1171" t="s">
        <v>0</v>
      </c>
      <c r="C2" s="1171"/>
      <c r="D2" s="1171"/>
      <c r="E2" s="1171"/>
      <c r="F2" s="1171"/>
      <c r="G2" s="1171"/>
      <c r="H2" s="1171"/>
    </row>
    <row r="3" spans="1:11" x14ac:dyDescent="0.35">
      <c r="B3" s="1171" t="s">
        <v>1118</v>
      </c>
      <c r="C3" s="1171"/>
      <c r="D3" s="1171"/>
      <c r="E3" s="1171"/>
      <c r="F3" s="1171"/>
      <c r="G3" s="1171"/>
      <c r="H3" s="1171"/>
    </row>
    <row r="4" spans="1:11" x14ac:dyDescent="0.35">
      <c r="B4" s="1171" t="s">
        <v>1119</v>
      </c>
      <c r="C4" s="1171"/>
      <c r="D4" s="1171"/>
      <c r="E4" s="1171"/>
      <c r="F4" s="1171"/>
      <c r="G4" s="1171"/>
      <c r="H4" s="1171"/>
    </row>
    <row r="5" spans="1:11" x14ac:dyDescent="0.35">
      <c r="B5" s="1171" t="s">
        <v>563</v>
      </c>
      <c r="C5" s="1171"/>
      <c r="D5" s="1171"/>
      <c r="E5" s="1171"/>
      <c r="F5" s="1171"/>
      <c r="G5" s="1171"/>
      <c r="H5" s="1171"/>
    </row>
    <row r="6" spans="1:11" ht="15.75" customHeight="1" x14ac:dyDescent="0.35">
      <c r="B6" s="1175" t="s">
        <v>5</v>
      </c>
      <c r="C6" s="1175"/>
      <c r="D6" s="1175"/>
      <c r="E6" s="1175"/>
      <c r="F6" s="1175"/>
      <c r="G6" s="1175"/>
      <c r="H6" s="1175"/>
    </row>
    <row r="8" spans="1:11" x14ac:dyDescent="0.35">
      <c r="B8" s="1"/>
      <c r="C8" s="272" t="s">
        <v>280</v>
      </c>
      <c r="D8" s="272"/>
      <c r="E8" s="272" t="s">
        <v>281</v>
      </c>
      <c r="F8" s="272"/>
      <c r="G8" s="272" t="s">
        <v>1120</v>
      </c>
      <c r="H8" s="272"/>
    </row>
    <row r="9" spans="1:11" ht="18" x14ac:dyDescent="0.35">
      <c r="A9" s="4" t="s">
        <v>6</v>
      </c>
      <c r="B9" s="1"/>
      <c r="C9" s="272" t="s">
        <v>539</v>
      </c>
      <c r="D9" s="950"/>
      <c r="E9" s="272" t="s">
        <v>538</v>
      </c>
      <c r="F9" s="272"/>
      <c r="G9" s="272"/>
      <c r="H9" s="272"/>
      <c r="I9" s="4" t="s">
        <v>6</v>
      </c>
    </row>
    <row r="10" spans="1:11" x14ac:dyDescent="0.35">
      <c r="A10" s="4" t="s">
        <v>7</v>
      </c>
      <c r="B10" s="990" t="s">
        <v>423</v>
      </c>
      <c r="C10" s="753" t="s">
        <v>542</v>
      </c>
      <c r="D10" s="753"/>
      <c r="E10" s="753" t="s">
        <v>541</v>
      </c>
      <c r="F10" s="753"/>
      <c r="G10" s="990" t="s">
        <v>265</v>
      </c>
      <c r="H10" s="990" t="s">
        <v>9</v>
      </c>
      <c r="I10" s="4" t="s">
        <v>7</v>
      </c>
    </row>
    <row r="11" spans="1:11" x14ac:dyDescent="0.35">
      <c r="B11" s="1"/>
      <c r="C11" s="349"/>
      <c r="D11" s="349"/>
      <c r="E11" s="349"/>
      <c r="F11" s="349"/>
      <c r="G11" s="95"/>
      <c r="H11" s="95"/>
    </row>
    <row r="12" spans="1:11" x14ac:dyDescent="0.35">
      <c r="A12" s="4">
        <v>1</v>
      </c>
      <c r="B12" s="35" t="s">
        <v>543</v>
      </c>
      <c r="C12" s="94"/>
      <c r="D12" s="94"/>
      <c r="E12" s="94"/>
      <c r="F12" s="94"/>
      <c r="G12" s="95"/>
      <c r="H12" s="95"/>
      <c r="I12" s="4">
        <f>A12</f>
        <v>1</v>
      </c>
    </row>
    <row r="13" spans="1:11" x14ac:dyDescent="0.35">
      <c r="A13" s="4">
        <f t="shared" ref="A13:A18" si="0">A12+1</f>
        <v>2</v>
      </c>
      <c r="B13" s="35" t="s">
        <v>544</v>
      </c>
      <c r="C13" s="38">
        <f>-SUM('Order 864-3'!I15:I16)</f>
        <v>0</v>
      </c>
      <c r="D13" s="38"/>
      <c r="E13" s="38">
        <f>-SUM('Order 864-3'!H15:H17,'Order 864-3'!H19)</f>
        <v>0</v>
      </c>
      <c r="F13" s="92"/>
      <c r="G13" s="38">
        <f>SUM(C13:E13)</f>
        <v>0</v>
      </c>
      <c r="H13" s="648" t="s">
        <v>372</v>
      </c>
      <c r="I13" s="4">
        <f t="shared" ref="I13:I18" si="1">I12+1</f>
        <v>2</v>
      </c>
      <c r="K13" s="263"/>
    </row>
    <row r="14" spans="1:11" x14ac:dyDescent="0.35">
      <c r="A14" s="4">
        <f t="shared" si="0"/>
        <v>3</v>
      </c>
      <c r="B14" s="35" t="s">
        <v>1121</v>
      </c>
      <c r="C14" s="6">
        <f>-'Order 864-3'!I27</f>
        <v>0</v>
      </c>
      <c r="D14" s="6"/>
      <c r="E14" s="6">
        <f>-SUM('Order 864-3'!H27,'Order 864-3'!F27)</f>
        <v>1440.8258887628724</v>
      </c>
      <c r="F14" s="6"/>
      <c r="G14" s="6">
        <f>SUM(C14:E14)</f>
        <v>1440.8258887628724</v>
      </c>
      <c r="H14" s="648" t="s">
        <v>372</v>
      </c>
      <c r="I14" s="4">
        <f t="shared" si="1"/>
        <v>3</v>
      </c>
    </row>
    <row r="15" spans="1:11" x14ac:dyDescent="0.35">
      <c r="A15" s="4">
        <f t="shared" si="0"/>
        <v>4</v>
      </c>
      <c r="B15" s="835"/>
      <c r="C15" s="6">
        <v>0</v>
      </c>
      <c r="D15" s="6"/>
      <c r="E15" s="6">
        <v>0</v>
      </c>
      <c r="F15" s="6"/>
      <c r="G15" s="6">
        <f>SUM(C15:E15)</f>
        <v>0</v>
      </c>
      <c r="H15" s="836"/>
      <c r="I15" s="4">
        <f t="shared" si="1"/>
        <v>4</v>
      </c>
    </row>
    <row r="16" spans="1:11" x14ac:dyDescent="0.35">
      <c r="A16" s="4">
        <f t="shared" si="0"/>
        <v>5</v>
      </c>
      <c r="B16" s="35"/>
      <c r="C16" s="6">
        <v>0</v>
      </c>
      <c r="D16" s="6"/>
      <c r="E16" s="6">
        <v>0</v>
      </c>
      <c r="F16" s="6"/>
      <c r="G16" s="6">
        <f>SUM(C16:E16)</f>
        <v>0</v>
      </c>
      <c r="H16" s="6"/>
      <c r="I16" s="4">
        <f t="shared" si="1"/>
        <v>5</v>
      </c>
    </row>
    <row r="17" spans="1:11" x14ac:dyDescent="0.35">
      <c r="A17" s="4">
        <f t="shared" si="0"/>
        <v>6</v>
      </c>
      <c r="C17" s="6">
        <v>0</v>
      </c>
      <c r="D17" s="6"/>
      <c r="E17" s="6">
        <v>0</v>
      </c>
      <c r="F17" s="6"/>
      <c r="G17" s="6">
        <f>SUM(C17:E17)</f>
        <v>0</v>
      </c>
      <c r="H17" s="6"/>
      <c r="I17" s="4">
        <f t="shared" si="1"/>
        <v>6</v>
      </c>
    </row>
    <row r="18" spans="1:11" ht="18.5" thickBot="1" x14ac:dyDescent="0.4">
      <c r="A18" s="4">
        <f t="shared" si="0"/>
        <v>7</v>
      </c>
      <c r="B18" s="350" t="s">
        <v>1122</v>
      </c>
      <c r="C18" s="93">
        <f>SUM(C13:C17)</f>
        <v>0</v>
      </c>
      <c r="D18" s="46"/>
      <c r="E18" s="93">
        <f>SUM(E13:E17)</f>
        <v>1440.8258887628724</v>
      </c>
      <c r="F18" s="6"/>
      <c r="G18" s="93">
        <f>SUM(G13:G17)</f>
        <v>1440.8258887628724</v>
      </c>
      <c r="H18" s="47" t="s">
        <v>548</v>
      </c>
      <c r="I18" s="4">
        <f t="shared" si="1"/>
        <v>7</v>
      </c>
      <c r="J18" s="442"/>
    </row>
    <row r="19" spans="1:11" ht="16" thickTop="1" x14ac:dyDescent="0.35">
      <c r="A19" s="4">
        <f t="shared" ref="A19:A35" si="2">A18+1</f>
        <v>8</v>
      </c>
      <c r="C19" s="89"/>
      <c r="D19" s="89"/>
      <c r="E19" s="89"/>
      <c r="F19" s="89"/>
      <c r="G19" s="923"/>
      <c r="H19" s="89"/>
      <c r="I19" s="4">
        <f t="shared" ref="I19:I35" si="3">I18+1</f>
        <v>8</v>
      </c>
    </row>
    <row r="20" spans="1:11" x14ac:dyDescent="0.35">
      <c r="A20" s="4">
        <f t="shared" si="2"/>
        <v>9</v>
      </c>
      <c r="B20" s="35" t="s">
        <v>549</v>
      </c>
      <c r="C20" s="94"/>
      <c r="D20" s="94"/>
      <c r="E20" s="94"/>
      <c r="F20" s="94"/>
      <c r="G20" s="95"/>
      <c r="H20" s="95"/>
      <c r="I20" s="4">
        <f t="shared" si="3"/>
        <v>9</v>
      </c>
    </row>
    <row r="21" spans="1:11" x14ac:dyDescent="0.35">
      <c r="A21" s="4">
        <f t="shared" si="2"/>
        <v>10</v>
      </c>
      <c r="B21" s="749" t="s">
        <v>546</v>
      </c>
      <c r="C21" s="38">
        <f>-SUM('Order 864-3'!G29:G30, 'Order 864-3'!I29:I30,'Order 864-3'!G37,'Order 864-3'!I37,'Order 864-3'!G40,'Order 864-3'!I40)</f>
        <v>-5544.6413061223975</v>
      </c>
      <c r="D21" s="38"/>
      <c r="E21" s="38">
        <f>-SUM('Order 864-3'!F29:F30, 'Order 864-3'!H29:H30,'Order 864-3'!F37,'Order 864-3'!H37,'Order 864-3'!F40,'Order 864-3'!H40)</f>
        <v>609.5683395211322</v>
      </c>
      <c r="F21" s="38"/>
      <c r="G21" s="38">
        <f>SUM(C21:E21)</f>
        <v>-4935.0729666012649</v>
      </c>
      <c r="H21" s="962" t="s">
        <v>1123</v>
      </c>
      <c r="I21" s="4">
        <f t="shared" si="3"/>
        <v>10</v>
      </c>
      <c r="K21" s="263"/>
    </row>
    <row r="22" spans="1:11" x14ac:dyDescent="0.35">
      <c r="A22" s="4">
        <f t="shared" si="2"/>
        <v>11</v>
      </c>
      <c r="C22" s="6">
        <v>0</v>
      </c>
      <c r="D22" s="6"/>
      <c r="E22" s="6">
        <v>0</v>
      </c>
      <c r="F22" s="6"/>
      <c r="G22" s="6">
        <f>SUM(C22:E22)</f>
        <v>0</v>
      </c>
      <c r="H22" s="6"/>
      <c r="I22" s="4">
        <f t="shared" si="3"/>
        <v>11</v>
      </c>
    </row>
    <row r="23" spans="1:11" x14ac:dyDescent="0.35">
      <c r="A23" s="4">
        <f t="shared" si="2"/>
        <v>12</v>
      </c>
      <c r="C23" s="6">
        <v>0</v>
      </c>
      <c r="D23" s="6"/>
      <c r="E23" s="6">
        <v>0</v>
      </c>
      <c r="F23" s="6"/>
      <c r="G23" s="6">
        <f>SUM(C23:E23)</f>
        <v>0</v>
      </c>
      <c r="H23" s="6"/>
      <c r="I23" s="4">
        <f t="shared" si="3"/>
        <v>12</v>
      </c>
    </row>
    <row r="24" spans="1:11" x14ac:dyDescent="0.35">
      <c r="A24" s="4">
        <f t="shared" si="2"/>
        <v>13</v>
      </c>
      <c r="C24" s="6">
        <v>0</v>
      </c>
      <c r="D24" s="6"/>
      <c r="E24" s="6">
        <v>0</v>
      </c>
      <c r="F24" s="6"/>
      <c r="G24" s="6">
        <f>SUM(C24:E24)</f>
        <v>0</v>
      </c>
      <c r="H24" s="6"/>
      <c r="I24" s="4">
        <f t="shared" si="3"/>
        <v>13</v>
      </c>
    </row>
    <row r="25" spans="1:11" ht="16" thickBot="1" x14ac:dyDescent="0.4">
      <c r="A25" s="4">
        <f t="shared" si="2"/>
        <v>14</v>
      </c>
      <c r="B25" s="350" t="s">
        <v>550</v>
      </c>
      <c r="C25" s="93">
        <f>SUM(C21:C24)</f>
        <v>-5544.6413061223975</v>
      </c>
      <c r="D25" s="46"/>
      <c r="E25" s="93">
        <f>SUM(E21:E24)</f>
        <v>609.5683395211322</v>
      </c>
      <c r="F25" s="6"/>
      <c r="G25" s="93">
        <f>SUM(G21:G24)</f>
        <v>-4935.0729666012649</v>
      </c>
      <c r="H25" s="47" t="s">
        <v>551</v>
      </c>
      <c r="I25" s="4">
        <f t="shared" si="3"/>
        <v>14</v>
      </c>
    </row>
    <row r="26" spans="1:11" ht="16" thickTop="1" x14ac:dyDescent="0.35">
      <c r="A26" s="4">
        <f t="shared" si="2"/>
        <v>15</v>
      </c>
      <c r="I26" s="4">
        <f t="shared" si="3"/>
        <v>15</v>
      </c>
    </row>
    <row r="27" spans="1:11" x14ac:dyDescent="0.35">
      <c r="A27" s="4">
        <f t="shared" si="2"/>
        <v>16</v>
      </c>
      <c r="B27" s="35" t="s">
        <v>552</v>
      </c>
      <c r="C27" s="94"/>
      <c r="D27" s="94"/>
      <c r="E27" s="94"/>
      <c r="F27" s="94"/>
      <c r="G27" s="95"/>
      <c r="H27" s="4"/>
      <c r="I27" s="4">
        <f t="shared" si="3"/>
        <v>16</v>
      </c>
    </row>
    <row r="28" spans="1:11" x14ac:dyDescent="0.35">
      <c r="A28" s="4">
        <f t="shared" si="2"/>
        <v>17</v>
      </c>
      <c r="B28" s="35" t="s">
        <v>544</v>
      </c>
      <c r="C28" s="38">
        <f>-SUM('Order 864-3'!I21:I22)</f>
        <v>0</v>
      </c>
      <c r="D28" s="38"/>
      <c r="E28" s="38">
        <f>-SUM('Order 864-3'!H21:H22)</f>
        <v>0</v>
      </c>
      <c r="F28" s="92"/>
      <c r="G28" s="38">
        <f>SUM(C28:E28)</f>
        <v>0</v>
      </c>
      <c r="H28" s="648" t="s">
        <v>372</v>
      </c>
      <c r="I28" s="4">
        <f t="shared" si="3"/>
        <v>17</v>
      </c>
    </row>
    <row r="29" spans="1:11" x14ac:dyDescent="0.35">
      <c r="A29" s="4">
        <f t="shared" si="2"/>
        <v>18</v>
      </c>
      <c r="B29" s="35"/>
      <c r="C29" s="6">
        <v>0</v>
      </c>
      <c r="D29" s="6"/>
      <c r="E29" s="6">
        <v>0</v>
      </c>
      <c r="F29" s="6"/>
      <c r="G29" s="6">
        <f>SUM(C29:E29)</f>
        <v>0</v>
      </c>
      <c r="H29" s="4"/>
      <c r="I29" s="4">
        <f t="shared" si="3"/>
        <v>18</v>
      </c>
    </row>
    <row r="30" spans="1:11" x14ac:dyDescent="0.35">
      <c r="A30" s="4">
        <f t="shared" si="2"/>
        <v>19</v>
      </c>
      <c r="B30" s="35"/>
      <c r="C30" s="6">
        <v>0</v>
      </c>
      <c r="D30" s="6"/>
      <c r="E30" s="6">
        <v>0</v>
      </c>
      <c r="F30" s="6"/>
      <c r="G30" s="6">
        <f>SUM(C30:E30)</f>
        <v>0</v>
      </c>
      <c r="H30" s="6"/>
      <c r="I30" s="4">
        <f t="shared" si="3"/>
        <v>19</v>
      </c>
    </row>
    <row r="31" spans="1:11" x14ac:dyDescent="0.35">
      <c r="A31" s="4">
        <f t="shared" si="2"/>
        <v>20</v>
      </c>
      <c r="B31" s="35"/>
      <c r="C31" s="6">
        <v>0</v>
      </c>
      <c r="D31" s="6"/>
      <c r="E31" s="6">
        <v>0</v>
      </c>
      <c r="F31" s="6"/>
      <c r="G31" s="6">
        <f>SUM(C31:E31)</f>
        <v>0</v>
      </c>
      <c r="H31" s="6"/>
      <c r="I31" s="4">
        <f t="shared" si="3"/>
        <v>20</v>
      </c>
    </row>
    <row r="32" spans="1:11" x14ac:dyDescent="0.35">
      <c r="A32" s="4">
        <f t="shared" si="2"/>
        <v>21</v>
      </c>
      <c r="B32" s="35"/>
      <c r="C32" s="6">
        <v>0</v>
      </c>
      <c r="D32" s="6"/>
      <c r="E32" s="6">
        <v>0</v>
      </c>
      <c r="F32" s="6"/>
      <c r="G32" s="6">
        <f>SUM(C32:E32)</f>
        <v>0</v>
      </c>
      <c r="H32" s="6"/>
      <c r="I32" s="4">
        <f t="shared" si="3"/>
        <v>21</v>
      </c>
    </row>
    <row r="33" spans="1:9" ht="16" thickBot="1" x14ac:dyDescent="0.4">
      <c r="A33" s="4">
        <f t="shared" si="2"/>
        <v>22</v>
      </c>
      <c r="B33" s="350" t="s">
        <v>554</v>
      </c>
      <c r="C33" s="93">
        <f>SUM(C28:C32)</f>
        <v>0</v>
      </c>
      <c r="D33" s="46"/>
      <c r="E33" s="93">
        <f>SUM(E28:E32)</f>
        <v>0</v>
      </c>
      <c r="F33" s="6"/>
      <c r="G33" s="93">
        <f>SUM(G28:G32)</f>
        <v>0</v>
      </c>
      <c r="H33" s="47" t="s">
        <v>555</v>
      </c>
      <c r="I33" s="4">
        <f t="shared" si="3"/>
        <v>22</v>
      </c>
    </row>
    <row r="34" spans="1:9" ht="16" thickTop="1" x14ac:dyDescent="0.35">
      <c r="A34" s="4">
        <f t="shared" si="2"/>
        <v>23</v>
      </c>
      <c r="I34" s="4">
        <f t="shared" si="3"/>
        <v>23</v>
      </c>
    </row>
    <row r="35" spans="1:9" ht="16" thickBot="1" x14ac:dyDescent="0.4">
      <c r="A35" s="4">
        <f t="shared" si="2"/>
        <v>24</v>
      </c>
      <c r="B35" s="1" t="s">
        <v>1124</v>
      </c>
      <c r="C35" s="93">
        <f>+C18+C25+C33</f>
        <v>-5544.6413061223975</v>
      </c>
      <c r="D35" s="46"/>
      <c r="E35" s="93">
        <f>+E18+E25+E33</f>
        <v>2050.3942282840044</v>
      </c>
      <c r="G35" s="93">
        <f>+G18+G25+G33</f>
        <v>-3494.2470778383922</v>
      </c>
      <c r="H35" s="47" t="s">
        <v>557</v>
      </c>
      <c r="I35" s="4">
        <f t="shared" si="3"/>
        <v>24</v>
      </c>
    </row>
    <row r="36" spans="1:9" ht="16" thickTop="1" x14ac:dyDescent="0.35">
      <c r="B36" s="1"/>
      <c r="C36" s="46"/>
      <c r="D36" s="46"/>
      <c r="E36" s="46"/>
      <c r="G36" s="46"/>
      <c r="H36" s="47"/>
    </row>
    <row r="38" spans="1:9" ht="18" x14ac:dyDescent="0.35">
      <c r="A38" s="261">
        <v>1</v>
      </c>
      <c r="B38" s="34" t="s">
        <v>558</v>
      </c>
    </row>
    <row r="39" spans="1:9" ht="18" x14ac:dyDescent="0.35">
      <c r="A39" s="261">
        <v>2</v>
      </c>
      <c r="B39" s="34" t="s">
        <v>1125</v>
      </c>
    </row>
    <row r="40" spans="1:9" ht="18" x14ac:dyDescent="0.35">
      <c r="A40" s="261">
        <v>3</v>
      </c>
      <c r="B40" s="34" t="s">
        <v>1126</v>
      </c>
    </row>
    <row r="41" spans="1:9" ht="18" x14ac:dyDescent="0.35">
      <c r="A41" s="276">
        <v>4</v>
      </c>
      <c r="B41" s="851" t="s">
        <v>1127</v>
      </c>
    </row>
    <row r="42" spans="1:9" x14ac:dyDescent="0.35">
      <c r="B42" s="851" t="s">
        <v>1128</v>
      </c>
    </row>
  </sheetData>
  <mergeCells count="5">
    <mergeCell ref="B2:H2"/>
    <mergeCell ref="B3:H3"/>
    <mergeCell ref="B4:H4"/>
    <mergeCell ref="B5:H5"/>
    <mergeCell ref="B6:H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90625" defaultRowHeight="15.5" x14ac:dyDescent="0.35"/>
  <cols>
    <col min="1" max="1" width="5.08984375" style="4" bestFit="1" customWidth="1"/>
    <col min="2" max="2" width="68.90625" style="34" customWidth="1"/>
    <col min="3" max="3" width="24" style="34" customWidth="1"/>
    <col min="4" max="4" width="1.54296875" style="34" customWidth="1"/>
    <col min="5" max="5" width="16.90625" style="34" customWidth="1"/>
    <col min="6" max="6" width="1.54296875" style="34" customWidth="1"/>
    <col min="7" max="7" width="34.54296875" style="34" customWidth="1"/>
    <col min="8" max="8" width="5.08984375" style="34" customWidth="1"/>
    <col min="9" max="9" width="8.90625" style="34"/>
    <col min="10" max="10" width="20.453125" style="34" bestFit="1" customWidth="1"/>
    <col min="11" max="16384" width="8.90625" style="34"/>
  </cols>
  <sheetData>
    <row r="1" spans="1:8" x14ac:dyDescent="0.35">
      <c r="E1" s="73"/>
      <c r="F1" s="73"/>
      <c r="G1" s="4"/>
      <c r="H1" s="4"/>
    </row>
    <row r="2" spans="1:8" x14ac:dyDescent="0.35">
      <c r="B2" s="1171" t="s">
        <v>0</v>
      </c>
      <c r="C2" s="1171"/>
      <c r="D2" s="1171"/>
      <c r="E2" s="1171"/>
      <c r="F2" s="1171"/>
      <c r="G2" s="1171"/>
      <c r="H2" s="4"/>
    </row>
    <row r="3" spans="1:8" x14ac:dyDescent="0.35">
      <c r="B3" s="1171" t="s">
        <v>1129</v>
      </c>
      <c r="C3" s="1171"/>
      <c r="D3" s="1171"/>
      <c r="E3" s="1171"/>
      <c r="F3" s="1171"/>
      <c r="G3" s="1171"/>
      <c r="H3" s="4"/>
    </row>
    <row r="4" spans="1:8" x14ac:dyDescent="0.35">
      <c r="B4" s="1171" t="s">
        <v>1130</v>
      </c>
      <c r="C4" s="1171"/>
      <c r="D4" s="1171"/>
      <c r="E4" s="1171"/>
      <c r="F4" s="1171"/>
      <c r="G4" s="1171"/>
      <c r="H4" s="4"/>
    </row>
    <row r="5" spans="1:8" x14ac:dyDescent="0.35">
      <c r="B5" s="1176" t="str">
        <f>'Stmt AD'!B5</f>
        <v>Base Period &amp; True-Up Period 12 - Months Ending December 31, 2022</v>
      </c>
      <c r="C5" s="1176"/>
      <c r="D5" s="1176"/>
      <c r="E5" s="1176"/>
      <c r="F5" s="1176"/>
      <c r="G5" s="1176"/>
      <c r="H5" s="4"/>
    </row>
    <row r="6" spans="1:8" x14ac:dyDescent="0.35">
      <c r="B6" s="1175" t="s">
        <v>5</v>
      </c>
      <c r="C6" s="1172"/>
      <c r="D6" s="1172"/>
      <c r="E6" s="1172"/>
      <c r="F6" s="1172"/>
      <c r="G6" s="1172"/>
      <c r="H6" s="4"/>
    </row>
    <row r="7" spans="1:8" x14ac:dyDescent="0.35">
      <c r="B7" s="4"/>
      <c r="C7" s="4"/>
      <c r="D7" s="4"/>
      <c r="E7" s="4"/>
      <c r="F7" s="4"/>
      <c r="G7" s="4"/>
      <c r="H7" s="4"/>
    </row>
    <row r="8" spans="1:8" x14ac:dyDescent="0.35">
      <c r="A8" s="4" t="s">
        <v>6</v>
      </c>
      <c r="C8" s="4" t="s">
        <v>317</v>
      </c>
      <c r="E8" s="4"/>
      <c r="F8" s="4"/>
      <c r="G8" s="4"/>
      <c r="H8" s="4" t="s">
        <v>6</v>
      </c>
    </row>
    <row r="9" spans="1:8" x14ac:dyDescent="0.35">
      <c r="A9" s="4" t="s">
        <v>7</v>
      </c>
      <c r="B9" s="34" t="s">
        <v>1</v>
      </c>
      <c r="C9" s="876" t="s">
        <v>319</v>
      </c>
      <c r="E9" s="876" t="s">
        <v>8</v>
      </c>
      <c r="F9" s="644"/>
      <c r="G9" s="876" t="s">
        <v>9</v>
      </c>
      <c r="H9" s="4" t="s">
        <v>7</v>
      </c>
    </row>
    <row r="10" spans="1:8" x14ac:dyDescent="0.35">
      <c r="E10" s="73"/>
      <c r="F10" s="73"/>
      <c r="G10" s="4"/>
      <c r="H10" s="4"/>
    </row>
    <row r="11" spans="1:8" ht="18" x14ac:dyDescent="0.35">
      <c r="A11" s="4">
        <f>+A10+1</f>
        <v>1</v>
      </c>
      <c r="B11" s="34" t="s">
        <v>1104</v>
      </c>
      <c r="C11" s="4"/>
      <c r="E11" s="87">
        <v>0</v>
      </c>
      <c r="F11" s="644"/>
      <c r="G11" s="644"/>
      <c r="H11" s="4">
        <f>A11</f>
        <v>1</v>
      </c>
    </row>
    <row r="12" spans="1:8" x14ac:dyDescent="0.35">
      <c r="A12" s="4">
        <f>+A11+1</f>
        <v>2</v>
      </c>
      <c r="E12" s="73"/>
      <c r="F12" s="73"/>
      <c r="G12" s="644"/>
      <c r="H12" s="4">
        <f>+H11+1</f>
        <v>2</v>
      </c>
    </row>
    <row r="13" spans="1:8" x14ac:dyDescent="0.35">
      <c r="A13" s="4">
        <f>+A12+1</f>
        <v>3</v>
      </c>
      <c r="B13" s="34" t="s">
        <v>1106</v>
      </c>
      <c r="E13" s="73"/>
      <c r="F13" s="644"/>
      <c r="G13" s="644"/>
      <c r="H13" s="4">
        <f>+H12+1</f>
        <v>3</v>
      </c>
    </row>
    <row r="14" spans="1:8" x14ac:dyDescent="0.35">
      <c r="A14" s="4">
        <f t="shared" ref="A14:A19" si="0">+A13+1</f>
        <v>4</v>
      </c>
      <c r="B14" s="35" t="s">
        <v>1107</v>
      </c>
      <c r="C14" s="4"/>
      <c r="E14" s="45">
        <f>'AT-1'!G18</f>
        <v>0</v>
      </c>
      <c r="F14" s="644"/>
      <c r="G14" s="4" t="s">
        <v>1131</v>
      </c>
      <c r="H14" s="4">
        <f t="shared" ref="H14:H19" si="1">+H13+1</f>
        <v>4</v>
      </c>
    </row>
    <row r="15" spans="1:8" x14ac:dyDescent="0.35">
      <c r="A15" s="4">
        <f t="shared" si="0"/>
        <v>5</v>
      </c>
      <c r="B15" s="35" t="s">
        <v>1109</v>
      </c>
      <c r="C15" s="4"/>
      <c r="E15" s="45">
        <f>'AT-1'!G25</f>
        <v>0</v>
      </c>
      <c r="F15" s="644"/>
      <c r="G15" s="4" t="s">
        <v>1132</v>
      </c>
      <c r="H15" s="4">
        <f t="shared" si="1"/>
        <v>5</v>
      </c>
    </row>
    <row r="16" spans="1:8" x14ac:dyDescent="0.35">
      <c r="A16" s="4">
        <f t="shared" si="0"/>
        <v>6</v>
      </c>
      <c r="B16" s="35" t="s">
        <v>1111</v>
      </c>
      <c r="C16" s="4"/>
      <c r="E16" s="963">
        <f>'AT-1'!G33</f>
        <v>0</v>
      </c>
      <c r="F16" s="644"/>
      <c r="G16" s="4" t="s">
        <v>1133</v>
      </c>
      <c r="H16" s="4">
        <f t="shared" si="1"/>
        <v>6</v>
      </c>
    </row>
    <row r="17" spans="1:8" x14ac:dyDescent="0.35">
      <c r="A17" s="4">
        <f t="shared" si="0"/>
        <v>7</v>
      </c>
      <c r="B17" s="35" t="s">
        <v>1113</v>
      </c>
      <c r="C17" s="4"/>
      <c r="E17" s="1117">
        <f>SUM(E14:E16)</f>
        <v>0</v>
      </c>
      <c r="F17" s="644"/>
      <c r="G17" s="4" t="s">
        <v>1114</v>
      </c>
      <c r="H17" s="4">
        <f t="shared" si="1"/>
        <v>7</v>
      </c>
    </row>
    <row r="18" spans="1:8" x14ac:dyDescent="0.35">
      <c r="A18" s="4">
        <f t="shared" si="0"/>
        <v>8</v>
      </c>
      <c r="E18" s="6"/>
      <c r="F18" s="6"/>
      <c r="G18" s="47"/>
      <c r="H18" s="4">
        <f t="shared" si="1"/>
        <v>8</v>
      </c>
    </row>
    <row r="19" spans="1:8" ht="16" thickBot="1" x14ac:dyDescent="0.4">
      <c r="A19" s="4">
        <f t="shared" si="0"/>
        <v>9</v>
      </c>
      <c r="B19" s="34" t="s">
        <v>1134</v>
      </c>
      <c r="E19" s="40">
        <f>E11+E17</f>
        <v>0</v>
      </c>
      <c r="F19" s="38"/>
      <c r="G19" s="4" t="s">
        <v>1116</v>
      </c>
      <c r="H19" s="4">
        <f t="shared" si="1"/>
        <v>9</v>
      </c>
    </row>
    <row r="20" spans="1:8" ht="16" thickTop="1" x14ac:dyDescent="0.35">
      <c r="E20" s="38"/>
      <c r="F20" s="38"/>
      <c r="G20" s="4"/>
      <c r="H20" s="4"/>
    </row>
    <row r="21" spans="1:8" x14ac:dyDescent="0.35">
      <c r="H21" s="4"/>
    </row>
    <row r="22" spans="1:8" ht="18" x14ac:dyDescent="0.35">
      <c r="A22" s="261">
        <v>1</v>
      </c>
      <c r="B22" s="34" t="s">
        <v>1117</v>
      </c>
      <c r="H22" s="4"/>
    </row>
    <row r="23" spans="1:8" ht="18" x14ac:dyDescent="0.35">
      <c r="A23" s="276"/>
      <c r="B23" s="35"/>
      <c r="H23" s="4"/>
    </row>
    <row r="24" spans="1:8" x14ac:dyDescent="0.35">
      <c r="B24" s="35"/>
      <c r="H24" s="4"/>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Roman,Regular"&amp;10AT</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4296875" defaultRowHeight="15.5" x14ac:dyDescent="0.35"/>
  <cols>
    <col min="1" max="1" width="5.453125" style="4" customWidth="1"/>
    <col min="2" max="2" width="50.90625" style="34" customWidth="1"/>
    <col min="3" max="3" width="20.08984375" style="34" customWidth="1"/>
    <col min="4" max="4" width="1.54296875" style="34" customWidth="1"/>
    <col min="5" max="5" width="20.08984375" style="34" customWidth="1"/>
    <col min="6" max="6" width="1.54296875" style="34" customWidth="1"/>
    <col min="7" max="7" width="23.453125" style="34" bestFit="1" customWidth="1"/>
    <col min="8" max="8" width="62.54296875" style="34" customWidth="1"/>
    <col min="9" max="9" width="5.453125" style="4" customWidth="1"/>
    <col min="10" max="16384" width="8.54296875" style="34"/>
  </cols>
  <sheetData>
    <row r="2" spans="1:9" x14ac:dyDescent="0.35">
      <c r="B2" s="1171" t="s">
        <v>0</v>
      </c>
      <c r="C2" s="1171"/>
      <c r="D2" s="1171"/>
      <c r="E2" s="1171"/>
      <c r="F2" s="1171"/>
      <c r="G2" s="1171"/>
      <c r="H2" s="1171"/>
    </row>
    <row r="3" spans="1:9" x14ac:dyDescent="0.35">
      <c r="B3" s="1171" t="s">
        <v>1135</v>
      </c>
      <c r="C3" s="1171"/>
      <c r="D3" s="1171"/>
      <c r="E3" s="1171"/>
      <c r="F3" s="1171"/>
      <c r="G3" s="1171"/>
      <c r="H3" s="1171"/>
    </row>
    <row r="4" spans="1:9" x14ac:dyDescent="0.35">
      <c r="B4" s="1171" t="s">
        <v>1119</v>
      </c>
      <c r="C4" s="1171"/>
      <c r="D4" s="1171"/>
      <c r="E4" s="1171"/>
      <c r="F4" s="1171"/>
      <c r="G4" s="1171"/>
      <c r="H4" s="1171"/>
    </row>
    <row r="5" spans="1:9" x14ac:dyDescent="0.35">
      <c r="B5" s="1171" t="s">
        <v>563</v>
      </c>
      <c r="C5" s="1171"/>
      <c r="D5" s="1171"/>
      <c r="E5" s="1171"/>
      <c r="F5" s="1171"/>
      <c r="G5" s="1171"/>
      <c r="H5" s="1171"/>
    </row>
    <row r="6" spans="1:9" ht="15.75" customHeight="1" x14ac:dyDescent="0.35">
      <c r="B6" s="1175" t="s">
        <v>5</v>
      </c>
      <c r="C6" s="1175"/>
      <c r="D6" s="1175"/>
      <c r="E6" s="1175"/>
      <c r="F6" s="1175"/>
      <c r="G6" s="1175"/>
      <c r="H6" s="1175"/>
    </row>
    <row r="8" spans="1:9" x14ac:dyDescent="0.35">
      <c r="B8" s="1"/>
      <c r="C8" s="272" t="s">
        <v>280</v>
      </c>
      <c r="D8" s="272"/>
      <c r="E8" s="272" t="s">
        <v>281</v>
      </c>
      <c r="F8" s="272"/>
      <c r="G8" s="272" t="s">
        <v>1120</v>
      </c>
      <c r="H8" s="272"/>
    </row>
    <row r="9" spans="1:9" ht="18" x14ac:dyDescent="0.35">
      <c r="A9" s="4" t="s">
        <v>6</v>
      </c>
      <c r="B9" s="1"/>
      <c r="C9" s="272" t="s">
        <v>1136</v>
      </c>
      <c r="D9" s="272"/>
      <c r="E9" s="272" t="s">
        <v>1137</v>
      </c>
      <c r="F9" s="272"/>
      <c r="G9" s="272"/>
      <c r="H9" s="272"/>
      <c r="I9" s="4" t="s">
        <v>6</v>
      </c>
    </row>
    <row r="10" spans="1:9" x14ac:dyDescent="0.35">
      <c r="A10" s="4" t="s">
        <v>7</v>
      </c>
      <c r="B10" s="990" t="s">
        <v>423</v>
      </c>
      <c r="C10" s="753" t="s">
        <v>541</v>
      </c>
      <c r="D10" s="753"/>
      <c r="E10" s="753" t="s">
        <v>542</v>
      </c>
      <c r="F10" s="753"/>
      <c r="G10" s="990" t="s">
        <v>265</v>
      </c>
      <c r="H10" s="990" t="s">
        <v>9</v>
      </c>
      <c r="I10" s="4" t="s">
        <v>7</v>
      </c>
    </row>
    <row r="11" spans="1:9" x14ac:dyDescent="0.35">
      <c r="B11" s="1"/>
      <c r="C11" s="349"/>
      <c r="D11" s="349"/>
      <c r="E11" s="349"/>
      <c r="F11" s="349"/>
      <c r="G11" s="95"/>
      <c r="H11" s="95"/>
    </row>
    <row r="12" spans="1:9" x14ac:dyDescent="0.35">
      <c r="A12" s="4">
        <v>1</v>
      </c>
      <c r="B12" s="35" t="s">
        <v>543</v>
      </c>
      <c r="C12" s="94"/>
      <c r="D12" s="94"/>
      <c r="E12" s="94"/>
      <c r="F12" s="94"/>
      <c r="G12" s="95"/>
      <c r="H12" s="47"/>
      <c r="I12" s="4">
        <f>A12</f>
        <v>1</v>
      </c>
    </row>
    <row r="13" spans="1:9" x14ac:dyDescent="0.35">
      <c r="A13" s="4">
        <f>A12+1</f>
        <v>2</v>
      </c>
      <c r="B13" s="35" t="s">
        <v>544</v>
      </c>
      <c r="C13" s="38">
        <v>0</v>
      </c>
      <c r="D13" s="38"/>
      <c r="E13" s="38">
        <v>0</v>
      </c>
      <c r="F13" s="92"/>
      <c r="G13" s="38">
        <f>SUM(C13:E13)</f>
        <v>0</v>
      </c>
      <c r="H13" s="47" t="s">
        <v>572</v>
      </c>
      <c r="I13" s="4">
        <f>I12+1</f>
        <v>2</v>
      </c>
    </row>
    <row r="14" spans="1:9" x14ac:dyDescent="0.35">
      <c r="A14" s="4">
        <f>A13+1</f>
        <v>3</v>
      </c>
      <c r="B14" s="35" t="s">
        <v>546</v>
      </c>
      <c r="C14" s="6">
        <v>0</v>
      </c>
      <c r="D14" s="6"/>
      <c r="E14" s="6">
        <v>0</v>
      </c>
      <c r="F14" s="6"/>
      <c r="G14" s="6">
        <f>SUM(C14:E14)</f>
        <v>0</v>
      </c>
      <c r="H14" s="47" t="s">
        <v>572</v>
      </c>
      <c r="I14" s="4">
        <f>I13+1</f>
        <v>3</v>
      </c>
    </row>
    <row r="15" spans="1:9" x14ac:dyDescent="0.35">
      <c r="A15" s="4">
        <f>A14+1</f>
        <v>4</v>
      </c>
      <c r="B15" s="835"/>
      <c r="C15" s="6">
        <v>0</v>
      </c>
      <c r="D15" s="6"/>
      <c r="E15" s="6">
        <v>0</v>
      </c>
      <c r="F15" s="6"/>
      <c r="G15" s="6">
        <f>SUM(C15:E15)</f>
        <v>0</v>
      </c>
      <c r="H15" s="834"/>
      <c r="I15" s="4">
        <f>I14+1</f>
        <v>4</v>
      </c>
    </row>
    <row r="16" spans="1:9" x14ac:dyDescent="0.35">
      <c r="A16" s="4">
        <f>A15+1</f>
        <v>5</v>
      </c>
      <c r="B16" s="35"/>
      <c r="C16" s="6">
        <v>0</v>
      </c>
      <c r="D16" s="6"/>
      <c r="E16" s="6">
        <v>0</v>
      </c>
      <c r="F16" s="6"/>
      <c r="G16" s="6">
        <f>SUM(C16:E16)</f>
        <v>0</v>
      </c>
      <c r="H16" s="47"/>
      <c r="I16" s="4">
        <f>I15+1</f>
        <v>5</v>
      </c>
    </row>
    <row r="17" spans="1:9" x14ac:dyDescent="0.35">
      <c r="A17" s="4">
        <f t="shared" ref="A17:A35" si="0">A16+1</f>
        <v>6</v>
      </c>
      <c r="C17" s="6">
        <v>0</v>
      </c>
      <c r="D17" s="6"/>
      <c r="E17" s="6">
        <v>0</v>
      </c>
      <c r="F17" s="6"/>
      <c r="G17" s="6">
        <f>SUM(C17:E17)</f>
        <v>0</v>
      </c>
      <c r="H17" s="47"/>
      <c r="I17" s="4">
        <f t="shared" ref="I17:I35" si="1">I16+1</f>
        <v>6</v>
      </c>
    </row>
    <row r="18" spans="1:9" ht="16" thickBot="1" x14ac:dyDescent="0.4">
      <c r="A18" s="4">
        <f t="shared" si="0"/>
        <v>7</v>
      </c>
      <c r="B18" s="350" t="s">
        <v>547</v>
      </c>
      <c r="C18" s="93">
        <f>SUM(C13:C17)</f>
        <v>0</v>
      </c>
      <c r="D18" s="46"/>
      <c r="E18" s="93">
        <f>SUM(E13:E17)</f>
        <v>0</v>
      </c>
      <c r="F18" s="6"/>
      <c r="G18" s="93">
        <f>SUM(G13:G17)</f>
        <v>0</v>
      </c>
      <c r="H18" s="47" t="s">
        <v>548</v>
      </c>
      <c r="I18" s="4">
        <f t="shared" si="1"/>
        <v>7</v>
      </c>
    </row>
    <row r="19" spans="1:9" ht="16" thickTop="1" x14ac:dyDescent="0.35">
      <c r="A19" s="4">
        <f t="shared" si="0"/>
        <v>8</v>
      </c>
      <c r="C19" s="89"/>
      <c r="D19" s="89"/>
      <c r="E19" s="89"/>
      <c r="F19" s="89"/>
      <c r="G19" s="89"/>
      <c r="H19" s="47"/>
      <c r="I19" s="4">
        <f t="shared" si="1"/>
        <v>8</v>
      </c>
    </row>
    <row r="20" spans="1:9" x14ac:dyDescent="0.35">
      <c r="A20" s="4">
        <f t="shared" si="0"/>
        <v>9</v>
      </c>
      <c r="B20" s="35" t="s">
        <v>549</v>
      </c>
      <c r="C20" s="94"/>
      <c r="D20" s="94"/>
      <c r="E20" s="94"/>
      <c r="F20" s="94"/>
      <c r="G20" s="95"/>
      <c r="H20" s="47"/>
      <c r="I20" s="4">
        <f t="shared" si="1"/>
        <v>9</v>
      </c>
    </row>
    <row r="21" spans="1:9" x14ac:dyDescent="0.35">
      <c r="A21" s="4">
        <f t="shared" si="0"/>
        <v>10</v>
      </c>
      <c r="B21" s="749" t="s">
        <v>546</v>
      </c>
      <c r="C21" s="38">
        <v>0</v>
      </c>
      <c r="D21" s="38"/>
      <c r="E21" s="38">
        <v>0</v>
      </c>
      <c r="F21" s="38"/>
      <c r="G21" s="38">
        <f>SUM(C21:E21)</f>
        <v>0</v>
      </c>
      <c r="H21" s="47" t="s">
        <v>572</v>
      </c>
      <c r="I21" s="4">
        <f t="shared" si="1"/>
        <v>10</v>
      </c>
    </row>
    <row r="22" spans="1:9" x14ac:dyDescent="0.35">
      <c r="A22" s="4">
        <f t="shared" si="0"/>
        <v>11</v>
      </c>
      <c r="C22" s="6">
        <v>0</v>
      </c>
      <c r="D22" s="6"/>
      <c r="E22" s="6">
        <v>0</v>
      </c>
      <c r="F22" s="6"/>
      <c r="G22" s="6">
        <f>SUM(C22:E22)</f>
        <v>0</v>
      </c>
      <c r="H22" s="47"/>
      <c r="I22" s="4">
        <f t="shared" si="1"/>
        <v>11</v>
      </c>
    </row>
    <row r="23" spans="1:9" x14ac:dyDescent="0.35">
      <c r="A23" s="4">
        <f t="shared" si="0"/>
        <v>12</v>
      </c>
      <c r="C23" s="6">
        <v>0</v>
      </c>
      <c r="D23" s="6"/>
      <c r="E23" s="6">
        <v>0</v>
      </c>
      <c r="F23" s="6"/>
      <c r="G23" s="6">
        <f>SUM(C23:E23)</f>
        <v>0</v>
      </c>
      <c r="H23" s="47"/>
      <c r="I23" s="4">
        <f t="shared" si="1"/>
        <v>12</v>
      </c>
    </row>
    <row r="24" spans="1:9" x14ac:dyDescent="0.35">
      <c r="A24" s="4">
        <f t="shared" si="0"/>
        <v>13</v>
      </c>
      <c r="C24" s="6">
        <v>0</v>
      </c>
      <c r="D24" s="6"/>
      <c r="E24" s="6">
        <v>0</v>
      </c>
      <c r="F24" s="6"/>
      <c r="G24" s="6">
        <f>SUM(C24:E24)</f>
        <v>0</v>
      </c>
      <c r="H24" s="47"/>
      <c r="I24" s="4">
        <f t="shared" si="1"/>
        <v>13</v>
      </c>
    </row>
    <row r="25" spans="1:9" ht="16" thickBot="1" x14ac:dyDescent="0.4">
      <c r="A25" s="4">
        <f t="shared" si="0"/>
        <v>14</v>
      </c>
      <c r="B25" s="350" t="s">
        <v>550</v>
      </c>
      <c r="C25" s="93">
        <f>SUM(C21:C24)</f>
        <v>0</v>
      </c>
      <c r="D25" s="46"/>
      <c r="E25" s="93">
        <f>SUM(E21:E24)</f>
        <v>0</v>
      </c>
      <c r="F25" s="6"/>
      <c r="G25" s="93">
        <f>SUM(G21:G24)</f>
        <v>0</v>
      </c>
      <c r="H25" s="47" t="s">
        <v>551</v>
      </c>
      <c r="I25" s="4">
        <f t="shared" si="1"/>
        <v>14</v>
      </c>
    </row>
    <row r="26" spans="1:9" ht="16" thickTop="1" x14ac:dyDescent="0.35">
      <c r="A26" s="4">
        <f t="shared" si="0"/>
        <v>15</v>
      </c>
      <c r="H26" s="47"/>
      <c r="I26" s="4">
        <f t="shared" si="1"/>
        <v>15</v>
      </c>
    </row>
    <row r="27" spans="1:9" x14ac:dyDescent="0.35">
      <c r="A27" s="4">
        <f t="shared" si="0"/>
        <v>16</v>
      </c>
      <c r="B27" s="35" t="s">
        <v>552</v>
      </c>
      <c r="C27" s="94"/>
      <c r="D27" s="94"/>
      <c r="E27" s="94"/>
      <c r="F27" s="94"/>
      <c r="G27" s="95"/>
      <c r="H27" s="47"/>
      <c r="I27" s="4">
        <f t="shared" si="1"/>
        <v>16</v>
      </c>
    </row>
    <row r="28" spans="1:9" x14ac:dyDescent="0.35">
      <c r="A28" s="4">
        <f t="shared" si="0"/>
        <v>17</v>
      </c>
      <c r="B28" s="35" t="s">
        <v>544</v>
      </c>
      <c r="C28" s="38">
        <v>0</v>
      </c>
      <c r="D28" s="38"/>
      <c r="E28" s="38">
        <v>0</v>
      </c>
      <c r="F28" s="92"/>
      <c r="G28" s="38">
        <f>SUM(C28:E28)</f>
        <v>0</v>
      </c>
      <c r="H28" s="47" t="s">
        <v>572</v>
      </c>
      <c r="I28" s="4">
        <f t="shared" si="1"/>
        <v>17</v>
      </c>
    </row>
    <row r="29" spans="1:9" x14ac:dyDescent="0.35">
      <c r="A29" s="4">
        <f t="shared" si="0"/>
        <v>18</v>
      </c>
      <c r="B29" s="35"/>
      <c r="C29" s="6">
        <v>0</v>
      </c>
      <c r="D29" s="6"/>
      <c r="E29" s="6">
        <v>0</v>
      </c>
      <c r="F29" s="6"/>
      <c r="G29" s="6">
        <f>SUM(C29:E29)</f>
        <v>0</v>
      </c>
      <c r="H29" s="4"/>
      <c r="I29" s="4">
        <f t="shared" si="1"/>
        <v>18</v>
      </c>
    </row>
    <row r="30" spans="1:9" x14ac:dyDescent="0.35">
      <c r="A30" s="4">
        <f t="shared" si="0"/>
        <v>19</v>
      </c>
      <c r="B30" s="35"/>
      <c r="C30" s="6">
        <v>0</v>
      </c>
      <c r="D30" s="6"/>
      <c r="E30" s="6">
        <v>0</v>
      </c>
      <c r="F30" s="6"/>
      <c r="G30" s="6">
        <f>SUM(C30:E30)</f>
        <v>0</v>
      </c>
      <c r="H30" s="6"/>
      <c r="I30" s="4">
        <f t="shared" si="1"/>
        <v>19</v>
      </c>
    </row>
    <row r="31" spans="1:9" x14ac:dyDescent="0.35">
      <c r="A31" s="4">
        <f t="shared" si="0"/>
        <v>20</v>
      </c>
      <c r="B31" s="35"/>
      <c r="C31" s="6">
        <v>0</v>
      </c>
      <c r="D31" s="6"/>
      <c r="E31" s="6">
        <v>0</v>
      </c>
      <c r="F31" s="6"/>
      <c r="G31" s="6">
        <f>SUM(C31:E31)</f>
        <v>0</v>
      </c>
      <c r="H31" s="6"/>
      <c r="I31" s="4">
        <f t="shared" si="1"/>
        <v>20</v>
      </c>
    </row>
    <row r="32" spans="1:9" x14ac:dyDescent="0.35">
      <c r="A32" s="4">
        <f t="shared" si="0"/>
        <v>21</v>
      </c>
      <c r="B32" s="35"/>
      <c r="C32" s="6">
        <v>0</v>
      </c>
      <c r="D32" s="6"/>
      <c r="E32" s="6">
        <v>0</v>
      </c>
      <c r="F32" s="6"/>
      <c r="G32" s="6">
        <f>SUM(C32:E32)</f>
        <v>0</v>
      </c>
      <c r="H32" s="6"/>
      <c r="I32" s="4">
        <f t="shared" si="1"/>
        <v>21</v>
      </c>
    </row>
    <row r="33" spans="1:9" ht="16" thickBot="1" x14ac:dyDescent="0.4">
      <c r="A33" s="4">
        <f t="shared" si="0"/>
        <v>22</v>
      </c>
      <c r="B33" s="350" t="s">
        <v>554</v>
      </c>
      <c r="C33" s="93">
        <f>SUM(C28:C32)</f>
        <v>0</v>
      </c>
      <c r="D33" s="46"/>
      <c r="E33" s="93">
        <f>SUM(E28:E32)</f>
        <v>0</v>
      </c>
      <c r="F33" s="6"/>
      <c r="G33" s="93">
        <f>SUM(G28:G32)</f>
        <v>0</v>
      </c>
      <c r="H33" s="47" t="s">
        <v>555</v>
      </c>
      <c r="I33" s="4">
        <f t="shared" si="1"/>
        <v>22</v>
      </c>
    </row>
    <row r="34" spans="1:9" ht="16" thickTop="1" x14ac:dyDescent="0.35">
      <c r="A34" s="4">
        <f t="shared" si="0"/>
        <v>23</v>
      </c>
      <c r="H34" s="47"/>
      <c r="I34" s="4">
        <f t="shared" si="1"/>
        <v>23</v>
      </c>
    </row>
    <row r="35" spans="1:9" ht="16" thickBot="1" x14ac:dyDescent="0.4">
      <c r="A35" s="4">
        <f t="shared" si="0"/>
        <v>24</v>
      </c>
      <c r="B35" s="1" t="s">
        <v>1138</v>
      </c>
      <c r="C35" s="93">
        <f>+C18+C25+C33</f>
        <v>0</v>
      </c>
      <c r="D35" s="46"/>
      <c r="E35" s="93">
        <f>+E18+E25+E33</f>
        <v>0</v>
      </c>
      <c r="G35" s="93">
        <f>+G18+G25+G33</f>
        <v>0</v>
      </c>
      <c r="H35" s="47" t="s">
        <v>557</v>
      </c>
      <c r="I35" s="4">
        <f t="shared" si="1"/>
        <v>24</v>
      </c>
    </row>
    <row r="36" spans="1:9" ht="16" thickTop="1" x14ac:dyDescent="0.35">
      <c r="B36" s="1"/>
      <c r="C36" s="46"/>
      <c r="D36" s="46"/>
      <c r="E36" s="46"/>
      <c r="G36" s="46"/>
      <c r="H36" s="47"/>
    </row>
    <row r="38" spans="1:9" ht="18" x14ac:dyDescent="0.35">
      <c r="A38" s="261">
        <v>1</v>
      </c>
      <c r="B38" s="34" t="s">
        <v>558</v>
      </c>
    </row>
    <row r="39" spans="1:9" ht="18" x14ac:dyDescent="0.35">
      <c r="A39" s="261"/>
    </row>
    <row r="40" spans="1:9" ht="18" x14ac:dyDescent="0.35">
      <c r="A40" s="261"/>
    </row>
  </sheetData>
  <mergeCells count="5">
    <mergeCell ref="B2:H2"/>
    <mergeCell ref="B3:H3"/>
    <mergeCell ref="B4:H4"/>
    <mergeCell ref="B5:H5"/>
    <mergeCell ref="B6:H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heetViews>
  <sheetFormatPr defaultColWidth="8.90625" defaultRowHeight="15.5" x14ac:dyDescent="0.35"/>
  <cols>
    <col min="1" max="1" width="5.08984375" style="4" customWidth="1"/>
    <col min="2" max="2" width="63.453125" style="34" customWidth="1"/>
    <col min="3" max="3" width="25.54296875" style="34" bestFit="1" customWidth="1"/>
    <col min="4" max="4" width="1.54296875" style="34" customWidth="1"/>
    <col min="5" max="5" width="16.90625" style="34" customWidth="1"/>
    <col min="6" max="6" width="1.54296875" style="34" customWidth="1"/>
    <col min="7" max="7" width="38.08984375" style="34" customWidth="1"/>
    <col min="8" max="8" width="5.08984375" style="34" customWidth="1"/>
    <col min="9" max="9" width="8.90625" style="34"/>
    <col min="10" max="10" width="20.453125" style="34" bestFit="1" customWidth="1"/>
    <col min="11" max="16384" width="8.90625" style="34"/>
  </cols>
  <sheetData>
    <row r="1" spans="1:8" x14ac:dyDescent="0.35">
      <c r="E1" s="73"/>
      <c r="F1" s="73"/>
      <c r="G1" s="4"/>
      <c r="H1" s="4"/>
    </row>
    <row r="2" spans="1:8" x14ac:dyDescent="0.35">
      <c r="B2" s="1171" t="s">
        <v>0</v>
      </c>
      <c r="C2" s="1171"/>
      <c r="D2" s="1171"/>
      <c r="E2" s="1171"/>
      <c r="F2" s="1171"/>
      <c r="G2" s="1171"/>
      <c r="H2" s="4"/>
    </row>
    <row r="3" spans="1:8" x14ac:dyDescent="0.35">
      <c r="B3" s="1171" t="s">
        <v>1139</v>
      </c>
      <c r="C3" s="1171"/>
      <c r="D3" s="1171"/>
      <c r="E3" s="1171"/>
      <c r="F3" s="1171"/>
      <c r="G3" s="1171"/>
      <c r="H3" s="4"/>
    </row>
    <row r="4" spans="1:8" x14ac:dyDescent="0.35">
      <c r="B4" s="1171" t="s">
        <v>1140</v>
      </c>
      <c r="C4" s="1171"/>
      <c r="D4" s="1171"/>
      <c r="E4" s="1171"/>
      <c r="F4" s="1171"/>
      <c r="G4" s="1171"/>
      <c r="H4" s="4"/>
    </row>
    <row r="5" spans="1:8" x14ac:dyDescent="0.35">
      <c r="B5" s="1176" t="str">
        <f>'Stmt AD'!B5</f>
        <v>Base Period &amp; True-Up Period 12 - Months Ending December 31, 2022</v>
      </c>
      <c r="C5" s="1176"/>
      <c r="D5" s="1176"/>
      <c r="E5" s="1176"/>
      <c r="F5" s="1176"/>
      <c r="G5" s="1176"/>
      <c r="H5" s="4"/>
    </row>
    <row r="6" spans="1:8" x14ac:dyDescent="0.35">
      <c r="B6" s="1175" t="s">
        <v>5</v>
      </c>
      <c r="C6" s="1172"/>
      <c r="D6" s="1172"/>
      <c r="E6" s="1172"/>
      <c r="F6" s="1172"/>
      <c r="G6" s="1172"/>
      <c r="H6" s="4"/>
    </row>
    <row r="7" spans="1:8" x14ac:dyDescent="0.35">
      <c r="B7" s="4"/>
      <c r="C7" s="4"/>
      <c r="D7" s="4"/>
      <c r="E7" s="4"/>
      <c r="F7" s="4"/>
      <c r="G7" s="4"/>
      <c r="H7" s="4"/>
    </row>
    <row r="8" spans="1:8" x14ac:dyDescent="0.35">
      <c r="A8" s="4" t="s">
        <v>6</v>
      </c>
      <c r="B8" s="226"/>
      <c r="C8" s="4" t="s">
        <v>317</v>
      </c>
      <c r="D8" s="226"/>
      <c r="E8" s="226"/>
      <c r="F8" s="226"/>
      <c r="G8" s="4"/>
      <c r="H8" s="4" t="s">
        <v>6</v>
      </c>
    </row>
    <row r="9" spans="1:8" x14ac:dyDescent="0.35">
      <c r="A9" s="4" t="s">
        <v>7</v>
      </c>
      <c r="B9" s="226"/>
      <c r="C9" s="876" t="s">
        <v>319</v>
      </c>
      <c r="D9" s="226"/>
      <c r="E9" s="877" t="s">
        <v>8</v>
      </c>
      <c r="F9" s="226"/>
      <c r="G9" s="876" t="s">
        <v>9</v>
      </c>
      <c r="H9" s="4" t="s">
        <v>7</v>
      </c>
    </row>
    <row r="10" spans="1:8" x14ac:dyDescent="0.35">
      <c r="B10" s="4"/>
      <c r="C10" s="4"/>
      <c r="D10" s="4"/>
      <c r="E10" s="4"/>
      <c r="F10" s="4"/>
      <c r="G10" s="1041"/>
      <c r="H10" s="4"/>
    </row>
    <row r="11" spans="1:8" ht="18" x14ac:dyDescent="0.35">
      <c r="A11" s="4">
        <v>1</v>
      </c>
      <c r="B11" s="34" t="s">
        <v>1141</v>
      </c>
      <c r="C11" s="4" t="s">
        <v>1142</v>
      </c>
      <c r="E11" s="43">
        <v>0</v>
      </c>
      <c r="F11" s="226"/>
      <c r="G11" s="4"/>
      <c r="H11" s="4">
        <f>A11</f>
        <v>1</v>
      </c>
    </row>
    <row r="12" spans="1:8" x14ac:dyDescent="0.35">
      <c r="A12" s="4">
        <f>+A11+1</f>
        <v>2</v>
      </c>
      <c r="E12" s="41"/>
      <c r="F12" s="226"/>
      <c r="G12" s="4"/>
      <c r="H12" s="4">
        <f>+H11+1</f>
        <v>2</v>
      </c>
    </row>
    <row r="13" spans="1:8" x14ac:dyDescent="0.35">
      <c r="A13" s="4">
        <f t="shared" ref="A13:A25" si="0">+A12+1</f>
        <v>3</v>
      </c>
      <c r="B13" s="34" t="s">
        <v>1143</v>
      </c>
      <c r="C13" s="4" t="s">
        <v>1144</v>
      </c>
      <c r="E13" s="45">
        <v>0</v>
      </c>
      <c r="F13" s="226"/>
      <c r="G13" s="4"/>
      <c r="H13" s="4">
        <f t="shared" ref="H13:H25" si="1">+H12+1</f>
        <v>3</v>
      </c>
    </row>
    <row r="14" spans="1:8" x14ac:dyDescent="0.35">
      <c r="A14" s="4">
        <f t="shared" si="0"/>
        <v>4</v>
      </c>
      <c r="E14" s="41"/>
      <c r="F14" s="226"/>
      <c r="G14" s="4"/>
      <c r="H14" s="4">
        <f t="shared" si="1"/>
        <v>4</v>
      </c>
    </row>
    <row r="15" spans="1:8" x14ac:dyDescent="0.35">
      <c r="A15" s="4">
        <f t="shared" si="0"/>
        <v>5</v>
      </c>
      <c r="B15" s="34" t="s">
        <v>1145</v>
      </c>
      <c r="C15" s="4" t="s">
        <v>1146</v>
      </c>
      <c r="E15" s="45">
        <f>'AU-1'!V15/1000</f>
        <v>-2469.3310000000001</v>
      </c>
      <c r="F15" s="226"/>
      <c r="G15" s="4" t="s">
        <v>1838</v>
      </c>
      <c r="H15" s="4">
        <f t="shared" si="1"/>
        <v>5</v>
      </c>
    </row>
    <row r="16" spans="1:8" x14ac:dyDescent="0.35">
      <c r="A16" s="4">
        <f t="shared" si="0"/>
        <v>6</v>
      </c>
      <c r="E16" s="41"/>
      <c r="F16" s="226"/>
      <c r="G16" s="4"/>
      <c r="H16" s="4">
        <f t="shared" si="1"/>
        <v>6</v>
      </c>
    </row>
    <row r="17" spans="1:8" x14ac:dyDescent="0.35">
      <c r="A17" s="4">
        <f t="shared" si="0"/>
        <v>7</v>
      </c>
      <c r="B17" s="34" t="s">
        <v>1147</v>
      </c>
      <c r="C17" s="4" t="s">
        <v>1148</v>
      </c>
      <c r="E17" s="45">
        <v>0</v>
      </c>
      <c r="F17" s="226"/>
      <c r="G17" s="4"/>
      <c r="H17" s="4">
        <f t="shared" si="1"/>
        <v>7</v>
      </c>
    </row>
    <row r="18" spans="1:8" x14ac:dyDescent="0.35">
      <c r="A18" s="4">
        <f t="shared" si="0"/>
        <v>8</v>
      </c>
      <c r="E18" s="41"/>
      <c r="F18" s="226"/>
      <c r="G18" s="4"/>
      <c r="H18" s="4">
        <f t="shared" si="1"/>
        <v>8</v>
      </c>
    </row>
    <row r="19" spans="1:8" x14ac:dyDescent="0.35">
      <c r="A19" s="4">
        <f t="shared" si="0"/>
        <v>9</v>
      </c>
      <c r="B19" s="34" t="s">
        <v>1149</v>
      </c>
      <c r="C19" s="4" t="s">
        <v>1150</v>
      </c>
      <c r="E19" s="45">
        <f>'AU-1'!V29/1000</f>
        <v>-6202.2669999999998</v>
      </c>
      <c r="F19" s="226"/>
      <c r="G19" s="4" t="s">
        <v>1839</v>
      </c>
      <c r="H19" s="4">
        <f t="shared" si="1"/>
        <v>9</v>
      </c>
    </row>
    <row r="20" spans="1:8" x14ac:dyDescent="0.35">
      <c r="A20" s="4">
        <f t="shared" si="0"/>
        <v>10</v>
      </c>
      <c r="E20" s="41"/>
      <c r="F20" s="226"/>
      <c r="G20" s="4"/>
      <c r="H20" s="4">
        <f t="shared" si="1"/>
        <v>10</v>
      </c>
    </row>
    <row r="21" spans="1:8" x14ac:dyDescent="0.35">
      <c r="A21" s="4">
        <f t="shared" si="0"/>
        <v>11</v>
      </c>
      <c r="B21" s="34" t="s">
        <v>1151</v>
      </c>
      <c r="E21" s="963">
        <f>'AU-1'!V34/1000</f>
        <v>-693.48599999999999</v>
      </c>
      <c r="F21" s="226"/>
      <c r="G21" s="4" t="s">
        <v>1840</v>
      </c>
      <c r="H21" s="4">
        <f t="shared" si="1"/>
        <v>11</v>
      </c>
    </row>
    <row r="22" spans="1:8" x14ac:dyDescent="0.35">
      <c r="A22" s="4">
        <f t="shared" si="0"/>
        <v>12</v>
      </c>
      <c r="E22" s="41"/>
      <c r="F22" s="226"/>
      <c r="G22" s="4"/>
      <c r="H22" s="4">
        <f t="shared" si="1"/>
        <v>12</v>
      </c>
    </row>
    <row r="23" spans="1:8" ht="16" thickBot="1" x14ac:dyDescent="0.4">
      <c r="A23" s="4">
        <f t="shared" si="0"/>
        <v>13</v>
      </c>
      <c r="B23" s="34" t="s">
        <v>1152</v>
      </c>
      <c r="E23" s="126">
        <f>SUM(E11:E21)</f>
        <v>-9365.0840000000007</v>
      </c>
      <c r="F23" s="226"/>
      <c r="G23" s="4" t="s">
        <v>801</v>
      </c>
      <c r="H23" s="4">
        <f t="shared" si="1"/>
        <v>13</v>
      </c>
    </row>
    <row r="24" spans="1:8" ht="16" thickTop="1" x14ac:dyDescent="0.35">
      <c r="A24" s="4">
        <f t="shared" si="0"/>
        <v>14</v>
      </c>
      <c r="E24" s="73" t="s">
        <v>1</v>
      </c>
      <c r="F24" s="226"/>
      <c r="G24" s="4"/>
      <c r="H24" s="4">
        <f t="shared" si="1"/>
        <v>14</v>
      </c>
    </row>
    <row r="25" spans="1:8" ht="16" thickBot="1" x14ac:dyDescent="0.4">
      <c r="A25" s="4">
        <f t="shared" si="0"/>
        <v>15</v>
      </c>
      <c r="B25" s="34" t="s">
        <v>1153</v>
      </c>
      <c r="E25" s="81">
        <v>0</v>
      </c>
      <c r="F25" s="226"/>
      <c r="G25" s="4" t="s">
        <v>1154</v>
      </c>
      <c r="H25" s="4">
        <f t="shared" si="1"/>
        <v>15</v>
      </c>
    </row>
    <row r="26" spans="1:8" ht="16" thickTop="1" x14ac:dyDescent="0.35">
      <c r="F26" s="226"/>
    </row>
    <row r="27" spans="1:8" x14ac:dyDescent="0.35">
      <c r="F27" s="226"/>
    </row>
    <row r="28" spans="1:8" ht="18" x14ac:dyDescent="0.35">
      <c r="A28" s="276">
        <v>1</v>
      </c>
      <c r="B28" s="34" t="s">
        <v>1155</v>
      </c>
    </row>
    <row r="29" spans="1:8" ht="18" x14ac:dyDescent="0.35">
      <c r="A29" s="276"/>
      <c r="B29" s="34" t="s">
        <v>1156</v>
      </c>
    </row>
    <row r="30" spans="1:8" x14ac:dyDescent="0.35">
      <c r="B30" s="34" t="s">
        <v>1157</v>
      </c>
    </row>
  </sheetData>
  <mergeCells count="5">
    <mergeCell ref="B2:G2"/>
    <mergeCell ref="B3:G3"/>
    <mergeCell ref="B4:G4"/>
    <mergeCell ref="B5:G5"/>
    <mergeCell ref="B6:G6"/>
  </mergeCells>
  <printOptions horizontalCentered="1"/>
  <pageMargins left="0.5" right="0.5" top="0.5" bottom="0.5" header="0.25" footer="0.25"/>
  <pageSetup orientation="portrait" r:id="rId1"/>
  <headerFooter scaleWithDoc="0">
    <oddFooter>&amp;C&amp;"Times New Roman,Regular"&amp;10AU</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9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9" x14ac:dyDescent="0.35">
      <c r="B2" s="1171" t="s">
        <v>0</v>
      </c>
      <c r="C2" s="1171"/>
      <c r="D2" s="1171"/>
      <c r="E2" s="1171"/>
      <c r="F2" s="1171"/>
    </row>
    <row r="3" spans="1:9" x14ac:dyDescent="0.35">
      <c r="B3" s="1171" t="s">
        <v>362</v>
      </c>
      <c r="C3" s="1171"/>
      <c r="D3" s="1171"/>
      <c r="E3" s="1171"/>
      <c r="F3" s="1171"/>
    </row>
    <row r="4" spans="1:9" x14ac:dyDescent="0.35">
      <c r="B4" s="1171" t="s">
        <v>363</v>
      </c>
      <c r="C4" s="1171"/>
      <c r="D4" s="1171"/>
      <c r="E4" s="1171"/>
      <c r="F4" s="1171"/>
    </row>
    <row r="5" spans="1:9" x14ac:dyDescent="0.35">
      <c r="B5" s="1171" t="s">
        <v>364</v>
      </c>
      <c r="C5" s="1171"/>
      <c r="D5" s="1171"/>
      <c r="E5" s="1171"/>
      <c r="F5" s="1171"/>
    </row>
    <row r="6" spans="1:9" x14ac:dyDescent="0.35">
      <c r="B6" s="1175" t="s">
        <v>5</v>
      </c>
      <c r="C6" s="1175"/>
      <c r="D6" s="1175"/>
      <c r="E6" s="1175"/>
      <c r="F6" s="1175"/>
    </row>
    <row r="7" spans="1:9" x14ac:dyDescent="0.35">
      <c r="B7" s="277"/>
      <c r="C7" s="278"/>
      <c r="D7" s="278"/>
      <c r="E7" s="277"/>
      <c r="F7" s="277"/>
    </row>
    <row r="8" spans="1:9" x14ac:dyDescent="0.35">
      <c r="B8" s="1171" t="s">
        <v>396</v>
      </c>
      <c r="C8" s="1171"/>
      <c r="D8" s="1171"/>
      <c r="E8" s="1171"/>
      <c r="F8" s="1171"/>
    </row>
    <row r="10" spans="1:9" x14ac:dyDescent="0.35">
      <c r="B10" s="987"/>
      <c r="C10" s="279" t="s">
        <v>265</v>
      </c>
      <c r="D10" s="988"/>
      <c r="E10" s="279"/>
      <c r="F10" s="988"/>
    </row>
    <row r="11" spans="1:9" x14ac:dyDescent="0.35">
      <c r="B11" s="280"/>
      <c r="C11" s="284" t="s">
        <v>397</v>
      </c>
      <c r="D11" s="280"/>
      <c r="E11" s="284" t="s">
        <v>397</v>
      </c>
      <c r="F11" s="280"/>
    </row>
    <row r="12" spans="1:9" ht="15.5" x14ac:dyDescent="0.35">
      <c r="A12" s="4" t="s">
        <v>6</v>
      </c>
      <c r="B12" s="283"/>
      <c r="C12" s="226" t="s">
        <v>367</v>
      </c>
      <c r="D12" s="280"/>
      <c r="E12" s="284" t="s">
        <v>367</v>
      </c>
      <c r="F12" s="280"/>
      <c r="G12" s="4" t="s">
        <v>6</v>
      </c>
    </row>
    <row r="13" spans="1:9" ht="18" x14ac:dyDescent="0.35">
      <c r="A13" s="4" t="s">
        <v>7</v>
      </c>
      <c r="B13" s="285" t="s">
        <v>368</v>
      </c>
      <c r="C13" s="990" t="s">
        <v>369</v>
      </c>
      <c r="D13" s="285" t="s">
        <v>9</v>
      </c>
      <c r="E13" s="286" t="s">
        <v>370</v>
      </c>
      <c r="F13" s="285" t="s">
        <v>9</v>
      </c>
      <c r="G13" s="4" t="s">
        <v>7</v>
      </c>
      <c r="H13" s="291"/>
    </row>
    <row r="14" spans="1:9" ht="15.5" x14ac:dyDescent="0.35">
      <c r="A14" s="4">
        <v>1</v>
      </c>
      <c r="B14" s="991" t="str">
        <f>'AD-1'!B14</f>
        <v>Dec-21</v>
      </c>
      <c r="C14" s="61">
        <v>0</v>
      </c>
      <c r="D14" s="996" t="s">
        <v>372</v>
      </c>
      <c r="E14" s="61">
        <v>0</v>
      </c>
      <c r="F14" s="997" t="s">
        <v>372</v>
      </c>
      <c r="G14" s="4">
        <f>A14</f>
        <v>1</v>
      </c>
      <c r="H14" s="291"/>
      <c r="I14" s="291"/>
    </row>
    <row r="15" spans="1:9" ht="15.5" x14ac:dyDescent="0.35">
      <c r="A15" s="4">
        <f>A14+1</f>
        <v>2</v>
      </c>
      <c r="B15" s="991" t="str">
        <f>'AD-1'!B15</f>
        <v>Jan-22</v>
      </c>
      <c r="C15" s="55">
        <v>0</v>
      </c>
      <c r="D15" s="998"/>
      <c r="E15" s="55">
        <v>0</v>
      </c>
      <c r="F15" s="997"/>
      <c r="G15" s="4">
        <f>G14+1</f>
        <v>2</v>
      </c>
      <c r="H15" s="291"/>
    </row>
    <row r="16" spans="1:9" ht="15.5" x14ac:dyDescent="0.35">
      <c r="A16" s="4">
        <f t="shared" ref="A16:A32" si="0">A15+1</f>
        <v>3</v>
      </c>
      <c r="B16" s="994" t="s">
        <v>375</v>
      </c>
      <c r="C16" s="55">
        <v>0</v>
      </c>
      <c r="D16" s="998"/>
      <c r="E16" s="55">
        <v>0</v>
      </c>
      <c r="F16" s="997"/>
      <c r="G16" s="4">
        <f t="shared" ref="G16:G32" si="1">G15+1</f>
        <v>3</v>
      </c>
      <c r="H16" s="291"/>
    </row>
    <row r="17" spans="1:9" ht="15.5" x14ac:dyDescent="0.35">
      <c r="A17" s="4">
        <f t="shared" si="0"/>
        <v>4</v>
      </c>
      <c r="B17" s="994" t="s">
        <v>376</v>
      </c>
      <c r="C17" s="55">
        <v>0</v>
      </c>
      <c r="D17" s="998"/>
      <c r="E17" s="55">
        <v>0</v>
      </c>
      <c r="F17" s="997"/>
      <c r="G17" s="4">
        <f t="shared" si="1"/>
        <v>4</v>
      </c>
      <c r="H17" s="291"/>
    </row>
    <row r="18" spans="1:9" ht="15.5" x14ac:dyDescent="0.35">
      <c r="A18" s="4">
        <f t="shared" si="0"/>
        <v>5</v>
      </c>
      <c r="B18" s="994" t="s">
        <v>377</v>
      </c>
      <c r="C18" s="55">
        <v>0</v>
      </c>
      <c r="D18" s="998"/>
      <c r="E18" s="55">
        <v>0</v>
      </c>
      <c r="F18" s="997"/>
      <c r="G18" s="4">
        <f t="shared" si="1"/>
        <v>5</v>
      </c>
      <c r="H18" s="291"/>
    </row>
    <row r="19" spans="1:9" ht="15.5" x14ac:dyDescent="0.35">
      <c r="A19" s="4">
        <f t="shared" si="0"/>
        <v>6</v>
      </c>
      <c r="B19" s="994" t="s">
        <v>378</v>
      </c>
      <c r="C19" s="55">
        <v>0</v>
      </c>
      <c r="D19" s="998"/>
      <c r="E19" s="55">
        <v>0</v>
      </c>
      <c r="F19" s="997"/>
      <c r="G19" s="4">
        <f t="shared" si="1"/>
        <v>6</v>
      </c>
      <c r="H19" s="291"/>
    </row>
    <row r="20" spans="1:9" ht="15.5" x14ac:dyDescent="0.35">
      <c r="A20" s="4">
        <f>A19+1</f>
        <v>7</v>
      </c>
      <c r="B20" s="994" t="s">
        <v>379</v>
      </c>
      <c r="C20" s="55">
        <v>0</v>
      </c>
      <c r="D20" s="998"/>
      <c r="E20" s="55">
        <v>0</v>
      </c>
      <c r="F20" s="997"/>
      <c r="G20" s="4">
        <f>G19+1</f>
        <v>7</v>
      </c>
      <c r="H20" s="291"/>
    </row>
    <row r="21" spans="1:9" ht="15.5" x14ac:dyDescent="0.35">
      <c r="A21" s="4">
        <f t="shared" si="0"/>
        <v>8</v>
      </c>
      <c r="B21" s="994" t="s">
        <v>380</v>
      </c>
      <c r="C21" s="55">
        <v>0</v>
      </c>
      <c r="D21" s="998"/>
      <c r="E21" s="55">
        <v>0</v>
      </c>
      <c r="F21" s="997"/>
      <c r="G21" s="4">
        <f t="shared" si="1"/>
        <v>8</v>
      </c>
    </row>
    <row r="22" spans="1:9" ht="15.5" x14ac:dyDescent="0.35">
      <c r="A22" s="4">
        <f t="shared" si="0"/>
        <v>9</v>
      </c>
      <c r="B22" s="994" t="s">
        <v>381</v>
      </c>
      <c r="C22" s="55">
        <v>0</v>
      </c>
      <c r="D22" s="998"/>
      <c r="E22" s="55">
        <v>0</v>
      </c>
      <c r="F22" s="997"/>
      <c r="G22" s="4">
        <f t="shared" si="1"/>
        <v>9</v>
      </c>
    </row>
    <row r="23" spans="1:9" ht="15.5" x14ac:dyDescent="0.35">
      <c r="A23" s="4">
        <f t="shared" si="0"/>
        <v>10</v>
      </c>
      <c r="B23" s="994" t="s">
        <v>382</v>
      </c>
      <c r="C23" s="55">
        <v>0</v>
      </c>
      <c r="D23" s="998"/>
      <c r="E23" s="55">
        <v>0</v>
      </c>
      <c r="F23" s="997"/>
      <c r="G23" s="4">
        <f t="shared" si="1"/>
        <v>10</v>
      </c>
    </row>
    <row r="24" spans="1:9" ht="15.5" x14ac:dyDescent="0.35">
      <c r="A24" s="4">
        <f t="shared" si="0"/>
        <v>11</v>
      </c>
      <c r="B24" s="994" t="s">
        <v>383</v>
      </c>
      <c r="C24" s="55">
        <v>0</v>
      </c>
      <c r="D24" s="998"/>
      <c r="E24" s="55">
        <v>0</v>
      </c>
      <c r="F24" s="997"/>
      <c r="G24" s="4">
        <f t="shared" si="1"/>
        <v>11</v>
      </c>
    </row>
    <row r="25" spans="1:9" ht="15.5" x14ac:dyDescent="0.35">
      <c r="A25" s="4">
        <f t="shared" si="0"/>
        <v>12</v>
      </c>
      <c r="B25" s="994" t="s">
        <v>384</v>
      </c>
      <c r="C25" s="55">
        <v>0</v>
      </c>
      <c r="D25" s="998"/>
      <c r="E25" s="55">
        <v>0</v>
      </c>
      <c r="F25" s="997"/>
      <c r="G25" s="4">
        <f t="shared" si="1"/>
        <v>12</v>
      </c>
    </row>
    <row r="26" spans="1:9" ht="15.5" x14ac:dyDescent="0.35">
      <c r="A26" s="4">
        <f t="shared" si="0"/>
        <v>13</v>
      </c>
      <c r="B26" s="652" t="str">
        <f>'AD-1'!B26</f>
        <v>Dec-22</v>
      </c>
      <c r="C26" s="56">
        <v>0</v>
      </c>
      <c r="D26" s="71" t="s">
        <v>372</v>
      </c>
      <c r="E26" s="56">
        <v>0</v>
      </c>
      <c r="F26" s="609" t="s">
        <v>372</v>
      </c>
      <c r="G26" s="4">
        <f t="shared" si="1"/>
        <v>13</v>
      </c>
      <c r="I26" s="291"/>
    </row>
    <row r="27" spans="1:9" ht="15.5" x14ac:dyDescent="0.35">
      <c r="A27" s="4">
        <f t="shared" si="0"/>
        <v>14</v>
      </c>
      <c r="B27" s="288"/>
      <c r="C27" s="62"/>
      <c r="D27" s="364"/>
      <c r="E27" s="63"/>
      <c r="F27" s="999"/>
      <c r="G27" s="4">
        <f t="shared" si="1"/>
        <v>14</v>
      </c>
    </row>
    <row r="28" spans="1:9" ht="15.5" x14ac:dyDescent="0.35">
      <c r="A28" s="4">
        <f t="shared" si="0"/>
        <v>15</v>
      </c>
      <c r="B28" s="288" t="s">
        <v>387</v>
      </c>
      <c r="C28" s="58">
        <f>SUM(C14:C26)</f>
        <v>0</v>
      </c>
      <c r="D28" s="996" t="s">
        <v>388</v>
      </c>
      <c r="E28" s="58">
        <f>SUM(E14:E26)</f>
        <v>0</v>
      </c>
      <c r="F28" s="997" t="s">
        <v>388</v>
      </c>
      <c r="G28" s="4">
        <f t="shared" si="1"/>
        <v>15</v>
      </c>
    </row>
    <row r="29" spans="1:9" ht="15.5" x14ac:dyDescent="0.35">
      <c r="A29" s="4">
        <f t="shared" si="0"/>
        <v>16</v>
      </c>
      <c r="B29" s="124"/>
      <c r="C29" s="64"/>
      <c r="D29" s="98"/>
      <c r="E29" s="64"/>
      <c r="F29" s="293"/>
      <c r="G29" s="4">
        <f t="shared" si="1"/>
        <v>16</v>
      </c>
    </row>
    <row r="30" spans="1:9" ht="15.5" x14ac:dyDescent="0.35">
      <c r="A30" s="4">
        <f t="shared" si="0"/>
        <v>17</v>
      </c>
      <c r="B30" s="288"/>
      <c r="C30" s="63"/>
      <c r="D30" s="241"/>
      <c r="E30" s="63"/>
      <c r="F30" s="1000"/>
      <c r="G30" s="4">
        <f t="shared" si="1"/>
        <v>17</v>
      </c>
    </row>
    <row r="31" spans="1:9" ht="15.5" x14ac:dyDescent="0.35">
      <c r="A31" s="4">
        <f t="shared" si="0"/>
        <v>18</v>
      </c>
      <c r="B31" s="288" t="s">
        <v>389</v>
      </c>
      <c r="C31" s="58">
        <f>C28/13</f>
        <v>0</v>
      </c>
      <c r="D31" s="996" t="s">
        <v>390</v>
      </c>
      <c r="E31" s="58">
        <f>E28/13</f>
        <v>0</v>
      </c>
      <c r="F31" s="997" t="s">
        <v>390</v>
      </c>
      <c r="G31" s="4">
        <f t="shared" si="1"/>
        <v>18</v>
      </c>
      <c r="I31" s="291"/>
    </row>
    <row r="32" spans="1:9" ht="15.5" x14ac:dyDescent="0.35">
      <c r="A32" s="4">
        <f t="shared" si="0"/>
        <v>19</v>
      </c>
      <c r="B32" s="124"/>
      <c r="C32" s="64"/>
      <c r="D32" s="97"/>
      <c r="E32" s="64"/>
      <c r="F32" s="293"/>
      <c r="G32" s="4">
        <f t="shared" si="1"/>
        <v>19</v>
      </c>
    </row>
    <row r="33" spans="1:7" ht="15.5" x14ac:dyDescent="0.35">
      <c r="A33" s="4"/>
      <c r="B33" s="34"/>
      <c r="C33" s="6"/>
      <c r="D33" s="6"/>
      <c r="E33" s="6"/>
      <c r="F33" s="292"/>
      <c r="G33" s="599"/>
    </row>
    <row r="34" spans="1:7" ht="15.5" x14ac:dyDescent="0.35">
      <c r="A34" s="4"/>
      <c r="C34" s="292"/>
      <c r="D34" s="292"/>
      <c r="E34" s="292"/>
      <c r="F34" s="292"/>
      <c r="G34" s="599"/>
    </row>
    <row r="35" spans="1:7" ht="18" x14ac:dyDescent="0.35">
      <c r="A35" s="276">
        <v>1</v>
      </c>
      <c r="B35" s="34" t="s">
        <v>392</v>
      </c>
      <c r="C35" s="292"/>
      <c r="D35" s="292"/>
      <c r="E35" s="292"/>
      <c r="F35" s="292"/>
      <c r="G35" s="599"/>
    </row>
    <row r="36" spans="1:7" ht="15.5" x14ac:dyDescent="0.35">
      <c r="B36" s="34" t="s">
        <v>393</v>
      </c>
      <c r="C36" s="292"/>
      <c r="D36" s="292"/>
      <c r="E36" s="292"/>
      <c r="F36" s="292"/>
      <c r="G36" s="599"/>
    </row>
    <row r="37" spans="1:7" ht="15.5" x14ac:dyDescent="0.35">
      <c r="C37" s="292"/>
      <c r="D37" s="292"/>
      <c r="E37" s="292"/>
      <c r="F37" s="292"/>
      <c r="G37" s="599"/>
    </row>
    <row r="38" spans="1:7" x14ac:dyDescent="0.35">
      <c r="C38" s="291"/>
      <c r="D38" s="291"/>
      <c r="E38" s="291"/>
      <c r="F38" s="291"/>
      <c r="G38" s="599"/>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54"/>
  <sheetViews>
    <sheetView zoomScale="80" zoomScaleNormal="80" workbookViewId="0"/>
  </sheetViews>
  <sheetFormatPr defaultColWidth="9.08984375" defaultRowHeight="15.5" x14ac:dyDescent="0.35"/>
  <cols>
    <col min="1" max="1" width="5.08984375" style="4" customWidth="1"/>
    <col min="2" max="3" width="11.453125" style="34" customWidth="1"/>
    <col min="4" max="4" width="50.08984375" style="34" customWidth="1"/>
    <col min="5" max="11" width="15.54296875" style="34" customWidth="1"/>
    <col min="12" max="13" width="5.08984375" style="4" customWidth="1"/>
    <col min="14" max="15" width="11.453125" style="34" customWidth="1"/>
    <col min="16" max="16" width="51.6328125" style="34" customWidth="1"/>
    <col min="17" max="21" width="15.54296875" style="34" customWidth="1"/>
    <col min="22" max="22" width="18.54296875" style="34" customWidth="1"/>
    <col min="23" max="23" width="5.08984375" style="4" customWidth="1"/>
    <col min="24" max="24" width="13" style="34" bestFit="1" customWidth="1"/>
    <col min="25" max="32" width="9.08984375" style="34"/>
    <col min="33" max="33" width="9.90625" style="34" bestFit="1" customWidth="1"/>
    <col min="34" max="16384" width="9.08984375" style="34"/>
  </cols>
  <sheetData>
    <row r="2" spans="1:23" s="1" customFormat="1" ht="15" x14ac:dyDescent="0.35">
      <c r="A2" s="226"/>
      <c r="B2" s="1171" t="s">
        <v>0</v>
      </c>
      <c r="C2" s="1171"/>
      <c r="D2" s="1171"/>
      <c r="E2" s="1171"/>
      <c r="F2" s="1171"/>
      <c r="G2" s="1171"/>
      <c r="H2" s="1171"/>
      <c r="I2" s="1171"/>
      <c r="J2" s="1171"/>
      <c r="K2" s="1171"/>
      <c r="L2" s="226"/>
      <c r="M2" s="226"/>
      <c r="N2" s="1171" t="str">
        <f>B2</f>
        <v>SAN DIEGO GAS &amp; ELECTRIC COMPANY</v>
      </c>
      <c r="O2" s="1171"/>
      <c r="P2" s="1171"/>
      <c r="Q2" s="1171"/>
      <c r="R2" s="1171"/>
      <c r="S2" s="1171"/>
      <c r="T2" s="1171"/>
      <c r="U2" s="1171"/>
      <c r="V2" s="1171"/>
      <c r="W2" s="226"/>
    </row>
    <row r="3" spans="1:23" s="1" customFormat="1" ht="15" x14ac:dyDescent="0.35">
      <c r="A3" s="226"/>
      <c r="B3" s="1171" t="s">
        <v>1139</v>
      </c>
      <c r="C3" s="1171"/>
      <c r="D3" s="1171"/>
      <c r="E3" s="1171"/>
      <c r="F3" s="1171"/>
      <c r="G3" s="1171"/>
      <c r="H3" s="1171"/>
      <c r="I3" s="1171"/>
      <c r="J3" s="1171"/>
      <c r="K3" s="1171"/>
      <c r="L3" s="226"/>
      <c r="M3" s="226"/>
      <c r="N3" s="1171" t="str">
        <f>B3</f>
        <v>Statement AU</v>
      </c>
      <c r="O3" s="1171"/>
      <c r="P3" s="1171"/>
      <c r="Q3" s="1171"/>
      <c r="R3" s="1171"/>
      <c r="S3" s="1171"/>
      <c r="T3" s="1171"/>
      <c r="U3" s="1171"/>
      <c r="V3" s="1171"/>
      <c r="W3" s="226"/>
    </row>
    <row r="4" spans="1:23" s="1" customFormat="1" ht="15" x14ac:dyDescent="0.35">
      <c r="A4" s="226"/>
      <c r="B4" s="1171" t="s">
        <v>1140</v>
      </c>
      <c r="C4" s="1171"/>
      <c r="D4" s="1171"/>
      <c r="E4" s="1171"/>
      <c r="F4" s="1171"/>
      <c r="G4" s="1171"/>
      <c r="H4" s="1171"/>
      <c r="I4" s="1171"/>
      <c r="J4" s="1171"/>
      <c r="K4" s="1171"/>
      <c r="L4" s="226"/>
      <c r="M4" s="226"/>
      <c r="N4" s="1171" t="str">
        <f>B4</f>
        <v>Revenue Credits</v>
      </c>
      <c r="O4" s="1171"/>
      <c r="P4" s="1171"/>
      <c r="Q4" s="1171"/>
      <c r="R4" s="1171"/>
      <c r="S4" s="1171"/>
      <c r="T4" s="1171"/>
      <c r="U4" s="1171"/>
      <c r="V4" s="1171"/>
      <c r="W4" s="226"/>
    </row>
    <row r="5" spans="1:23" s="1" customFormat="1" ht="15" x14ac:dyDescent="0.35">
      <c r="A5" s="226"/>
      <c r="B5" s="1171" t="s">
        <v>1158</v>
      </c>
      <c r="C5" s="1171"/>
      <c r="D5" s="1171"/>
      <c r="E5" s="1171"/>
      <c r="F5" s="1171"/>
      <c r="G5" s="1171"/>
      <c r="H5" s="1171"/>
      <c r="I5" s="1171"/>
      <c r="J5" s="1171"/>
      <c r="K5" s="1171"/>
      <c r="L5" s="226"/>
      <c r="M5" s="226"/>
      <c r="N5" s="1171" t="str">
        <f>B5</f>
        <v>12 Months Ending December 31, 2022</v>
      </c>
      <c r="O5" s="1171"/>
      <c r="P5" s="1171"/>
      <c r="Q5" s="1171"/>
      <c r="R5" s="1171"/>
      <c r="S5" s="1171"/>
      <c r="T5" s="1171"/>
      <c r="U5" s="1171"/>
      <c r="V5" s="1171"/>
      <c r="W5" s="226"/>
    </row>
    <row r="6" spans="1:23" ht="16" thickBot="1" x14ac:dyDescent="0.4">
      <c r="V6" s="4"/>
    </row>
    <row r="7" spans="1:23" s="1" customFormat="1" x14ac:dyDescent="0.35">
      <c r="A7" s="4" t="s">
        <v>6</v>
      </c>
      <c r="B7" s="468" t="s">
        <v>1159</v>
      </c>
      <c r="C7" s="469" t="s">
        <v>588</v>
      </c>
      <c r="D7" s="470"/>
      <c r="E7" s="469" t="s">
        <v>280</v>
      </c>
      <c r="F7" s="471" t="s">
        <v>281</v>
      </c>
      <c r="G7" s="471" t="s">
        <v>282</v>
      </c>
      <c r="H7" s="471" t="s">
        <v>1160</v>
      </c>
      <c r="I7" s="471" t="s">
        <v>1161</v>
      </c>
      <c r="J7" s="471" t="s">
        <v>1162</v>
      </c>
      <c r="K7" s="472" t="s">
        <v>1163</v>
      </c>
      <c r="L7" s="4" t="s">
        <v>6</v>
      </c>
      <c r="M7" s="4" t="str">
        <f t="shared" ref="M7:P24" si="0">A7</f>
        <v>Line</v>
      </c>
      <c r="N7" s="468" t="str">
        <f t="shared" si="0"/>
        <v>SAP</v>
      </c>
      <c r="O7" s="469" t="str">
        <f t="shared" si="0"/>
        <v>FERC</v>
      </c>
      <c r="P7" s="470"/>
      <c r="Q7" s="471" t="s">
        <v>1164</v>
      </c>
      <c r="R7" s="471" t="s">
        <v>1165</v>
      </c>
      <c r="S7" s="471" t="s">
        <v>1166</v>
      </c>
      <c r="T7" s="471" t="s">
        <v>1167</v>
      </c>
      <c r="U7" s="471" t="s">
        <v>1168</v>
      </c>
      <c r="V7" s="473" t="s">
        <v>1169</v>
      </c>
      <c r="W7" s="4" t="str">
        <f>L7</f>
        <v>Line</v>
      </c>
    </row>
    <row r="8" spans="1:23" s="1" customFormat="1" ht="16" thickBot="1" x14ac:dyDescent="0.4">
      <c r="A8" s="4" t="s">
        <v>7</v>
      </c>
      <c r="B8" s="616" t="s">
        <v>1170</v>
      </c>
      <c r="C8" s="943" t="s">
        <v>1170</v>
      </c>
      <c r="D8" s="617" t="s">
        <v>1171</v>
      </c>
      <c r="E8" s="661" t="s">
        <v>374</v>
      </c>
      <c r="F8" s="1118" t="s">
        <v>1172</v>
      </c>
      <c r="G8" s="661" t="s">
        <v>1173</v>
      </c>
      <c r="H8" s="661" t="s">
        <v>1174</v>
      </c>
      <c r="I8" s="661" t="s">
        <v>1175</v>
      </c>
      <c r="J8" s="661" t="s">
        <v>1176</v>
      </c>
      <c r="K8" s="662" t="s">
        <v>1177</v>
      </c>
      <c r="L8" s="4" t="s">
        <v>1178</v>
      </c>
      <c r="M8" s="4" t="str">
        <f t="shared" si="0"/>
        <v>No.</v>
      </c>
      <c r="N8" s="616" t="str">
        <f t="shared" si="0"/>
        <v>Account #</v>
      </c>
      <c r="O8" s="943" t="str">
        <f t="shared" si="0"/>
        <v>Account #</v>
      </c>
      <c r="P8" s="617" t="str">
        <f t="shared" si="0"/>
        <v>SAP Account Description</v>
      </c>
      <c r="Q8" s="661" t="s">
        <v>1179</v>
      </c>
      <c r="R8" s="661" t="s">
        <v>1180</v>
      </c>
      <c r="S8" s="661" t="s">
        <v>1181</v>
      </c>
      <c r="T8" s="661" t="s">
        <v>1182</v>
      </c>
      <c r="U8" s="661" t="s">
        <v>385</v>
      </c>
      <c r="V8" s="619" t="s">
        <v>265</v>
      </c>
      <c r="W8" s="4" t="str">
        <f t="shared" ref="W8" si="1">L8</f>
        <v>No</v>
      </c>
    </row>
    <row r="9" spans="1:23" x14ac:dyDescent="0.35">
      <c r="B9" s="474"/>
      <c r="C9" s="396"/>
      <c r="D9" s="475"/>
      <c r="E9" s="2"/>
      <c r="F9" s="944"/>
      <c r="G9" s="2"/>
      <c r="H9" s="944"/>
      <c r="I9" s="2"/>
      <c r="J9" s="944"/>
      <c r="K9" s="592"/>
      <c r="N9" s="474"/>
      <c r="O9" s="396"/>
      <c r="P9" s="475"/>
      <c r="Q9" s="944"/>
      <c r="R9" s="2"/>
      <c r="S9" s="944"/>
      <c r="T9" s="2"/>
      <c r="U9" s="944"/>
      <c r="V9" s="663"/>
    </row>
    <row r="10" spans="1:23" x14ac:dyDescent="0.35">
      <c r="A10" s="4">
        <v>1</v>
      </c>
      <c r="B10" s="386">
        <v>4370119</v>
      </c>
      <c r="C10" s="396" t="s">
        <v>1833</v>
      </c>
      <c r="D10" s="669" t="s">
        <v>1835</v>
      </c>
      <c r="E10" s="241">
        <v>0</v>
      </c>
      <c r="F10" s="6">
        <v>0</v>
      </c>
      <c r="G10" s="241">
        <v>0</v>
      </c>
      <c r="H10" s="6">
        <v>-20293</v>
      </c>
      <c r="I10" s="241">
        <v>0</v>
      </c>
      <c r="J10" s="241">
        <v>0</v>
      </c>
      <c r="K10" s="135">
        <v>-21000</v>
      </c>
      <c r="L10" s="111">
        <v>1</v>
      </c>
      <c r="M10" s="111">
        <v>1</v>
      </c>
      <c r="N10" s="386">
        <v>4370119</v>
      </c>
      <c r="O10" s="396" t="s">
        <v>1833</v>
      </c>
      <c r="P10" s="669" t="s">
        <v>1835</v>
      </c>
      <c r="Q10" s="241">
        <v>-77100</v>
      </c>
      <c r="R10" s="6">
        <f>-43650-8600</f>
        <v>-52250</v>
      </c>
      <c r="S10" s="241">
        <v>0</v>
      </c>
      <c r="T10" s="6">
        <v>0</v>
      </c>
      <c r="U10" s="241">
        <v>0</v>
      </c>
      <c r="V10" s="135">
        <f>SUM(E10:K10,Q10:U10)</f>
        <v>-170643</v>
      </c>
      <c r="W10" s="506">
        <v>1</v>
      </c>
    </row>
    <row r="11" spans="1:23" s="2" customFormat="1" x14ac:dyDescent="0.35">
      <c r="A11" s="111">
        <f>A10+1</f>
        <v>2</v>
      </c>
      <c r="B11" s="386" t="s">
        <v>1183</v>
      </c>
      <c r="C11" s="396">
        <v>454</v>
      </c>
      <c r="D11" s="924" t="s">
        <v>698</v>
      </c>
      <c r="E11" s="127">
        <v>-11502</v>
      </c>
      <c r="F11" s="127">
        <v>-11425</v>
      </c>
      <c r="G11" s="127">
        <v>-11557</v>
      </c>
      <c r="H11" s="127">
        <v>-13199</v>
      </c>
      <c r="I11" s="127">
        <v>-11886</v>
      </c>
      <c r="J11" s="127">
        <v>-50899</v>
      </c>
      <c r="K11" s="613">
        <v>-13694</v>
      </c>
      <c r="L11" s="111">
        <f>A11</f>
        <v>2</v>
      </c>
      <c r="M11" s="111">
        <f t="shared" ref="M11:P27" si="2">A11</f>
        <v>2</v>
      </c>
      <c r="N11" s="386" t="s">
        <v>1183</v>
      </c>
      <c r="O11" s="396">
        <v>454</v>
      </c>
      <c r="P11" s="924" t="s">
        <v>698</v>
      </c>
      <c r="Q11" s="127">
        <v>-12651</v>
      </c>
      <c r="R11" s="127">
        <v>-12933</v>
      </c>
      <c r="S11" s="127">
        <v>-12903</v>
      </c>
      <c r="T11" s="127">
        <v>-12468</v>
      </c>
      <c r="U11" s="127">
        <v>-54954</v>
      </c>
      <c r="V11" s="613">
        <f>SUM(E11:K11,Q11:U11)</f>
        <v>-230071</v>
      </c>
      <c r="W11" s="111">
        <f>W10+1</f>
        <v>2</v>
      </c>
    </row>
    <row r="12" spans="1:23" s="2" customFormat="1" x14ac:dyDescent="0.35">
      <c r="A12" s="111">
        <f>A11+1</f>
        <v>3</v>
      </c>
      <c r="B12" s="386" t="s">
        <v>1184</v>
      </c>
      <c r="C12" s="396">
        <v>454</v>
      </c>
      <c r="D12" s="924" t="s">
        <v>1185</v>
      </c>
      <c r="E12" s="132">
        <v>-3333</v>
      </c>
      <c r="F12" s="132">
        <v>-3334</v>
      </c>
      <c r="G12" s="132">
        <v>-3333</v>
      </c>
      <c r="H12" s="132">
        <v>-3333</v>
      </c>
      <c r="I12" s="132">
        <v>-3334</v>
      </c>
      <c r="J12" s="132">
        <v>-3333</v>
      </c>
      <c r="K12" s="593">
        <v>-4744</v>
      </c>
      <c r="L12" s="111">
        <f t="shared" ref="L12:L38" si="3">A12</f>
        <v>3</v>
      </c>
      <c r="M12" s="111">
        <f t="shared" si="2"/>
        <v>3</v>
      </c>
      <c r="N12" s="386" t="s">
        <v>1184</v>
      </c>
      <c r="O12" s="396">
        <v>454</v>
      </c>
      <c r="P12" s="924" t="s">
        <v>1185</v>
      </c>
      <c r="Q12" s="132">
        <v>-3334</v>
      </c>
      <c r="R12" s="132">
        <v>-3333</v>
      </c>
      <c r="S12" s="132">
        <v>-3333</v>
      </c>
      <c r="T12" s="132">
        <v>-3334</v>
      </c>
      <c r="U12" s="132">
        <v>-3333</v>
      </c>
      <c r="V12" s="593">
        <f>SUM(E12:K12,Q12:U12)</f>
        <v>-41411</v>
      </c>
      <c r="W12" s="111">
        <f t="shared" ref="W12:W38" si="4">W11+1</f>
        <v>3</v>
      </c>
    </row>
    <row r="13" spans="1:23" s="2" customFormat="1" x14ac:dyDescent="0.35">
      <c r="A13" s="111">
        <f t="shared" ref="A13:A38" si="5">A12+1</f>
        <v>4</v>
      </c>
      <c r="B13" s="386">
        <v>4371080</v>
      </c>
      <c r="C13" s="396" t="s">
        <v>1833</v>
      </c>
      <c r="D13" s="924" t="s">
        <v>1834</v>
      </c>
      <c r="E13" s="953">
        <v>-55046</v>
      </c>
      <c r="F13" s="953">
        <v>-54015</v>
      </c>
      <c r="G13" s="953">
        <v>-58200</v>
      </c>
      <c r="H13" s="953">
        <v>-53924</v>
      </c>
      <c r="I13" s="953">
        <v>-53374</v>
      </c>
      <c r="J13" s="953">
        <v>-92354</v>
      </c>
      <c r="K13" s="128">
        <v>-72774</v>
      </c>
      <c r="L13" s="111">
        <f t="shared" si="3"/>
        <v>4</v>
      </c>
      <c r="M13" s="111">
        <f t="shared" si="2"/>
        <v>4</v>
      </c>
      <c r="N13" s="386">
        <v>4371080</v>
      </c>
      <c r="O13" s="396" t="s">
        <v>1833</v>
      </c>
      <c r="P13" s="924" t="s">
        <v>1834</v>
      </c>
      <c r="Q13" s="953">
        <v>-53749</v>
      </c>
      <c r="R13" s="953">
        <v>-652074</v>
      </c>
      <c r="S13" s="953">
        <v>-55575</v>
      </c>
      <c r="T13" s="953">
        <v>-96307</v>
      </c>
      <c r="U13" s="953">
        <v>-729814</v>
      </c>
      <c r="V13" s="128">
        <f>SUM(E13:K13,Q13:U13)</f>
        <v>-2027206</v>
      </c>
      <c r="W13" s="111">
        <f t="shared" si="4"/>
        <v>4</v>
      </c>
    </row>
    <row r="14" spans="1:23" s="2" customFormat="1" x14ac:dyDescent="0.35">
      <c r="A14" s="111">
        <f t="shared" si="5"/>
        <v>5</v>
      </c>
      <c r="B14" s="664"/>
      <c r="C14" s="396"/>
      <c r="D14" s="924"/>
      <c r="E14" s="6"/>
      <c r="F14" s="241"/>
      <c r="G14" s="241"/>
      <c r="H14" s="241"/>
      <c r="I14" s="241"/>
      <c r="J14" s="241"/>
      <c r="K14" s="593"/>
      <c r="L14" s="111">
        <f t="shared" si="3"/>
        <v>5</v>
      </c>
      <c r="M14" s="111">
        <f t="shared" si="2"/>
        <v>5</v>
      </c>
      <c r="N14" s="664"/>
      <c r="O14" s="396"/>
      <c r="P14" s="924"/>
      <c r="Q14" s="241"/>
      <c r="R14" s="241"/>
      <c r="S14" s="241"/>
      <c r="T14" s="241"/>
      <c r="U14" s="241"/>
      <c r="V14" s="135"/>
      <c r="W14" s="111">
        <f t="shared" si="4"/>
        <v>5</v>
      </c>
    </row>
    <row r="15" spans="1:23" s="2" customFormat="1" ht="18" x14ac:dyDescent="0.35">
      <c r="A15" s="111">
        <f t="shared" si="5"/>
        <v>6</v>
      </c>
      <c r="B15" s="664"/>
      <c r="C15" s="396"/>
      <c r="D15" s="283" t="s">
        <v>1186</v>
      </c>
      <c r="E15" s="97">
        <f>SUM(E10:E13)</f>
        <v>-69881</v>
      </c>
      <c r="F15" s="97">
        <f t="shared" ref="F15:J15" si="6">SUM(F10:F13)</f>
        <v>-68774</v>
      </c>
      <c r="G15" s="97">
        <f t="shared" si="6"/>
        <v>-73090</v>
      </c>
      <c r="H15" s="97">
        <f t="shared" si="6"/>
        <v>-90749</v>
      </c>
      <c r="I15" s="97">
        <f t="shared" si="6"/>
        <v>-68594</v>
      </c>
      <c r="J15" s="97">
        <f t="shared" si="6"/>
        <v>-146586</v>
      </c>
      <c r="K15" s="129">
        <f>SUM(K10:K13)</f>
        <v>-112212</v>
      </c>
      <c r="L15" s="111">
        <f t="shared" si="3"/>
        <v>6</v>
      </c>
      <c r="M15" s="111">
        <f t="shared" si="2"/>
        <v>6</v>
      </c>
      <c r="N15" s="664"/>
      <c r="O15" s="396"/>
      <c r="P15" s="283" t="s">
        <v>1186</v>
      </c>
      <c r="Q15" s="64">
        <f>SUM(Q10:Q13)</f>
        <v>-146834</v>
      </c>
      <c r="R15" s="64">
        <f t="shared" ref="R15:U15" si="7">SUM(R10:R13)</f>
        <v>-720590</v>
      </c>
      <c r="S15" s="64">
        <f t="shared" si="7"/>
        <v>-71811</v>
      </c>
      <c r="T15" s="64">
        <f t="shared" si="7"/>
        <v>-112109</v>
      </c>
      <c r="U15" s="64">
        <f t="shared" si="7"/>
        <v>-788101</v>
      </c>
      <c r="V15" s="129">
        <f>SUM(V10:V13)</f>
        <v>-2469331</v>
      </c>
      <c r="W15" s="111">
        <f t="shared" si="4"/>
        <v>6</v>
      </c>
    </row>
    <row r="16" spans="1:23" s="2" customFormat="1" ht="16" thickBot="1" x14ac:dyDescent="0.4">
      <c r="A16" s="111">
        <f t="shared" si="5"/>
        <v>7</v>
      </c>
      <c r="B16" s="665"/>
      <c r="C16" s="945"/>
      <c r="D16" s="666"/>
      <c r="E16" s="946"/>
      <c r="F16" s="190"/>
      <c r="G16" s="946"/>
      <c r="H16" s="190"/>
      <c r="I16" s="946"/>
      <c r="J16" s="190"/>
      <c r="K16" s="191"/>
      <c r="L16" s="111">
        <f t="shared" si="3"/>
        <v>7</v>
      </c>
      <c r="M16" s="111">
        <f t="shared" si="2"/>
        <v>7</v>
      </c>
      <c r="N16" s="665"/>
      <c r="O16" s="945"/>
      <c r="P16" s="666"/>
      <c r="Q16" s="190"/>
      <c r="R16" s="946"/>
      <c r="S16" s="190"/>
      <c r="T16" s="946"/>
      <c r="U16" s="190"/>
      <c r="V16" s="221"/>
      <c r="W16" s="111">
        <f t="shared" si="4"/>
        <v>7</v>
      </c>
    </row>
    <row r="17" spans="1:33" s="2" customFormat="1" x14ac:dyDescent="0.35">
      <c r="A17" s="111">
        <f t="shared" si="5"/>
        <v>8</v>
      </c>
      <c r="B17" s="667" t="s">
        <v>1187</v>
      </c>
      <c r="C17" s="396">
        <v>456</v>
      </c>
      <c r="D17" s="924" t="s">
        <v>1188</v>
      </c>
      <c r="E17" s="130">
        <v>-160437</v>
      </c>
      <c r="F17" s="130">
        <v>-750236</v>
      </c>
      <c r="G17" s="130">
        <v>-160438</v>
      </c>
      <c r="H17" s="130">
        <v>-342217</v>
      </c>
      <c r="I17" s="130">
        <v>-160437</v>
      </c>
      <c r="J17" s="130">
        <v>-160438</v>
      </c>
      <c r="K17" s="131">
        <v>-160437</v>
      </c>
      <c r="L17" s="111">
        <f t="shared" si="3"/>
        <v>8</v>
      </c>
      <c r="M17" s="111">
        <f t="shared" si="2"/>
        <v>8</v>
      </c>
      <c r="N17" s="667" t="str">
        <f t="shared" si="2"/>
        <v>4371016</v>
      </c>
      <c r="O17" s="396">
        <f t="shared" si="2"/>
        <v>456</v>
      </c>
      <c r="P17" s="924" t="str">
        <f t="shared" si="0"/>
        <v>Generation Interconnection</v>
      </c>
      <c r="Q17" s="130">
        <v>-485278</v>
      </c>
      <c r="R17" s="130">
        <v>-187979</v>
      </c>
      <c r="S17" s="130">
        <v>-187980</v>
      </c>
      <c r="T17" s="130">
        <v>-187980</v>
      </c>
      <c r="U17" s="136">
        <v>-290248</v>
      </c>
      <c r="V17" s="131">
        <f t="shared" ref="V17:V27" si="8">SUM(E17:K17,Q17:U17)</f>
        <v>-3234105</v>
      </c>
      <c r="W17" s="111">
        <f t="shared" si="4"/>
        <v>8</v>
      </c>
    </row>
    <row r="18" spans="1:33" s="2" customFormat="1" x14ac:dyDescent="0.35">
      <c r="A18" s="111">
        <f t="shared" si="5"/>
        <v>9</v>
      </c>
      <c r="B18" s="664" t="s">
        <v>1189</v>
      </c>
      <c r="C18" s="396">
        <v>456</v>
      </c>
      <c r="D18" s="924" t="s">
        <v>1190</v>
      </c>
      <c r="E18" s="6">
        <v>-4926</v>
      </c>
      <c r="F18" s="132">
        <v>-107629</v>
      </c>
      <c r="G18" s="132">
        <v>0</v>
      </c>
      <c r="H18" s="132">
        <v>-43142</v>
      </c>
      <c r="I18" s="132">
        <v>-22946</v>
      </c>
      <c r="J18" s="132">
        <v>-13864</v>
      </c>
      <c r="K18" s="593">
        <v>-6130</v>
      </c>
      <c r="L18" s="111">
        <f t="shared" si="3"/>
        <v>9</v>
      </c>
      <c r="M18" s="111">
        <f t="shared" si="2"/>
        <v>9</v>
      </c>
      <c r="N18" s="664" t="str">
        <f t="shared" si="2"/>
        <v>4371040</v>
      </c>
      <c r="O18" s="396">
        <f t="shared" si="2"/>
        <v>456</v>
      </c>
      <c r="P18" s="924" t="str">
        <f t="shared" si="0"/>
        <v xml:space="preserve">Revenue Enhancement </v>
      </c>
      <c r="Q18" s="132">
        <v>-2306</v>
      </c>
      <c r="R18" s="132">
        <v>-10996</v>
      </c>
      <c r="S18" s="132">
        <v>0</v>
      </c>
      <c r="T18" s="132">
        <v>0</v>
      </c>
      <c r="U18" s="132">
        <v>0</v>
      </c>
      <c r="V18" s="593">
        <f t="shared" si="8"/>
        <v>-211939</v>
      </c>
      <c r="W18" s="111">
        <f t="shared" si="4"/>
        <v>9</v>
      </c>
    </row>
    <row r="19" spans="1:33" s="2" customFormat="1" x14ac:dyDescent="0.35">
      <c r="A19" s="111">
        <f t="shared" si="5"/>
        <v>10</v>
      </c>
      <c r="B19" s="668" t="s">
        <v>1191</v>
      </c>
      <c r="C19" s="396">
        <v>456</v>
      </c>
      <c r="D19" s="669" t="s">
        <v>1192</v>
      </c>
      <c r="E19" s="954">
        <v>-165829</v>
      </c>
      <c r="F19" s="132">
        <v>-176029</v>
      </c>
      <c r="G19" s="132">
        <v>-174855</v>
      </c>
      <c r="H19" s="132">
        <v>-184859</v>
      </c>
      <c r="I19" s="132">
        <v>-185888</v>
      </c>
      <c r="J19" s="132">
        <v>-193294</v>
      </c>
      <c r="K19" s="593">
        <v>-193821</v>
      </c>
      <c r="L19" s="111">
        <f t="shared" si="3"/>
        <v>10</v>
      </c>
      <c r="M19" s="111">
        <f t="shared" si="2"/>
        <v>10</v>
      </c>
      <c r="N19" s="668" t="str">
        <f t="shared" si="2"/>
        <v>4371055</v>
      </c>
      <c r="O19" s="396">
        <f t="shared" si="2"/>
        <v>456</v>
      </c>
      <c r="P19" s="669" t="str">
        <f t="shared" si="0"/>
        <v>Shared Asset Revenue</v>
      </c>
      <c r="Q19" s="132">
        <v>-202300</v>
      </c>
      <c r="R19" s="132">
        <v>-200670</v>
      </c>
      <c r="S19" s="132">
        <v>-194415</v>
      </c>
      <c r="T19" s="132">
        <v>-193614</v>
      </c>
      <c r="U19" s="132">
        <v>-196002</v>
      </c>
      <c r="V19" s="593">
        <f t="shared" si="8"/>
        <v>-2261576</v>
      </c>
      <c r="W19" s="111">
        <f t="shared" si="4"/>
        <v>10</v>
      </c>
    </row>
    <row r="20" spans="1:33" s="2" customFormat="1" x14ac:dyDescent="0.35">
      <c r="A20" s="111">
        <f t="shared" si="5"/>
        <v>11</v>
      </c>
      <c r="B20" s="668" t="s">
        <v>1193</v>
      </c>
      <c r="C20" s="947">
        <v>456</v>
      </c>
      <c r="D20" s="670" t="s">
        <v>1194</v>
      </c>
      <c r="E20" s="132">
        <v>-6450</v>
      </c>
      <c r="F20" s="132">
        <v>-14656</v>
      </c>
      <c r="G20" s="132">
        <v>-23232</v>
      </c>
      <c r="H20" s="132">
        <v>-107</v>
      </c>
      <c r="I20" s="132">
        <v>0</v>
      </c>
      <c r="J20" s="132">
        <v>7360</v>
      </c>
      <c r="K20" s="593">
        <v>-47</v>
      </c>
      <c r="L20" s="111">
        <f t="shared" si="3"/>
        <v>11</v>
      </c>
      <c r="M20" s="111">
        <f t="shared" si="2"/>
        <v>11</v>
      </c>
      <c r="N20" s="668" t="str">
        <f t="shared" si="2"/>
        <v>4371058</v>
      </c>
      <c r="O20" s="947">
        <f t="shared" si="2"/>
        <v>456</v>
      </c>
      <c r="P20" s="670" t="str">
        <f t="shared" si="0"/>
        <v>Elec Trans Joint Pole Activity</v>
      </c>
      <c r="Q20" s="132">
        <v>0</v>
      </c>
      <c r="R20" s="132">
        <v>0</v>
      </c>
      <c r="S20" s="132">
        <v>-38</v>
      </c>
      <c r="T20" s="132">
        <v>0</v>
      </c>
      <c r="U20" s="132">
        <v>0</v>
      </c>
      <c r="V20" s="593">
        <f t="shared" si="8"/>
        <v>-37170</v>
      </c>
      <c r="W20" s="111">
        <f t="shared" si="4"/>
        <v>11</v>
      </c>
    </row>
    <row r="21" spans="1:33" s="2" customFormat="1" x14ac:dyDescent="0.35">
      <c r="A21" s="111">
        <f t="shared" si="5"/>
        <v>12</v>
      </c>
      <c r="B21" s="668" t="s">
        <v>1195</v>
      </c>
      <c r="C21" s="947">
        <v>456</v>
      </c>
      <c r="D21" s="670" t="s">
        <v>1196</v>
      </c>
      <c r="E21" s="132">
        <v>-1439</v>
      </c>
      <c r="F21" s="132">
        <v>-1438</v>
      </c>
      <c r="G21" s="132">
        <v>-1439</v>
      </c>
      <c r="H21" s="132">
        <v>-1438</v>
      </c>
      <c r="I21" s="132">
        <v>-1439</v>
      </c>
      <c r="J21" s="132">
        <v>-1438</v>
      </c>
      <c r="K21" s="593">
        <v>-1439</v>
      </c>
      <c r="L21" s="111">
        <f t="shared" si="3"/>
        <v>12</v>
      </c>
      <c r="M21" s="111">
        <f t="shared" si="2"/>
        <v>12</v>
      </c>
      <c r="N21" s="668" t="str">
        <f t="shared" si="2"/>
        <v>4371061</v>
      </c>
      <c r="O21" s="947">
        <f t="shared" si="2"/>
        <v>456</v>
      </c>
      <c r="P21" s="670" t="str">
        <f t="shared" si="0"/>
        <v>Excess Microwave Capacity - Elec Trans</v>
      </c>
      <c r="Q21" s="132">
        <v>-1438</v>
      </c>
      <c r="R21" s="132">
        <v>-1439</v>
      </c>
      <c r="S21" s="132">
        <v>-1438</v>
      </c>
      <c r="T21" s="132">
        <v>-1439</v>
      </c>
      <c r="U21" s="132">
        <v>-1438</v>
      </c>
      <c r="V21" s="593">
        <f t="shared" si="8"/>
        <v>-17262</v>
      </c>
      <c r="W21" s="111">
        <f t="shared" si="4"/>
        <v>12</v>
      </c>
    </row>
    <row r="22" spans="1:33" s="2" customFormat="1" x14ac:dyDescent="0.35">
      <c r="A22" s="111">
        <f t="shared" si="5"/>
        <v>13</v>
      </c>
      <c r="B22" s="668" t="s">
        <v>1197</v>
      </c>
      <c r="C22" s="947">
        <v>456</v>
      </c>
      <c r="D22" s="670" t="s">
        <v>1198</v>
      </c>
      <c r="E22" s="132">
        <v>0</v>
      </c>
      <c r="F22" s="132">
        <v>0</v>
      </c>
      <c r="G22" s="132">
        <v>0</v>
      </c>
      <c r="H22" s="132">
        <v>0</v>
      </c>
      <c r="I22" s="132">
        <v>0</v>
      </c>
      <c r="J22" s="132">
        <v>0</v>
      </c>
      <c r="K22" s="593">
        <v>0</v>
      </c>
      <c r="L22" s="111">
        <f t="shared" si="3"/>
        <v>13</v>
      </c>
      <c r="M22" s="111">
        <f t="shared" si="2"/>
        <v>13</v>
      </c>
      <c r="N22" s="668" t="str">
        <f t="shared" si="2"/>
        <v>4371065</v>
      </c>
      <c r="O22" s="947">
        <f t="shared" si="2"/>
        <v>456</v>
      </c>
      <c r="P22" s="670" t="str">
        <f t="shared" si="0"/>
        <v>Trans Revenue Trsfr to Gen</v>
      </c>
      <c r="Q22" s="132">
        <v>0</v>
      </c>
      <c r="R22" s="132">
        <v>0</v>
      </c>
      <c r="S22" s="132">
        <v>0</v>
      </c>
      <c r="T22" s="132">
        <v>0</v>
      </c>
      <c r="U22" s="132">
        <v>-35000</v>
      </c>
      <c r="V22" s="593">
        <f t="shared" si="8"/>
        <v>-35000</v>
      </c>
      <c r="W22" s="111">
        <f t="shared" si="4"/>
        <v>13</v>
      </c>
      <c r="AG22" s="6"/>
    </row>
    <row r="23" spans="1:33" s="2" customFormat="1" x14ac:dyDescent="0.35">
      <c r="A23" s="111">
        <f t="shared" si="5"/>
        <v>14</v>
      </c>
      <c r="B23" s="668" t="s">
        <v>1199</v>
      </c>
      <c r="C23" s="947">
        <v>456</v>
      </c>
      <c r="D23" s="670" t="s">
        <v>1200</v>
      </c>
      <c r="E23" s="132">
        <v>0</v>
      </c>
      <c r="F23" s="132">
        <v>0</v>
      </c>
      <c r="G23" s="132">
        <v>0</v>
      </c>
      <c r="H23" s="132">
        <v>0</v>
      </c>
      <c r="I23" s="132">
        <v>0</v>
      </c>
      <c r="J23" s="132">
        <v>0</v>
      </c>
      <c r="K23" s="593">
        <v>0</v>
      </c>
      <c r="L23" s="111">
        <f t="shared" si="3"/>
        <v>14</v>
      </c>
      <c r="M23" s="111">
        <f t="shared" si="2"/>
        <v>14</v>
      </c>
      <c r="N23" s="668" t="str">
        <f t="shared" si="2"/>
        <v>4371067</v>
      </c>
      <c r="O23" s="947">
        <f t="shared" si="2"/>
        <v>456</v>
      </c>
      <c r="P23" s="670" t="str">
        <f t="shared" si="0"/>
        <v>Trans Revenue Trsfr to Dist</v>
      </c>
      <c r="Q23" s="132">
        <v>0</v>
      </c>
      <c r="R23" s="132">
        <v>0</v>
      </c>
      <c r="S23" s="132">
        <v>0</v>
      </c>
      <c r="T23" s="132">
        <v>0</v>
      </c>
      <c r="U23" s="132">
        <v>142000</v>
      </c>
      <c r="V23" s="593">
        <f t="shared" si="8"/>
        <v>142000</v>
      </c>
      <c r="W23" s="111">
        <f t="shared" si="4"/>
        <v>14</v>
      </c>
      <c r="AG23" s="6"/>
    </row>
    <row r="24" spans="1:33" s="2" customFormat="1" x14ac:dyDescent="0.35">
      <c r="A24" s="111">
        <f t="shared" si="5"/>
        <v>15</v>
      </c>
      <c r="B24" s="668" t="s">
        <v>1201</v>
      </c>
      <c r="C24" s="947">
        <v>456</v>
      </c>
      <c r="D24" s="670" t="s">
        <v>1202</v>
      </c>
      <c r="E24" s="132">
        <v>0</v>
      </c>
      <c r="F24" s="132">
        <v>0</v>
      </c>
      <c r="G24" s="132">
        <v>0</v>
      </c>
      <c r="H24" s="132">
        <v>0</v>
      </c>
      <c r="I24" s="132">
        <v>0</v>
      </c>
      <c r="J24" s="132">
        <v>0</v>
      </c>
      <c r="K24" s="593">
        <v>0</v>
      </c>
      <c r="L24" s="111">
        <f t="shared" si="3"/>
        <v>15</v>
      </c>
      <c r="M24" s="111">
        <f t="shared" si="2"/>
        <v>15</v>
      </c>
      <c r="N24" s="668" t="str">
        <f t="shared" si="2"/>
        <v>4371070</v>
      </c>
      <c r="O24" s="947">
        <f t="shared" si="2"/>
        <v>456</v>
      </c>
      <c r="P24" s="670" t="str">
        <f t="shared" si="0"/>
        <v>Trans Revenue Trsfr from Dist</v>
      </c>
      <c r="Q24" s="132">
        <v>0</v>
      </c>
      <c r="R24" s="132">
        <v>0</v>
      </c>
      <c r="S24" s="132">
        <v>0</v>
      </c>
      <c r="T24" s="132">
        <v>0</v>
      </c>
      <c r="U24" s="132">
        <v>-257000</v>
      </c>
      <c r="V24" s="593">
        <f t="shared" si="8"/>
        <v>-257000</v>
      </c>
      <c r="W24" s="111">
        <f t="shared" si="4"/>
        <v>15</v>
      </c>
      <c r="AG24" s="6"/>
    </row>
    <row r="25" spans="1:33" s="2" customFormat="1" x14ac:dyDescent="0.35">
      <c r="A25" s="111">
        <f t="shared" si="5"/>
        <v>16</v>
      </c>
      <c r="B25" s="668" t="s">
        <v>1203</v>
      </c>
      <c r="C25" s="947">
        <v>456</v>
      </c>
      <c r="D25" s="670" t="s">
        <v>1204</v>
      </c>
      <c r="E25" s="132">
        <v>0</v>
      </c>
      <c r="F25" s="132">
        <v>0</v>
      </c>
      <c r="G25" s="132">
        <v>0</v>
      </c>
      <c r="H25" s="132">
        <v>0</v>
      </c>
      <c r="I25" s="132">
        <v>0</v>
      </c>
      <c r="J25" s="132">
        <v>0</v>
      </c>
      <c r="K25" s="593">
        <v>0</v>
      </c>
      <c r="L25" s="111">
        <f t="shared" si="3"/>
        <v>16</v>
      </c>
      <c r="M25" s="111">
        <f t="shared" si="2"/>
        <v>16</v>
      </c>
      <c r="N25" s="668" t="s">
        <v>1203</v>
      </c>
      <c r="O25" s="947">
        <v>456</v>
      </c>
      <c r="P25" s="670" t="s">
        <v>1204</v>
      </c>
      <c r="Q25" s="132">
        <v>0</v>
      </c>
      <c r="R25" s="132">
        <v>0</v>
      </c>
      <c r="S25" s="132">
        <v>0</v>
      </c>
      <c r="T25" s="132">
        <v>0</v>
      </c>
      <c r="U25" s="132">
        <v>0</v>
      </c>
      <c r="V25" s="593">
        <f t="shared" si="8"/>
        <v>0</v>
      </c>
      <c r="W25" s="111">
        <f t="shared" si="4"/>
        <v>16</v>
      </c>
      <c r="AG25" s="6"/>
    </row>
    <row r="26" spans="1:33" s="2" customFormat="1" x14ac:dyDescent="0.35">
      <c r="A26" s="111">
        <f t="shared" si="5"/>
        <v>17</v>
      </c>
      <c r="B26" s="668" t="s">
        <v>1205</v>
      </c>
      <c r="C26" s="947">
        <v>456</v>
      </c>
      <c r="D26" s="671" t="s">
        <v>1206</v>
      </c>
      <c r="E26" s="132">
        <v>-20244</v>
      </c>
      <c r="F26" s="132">
        <v>-20245</v>
      </c>
      <c r="G26" s="132">
        <v>-20244</v>
      </c>
      <c r="H26" s="132">
        <v>-20245</v>
      </c>
      <c r="I26" s="132">
        <v>-20244</v>
      </c>
      <c r="J26" s="132">
        <v>-20245</v>
      </c>
      <c r="K26" s="593">
        <v>-20244</v>
      </c>
      <c r="L26" s="111">
        <f t="shared" si="3"/>
        <v>17</v>
      </c>
      <c r="M26" s="111">
        <f t="shared" si="2"/>
        <v>17</v>
      </c>
      <c r="N26" s="668" t="str">
        <f t="shared" si="2"/>
        <v>4371082</v>
      </c>
      <c r="O26" s="947">
        <f t="shared" si="2"/>
        <v>456</v>
      </c>
      <c r="P26" s="671" t="str">
        <f t="shared" si="2"/>
        <v>Other Elec Rev-SDGE Gen</v>
      </c>
      <c r="Q26" s="132">
        <v>-20245</v>
      </c>
      <c r="R26" s="132">
        <v>-20244</v>
      </c>
      <c r="S26" s="132">
        <v>-20245</v>
      </c>
      <c r="T26" s="132">
        <v>-20244</v>
      </c>
      <c r="U26" s="132">
        <v>-20245</v>
      </c>
      <c r="V26" s="593">
        <f t="shared" si="8"/>
        <v>-242934</v>
      </c>
      <c r="W26" s="111">
        <f t="shared" si="4"/>
        <v>17</v>
      </c>
      <c r="AG26" s="6"/>
    </row>
    <row r="27" spans="1:33" s="2" customFormat="1" x14ac:dyDescent="0.35">
      <c r="A27" s="111">
        <f t="shared" si="5"/>
        <v>18</v>
      </c>
      <c r="B27" s="668" t="s">
        <v>1207</v>
      </c>
      <c r="C27" s="947">
        <v>456</v>
      </c>
      <c r="D27" s="924" t="s">
        <v>1208</v>
      </c>
      <c r="E27" s="953">
        <v>0</v>
      </c>
      <c r="F27" s="953">
        <v>0</v>
      </c>
      <c r="G27" s="953">
        <v>0</v>
      </c>
      <c r="H27" s="953">
        <v>0</v>
      </c>
      <c r="I27" s="953">
        <v>-18000</v>
      </c>
      <c r="J27" s="953">
        <v>-3000</v>
      </c>
      <c r="K27" s="128">
        <v>-4000</v>
      </c>
      <c r="L27" s="111">
        <f t="shared" si="3"/>
        <v>18</v>
      </c>
      <c r="M27" s="111">
        <f t="shared" si="2"/>
        <v>18</v>
      </c>
      <c r="N27" s="668" t="str">
        <f t="shared" si="2"/>
        <v>4371806</v>
      </c>
      <c r="O27" s="947">
        <f t="shared" si="2"/>
        <v>456</v>
      </c>
      <c r="P27" s="924" t="str">
        <f t="shared" si="2"/>
        <v>Elec-Trans Fees/Rev</v>
      </c>
      <c r="Q27" s="953">
        <v>-4000</v>
      </c>
      <c r="R27" s="953">
        <v>0</v>
      </c>
      <c r="S27" s="953">
        <v>-18281</v>
      </c>
      <c r="T27" s="953">
        <v>0</v>
      </c>
      <c r="U27" s="953">
        <v>0</v>
      </c>
      <c r="V27" s="128">
        <f t="shared" si="8"/>
        <v>-47281</v>
      </c>
      <c r="W27" s="111">
        <f t="shared" si="4"/>
        <v>18</v>
      </c>
      <c r="AG27" s="6"/>
    </row>
    <row r="28" spans="1:33" s="2" customFormat="1" x14ac:dyDescent="0.35">
      <c r="A28" s="111">
        <f t="shared" si="5"/>
        <v>19</v>
      </c>
      <c r="B28" s="668"/>
      <c r="C28" s="947"/>
      <c r="D28" s="924"/>
      <c r="E28" s="241"/>
      <c r="F28" s="6"/>
      <c r="G28" s="241"/>
      <c r="H28" s="6"/>
      <c r="I28" s="241"/>
      <c r="J28" s="6"/>
      <c r="K28" s="593"/>
      <c r="L28" s="111">
        <f t="shared" si="3"/>
        <v>19</v>
      </c>
      <c r="M28" s="111">
        <f t="shared" ref="M28:M38" si="9">A28</f>
        <v>19</v>
      </c>
      <c r="N28" s="668"/>
      <c r="O28" s="947"/>
      <c r="P28" s="924"/>
      <c r="Q28" s="6"/>
      <c r="R28" s="241"/>
      <c r="S28" s="6"/>
      <c r="T28" s="241"/>
      <c r="U28" s="6"/>
      <c r="V28" s="593"/>
      <c r="W28" s="111">
        <f t="shared" si="4"/>
        <v>19</v>
      </c>
      <c r="AG28" s="6"/>
    </row>
    <row r="29" spans="1:33" s="2" customFormat="1" ht="18" x14ac:dyDescent="0.35">
      <c r="A29" s="111">
        <f t="shared" si="5"/>
        <v>20</v>
      </c>
      <c r="B29" s="668"/>
      <c r="C29" s="947"/>
      <c r="D29" s="283" t="s">
        <v>1209</v>
      </c>
      <c r="E29" s="364">
        <f t="shared" ref="E29:K29" si="10">SUM(E17:E28)</f>
        <v>-359325</v>
      </c>
      <c r="F29" s="614">
        <f t="shared" si="10"/>
        <v>-1070233</v>
      </c>
      <c r="G29" s="614">
        <f t="shared" si="10"/>
        <v>-380208</v>
      </c>
      <c r="H29" s="614">
        <f t="shared" si="10"/>
        <v>-592008</v>
      </c>
      <c r="I29" s="614">
        <f t="shared" si="10"/>
        <v>-408954</v>
      </c>
      <c r="J29" s="614">
        <f t="shared" si="10"/>
        <v>-384919</v>
      </c>
      <c r="K29" s="672">
        <f t="shared" si="10"/>
        <v>-386118</v>
      </c>
      <c r="L29" s="111">
        <f t="shared" si="3"/>
        <v>20</v>
      </c>
      <c r="M29" s="111">
        <f t="shared" si="9"/>
        <v>20</v>
      </c>
      <c r="N29" s="668"/>
      <c r="O29" s="947"/>
      <c r="P29" s="283" t="s">
        <v>1209</v>
      </c>
      <c r="Q29" s="614">
        <f>SUM(Q17:Q28)</f>
        <v>-715567</v>
      </c>
      <c r="R29" s="614">
        <f>SUM(R17:R28)</f>
        <v>-421328</v>
      </c>
      <c r="S29" s="614">
        <f>SUM(S17:S28)</f>
        <v>-422397</v>
      </c>
      <c r="T29" s="614">
        <f>SUM(T17:T28)</f>
        <v>-403277</v>
      </c>
      <c r="U29" s="614">
        <f>SUM(U17:U28)</f>
        <v>-657933</v>
      </c>
      <c r="V29" s="672">
        <f>SUM(V17:V27)</f>
        <v>-6202267</v>
      </c>
      <c r="W29" s="111">
        <f t="shared" si="4"/>
        <v>20</v>
      </c>
      <c r="AG29" s="6"/>
    </row>
    <row r="30" spans="1:33" s="2" customFormat="1" ht="16" thickBot="1" x14ac:dyDescent="0.4">
      <c r="A30" s="111">
        <f t="shared" si="5"/>
        <v>21</v>
      </c>
      <c r="B30" s="673"/>
      <c r="C30" s="674"/>
      <c r="D30" s="666"/>
      <c r="E30" s="190"/>
      <c r="F30" s="946"/>
      <c r="G30" s="190"/>
      <c r="H30" s="946"/>
      <c r="I30" s="190"/>
      <c r="J30" s="946"/>
      <c r="K30" s="191"/>
      <c r="L30" s="111">
        <f t="shared" si="3"/>
        <v>21</v>
      </c>
      <c r="M30" s="111">
        <f t="shared" si="9"/>
        <v>21</v>
      </c>
      <c r="N30" s="673"/>
      <c r="O30" s="674"/>
      <c r="P30" s="666"/>
      <c r="Q30" s="946"/>
      <c r="R30" s="190"/>
      <c r="S30" s="946"/>
      <c r="T30" s="190"/>
      <c r="U30" s="946"/>
      <c r="V30" s="191"/>
      <c r="W30" s="111">
        <f t="shared" si="4"/>
        <v>21</v>
      </c>
      <c r="AG30" s="6"/>
    </row>
    <row r="31" spans="1:33" s="2" customFormat="1" ht="18" x14ac:dyDescent="0.35">
      <c r="A31" s="111">
        <f t="shared" si="5"/>
        <v>22</v>
      </c>
      <c r="B31" s="668"/>
      <c r="C31" s="947" t="s">
        <v>1210</v>
      </c>
      <c r="D31" s="615" t="s">
        <v>1211</v>
      </c>
      <c r="E31" s="130">
        <v>-44127</v>
      </c>
      <c r="F31" s="132">
        <v>-44126</v>
      </c>
      <c r="G31" s="241">
        <v>-44127</v>
      </c>
      <c r="H31" s="6">
        <v>-44126</v>
      </c>
      <c r="I31" s="241">
        <v>-44127</v>
      </c>
      <c r="J31" s="6">
        <v>-44126</v>
      </c>
      <c r="K31" s="593">
        <v>-44127</v>
      </c>
      <c r="L31" s="111">
        <f t="shared" si="3"/>
        <v>22</v>
      </c>
      <c r="M31" s="111">
        <f t="shared" si="9"/>
        <v>22</v>
      </c>
      <c r="N31" s="668"/>
      <c r="O31" s="947" t="str">
        <f>C31</f>
        <v>Various</v>
      </c>
      <c r="P31" s="615" t="s">
        <v>1211</v>
      </c>
      <c r="Q31" s="130">
        <v>-44126</v>
      </c>
      <c r="R31" s="130">
        <v>-44127</v>
      </c>
      <c r="S31" s="130">
        <v>-44126</v>
      </c>
      <c r="T31" s="130">
        <v>-44127</v>
      </c>
      <c r="U31" s="136">
        <v>-44126</v>
      </c>
      <c r="V31" s="593">
        <f>SUM(E31:K31,Q31:U31)</f>
        <v>-529518</v>
      </c>
      <c r="W31" s="111">
        <f t="shared" si="4"/>
        <v>22</v>
      </c>
      <c r="AG31" s="6"/>
    </row>
    <row r="32" spans="1:33" s="2" customFormat="1" ht="18" x14ac:dyDescent="0.35">
      <c r="A32" s="111">
        <f t="shared" si="5"/>
        <v>23</v>
      </c>
      <c r="B32" s="675"/>
      <c r="C32" s="852" t="s">
        <v>1210</v>
      </c>
      <c r="D32" s="853" t="s">
        <v>1212</v>
      </c>
      <c r="E32" s="953">
        <v>-13664</v>
      </c>
      <c r="F32" s="953">
        <v>-13664</v>
      </c>
      <c r="G32" s="953">
        <v>-13664</v>
      </c>
      <c r="H32" s="953">
        <v>-13664</v>
      </c>
      <c r="I32" s="953">
        <v>-13664</v>
      </c>
      <c r="J32" s="953">
        <v>-13664</v>
      </c>
      <c r="K32" s="128">
        <v>-13664</v>
      </c>
      <c r="L32" s="111">
        <f t="shared" si="3"/>
        <v>23</v>
      </c>
      <c r="M32" s="111">
        <f t="shared" si="9"/>
        <v>23</v>
      </c>
      <c r="N32" s="675"/>
      <c r="O32" s="852" t="s">
        <v>1210</v>
      </c>
      <c r="P32" s="853" t="s">
        <v>1212</v>
      </c>
      <c r="Q32" s="953">
        <v>-13664</v>
      </c>
      <c r="R32" s="953">
        <v>-13664</v>
      </c>
      <c r="S32" s="953">
        <v>-13664</v>
      </c>
      <c r="T32" s="953">
        <v>-13664</v>
      </c>
      <c r="U32" s="953">
        <v>-13664</v>
      </c>
      <c r="V32" s="128">
        <f>SUM(E32:K32,Q32:U32)</f>
        <v>-163968</v>
      </c>
      <c r="W32" s="111">
        <f t="shared" si="4"/>
        <v>23</v>
      </c>
      <c r="AG32" s="6"/>
    </row>
    <row r="33" spans="1:23" s="2" customFormat="1" x14ac:dyDescent="0.35">
      <c r="A33" s="111">
        <f t="shared" si="5"/>
        <v>24</v>
      </c>
      <c r="B33" s="676"/>
      <c r="C33" s="241"/>
      <c r="D33" s="670"/>
      <c r="E33" s="132"/>
      <c r="F33" s="132"/>
      <c r="G33" s="132"/>
      <c r="H33" s="132"/>
      <c r="I33" s="132"/>
      <c r="J33" s="132"/>
      <c r="K33" s="593"/>
      <c r="L33" s="111">
        <f t="shared" si="3"/>
        <v>24</v>
      </c>
      <c r="M33" s="111">
        <f t="shared" si="9"/>
        <v>24</v>
      </c>
      <c r="N33" s="676"/>
      <c r="O33" s="241"/>
      <c r="P33" s="670"/>
      <c r="Q33" s="132"/>
      <c r="R33" s="132"/>
      <c r="S33" s="132"/>
      <c r="T33" s="132"/>
      <c r="U33" s="132"/>
      <c r="V33" s="593"/>
      <c r="W33" s="111">
        <f t="shared" si="4"/>
        <v>24</v>
      </c>
    </row>
    <row r="34" spans="1:23" s="2" customFormat="1" x14ac:dyDescent="0.35">
      <c r="A34" s="111">
        <f t="shared" si="5"/>
        <v>25</v>
      </c>
      <c r="B34" s="677"/>
      <c r="C34" s="948"/>
      <c r="D34" s="350" t="s">
        <v>1151</v>
      </c>
      <c r="E34" s="620">
        <f>SUM(E31:E33)</f>
        <v>-57791</v>
      </c>
      <c r="F34" s="620">
        <f t="shared" ref="F34:K34" si="11">SUM(F31:F33)</f>
        <v>-57790</v>
      </c>
      <c r="G34" s="620">
        <f t="shared" si="11"/>
        <v>-57791</v>
      </c>
      <c r="H34" s="620">
        <f t="shared" si="11"/>
        <v>-57790</v>
      </c>
      <c r="I34" s="620">
        <f t="shared" si="11"/>
        <v>-57791</v>
      </c>
      <c r="J34" s="620">
        <f t="shared" si="11"/>
        <v>-57790</v>
      </c>
      <c r="K34" s="133">
        <f t="shared" si="11"/>
        <v>-57791</v>
      </c>
      <c r="L34" s="111">
        <f t="shared" si="3"/>
        <v>25</v>
      </c>
      <c r="M34" s="111">
        <f t="shared" si="9"/>
        <v>25</v>
      </c>
      <c r="N34" s="677"/>
      <c r="O34" s="948"/>
      <c r="P34" s="678" t="str">
        <f t="shared" ref="P34" si="12">D34</f>
        <v>Electric Transmission Revenues from Citizens</v>
      </c>
      <c r="Q34" s="620">
        <f>SUM(Q31:Q33)</f>
        <v>-57790</v>
      </c>
      <c r="R34" s="620">
        <f t="shared" ref="R34:U34" si="13">SUM(R31:R33)</f>
        <v>-57791</v>
      </c>
      <c r="S34" s="620">
        <f t="shared" si="13"/>
        <v>-57790</v>
      </c>
      <c r="T34" s="620">
        <f t="shared" si="13"/>
        <v>-57791</v>
      </c>
      <c r="U34" s="620">
        <f t="shared" si="13"/>
        <v>-57790</v>
      </c>
      <c r="V34" s="133">
        <f>SUM(V31:V33)</f>
        <v>-693486</v>
      </c>
      <c r="W34" s="111">
        <f t="shared" si="4"/>
        <v>25</v>
      </c>
    </row>
    <row r="35" spans="1:23" s="2" customFormat="1" x14ac:dyDescent="0.35">
      <c r="A35" s="111">
        <f t="shared" si="5"/>
        <v>26</v>
      </c>
      <c r="B35" s="677"/>
      <c r="C35" s="948"/>
      <c r="D35" s="350"/>
      <c r="E35" s="614"/>
      <c r="F35" s="614"/>
      <c r="G35" s="614"/>
      <c r="H35" s="364"/>
      <c r="I35" s="91"/>
      <c r="J35" s="614"/>
      <c r="K35" s="672"/>
      <c r="L35" s="111">
        <f t="shared" si="3"/>
        <v>26</v>
      </c>
      <c r="M35" s="111">
        <f t="shared" si="9"/>
        <v>26</v>
      </c>
      <c r="N35" s="677"/>
      <c r="O35" s="948"/>
      <c r="P35" s="678"/>
      <c r="Q35" s="63"/>
      <c r="R35" s="91"/>
      <c r="S35" s="364"/>
      <c r="T35" s="91"/>
      <c r="U35" s="364"/>
      <c r="V35" s="682"/>
      <c r="W35" s="111">
        <f t="shared" si="4"/>
        <v>26</v>
      </c>
    </row>
    <row r="36" spans="1:23" s="2" customFormat="1" x14ac:dyDescent="0.35">
      <c r="A36" s="111">
        <f t="shared" si="5"/>
        <v>27</v>
      </c>
      <c r="B36" s="677"/>
      <c r="C36" s="948"/>
      <c r="D36" s="679"/>
      <c r="E36" s="91"/>
      <c r="F36" s="364"/>
      <c r="G36" s="91"/>
      <c r="H36" s="364"/>
      <c r="I36" s="91"/>
      <c r="J36" s="614"/>
      <c r="K36" s="672"/>
      <c r="L36" s="111">
        <f t="shared" si="3"/>
        <v>27</v>
      </c>
      <c r="M36" s="111">
        <f t="shared" si="9"/>
        <v>27</v>
      </c>
      <c r="N36" s="680"/>
      <c r="O36" s="681"/>
      <c r="P36" s="944"/>
      <c r="Q36" s="63"/>
      <c r="R36" s="91"/>
      <c r="S36" s="364"/>
      <c r="T36" s="91"/>
      <c r="U36" s="364"/>
      <c r="V36" s="682"/>
      <c r="W36" s="111">
        <f t="shared" si="4"/>
        <v>27</v>
      </c>
    </row>
    <row r="37" spans="1:23" s="3" customFormat="1" ht="16" thickBot="1" x14ac:dyDescent="0.4">
      <c r="A37" s="111">
        <f t="shared" si="5"/>
        <v>28</v>
      </c>
      <c r="B37" s="683" t="s">
        <v>1213</v>
      </c>
      <c r="D37" s="949"/>
      <c r="E37" s="106">
        <f t="shared" ref="E37:K37" si="14">E15+E29+E34</f>
        <v>-486997</v>
      </c>
      <c r="F37" s="103">
        <f t="shared" si="14"/>
        <v>-1196797</v>
      </c>
      <c r="G37" s="106">
        <f t="shared" si="14"/>
        <v>-511089</v>
      </c>
      <c r="H37" s="103">
        <f t="shared" si="14"/>
        <v>-740547</v>
      </c>
      <c r="I37" s="106">
        <f t="shared" si="14"/>
        <v>-535339</v>
      </c>
      <c r="J37" s="103">
        <f t="shared" si="14"/>
        <v>-589295</v>
      </c>
      <c r="K37" s="134">
        <f t="shared" si="14"/>
        <v>-556121</v>
      </c>
      <c r="L37" s="111">
        <f t="shared" si="3"/>
        <v>28</v>
      </c>
      <c r="M37" s="111">
        <f t="shared" si="9"/>
        <v>28</v>
      </c>
      <c r="N37" s="683" t="str">
        <f>B37</f>
        <v>Total Miscellaneous Revenue</v>
      </c>
      <c r="P37" s="949"/>
      <c r="Q37" s="103">
        <f t="shared" ref="Q37:V37" si="15">Q15+Q29+Q34</f>
        <v>-920191</v>
      </c>
      <c r="R37" s="106">
        <f t="shared" si="15"/>
        <v>-1199709</v>
      </c>
      <c r="S37" s="103">
        <f t="shared" si="15"/>
        <v>-551998</v>
      </c>
      <c r="T37" s="106">
        <f t="shared" si="15"/>
        <v>-573177</v>
      </c>
      <c r="U37" s="103">
        <f t="shared" si="15"/>
        <v>-1503824</v>
      </c>
      <c r="V37" s="134">
        <f t="shared" si="15"/>
        <v>-9365084</v>
      </c>
      <c r="W37" s="111">
        <f t="shared" si="4"/>
        <v>28</v>
      </c>
    </row>
    <row r="38" spans="1:23" ht="16.5" thickTop="1" thickBot="1" x14ac:dyDescent="0.4">
      <c r="A38" s="111">
        <f t="shared" si="5"/>
        <v>29</v>
      </c>
      <c r="B38" s="214"/>
      <c r="C38" s="891"/>
      <c r="D38" s="215"/>
      <c r="E38" s="891"/>
      <c r="F38" s="215"/>
      <c r="G38" s="891"/>
      <c r="H38" s="215"/>
      <c r="I38" s="891"/>
      <c r="J38" s="215"/>
      <c r="K38" s="618"/>
      <c r="L38" s="111">
        <f t="shared" si="3"/>
        <v>29</v>
      </c>
      <c r="M38" s="111">
        <f t="shared" si="9"/>
        <v>29</v>
      </c>
      <c r="N38" s="214"/>
      <c r="O38" s="891"/>
      <c r="P38" s="215"/>
      <c r="Q38" s="215"/>
      <c r="R38" s="891"/>
      <c r="S38" s="215"/>
      <c r="T38" s="891"/>
      <c r="U38" s="137"/>
      <c r="V38" s="138"/>
      <c r="W38" s="111">
        <f t="shared" si="4"/>
        <v>29</v>
      </c>
    </row>
    <row r="40" spans="1:23" x14ac:dyDescent="0.35">
      <c r="A40" s="226"/>
      <c r="B40" s="1"/>
    </row>
    <row r="41" spans="1:23" ht="18" x14ac:dyDescent="0.35">
      <c r="A41" s="276">
        <v>1</v>
      </c>
      <c r="B41" s="34" t="s">
        <v>1214</v>
      </c>
      <c r="M41" s="276">
        <f>A41</f>
        <v>1</v>
      </c>
      <c r="N41" s="34" t="str">
        <f>B41</f>
        <v>The total Rent from Electric Property in FERC Form 1; Page 300-301; Line 19; Col. b includes both Distribution and Transmission rents. The Total Transmission-related Rents from Electric</v>
      </c>
    </row>
    <row r="42" spans="1:23" x14ac:dyDescent="0.35">
      <c r="B42" s="34" t="s">
        <v>1836</v>
      </c>
      <c r="N42" s="34" t="str">
        <f>B42</f>
        <v>Property is reflected in Col. (m) of this schedule. The Rent from Electric Property for ratemaking included in 2022 FERC Form 1; Page 300-301; Footnote Data (b) at $271,482 is incorrect. During</v>
      </c>
    </row>
    <row r="43" spans="1:23" x14ac:dyDescent="0.35">
      <c r="B43" s="34" t="s">
        <v>1837</v>
      </c>
      <c r="N43" s="34" t="str">
        <f t="shared" ref="N43" si="16">B43</f>
        <v>preparation of the TO5 Cycle 6 filing, an additional ($2.2M) of transmission rental revenue was identified and included above. The Dec-22 amount presented on Line 6 above is the correct amount.</v>
      </c>
    </row>
    <row r="44" spans="1:23" ht="18" x14ac:dyDescent="0.35">
      <c r="A44" s="276">
        <v>2</v>
      </c>
      <c r="B44" s="34" t="s">
        <v>1215</v>
      </c>
      <c r="M44" s="276">
        <f>A44</f>
        <v>2</v>
      </c>
      <c r="N44" s="34" t="str">
        <f>B44</f>
        <v>The total Other Electric Revenues in FERC Form 1; Page 300-301; Line 21; Col. b includes other revenues for both Distribution and Transmission. The Total Transmission-related piece of Other</v>
      </c>
    </row>
    <row r="45" spans="1:23" x14ac:dyDescent="0.35">
      <c r="B45" s="34" t="s">
        <v>1216</v>
      </c>
      <c r="N45" s="34" t="str">
        <f>B45</f>
        <v>Revenues is reflected in Col. (m) of this schedule and ties to the footnotes on FERC Form 1; Page 300-301; Footnote Data (c).</v>
      </c>
    </row>
    <row r="46" spans="1:23" ht="18" x14ac:dyDescent="0.35">
      <c r="A46" s="276">
        <v>3</v>
      </c>
      <c r="B46" s="34" t="s">
        <v>1217</v>
      </c>
      <c r="M46" s="276">
        <f>A46</f>
        <v>3</v>
      </c>
      <c r="N46" s="34" t="str">
        <f>B46</f>
        <v>The Electric Transmission Revenue for Citizens in this statement is to provide ratepayers a credit for Citizens' share of Transmission-related Common and General Plant, Transmission-related</v>
      </c>
    </row>
    <row r="47" spans="1:23" x14ac:dyDescent="0.35">
      <c r="B47" s="34" t="s">
        <v>1218</v>
      </c>
      <c r="N47" s="34" t="str">
        <f>B47</f>
        <v>Working Capital Revenue, and Franchise Fees.</v>
      </c>
    </row>
    <row r="52" spans="2:5" x14ac:dyDescent="0.35">
      <c r="B52" s="851"/>
      <c r="E52" s="226"/>
    </row>
    <row r="53" spans="2:5" x14ac:dyDescent="0.35">
      <c r="B53" s="851"/>
      <c r="E53" s="226"/>
    </row>
    <row r="54" spans="2:5" x14ac:dyDescent="0.35">
      <c r="B54" s="851"/>
      <c r="E54" s="226"/>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70"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63"/>
  <sheetViews>
    <sheetView zoomScale="80" zoomScaleNormal="80" workbookViewId="0"/>
  </sheetViews>
  <sheetFormatPr defaultColWidth="8.90625" defaultRowHeight="15.5" x14ac:dyDescent="0.35"/>
  <cols>
    <col min="1" max="1" width="5.08984375" style="4" customWidth="1"/>
    <col min="2" max="2" width="55.453125" style="34" customWidth="1"/>
    <col min="3" max="5" width="15.54296875" style="34" customWidth="1"/>
    <col min="6" max="6" width="1.54296875" style="34" customWidth="1"/>
    <col min="7" max="7" width="16.90625" style="34" customWidth="1"/>
    <col min="8" max="8" width="1.54296875" style="34" customWidth="1"/>
    <col min="9" max="9" width="38.90625" style="264" customWidth="1"/>
    <col min="10" max="10" width="5.08984375" style="34" customWidth="1"/>
    <col min="11" max="11" width="16.08984375" style="34" bestFit="1" customWidth="1"/>
    <col min="12" max="12" width="10.453125" style="34" bestFit="1" customWidth="1"/>
    <col min="13" max="16384" width="8.90625" style="34"/>
  </cols>
  <sheetData>
    <row r="2" spans="1:10" x14ac:dyDescent="0.35">
      <c r="B2" s="1171" t="s">
        <v>0</v>
      </c>
      <c r="C2" s="1171"/>
      <c r="D2" s="1171"/>
      <c r="E2" s="1171"/>
      <c r="F2" s="1171"/>
      <c r="G2" s="1171"/>
      <c r="H2" s="1171"/>
      <c r="I2" s="1171"/>
      <c r="J2" s="4"/>
    </row>
    <row r="3" spans="1:10" x14ac:dyDescent="0.35">
      <c r="B3" s="1171" t="s">
        <v>1219</v>
      </c>
      <c r="C3" s="1171"/>
      <c r="D3" s="1171"/>
      <c r="E3" s="1171"/>
      <c r="F3" s="1171"/>
      <c r="G3" s="1171"/>
      <c r="H3" s="1171"/>
      <c r="I3" s="1171"/>
      <c r="J3" s="4"/>
    </row>
    <row r="4" spans="1:10" x14ac:dyDescent="0.35">
      <c r="B4" s="1171" t="s">
        <v>1220</v>
      </c>
      <c r="C4" s="1171"/>
      <c r="D4" s="1171"/>
      <c r="E4" s="1171"/>
      <c r="F4" s="1171"/>
      <c r="G4" s="1171"/>
      <c r="H4" s="1171"/>
      <c r="I4" s="1171"/>
      <c r="J4" s="4"/>
    </row>
    <row r="5" spans="1:10" x14ac:dyDescent="0.35">
      <c r="B5" s="1176" t="str">
        <f>'Stmt AD'!B5</f>
        <v>Base Period &amp; True-Up Period 12 - Months Ending December 31, 2022</v>
      </c>
      <c r="C5" s="1176"/>
      <c r="D5" s="1176"/>
      <c r="E5" s="1176"/>
      <c r="F5" s="1176"/>
      <c r="G5" s="1176"/>
      <c r="H5" s="1176"/>
      <c r="I5" s="1176"/>
      <c r="J5" s="4"/>
    </row>
    <row r="6" spans="1:10" x14ac:dyDescent="0.35">
      <c r="B6" s="1175" t="s">
        <v>5</v>
      </c>
      <c r="C6" s="1172"/>
      <c r="D6" s="1172"/>
      <c r="E6" s="1172"/>
      <c r="F6" s="1172"/>
      <c r="G6" s="1172"/>
      <c r="H6" s="1172"/>
      <c r="I6" s="1172"/>
      <c r="J6" s="4"/>
    </row>
    <row r="7" spans="1:10" x14ac:dyDescent="0.35">
      <c r="B7" s="4"/>
      <c r="C7" s="4"/>
      <c r="D7" s="4"/>
      <c r="E7" s="4"/>
      <c r="F7" s="4"/>
      <c r="G7" s="4"/>
      <c r="H7" s="4"/>
      <c r="I7" s="95"/>
      <c r="J7" s="4"/>
    </row>
    <row r="8" spans="1:10" x14ac:dyDescent="0.35">
      <c r="A8" s="4" t="s">
        <v>6</v>
      </c>
      <c r="B8" s="226"/>
      <c r="C8" s="226"/>
      <c r="D8" s="226"/>
      <c r="E8" s="4" t="s">
        <v>317</v>
      </c>
      <c r="F8" s="226"/>
      <c r="G8" s="226"/>
      <c r="H8" s="226"/>
      <c r="I8" s="95"/>
      <c r="J8" s="4" t="s">
        <v>6</v>
      </c>
    </row>
    <row r="9" spans="1:10" x14ac:dyDescent="0.35">
      <c r="A9" s="4" t="s">
        <v>7</v>
      </c>
      <c r="B9" s="4"/>
      <c r="C9" s="4"/>
      <c r="D9" s="4"/>
      <c r="E9" s="876" t="s">
        <v>319</v>
      </c>
      <c r="F9" s="4"/>
      <c r="G9" s="877" t="s">
        <v>8</v>
      </c>
      <c r="H9" s="226"/>
      <c r="I9" s="878" t="s">
        <v>9</v>
      </c>
      <c r="J9" s="4" t="s">
        <v>7</v>
      </c>
    </row>
    <row r="10" spans="1:10" x14ac:dyDescent="0.35">
      <c r="B10" s="4"/>
      <c r="C10" s="4"/>
      <c r="D10" s="4"/>
      <c r="E10" s="4"/>
      <c r="F10" s="4"/>
      <c r="G10" s="4"/>
      <c r="H10" s="4"/>
      <c r="I10" s="95"/>
      <c r="J10" s="4"/>
    </row>
    <row r="11" spans="1:10" x14ac:dyDescent="0.35">
      <c r="A11" s="4">
        <v>1</v>
      </c>
      <c r="B11" s="259" t="s">
        <v>1221</v>
      </c>
      <c r="I11" s="95"/>
      <c r="J11" s="4">
        <f>A11</f>
        <v>1</v>
      </c>
    </row>
    <row r="12" spans="1:10" x14ac:dyDescent="0.35">
      <c r="A12" s="4">
        <f>A11+1</f>
        <v>2</v>
      </c>
      <c r="B12" s="34" t="s">
        <v>1222</v>
      </c>
      <c r="E12" s="4" t="s">
        <v>1223</v>
      </c>
      <c r="G12" s="43">
        <v>7400000</v>
      </c>
      <c r="H12" s="226"/>
      <c r="I12" s="476"/>
      <c r="J12" s="4">
        <f>J11+1</f>
        <v>2</v>
      </c>
    </row>
    <row r="13" spans="1:10" x14ac:dyDescent="0.35">
      <c r="A13" s="4">
        <f t="shared" ref="A13:A52" si="0">A12+1</f>
        <v>3</v>
      </c>
      <c r="B13" s="34" t="s">
        <v>1224</v>
      </c>
      <c r="E13" s="4" t="s">
        <v>1225</v>
      </c>
      <c r="G13" s="45">
        <v>0</v>
      </c>
      <c r="H13" s="226"/>
      <c r="I13" s="476"/>
      <c r="J13" s="4">
        <f t="shared" ref="J13:J52" si="1">J12+1</f>
        <v>3</v>
      </c>
    </row>
    <row r="14" spans="1:10" x14ac:dyDescent="0.35">
      <c r="A14" s="4">
        <f t="shared" si="0"/>
        <v>4</v>
      </c>
      <c r="B14" s="34" t="s">
        <v>1226</v>
      </c>
      <c r="E14" s="4" t="s">
        <v>1227</v>
      </c>
      <c r="G14" s="45">
        <v>400000</v>
      </c>
      <c r="H14" s="226"/>
      <c r="I14" s="476"/>
      <c r="J14" s="4">
        <f t="shared" si="1"/>
        <v>4</v>
      </c>
    </row>
    <row r="15" spans="1:10" x14ac:dyDescent="0.35">
      <c r="A15" s="4">
        <f t="shared" si="0"/>
        <v>5</v>
      </c>
      <c r="B15" s="34" t="s">
        <v>1228</v>
      </c>
      <c r="E15" s="4" t="s">
        <v>1229</v>
      </c>
      <c r="G15" s="45">
        <v>0</v>
      </c>
      <c r="H15" s="226"/>
      <c r="I15" s="476"/>
      <c r="J15" s="4">
        <f t="shared" si="1"/>
        <v>5</v>
      </c>
    </row>
    <row r="16" spans="1:10" x14ac:dyDescent="0.35">
      <c r="A16" s="4">
        <f t="shared" si="0"/>
        <v>6</v>
      </c>
      <c r="B16" s="34" t="s">
        <v>1230</v>
      </c>
      <c r="E16" s="4" t="s">
        <v>1231</v>
      </c>
      <c r="G16" s="963">
        <v>-19901.434000000001</v>
      </c>
      <c r="H16" s="226"/>
      <c r="I16" s="476"/>
      <c r="J16" s="4">
        <f t="shared" si="1"/>
        <v>6</v>
      </c>
    </row>
    <row r="17" spans="1:11" x14ac:dyDescent="0.35">
      <c r="A17" s="4">
        <f t="shared" si="0"/>
        <v>7</v>
      </c>
      <c r="B17" s="34" t="s">
        <v>1232</v>
      </c>
      <c r="G17" s="1043">
        <f>SUM(G12:G16)</f>
        <v>7780098.5659999996</v>
      </c>
      <c r="H17" s="38"/>
      <c r="I17" s="95" t="s">
        <v>548</v>
      </c>
      <c r="J17" s="4">
        <f t="shared" si="1"/>
        <v>7</v>
      </c>
      <c r="K17" s="38"/>
    </row>
    <row r="18" spans="1:11" x14ac:dyDescent="0.35">
      <c r="A18" s="4">
        <f t="shared" si="0"/>
        <v>8</v>
      </c>
      <c r="I18" s="95"/>
      <c r="J18" s="4">
        <f t="shared" si="1"/>
        <v>8</v>
      </c>
    </row>
    <row r="19" spans="1:11" x14ac:dyDescent="0.35">
      <c r="A19" s="4">
        <f t="shared" si="0"/>
        <v>9</v>
      </c>
      <c r="B19" s="259" t="s">
        <v>1233</v>
      </c>
      <c r="G19" s="6"/>
      <c r="H19" s="6"/>
      <c r="I19" s="95"/>
      <c r="J19" s="4">
        <f t="shared" si="1"/>
        <v>9</v>
      </c>
    </row>
    <row r="20" spans="1:11" x14ac:dyDescent="0.35">
      <c r="A20" s="4">
        <f t="shared" si="0"/>
        <v>10</v>
      </c>
      <c r="B20" s="34" t="s">
        <v>1234</v>
      </c>
      <c r="E20" s="4" t="s">
        <v>1235</v>
      </c>
      <c r="G20" s="43">
        <v>279208.77100000001</v>
      </c>
      <c r="H20" s="226"/>
      <c r="I20" s="476"/>
      <c r="J20" s="4">
        <f t="shared" si="1"/>
        <v>10</v>
      </c>
    </row>
    <row r="21" spans="1:11" x14ac:dyDescent="0.35">
      <c r="A21" s="4">
        <f t="shared" si="0"/>
        <v>11</v>
      </c>
      <c r="B21" s="34" t="s">
        <v>1236</v>
      </c>
      <c r="E21" s="4" t="s">
        <v>1237</v>
      </c>
      <c r="G21" s="45">
        <v>4856.66</v>
      </c>
      <c r="H21" s="226"/>
      <c r="I21" s="476"/>
      <c r="J21" s="4">
        <f t="shared" si="1"/>
        <v>11</v>
      </c>
    </row>
    <row r="22" spans="1:11" x14ac:dyDescent="0.35">
      <c r="A22" s="4">
        <f t="shared" si="0"/>
        <v>12</v>
      </c>
      <c r="B22" s="34" t="s">
        <v>1238</v>
      </c>
      <c r="E22" s="4" t="s">
        <v>1239</v>
      </c>
      <c r="G22" s="45">
        <v>771.90899999999999</v>
      </c>
      <c r="H22" s="226"/>
      <c r="I22" s="476"/>
      <c r="J22" s="4">
        <f t="shared" si="1"/>
        <v>12</v>
      </c>
    </row>
    <row r="23" spans="1:11" x14ac:dyDescent="0.35">
      <c r="A23" s="4">
        <f t="shared" si="0"/>
        <v>13</v>
      </c>
      <c r="B23" s="34" t="s">
        <v>1240</v>
      </c>
      <c r="E23" s="4" t="s">
        <v>1241</v>
      </c>
      <c r="G23" s="45">
        <v>0</v>
      </c>
      <c r="H23" s="226"/>
      <c r="I23" s="476"/>
      <c r="J23" s="4">
        <f t="shared" si="1"/>
        <v>13</v>
      </c>
    </row>
    <row r="24" spans="1:11" x14ac:dyDescent="0.35">
      <c r="A24" s="4">
        <f t="shared" si="0"/>
        <v>14</v>
      </c>
      <c r="B24" s="34" t="s">
        <v>1242</v>
      </c>
      <c r="E24" s="4" t="s">
        <v>1243</v>
      </c>
      <c r="G24" s="963">
        <v>0</v>
      </c>
      <c r="H24" s="226"/>
      <c r="I24" s="476"/>
      <c r="J24" s="4">
        <f t="shared" si="1"/>
        <v>14</v>
      </c>
    </row>
    <row r="25" spans="1:11" x14ac:dyDescent="0.35">
      <c r="A25" s="4">
        <f t="shared" si="0"/>
        <v>15</v>
      </c>
      <c r="B25" s="34" t="s">
        <v>1244</v>
      </c>
      <c r="G25" s="1119">
        <f>SUM(G20:G24)</f>
        <v>284837.33999999997</v>
      </c>
      <c r="H25" s="51"/>
      <c r="I25" s="95" t="s">
        <v>1245</v>
      </c>
      <c r="J25" s="4">
        <f t="shared" si="1"/>
        <v>15</v>
      </c>
    </row>
    <row r="26" spans="1:11" x14ac:dyDescent="0.35">
      <c r="A26" s="4">
        <f t="shared" si="0"/>
        <v>16</v>
      </c>
      <c r="I26" s="95"/>
      <c r="J26" s="4">
        <f t="shared" si="1"/>
        <v>16</v>
      </c>
    </row>
    <row r="27" spans="1:11" ht="16" thickBot="1" x14ac:dyDescent="0.4">
      <c r="A27" s="4">
        <f t="shared" si="0"/>
        <v>17</v>
      </c>
      <c r="B27" s="259" t="s">
        <v>1246</v>
      </c>
      <c r="G27" s="54">
        <f>G25/G17</f>
        <v>3.6611019459930061E-2</v>
      </c>
      <c r="H27" s="29"/>
      <c r="I27" s="95" t="s">
        <v>1247</v>
      </c>
      <c r="J27" s="4">
        <f t="shared" si="1"/>
        <v>17</v>
      </c>
    </row>
    <row r="28" spans="1:11" ht="16" thickTop="1" x14ac:dyDescent="0.35">
      <c r="A28" s="4">
        <f t="shared" si="0"/>
        <v>18</v>
      </c>
      <c r="I28" s="95"/>
      <c r="J28" s="4">
        <f t="shared" si="1"/>
        <v>18</v>
      </c>
    </row>
    <row r="29" spans="1:11" x14ac:dyDescent="0.35">
      <c r="A29" s="4">
        <f t="shared" si="0"/>
        <v>19</v>
      </c>
      <c r="B29" s="259" t="s">
        <v>1248</v>
      </c>
      <c r="I29" s="95"/>
      <c r="J29" s="4">
        <f t="shared" si="1"/>
        <v>19</v>
      </c>
    </row>
    <row r="30" spans="1:11" x14ac:dyDescent="0.35">
      <c r="A30" s="4">
        <f t="shared" si="0"/>
        <v>20</v>
      </c>
      <c r="B30" s="34" t="s">
        <v>1249</v>
      </c>
      <c r="E30" s="4" t="s">
        <v>1250</v>
      </c>
      <c r="G30" s="43">
        <v>0</v>
      </c>
      <c r="H30" s="226"/>
      <c r="I30" s="476"/>
      <c r="J30" s="4">
        <f t="shared" si="1"/>
        <v>20</v>
      </c>
    </row>
    <row r="31" spans="1:11" x14ac:dyDescent="0.35">
      <c r="A31" s="4">
        <f t="shared" si="0"/>
        <v>21</v>
      </c>
      <c r="B31" s="34" t="s">
        <v>1251</v>
      </c>
      <c r="E31" s="4" t="s">
        <v>1252</v>
      </c>
      <c r="G31" s="1120">
        <v>0</v>
      </c>
      <c r="H31" s="226"/>
      <c r="I31" s="476"/>
      <c r="J31" s="4">
        <f t="shared" si="1"/>
        <v>21</v>
      </c>
    </row>
    <row r="32" spans="1:11" ht="16" thickBot="1" x14ac:dyDescent="0.4">
      <c r="A32" s="4">
        <f t="shared" si="0"/>
        <v>22</v>
      </c>
      <c r="B32" s="34" t="s">
        <v>1253</v>
      </c>
      <c r="G32" s="54">
        <f>IFERROR((G31/G30),0)</f>
        <v>0</v>
      </c>
      <c r="H32" s="29"/>
      <c r="I32" s="95" t="s">
        <v>1254</v>
      </c>
      <c r="J32" s="4">
        <f t="shared" si="1"/>
        <v>22</v>
      </c>
    </row>
    <row r="33" spans="1:12" ht="16" thickTop="1" x14ac:dyDescent="0.35">
      <c r="A33" s="4">
        <f t="shared" si="0"/>
        <v>23</v>
      </c>
      <c r="I33" s="95"/>
      <c r="J33" s="4">
        <f t="shared" si="1"/>
        <v>23</v>
      </c>
    </row>
    <row r="34" spans="1:12" x14ac:dyDescent="0.35">
      <c r="A34" s="4">
        <f t="shared" si="0"/>
        <v>24</v>
      </c>
      <c r="B34" s="259" t="s">
        <v>1255</v>
      </c>
      <c r="I34" s="95"/>
      <c r="J34" s="4">
        <f t="shared" si="1"/>
        <v>24</v>
      </c>
    </row>
    <row r="35" spans="1:12" x14ac:dyDescent="0.35">
      <c r="A35" s="4">
        <f t="shared" si="0"/>
        <v>25</v>
      </c>
      <c r="B35" s="34" t="s">
        <v>1256</v>
      </c>
      <c r="E35" s="4" t="s">
        <v>1257</v>
      </c>
      <c r="G35" s="43">
        <v>9066194.9820000008</v>
      </c>
      <c r="H35" s="226"/>
      <c r="I35" s="476"/>
      <c r="J35" s="4">
        <f t="shared" si="1"/>
        <v>25</v>
      </c>
      <c r="K35" s="38"/>
    </row>
    <row r="36" spans="1:12" x14ac:dyDescent="0.35">
      <c r="A36" s="4">
        <f t="shared" si="0"/>
        <v>26</v>
      </c>
      <c r="B36" s="34" t="s">
        <v>1258</v>
      </c>
      <c r="E36" s="4" t="s">
        <v>1250</v>
      </c>
      <c r="G36" s="41">
        <f>-G30</f>
        <v>0</v>
      </c>
      <c r="H36" s="41"/>
      <c r="I36" s="95" t="s">
        <v>1259</v>
      </c>
      <c r="J36" s="4">
        <f t="shared" si="1"/>
        <v>26</v>
      </c>
    </row>
    <row r="37" spans="1:12" x14ac:dyDescent="0.35">
      <c r="A37" s="4">
        <f t="shared" si="0"/>
        <v>27</v>
      </c>
      <c r="B37" s="34" t="s">
        <v>1260</v>
      </c>
      <c r="E37" s="4" t="s">
        <v>1261</v>
      </c>
      <c r="G37" s="45">
        <v>0</v>
      </c>
      <c r="H37" s="226"/>
      <c r="I37" s="476"/>
      <c r="J37" s="4">
        <f t="shared" si="1"/>
        <v>27</v>
      </c>
    </row>
    <row r="38" spans="1:12" x14ac:dyDescent="0.35">
      <c r="A38" s="4">
        <f t="shared" si="0"/>
        <v>28</v>
      </c>
      <c r="B38" s="34" t="s">
        <v>1262</v>
      </c>
      <c r="E38" s="4" t="s">
        <v>1263</v>
      </c>
      <c r="G38" s="45">
        <v>7252.9960000000001</v>
      </c>
      <c r="H38" s="226"/>
      <c r="I38" s="476"/>
      <c r="J38" s="4">
        <f t="shared" si="1"/>
        <v>28</v>
      </c>
      <c r="L38" s="263"/>
    </row>
    <row r="39" spans="1:12" ht="16" thickBot="1" x14ac:dyDescent="0.4">
      <c r="A39" s="4">
        <f t="shared" si="0"/>
        <v>29</v>
      </c>
      <c r="B39" s="34" t="s">
        <v>1264</v>
      </c>
      <c r="G39" s="100">
        <f>SUM(G35:G38)</f>
        <v>9073447.9780000001</v>
      </c>
      <c r="H39" s="38"/>
      <c r="I39" s="95" t="s">
        <v>1265</v>
      </c>
      <c r="J39" s="4">
        <f t="shared" si="1"/>
        <v>29</v>
      </c>
      <c r="K39" s="38"/>
    </row>
    <row r="40" spans="1:12" ht="16.5" thickTop="1" thickBot="1" x14ac:dyDescent="0.4">
      <c r="A40" s="889">
        <f t="shared" si="0"/>
        <v>30</v>
      </c>
      <c r="B40" s="891"/>
      <c r="C40" s="891"/>
      <c r="D40" s="891"/>
      <c r="E40" s="891"/>
      <c r="F40" s="891"/>
      <c r="G40" s="891"/>
      <c r="H40" s="891"/>
      <c r="I40" s="893"/>
      <c r="J40" s="889">
        <f t="shared" si="1"/>
        <v>30</v>
      </c>
      <c r="K40" s="38"/>
    </row>
    <row r="41" spans="1:12" x14ac:dyDescent="0.35">
      <c r="A41" s="4">
        <f>A40+1</f>
        <v>31</v>
      </c>
      <c r="I41" s="95"/>
      <c r="J41" s="4">
        <f>J40+1</f>
        <v>31</v>
      </c>
    </row>
    <row r="42" spans="1:12" ht="16" thickBot="1" x14ac:dyDescent="0.4">
      <c r="A42" s="4">
        <f>A41+1</f>
        <v>32</v>
      </c>
      <c r="B42" s="259" t="s">
        <v>1266</v>
      </c>
      <c r="G42" s="139">
        <v>0.10100000000000001</v>
      </c>
      <c r="H42" s="226"/>
      <c r="I42" s="4" t="s">
        <v>1267</v>
      </c>
      <c r="J42" s="4">
        <f>J41+1</f>
        <v>32</v>
      </c>
    </row>
    <row r="43" spans="1:12" ht="16" thickTop="1" x14ac:dyDescent="0.35">
      <c r="A43" s="4">
        <f t="shared" si="0"/>
        <v>33</v>
      </c>
      <c r="C43" s="37" t="s">
        <v>280</v>
      </c>
      <c r="D43" s="37" t="s">
        <v>281</v>
      </c>
      <c r="E43" s="37" t="s">
        <v>282</v>
      </c>
      <c r="F43" s="37"/>
      <c r="G43" s="37" t="s">
        <v>1268</v>
      </c>
      <c r="H43" s="37"/>
      <c r="I43" s="95"/>
      <c r="J43" s="4">
        <f t="shared" si="1"/>
        <v>33</v>
      </c>
    </row>
    <row r="44" spans="1:12" x14ac:dyDescent="0.35">
      <c r="A44" s="4">
        <f t="shared" si="0"/>
        <v>34</v>
      </c>
      <c r="D44" s="4" t="s">
        <v>1269</v>
      </c>
      <c r="E44" s="4" t="s">
        <v>1270</v>
      </c>
      <c r="F44" s="4"/>
      <c r="G44" s="4" t="s">
        <v>1271</v>
      </c>
      <c r="H44" s="4"/>
      <c r="I44" s="95"/>
      <c r="J44" s="4">
        <f t="shared" si="1"/>
        <v>34</v>
      </c>
    </row>
    <row r="45" spans="1:12" ht="18" x14ac:dyDescent="0.35">
      <c r="A45" s="4">
        <f t="shared" si="0"/>
        <v>35</v>
      </c>
      <c r="B45" s="259" t="s">
        <v>1272</v>
      </c>
      <c r="C45" s="876" t="s">
        <v>1273</v>
      </c>
      <c r="D45" s="876" t="s">
        <v>1274</v>
      </c>
      <c r="E45" s="876" t="s">
        <v>1275</v>
      </c>
      <c r="F45" s="876"/>
      <c r="G45" s="876" t="s">
        <v>1276</v>
      </c>
      <c r="H45" s="4"/>
      <c r="I45" s="95"/>
      <c r="J45" s="4">
        <f t="shared" si="1"/>
        <v>35</v>
      </c>
    </row>
    <row r="46" spans="1:12" x14ac:dyDescent="0.35">
      <c r="A46" s="4">
        <f t="shared" si="0"/>
        <v>36</v>
      </c>
      <c r="I46" s="95"/>
      <c r="J46" s="4">
        <f t="shared" si="1"/>
        <v>36</v>
      </c>
    </row>
    <row r="47" spans="1:12" x14ac:dyDescent="0.35">
      <c r="A47" s="4">
        <f t="shared" si="0"/>
        <v>37</v>
      </c>
      <c r="B47" s="34" t="s">
        <v>1277</v>
      </c>
      <c r="C47" s="38">
        <f>G17</f>
        <v>7780098.5659999996</v>
      </c>
      <c r="D47" s="29">
        <f>C47/C$50</f>
        <v>0.46162975523806166</v>
      </c>
      <c r="E47" s="29">
        <f>G27</f>
        <v>3.6611019459930061E-2</v>
      </c>
      <c r="G47" s="29">
        <f>D47*E47</f>
        <v>1.6900735952303427E-2</v>
      </c>
      <c r="H47" s="29"/>
      <c r="I47" s="95" t="s">
        <v>1278</v>
      </c>
      <c r="J47" s="4">
        <f t="shared" si="1"/>
        <v>37</v>
      </c>
    </row>
    <row r="48" spans="1:12" x14ac:dyDescent="0.35">
      <c r="A48" s="4">
        <f t="shared" si="0"/>
        <v>38</v>
      </c>
      <c r="B48" s="34" t="s">
        <v>1279</v>
      </c>
      <c r="C48" s="6">
        <f>G30</f>
        <v>0</v>
      </c>
      <c r="D48" s="29">
        <f>C48/C$50</f>
        <v>0</v>
      </c>
      <c r="E48" s="29">
        <f>G32</f>
        <v>0</v>
      </c>
      <c r="G48" s="29">
        <f>D48*E48</f>
        <v>0</v>
      </c>
      <c r="H48" s="29"/>
      <c r="I48" s="95" t="s">
        <v>1280</v>
      </c>
      <c r="J48" s="4">
        <f t="shared" si="1"/>
        <v>38</v>
      </c>
    </row>
    <row r="49" spans="1:10" x14ac:dyDescent="0.35">
      <c r="A49" s="4">
        <f t="shared" si="0"/>
        <v>39</v>
      </c>
      <c r="B49" s="34" t="s">
        <v>1281</v>
      </c>
      <c r="C49" s="6">
        <f>G39</f>
        <v>9073447.9780000001</v>
      </c>
      <c r="D49" s="1121">
        <f>C49/C$50</f>
        <v>0.5383702447619384</v>
      </c>
      <c r="E49" s="50">
        <f>G42</f>
        <v>0.10100000000000001</v>
      </c>
      <c r="G49" s="1121">
        <f>D49*E49</f>
        <v>5.4375394720955782E-2</v>
      </c>
      <c r="H49" s="29"/>
      <c r="I49" s="95" t="s">
        <v>1282</v>
      </c>
      <c r="J49" s="4">
        <f t="shared" si="1"/>
        <v>39</v>
      </c>
    </row>
    <row r="50" spans="1:10" ht="16" thickBot="1" x14ac:dyDescent="0.4">
      <c r="A50" s="4">
        <f t="shared" si="0"/>
        <v>40</v>
      </c>
      <c r="B50" s="34" t="s">
        <v>1283</v>
      </c>
      <c r="C50" s="100">
        <f>SUM(C47:C49)</f>
        <v>16853546.544</v>
      </c>
      <c r="D50" s="54">
        <f>SUM(D47:D49)</f>
        <v>1</v>
      </c>
      <c r="G50" s="54">
        <f>SUM(G47:G49)</f>
        <v>7.1276130673259205E-2</v>
      </c>
      <c r="H50" s="29"/>
      <c r="I50" s="95" t="s">
        <v>1284</v>
      </c>
      <c r="J50" s="4">
        <f t="shared" si="1"/>
        <v>40</v>
      </c>
    </row>
    <row r="51" spans="1:10" ht="16" thickTop="1" x14ac:dyDescent="0.35">
      <c r="A51" s="4">
        <f t="shared" si="0"/>
        <v>41</v>
      </c>
      <c r="I51" s="95"/>
      <c r="J51" s="4">
        <f t="shared" si="1"/>
        <v>41</v>
      </c>
    </row>
    <row r="52" spans="1:10" ht="16" thickBot="1" x14ac:dyDescent="0.4">
      <c r="A52" s="4">
        <f t="shared" si="0"/>
        <v>42</v>
      </c>
      <c r="B52" s="259" t="s">
        <v>1285</v>
      </c>
      <c r="G52" s="54">
        <f>G48+G49</f>
        <v>5.4375394720955782E-2</v>
      </c>
      <c r="H52" s="29"/>
      <c r="I52" s="95" t="s">
        <v>1286</v>
      </c>
      <c r="J52" s="4">
        <f t="shared" si="1"/>
        <v>42</v>
      </c>
    </row>
    <row r="53" spans="1:10" ht="16.5" thickTop="1" thickBot="1" x14ac:dyDescent="0.4">
      <c r="A53" s="889">
        <f>A52+1</f>
        <v>43</v>
      </c>
      <c r="B53" s="891"/>
      <c r="C53" s="891"/>
      <c r="D53" s="891"/>
      <c r="E53" s="891"/>
      <c r="F53" s="891"/>
      <c r="G53" s="891"/>
      <c r="H53" s="891"/>
      <c r="I53" s="893"/>
      <c r="J53" s="889">
        <f>J52+1</f>
        <v>43</v>
      </c>
    </row>
    <row r="54" spans="1:10" x14ac:dyDescent="0.35">
      <c r="A54" s="4">
        <f t="shared" ref="A54:A102" si="2">A53+1</f>
        <v>44</v>
      </c>
      <c r="I54" s="95"/>
      <c r="J54" s="4">
        <f t="shared" ref="J54:J102" si="3">J53+1</f>
        <v>44</v>
      </c>
    </row>
    <row r="55" spans="1:10" ht="16" thickBot="1" x14ac:dyDescent="0.4">
      <c r="A55" s="4">
        <f>A54+1</f>
        <v>45</v>
      </c>
      <c r="B55" s="259" t="s">
        <v>1287</v>
      </c>
      <c r="G55" s="139">
        <v>5.0000000000000001E-3</v>
      </c>
      <c r="I55" s="4" t="s">
        <v>1267</v>
      </c>
      <c r="J55" s="4">
        <f>J54+1</f>
        <v>45</v>
      </c>
    </row>
    <row r="56" spans="1:10" ht="16" thickTop="1" x14ac:dyDescent="0.35">
      <c r="A56" s="4">
        <f t="shared" si="2"/>
        <v>46</v>
      </c>
      <c r="C56" s="37" t="s">
        <v>280</v>
      </c>
      <c r="D56" s="37" t="s">
        <v>281</v>
      </c>
      <c r="E56" s="37" t="s">
        <v>282</v>
      </c>
      <c r="F56" s="37"/>
      <c r="G56" s="37" t="s">
        <v>1268</v>
      </c>
      <c r="I56" s="95"/>
      <c r="J56" s="4">
        <f t="shared" si="3"/>
        <v>46</v>
      </c>
    </row>
    <row r="57" spans="1:10" x14ac:dyDescent="0.35">
      <c r="A57" s="4">
        <f t="shared" si="2"/>
        <v>47</v>
      </c>
      <c r="D57" s="4" t="s">
        <v>1269</v>
      </c>
      <c r="E57" s="4" t="s">
        <v>1270</v>
      </c>
      <c r="F57" s="4"/>
      <c r="G57" s="4" t="s">
        <v>1271</v>
      </c>
      <c r="I57" s="95"/>
      <c r="J57" s="4">
        <f t="shared" si="3"/>
        <v>47</v>
      </c>
    </row>
    <row r="58" spans="1:10" ht="18" x14ac:dyDescent="0.35">
      <c r="A58" s="4">
        <f t="shared" si="2"/>
        <v>48</v>
      </c>
      <c r="B58" s="259" t="s">
        <v>1272</v>
      </c>
      <c r="C58" s="876" t="s">
        <v>1273</v>
      </c>
      <c r="D58" s="876" t="s">
        <v>1274</v>
      </c>
      <c r="E58" s="876" t="s">
        <v>1275</v>
      </c>
      <c r="F58" s="876"/>
      <c r="G58" s="876" t="s">
        <v>1276</v>
      </c>
      <c r="I58" s="95"/>
      <c r="J58" s="4">
        <f t="shared" si="3"/>
        <v>48</v>
      </c>
    </row>
    <row r="59" spans="1:10" x14ac:dyDescent="0.35">
      <c r="A59" s="4">
        <f t="shared" si="2"/>
        <v>49</v>
      </c>
      <c r="I59" s="95"/>
      <c r="J59" s="4">
        <f t="shared" si="3"/>
        <v>49</v>
      </c>
    </row>
    <row r="60" spans="1:10" x14ac:dyDescent="0.35">
      <c r="A60" s="4">
        <f t="shared" si="2"/>
        <v>50</v>
      </c>
      <c r="B60" s="34" t="s">
        <v>1277</v>
      </c>
      <c r="C60" s="38">
        <f>G17</f>
        <v>7780098.5659999996</v>
      </c>
      <c r="D60" s="29">
        <f>C60/C$63</f>
        <v>0.46162975523806166</v>
      </c>
      <c r="E60" s="645">
        <v>0</v>
      </c>
      <c r="G60" s="29">
        <f>D60*E60</f>
        <v>0</v>
      </c>
      <c r="I60" s="95" t="s">
        <v>1288</v>
      </c>
      <c r="J60" s="4">
        <f t="shared" si="3"/>
        <v>50</v>
      </c>
    </row>
    <row r="61" spans="1:10" x14ac:dyDescent="0.35">
      <c r="A61" s="4">
        <f t="shared" si="2"/>
        <v>51</v>
      </c>
      <c r="B61" s="34" t="s">
        <v>1279</v>
      </c>
      <c r="C61" s="6">
        <f>G30</f>
        <v>0</v>
      </c>
      <c r="D61" s="29">
        <f>C61/C$63</f>
        <v>0</v>
      </c>
      <c r="E61" s="645">
        <v>0</v>
      </c>
      <c r="G61" s="29">
        <f>D61*E61</f>
        <v>0</v>
      </c>
      <c r="I61" s="95" t="s">
        <v>1288</v>
      </c>
      <c r="J61" s="4">
        <f t="shared" si="3"/>
        <v>51</v>
      </c>
    </row>
    <row r="62" spans="1:10" x14ac:dyDescent="0.35">
      <c r="A62" s="4">
        <f t="shared" si="2"/>
        <v>52</v>
      </c>
      <c r="B62" s="34" t="s">
        <v>1281</v>
      </c>
      <c r="C62" s="6">
        <f>G39</f>
        <v>9073447.9780000001</v>
      </c>
      <c r="D62" s="1121">
        <f>C62/C$63</f>
        <v>0.5383702447619384</v>
      </c>
      <c r="E62" s="50">
        <f>G55</f>
        <v>5.0000000000000001E-3</v>
      </c>
      <c r="G62" s="1121">
        <f>D62*E62</f>
        <v>2.691851223809692E-3</v>
      </c>
      <c r="I62" s="95" t="s">
        <v>1289</v>
      </c>
      <c r="J62" s="4">
        <f t="shared" si="3"/>
        <v>52</v>
      </c>
    </row>
    <row r="63" spans="1:10" ht="16" thickBot="1" x14ac:dyDescent="0.4">
      <c r="A63" s="4">
        <f t="shared" si="2"/>
        <v>53</v>
      </c>
      <c r="B63" s="34" t="s">
        <v>1283</v>
      </c>
      <c r="C63" s="100">
        <f>SUM(C60:C62)</f>
        <v>16853546.544</v>
      </c>
      <c r="D63" s="54">
        <f>SUM(D60:D62)</f>
        <v>1</v>
      </c>
      <c r="G63" s="54">
        <f>SUM(G60:G62)</f>
        <v>2.691851223809692E-3</v>
      </c>
      <c r="I63" s="95" t="s">
        <v>1290</v>
      </c>
      <c r="J63" s="4">
        <f t="shared" si="3"/>
        <v>53</v>
      </c>
    </row>
    <row r="64" spans="1:10" ht="16" thickTop="1" x14ac:dyDescent="0.35">
      <c r="A64" s="4">
        <f t="shared" si="2"/>
        <v>54</v>
      </c>
      <c r="I64" s="95"/>
      <c r="J64" s="4">
        <f t="shared" si="3"/>
        <v>54</v>
      </c>
    </row>
    <row r="65" spans="1:10" ht="16" thickBot="1" x14ac:dyDescent="0.4">
      <c r="A65" s="4">
        <f t="shared" si="2"/>
        <v>55</v>
      </c>
      <c r="B65" s="259" t="s">
        <v>1291</v>
      </c>
      <c r="G65" s="54">
        <f>G62</f>
        <v>2.691851223809692E-3</v>
      </c>
      <c r="I65" s="95" t="s">
        <v>1292</v>
      </c>
      <c r="J65" s="4">
        <f t="shared" si="3"/>
        <v>55</v>
      </c>
    </row>
    <row r="66" spans="1:10" ht="16" thickTop="1" x14ac:dyDescent="0.35">
      <c r="B66" s="259"/>
      <c r="G66" s="29"/>
      <c r="I66" s="95"/>
      <c r="J66" s="4"/>
    </row>
    <row r="67" spans="1:10" ht="18" x14ac:dyDescent="0.35">
      <c r="A67" s="276">
        <v>1</v>
      </c>
      <c r="B67" s="34" t="s">
        <v>1293</v>
      </c>
      <c r="G67" s="29"/>
      <c r="I67" s="95"/>
      <c r="J67" s="4"/>
    </row>
    <row r="68" spans="1:10" x14ac:dyDescent="0.35">
      <c r="B68" s="259"/>
      <c r="G68" s="29"/>
      <c r="I68" s="95"/>
      <c r="J68" s="4"/>
    </row>
    <row r="69" spans="1:10" x14ac:dyDescent="0.35">
      <c r="B69" s="259"/>
      <c r="G69" s="29"/>
      <c r="I69" s="95"/>
      <c r="J69" s="4"/>
    </row>
    <row r="70" spans="1:10" x14ac:dyDescent="0.35">
      <c r="B70" s="1171" t="s">
        <v>0</v>
      </c>
      <c r="C70" s="1171"/>
      <c r="D70" s="1171"/>
      <c r="E70" s="1171"/>
      <c r="F70" s="1171"/>
      <c r="G70" s="1171"/>
      <c r="H70" s="1171"/>
      <c r="I70" s="1171"/>
      <c r="J70" s="4"/>
    </row>
    <row r="71" spans="1:10" x14ac:dyDescent="0.35">
      <c r="B71" s="1171" t="s">
        <v>1219</v>
      </c>
      <c r="C71" s="1171"/>
      <c r="D71" s="1171"/>
      <c r="E71" s="1171"/>
      <c r="F71" s="1171"/>
      <c r="G71" s="1171"/>
      <c r="H71" s="1171"/>
      <c r="I71" s="1171"/>
      <c r="J71" s="4"/>
    </row>
    <row r="72" spans="1:10" x14ac:dyDescent="0.35">
      <c r="B72" s="1171" t="s">
        <v>1220</v>
      </c>
      <c r="C72" s="1171"/>
      <c r="D72" s="1171"/>
      <c r="E72" s="1171"/>
      <c r="F72" s="1171"/>
      <c r="G72" s="1171"/>
      <c r="H72" s="1171"/>
      <c r="I72" s="1171"/>
      <c r="J72" s="4"/>
    </row>
    <row r="73" spans="1:10" x14ac:dyDescent="0.35">
      <c r="B73" s="1176" t="str">
        <f>B5</f>
        <v>Base Period &amp; True-Up Period 12 - Months Ending December 31, 2022</v>
      </c>
      <c r="C73" s="1176"/>
      <c r="D73" s="1176"/>
      <c r="E73" s="1176"/>
      <c r="F73" s="1176"/>
      <c r="G73" s="1176"/>
      <c r="H73" s="1176"/>
      <c r="I73" s="1176"/>
      <c r="J73" s="4"/>
    </row>
    <row r="74" spans="1:10" x14ac:dyDescent="0.35">
      <c r="B74" s="1175" t="s">
        <v>5</v>
      </c>
      <c r="C74" s="1172"/>
      <c r="D74" s="1172"/>
      <c r="E74" s="1172"/>
      <c r="F74" s="1172"/>
      <c r="G74" s="1172"/>
      <c r="H74" s="1172"/>
      <c r="I74" s="1172"/>
      <c r="J74" s="4"/>
    </row>
    <row r="75" spans="1:10" x14ac:dyDescent="0.35">
      <c r="B75" s="4"/>
      <c r="C75" s="4"/>
      <c r="D75" s="4"/>
      <c r="E75" s="4"/>
      <c r="F75" s="4"/>
      <c r="G75" s="4"/>
      <c r="H75" s="4"/>
      <c r="I75" s="95"/>
      <c r="J75" s="4"/>
    </row>
    <row r="76" spans="1:10" x14ac:dyDescent="0.35">
      <c r="A76" s="4" t="s">
        <v>6</v>
      </c>
      <c r="B76" s="226"/>
      <c r="C76" s="226"/>
      <c r="D76" s="226"/>
      <c r="E76" s="4" t="s">
        <v>317</v>
      </c>
      <c r="F76" s="226"/>
      <c r="G76" s="226"/>
      <c r="H76" s="226"/>
      <c r="I76" s="95"/>
      <c r="J76" s="4" t="s">
        <v>6</v>
      </c>
    </row>
    <row r="77" spans="1:10" x14ac:dyDescent="0.35">
      <c r="A77" s="4" t="s">
        <v>7</v>
      </c>
      <c r="B77" s="4"/>
      <c r="C77" s="4"/>
      <c r="D77" s="4"/>
      <c r="E77" s="876" t="s">
        <v>319</v>
      </c>
      <c r="F77" s="4"/>
      <c r="G77" s="877" t="s">
        <v>8</v>
      </c>
      <c r="H77" s="226"/>
      <c r="I77" s="878" t="s">
        <v>9</v>
      </c>
      <c r="J77" s="4" t="s">
        <v>7</v>
      </c>
    </row>
    <row r="78" spans="1:10" x14ac:dyDescent="0.35">
      <c r="I78" s="95"/>
      <c r="J78" s="4"/>
    </row>
    <row r="79" spans="1:10" ht="18.5" thickBot="1" x14ac:dyDescent="0.4">
      <c r="A79" s="4">
        <v>1</v>
      </c>
      <c r="B79" s="259" t="s">
        <v>1294</v>
      </c>
      <c r="G79" s="139">
        <v>0</v>
      </c>
      <c r="H79" s="226"/>
      <c r="I79" s="434"/>
      <c r="J79" s="4">
        <f>A79</f>
        <v>1</v>
      </c>
    </row>
    <row r="80" spans="1:10" ht="16" thickTop="1" x14ac:dyDescent="0.35">
      <c r="A80" s="4">
        <f t="shared" si="2"/>
        <v>2</v>
      </c>
      <c r="C80" s="37" t="s">
        <v>280</v>
      </c>
      <c r="D80" s="37" t="s">
        <v>281</v>
      </c>
      <c r="E80" s="37" t="s">
        <v>282</v>
      </c>
      <c r="F80" s="37"/>
      <c r="G80" s="37" t="s">
        <v>1268</v>
      </c>
      <c r="H80" s="37"/>
      <c r="I80" s="95"/>
      <c r="J80" s="4">
        <f t="shared" si="3"/>
        <v>2</v>
      </c>
    </row>
    <row r="81" spans="1:10" x14ac:dyDescent="0.35">
      <c r="A81" s="4">
        <f t="shared" si="2"/>
        <v>3</v>
      </c>
      <c r="D81" s="4" t="s">
        <v>1269</v>
      </c>
      <c r="E81" s="4" t="s">
        <v>1270</v>
      </c>
      <c r="F81" s="4"/>
      <c r="G81" s="4" t="s">
        <v>1271</v>
      </c>
      <c r="H81" s="4"/>
      <c r="I81" s="95"/>
      <c r="J81" s="4">
        <f t="shared" si="3"/>
        <v>3</v>
      </c>
    </row>
    <row r="82" spans="1:10" ht="18" x14ac:dyDescent="0.35">
      <c r="A82" s="4">
        <f t="shared" si="2"/>
        <v>4</v>
      </c>
      <c r="B82" s="259" t="s">
        <v>1295</v>
      </c>
      <c r="C82" s="876" t="s">
        <v>1296</v>
      </c>
      <c r="D82" s="876" t="s">
        <v>1274</v>
      </c>
      <c r="E82" s="876" t="s">
        <v>1275</v>
      </c>
      <c r="F82" s="876"/>
      <c r="G82" s="876" t="s">
        <v>1276</v>
      </c>
      <c r="H82" s="4"/>
      <c r="I82" s="95"/>
      <c r="J82" s="4">
        <f t="shared" si="3"/>
        <v>4</v>
      </c>
    </row>
    <row r="83" spans="1:10" x14ac:dyDescent="0.35">
      <c r="A83" s="4">
        <f t="shared" si="2"/>
        <v>5</v>
      </c>
      <c r="I83" s="95"/>
      <c r="J83" s="4">
        <f t="shared" si="3"/>
        <v>5</v>
      </c>
    </row>
    <row r="84" spans="1:10" x14ac:dyDescent="0.35">
      <c r="A84" s="4">
        <f t="shared" si="2"/>
        <v>6</v>
      </c>
      <c r="B84" s="34" t="s">
        <v>1277</v>
      </c>
      <c r="C84" s="38">
        <f>G17</f>
        <v>7780098.5659999996</v>
      </c>
      <c r="D84" s="29">
        <f>C84/C$87</f>
        <v>0.46162975523806166</v>
      </c>
      <c r="E84" s="29">
        <f>G27</f>
        <v>3.6611019459930061E-2</v>
      </c>
      <c r="G84" s="29">
        <f>D84*E84</f>
        <v>1.6900735952303427E-2</v>
      </c>
      <c r="H84" s="29"/>
      <c r="I84" s="95" t="s">
        <v>1297</v>
      </c>
      <c r="J84" s="4">
        <f t="shared" si="3"/>
        <v>6</v>
      </c>
    </row>
    <row r="85" spans="1:10" x14ac:dyDescent="0.35">
      <c r="A85" s="4">
        <f t="shared" si="2"/>
        <v>7</v>
      </c>
      <c r="B85" s="34" t="s">
        <v>1279</v>
      </c>
      <c r="C85" s="6">
        <f>G30</f>
        <v>0</v>
      </c>
      <c r="D85" s="29">
        <f>C85/C$87</f>
        <v>0</v>
      </c>
      <c r="E85" s="29">
        <f>G32</f>
        <v>0</v>
      </c>
      <c r="G85" s="29">
        <f>D85*E85</f>
        <v>0</v>
      </c>
      <c r="H85" s="29"/>
      <c r="I85" s="95" t="s">
        <v>1298</v>
      </c>
      <c r="J85" s="4">
        <f t="shared" si="3"/>
        <v>7</v>
      </c>
    </row>
    <row r="86" spans="1:10" x14ac:dyDescent="0.35">
      <c r="A86" s="4">
        <f t="shared" si="2"/>
        <v>8</v>
      </c>
      <c r="B86" s="34" t="s">
        <v>1281</v>
      </c>
      <c r="C86" s="6">
        <f>G39</f>
        <v>9073447.9780000001</v>
      </c>
      <c r="D86" s="1121">
        <f>C86/C$87</f>
        <v>0.5383702447619384</v>
      </c>
      <c r="E86" s="50">
        <f>G79</f>
        <v>0</v>
      </c>
      <c r="G86" s="1121">
        <f>D86*E86</f>
        <v>0</v>
      </c>
      <c r="H86" s="29"/>
      <c r="I86" s="95" t="s">
        <v>1299</v>
      </c>
      <c r="J86" s="4">
        <f t="shared" si="3"/>
        <v>8</v>
      </c>
    </row>
    <row r="87" spans="1:10" ht="16" thickBot="1" x14ac:dyDescent="0.4">
      <c r="A87" s="4">
        <f t="shared" si="2"/>
        <v>9</v>
      </c>
      <c r="B87" s="34" t="s">
        <v>1283</v>
      </c>
      <c r="C87" s="100">
        <f>SUM(C84:C86)</f>
        <v>16853546.544</v>
      </c>
      <c r="D87" s="54">
        <f>SUM(D84:D86)</f>
        <v>1</v>
      </c>
      <c r="G87" s="54">
        <f>SUM(G84:G86)</f>
        <v>1.6900735952303427E-2</v>
      </c>
      <c r="H87" s="29"/>
      <c r="I87" s="95" t="s">
        <v>1300</v>
      </c>
      <c r="J87" s="4">
        <f t="shared" si="3"/>
        <v>9</v>
      </c>
    </row>
    <row r="88" spans="1:10" ht="16" thickTop="1" x14ac:dyDescent="0.35">
      <c r="A88" s="4">
        <f t="shared" si="2"/>
        <v>10</v>
      </c>
      <c r="I88" s="95"/>
      <c r="J88" s="4">
        <f t="shared" si="3"/>
        <v>10</v>
      </c>
    </row>
    <row r="89" spans="1:10" ht="16" thickBot="1" x14ac:dyDescent="0.4">
      <c r="A89" s="4">
        <f t="shared" si="2"/>
        <v>11</v>
      </c>
      <c r="B89" s="259" t="s">
        <v>1301</v>
      </c>
      <c r="G89" s="54">
        <f>G85+G86</f>
        <v>0</v>
      </c>
      <c r="H89" s="29"/>
      <c r="I89" s="95" t="s">
        <v>1302</v>
      </c>
      <c r="J89" s="4">
        <f t="shared" si="3"/>
        <v>11</v>
      </c>
    </row>
    <row r="90" spans="1:10" ht="16.5" thickTop="1" thickBot="1" x14ac:dyDescent="0.4">
      <c r="A90" s="889">
        <f t="shared" si="2"/>
        <v>12</v>
      </c>
      <c r="B90" s="890"/>
      <c r="C90" s="891"/>
      <c r="D90" s="891"/>
      <c r="E90" s="891"/>
      <c r="F90" s="891"/>
      <c r="G90" s="1122"/>
      <c r="H90" s="1122"/>
      <c r="I90" s="893"/>
      <c r="J90" s="889">
        <f t="shared" si="3"/>
        <v>12</v>
      </c>
    </row>
    <row r="91" spans="1:10" x14ac:dyDescent="0.35">
      <c r="A91" s="4">
        <f t="shared" si="2"/>
        <v>13</v>
      </c>
      <c r="I91" s="95"/>
      <c r="J91" s="4">
        <f t="shared" si="3"/>
        <v>13</v>
      </c>
    </row>
    <row r="92" spans="1:10" ht="31.5" thickBot="1" x14ac:dyDescent="0.4">
      <c r="A92" s="4">
        <f t="shared" si="2"/>
        <v>14</v>
      </c>
      <c r="B92" s="259" t="s">
        <v>1287</v>
      </c>
      <c r="G92" s="139">
        <v>0</v>
      </c>
      <c r="I92" s="95" t="s">
        <v>1303</v>
      </c>
      <c r="J92" s="4">
        <f t="shared" si="3"/>
        <v>14</v>
      </c>
    </row>
    <row r="93" spans="1:10" ht="16" thickTop="1" x14ac:dyDescent="0.35">
      <c r="A93" s="4">
        <f t="shared" si="2"/>
        <v>15</v>
      </c>
      <c r="C93" s="37" t="s">
        <v>280</v>
      </c>
      <c r="D93" s="37" t="s">
        <v>281</v>
      </c>
      <c r="E93" s="37" t="s">
        <v>282</v>
      </c>
      <c r="F93" s="37"/>
      <c r="G93" s="37" t="s">
        <v>1268</v>
      </c>
      <c r="I93" s="95"/>
      <c r="J93" s="4">
        <f t="shared" si="3"/>
        <v>15</v>
      </c>
    </row>
    <row r="94" spans="1:10" x14ac:dyDescent="0.35">
      <c r="A94" s="4">
        <f t="shared" si="2"/>
        <v>16</v>
      </c>
      <c r="D94" s="4" t="s">
        <v>1269</v>
      </c>
      <c r="E94" s="4" t="s">
        <v>1270</v>
      </c>
      <c r="F94" s="4"/>
      <c r="G94" s="4" t="s">
        <v>1271</v>
      </c>
      <c r="I94" s="95"/>
      <c r="J94" s="4">
        <f t="shared" si="3"/>
        <v>16</v>
      </c>
    </row>
    <row r="95" spans="1:10" ht="18" x14ac:dyDescent="0.35">
      <c r="A95" s="4">
        <f t="shared" si="2"/>
        <v>17</v>
      </c>
      <c r="B95" s="259" t="s">
        <v>1272</v>
      </c>
      <c r="C95" s="876" t="s">
        <v>1296</v>
      </c>
      <c r="D95" s="876" t="s">
        <v>1274</v>
      </c>
      <c r="E95" s="876" t="s">
        <v>1275</v>
      </c>
      <c r="F95" s="876"/>
      <c r="G95" s="876" t="s">
        <v>1276</v>
      </c>
      <c r="I95" s="95"/>
      <c r="J95" s="4">
        <f t="shared" si="3"/>
        <v>17</v>
      </c>
    </row>
    <row r="96" spans="1:10" x14ac:dyDescent="0.35">
      <c r="A96" s="4">
        <f t="shared" si="2"/>
        <v>18</v>
      </c>
      <c r="I96" s="95"/>
      <c r="J96" s="4">
        <f t="shared" si="3"/>
        <v>18</v>
      </c>
    </row>
    <row r="97" spans="1:10" x14ac:dyDescent="0.35">
      <c r="A97" s="4">
        <f t="shared" si="2"/>
        <v>19</v>
      </c>
      <c r="B97" s="34" t="s">
        <v>1277</v>
      </c>
      <c r="C97" s="38">
        <f>G17</f>
        <v>7780098.5659999996</v>
      </c>
      <c r="D97" s="29">
        <f>C97/C$100</f>
        <v>0.46162975523806166</v>
      </c>
      <c r="E97" s="645">
        <v>0</v>
      </c>
      <c r="G97" s="29">
        <f>D97*E97</f>
        <v>0</v>
      </c>
      <c r="I97" s="95" t="s">
        <v>1288</v>
      </c>
      <c r="J97" s="4">
        <f t="shared" si="3"/>
        <v>19</v>
      </c>
    </row>
    <row r="98" spans="1:10" x14ac:dyDescent="0.35">
      <c r="A98" s="4">
        <f t="shared" si="2"/>
        <v>20</v>
      </c>
      <c r="B98" s="34" t="s">
        <v>1279</v>
      </c>
      <c r="C98" s="6">
        <f>G30</f>
        <v>0</v>
      </c>
      <c r="D98" s="29">
        <f>C98/C$100</f>
        <v>0</v>
      </c>
      <c r="E98" s="645">
        <v>0</v>
      </c>
      <c r="G98" s="29">
        <f>D98*E98</f>
        <v>0</v>
      </c>
      <c r="I98" s="95" t="s">
        <v>1288</v>
      </c>
      <c r="J98" s="4">
        <f t="shared" si="3"/>
        <v>20</v>
      </c>
    </row>
    <row r="99" spans="1:10" x14ac:dyDescent="0.35">
      <c r="A99" s="4">
        <f t="shared" si="2"/>
        <v>21</v>
      </c>
      <c r="B99" s="34" t="s">
        <v>1281</v>
      </c>
      <c r="C99" s="6">
        <f>G39</f>
        <v>9073447.9780000001</v>
      </c>
      <c r="D99" s="1121">
        <f>C99/C$100</f>
        <v>0.5383702447619384</v>
      </c>
      <c r="E99" s="50">
        <f>G92</f>
        <v>0</v>
      </c>
      <c r="G99" s="1121">
        <f>D99*E99</f>
        <v>0</v>
      </c>
      <c r="I99" s="95" t="s">
        <v>1304</v>
      </c>
      <c r="J99" s="4">
        <f t="shared" si="3"/>
        <v>21</v>
      </c>
    </row>
    <row r="100" spans="1:10" ht="16" thickBot="1" x14ac:dyDescent="0.4">
      <c r="A100" s="4">
        <f t="shared" si="2"/>
        <v>22</v>
      </c>
      <c r="B100" s="34" t="s">
        <v>1283</v>
      </c>
      <c r="C100" s="100">
        <f>SUM(C97:C99)</f>
        <v>16853546.544</v>
      </c>
      <c r="D100" s="54">
        <f>SUM(D97:D99)</f>
        <v>1</v>
      </c>
      <c r="G100" s="54">
        <f>SUM(G97:G99)</f>
        <v>0</v>
      </c>
      <c r="I100" s="95" t="s">
        <v>125</v>
      </c>
      <c r="J100" s="4">
        <f t="shared" si="3"/>
        <v>22</v>
      </c>
    </row>
    <row r="101" spans="1:10" ht="16" thickTop="1" x14ac:dyDescent="0.35">
      <c r="A101" s="4">
        <f t="shared" si="2"/>
        <v>23</v>
      </c>
      <c r="I101" s="95"/>
      <c r="J101" s="4">
        <f t="shared" si="3"/>
        <v>23</v>
      </c>
    </row>
    <row r="102" spans="1:10" ht="16" thickBot="1" x14ac:dyDescent="0.4">
      <c r="A102" s="4">
        <f t="shared" si="2"/>
        <v>24</v>
      </c>
      <c r="B102" s="259" t="s">
        <v>1291</v>
      </c>
      <c r="G102" s="54">
        <f>G99</f>
        <v>0</v>
      </c>
      <c r="I102" s="95" t="s">
        <v>1305</v>
      </c>
      <c r="J102" s="4">
        <f t="shared" si="3"/>
        <v>24</v>
      </c>
    </row>
    <row r="103" spans="1:10" ht="16" thickTop="1" x14ac:dyDescent="0.35">
      <c r="B103" s="259"/>
      <c r="G103" s="29"/>
      <c r="I103" s="95"/>
      <c r="J103" s="4"/>
    </row>
    <row r="104" spans="1:10" ht="18" x14ac:dyDescent="0.35">
      <c r="A104" s="276">
        <v>1</v>
      </c>
      <c r="B104" s="34" t="s">
        <v>1306</v>
      </c>
      <c r="G104" s="29"/>
      <c r="I104" s="95"/>
      <c r="J104" s="4"/>
    </row>
    <row r="105" spans="1:10" ht="18" x14ac:dyDescent="0.35">
      <c r="A105" s="276">
        <v>2</v>
      </c>
      <c r="B105" s="34" t="s">
        <v>1293</v>
      </c>
      <c r="G105" s="73"/>
      <c r="H105" s="73"/>
      <c r="J105" s="4" t="s">
        <v>1</v>
      </c>
    </row>
    <row r="106" spans="1:10" ht="18" x14ac:dyDescent="0.35">
      <c r="A106" s="276"/>
      <c r="G106" s="73"/>
      <c r="H106" s="73"/>
      <c r="J106" s="4"/>
    </row>
    <row r="107" spans="1:10" ht="18" x14ac:dyDescent="0.35">
      <c r="A107" s="276"/>
      <c r="G107" s="73"/>
      <c r="H107" s="73"/>
      <c r="J107" s="4"/>
    </row>
    <row r="108" spans="1:10" x14ac:dyDescent="0.35">
      <c r="B108" s="1171" t="s">
        <v>0</v>
      </c>
      <c r="C108" s="1171"/>
      <c r="D108" s="1171"/>
      <c r="E108" s="1171"/>
      <c r="F108" s="1171"/>
      <c r="G108" s="1171"/>
      <c r="H108" s="1171"/>
      <c r="I108" s="1171"/>
      <c r="J108" s="4"/>
    </row>
    <row r="109" spans="1:10" x14ac:dyDescent="0.35">
      <c r="B109" s="1171" t="s">
        <v>1219</v>
      </c>
      <c r="C109" s="1171"/>
      <c r="D109" s="1171"/>
      <c r="E109" s="1171"/>
      <c r="F109" s="1171"/>
      <c r="G109" s="1171"/>
      <c r="H109" s="1171"/>
      <c r="I109" s="1171"/>
      <c r="J109" s="4"/>
    </row>
    <row r="110" spans="1:10" x14ac:dyDescent="0.35">
      <c r="B110" s="1171" t="s">
        <v>1220</v>
      </c>
      <c r="C110" s="1171"/>
      <c r="D110" s="1171"/>
      <c r="E110" s="1171"/>
      <c r="F110" s="1171"/>
      <c r="G110" s="1171"/>
      <c r="H110" s="1171"/>
      <c r="I110" s="1171"/>
      <c r="J110" s="4"/>
    </row>
    <row r="111" spans="1:10" x14ac:dyDescent="0.35">
      <c r="B111" s="1176" t="str">
        <f>B5</f>
        <v>Base Period &amp; True-Up Period 12 - Months Ending December 31, 2022</v>
      </c>
      <c r="C111" s="1176"/>
      <c r="D111" s="1176"/>
      <c r="E111" s="1176"/>
      <c r="F111" s="1176"/>
      <c r="G111" s="1176"/>
      <c r="H111" s="1176"/>
      <c r="I111" s="1176"/>
      <c r="J111" s="4"/>
    </row>
    <row r="112" spans="1:10" x14ac:dyDescent="0.35">
      <c r="B112" s="1175" t="s">
        <v>5</v>
      </c>
      <c r="C112" s="1172"/>
      <c r="D112" s="1172"/>
      <c r="E112" s="1172"/>
      <c r="F112" s="1172"/>
      <c r="G112" s="1172"/>
      <c r="H112" s="1172"/>
      <c r="I112" s="1172"/>
      <c r="J112" s="4"/>
    </row>
    <row r="113" spans="1:12" x14ac:dyDescent="0.35">
      <c r="B113" s="4"/>
      <c r="C113" s="4"/>
      <c r="D113" s="4"/>
      <c r="E113" s="4"/>
      <c r="F113" s="4"/>
      <c r="G113" s="4"/>
      <c r="H113" s="4"/>
      <c r="I113" s="95"/>
      <c r="J113" s="4"/>
    </row>
    <row r="114" spans="1:12" x14ac:dyDescent="0.35">
      <c r="A114" s="4" t="s">
        <v>6</v>
      </c>
      <c r="B114" s="226"/>
      <c r="C114" s="226"/>
      <c r="D114" s="226"/>
      <c r="E114" s="226"/>
      <c r="F114" s="226"/>
      <c r="G114" s="226"/>
      <c r="H114" s="226"/>
      <c r="I114" s="95"/>
      <c r="J114" s="4" t="s">
        <v>6</v>
      </c>
    </row>
    <row r="115" spans="1:12" x14ac:dyDescent="0.35">
      <c r="A115" s="4" t="s">
        <v>7</v>
      </c>
      <c r="B115" s="4"/>
      <c r="C115" s="4"/>
      <c r="D115" s="4"/>
      <c r="E115" s="4"/>
      <c r="F115" s="4"/>
      <c r="G115" s="876" t="s">
        <v>8</v>
      </c>
      <c r="H115" s="226"/>
      <c r="I115" s="878" t="s">
        <v>9</v>
      </c>
      <c r="J115" s="4" t="s">
        <v>7</v>
      </c>
    </row>
    <row r="116" spans="1:12" x14ac:dyDescent="0.35">
      <c r="G116" s="4"/>
      <c r="H116" s="4"/>
      <c r="I116" s="95"/>
      <c r="J116" s="4"/>
    </row>
    <row r="117" spans="1:12" ht="17.5" x14ac:dyDescent="0.35">
      <c r="A117" s="4">
        <v>1</v>
      </c>
      <c r="B117" s="259" t="s">
        <v>1307</v>
      </c>
      <c r="E117" s="226"/>
      <c r="F117" s="226"/>
      <c r="G117" s="44"/>
      <c r="H117" s="44"/>
      <c r="I117" s="95"/>
      <c r="J117" s="4">
        <v>1</v>
      </c>
    </row>
    <row r="118" spans="1:12" x14ac:dyDescent="0.35">
      <c r="A118" s="4">
        <f>A117+1</f>
        <v>2</v>
      </c>
      <c r="B118" s="36"/>
      <c r="E118" s="226"/>
      <c r="F118" s="226"/>
      <c r="G118" s="44"/>
      <c r="H118" s="44"/>
      <c r="I118" s="95"/>
      <c r="J118" s="4">
        <f>J117+1</f>
        <v>2</v>
      </c>
    </row>
    <row r="119" spans="1:12" x14ac:dyDescent="0.35">
      <c r="A119" s="4">
        <f>A118+1</f>
        <v>3</v>
      </c>
      <c r="B119" s="259" t="s">
        <v>1308</v>
      </c>
      <c r="E119" s="226"/>
      <c r="F119" s="226"/>
      <c r="G119" s="44"/>
      <c r="H119" s="44"/>
      <c r="I119" s="95"/>
      <c r="J119" s="4">
        <f>J118+1</f>
        <v>3</v>
      </c>
    </row>
    <row r="120" spans="1:12" x14ac:dyDescent="0.35">
      <c r="A120" s="4">
        <f>A119+1</f>
        <v>4</v>
      </c>
      <c r="B120" s="226"/>
      <c r="C120" s="226"/>
      <c r="D120" s="226"/>
      <c r="E120" s="226"/>
      <c r="F120" s="226"/>
      <c r="G120" s="44"/>
      <c r="H120" s="44"/>
      <c r="I120" s="95"/>
      <c r="J120" s="4">
        <f>J119+1</f>
        <v>4</v>
      </c>
    </row>
    <row r="121" spans="1:12" x14ac:dyDescent="0.35">
      <c r="A121" s="4">
        <f t="shared" ref="A121:A182" si="4">A120+1</f>
        <v>5</v>
      </c>
      <c r="B121" s="35" t="s">
        <v>1309</v>
      </c>
      <c r="C121" s="226"/>
      <c r="D121" s="226"/>
      <c r="E121" s="226"/>
      <c r="F121" s="226"/>
      <c r="G121" s="44"/>
      <c r="H121" s="44"/>
      <c r="I121" s="478"/>
      <c r="J121" s="4">
        <f t="shared" ref="J121:J182" si="5">J120+1</f>
        <v>5</v>
      </c>
    </row>
    <row r="122" spans="1:12" x14ac:dyDescent="0.35">
      <c r="A122" s="4">
        <f t="shared" si="4"/>
        <v>6</v>
      </c>
      <c r="B122" s="34" t="s">
        <v>1310</v>
      </c>
      <c r="D122" s="226"/>
      <c r="E122" s="226"/>
      <c r="F122" s="226"/>
      <c r="G122" s="140">
        <f>G52</f>
        <v>5.4375394720955782E-2</v>
      </c>
      <c r="H122" s="226"/>
      <c r="I122" s="95" t="s">
        <v>1311</v>
      </c>
      <c r="J122" s="4">
        <f t="shared" si="5"/>
        <v>6</v>
      </c>
      <c r="K122" s="4"/>
    </row>
    <row r="123" spans="1:12" x14ac:dyDescent="0.35">
      <c r="A123" s="4">
        <f t="shared" si="4"/>
        <v>7</v>
      </c>
      <c r="B123" s="34" t="s">
        <v>1312</v>
      </c>
      <c r="D123" s="226"/>
      <c r="E123" s="226"/>
      <c r="F123" s="226"/>
      <c r="G123" s="24">
        <f>-'Stmt AR'!E19</f>
        <v>3759.0100778383921</v>
      </c>
      <c r="H123" s="226"/>
      <c r="I123" s="95" t="s">
        <v>1313</v>
      </c>
      <c r="J123" s="4">
        <f t="shared" si="5"/>
        <v>7</v>
      </c>
      <c r="K123" s="4"/>
    </row>
    <row r="124" spans="1:12" x14ac:dyDescent="0.35">
      <c r="A124" s="4">
        <f t="shared" si="4"/>
        <v>8</v>
      </c>
      <c r="B124" s="34" t="s">
        <v>1314</v>
      </c>
      <c r="D124" s="226"/>
      <c r="E124" s="226"/>
      <c r="F124" s="226"/>
      <c r="G124" s="115">
        <f>'AV-1A'!C63</f>
        <v>9934.6749924400028</v>
      </c>
      <c r="H124" s="226"/>
      <c r="I124" s="434" t="s">
        <v>1315</v>
      </c>
      <c r="J124" s="4">
        <f t="shared" si="5"/>
        <v>8</v>
      </c>
      <c r="K124" s="226"/>
    </row>
    <row r="125" spans="1:12" x14ac:dyDescent="0.35">
      <c r="A125" s="4">
        <f t="shared" si="4"/>
        <v>9</v>
      </c>
      <c r="B125" s="34" t="s">
        <v>1316</v>
      </c>
      <c r="D125" s="226"/>
      <c r="E125" s="479"/>
      <c r="F125" s="226"/>
      <c r="G125" s="7">
        <f>'BK-1 Retail TRR'!E136</f>
        <v>5032105.0897045555</v>
      </c>
      <c r="H125" s="226"/>
      <c r="I125" s="95" t="s">
        <v>1317</v>
      </c>
      <c r="J125" s="4">
        <f t="shared" si="5"/>
        <v>9</v>
      </c>
    </row>
    <row r="126" spans="1:12" x14ac:dyDescent="0.35">
      <c r="A126" s="4">
        <f t="shared" si="4"/>
        <v>10</v>
      </c>
      <c r="B126" s="34" t="s">
        <v>1318</v>
      </c>
      <c r="D126" s="50"/>
      <c r="E126" s="226"/>
      <c r="F126" s="226"/>
      <c r="G126" s="1123" t="s">
        <v>1319</v>
      </c>
      <c r="H126" s="226"/>
      <c r="I126" s="95" t="s">
        <v>1320</v>
      </c>
      <c r="J126" s="4">
        <f t="shared" si="5"/>
        <v>10</v>
      </c>
      <c r="L126" s="262"/>
    </row>
    <row r="127" spans="1:12" x14ac:dyDescent="0.35">
      <c r="A127" s="4">
        <f t="shared" si="4"/>
        <v>11</v>
      </c>
      <c r="G127" s="4"/>
      <c r="H127" s="4"/>
      <c r="J127" s="4">
        <f t="shared" si="5"/>
        <v>11</v>
      </c>
    </row>
    <row r="128" spans="1:12" x14ac:dyDescent="0.35">
      <c r="A128" s="4">
        <f t="shared" si="4"/>
        <v>12</v>
      </c>
      <c r="B128" s="34" t="s">
        <v>1321</v>
      </c>
      <c r="D128" s="226"/>
      <c r="E128" s="226"/>
      <c r="F128" s="226"/>
      <c r="G128" s="28">
        <f>(((G122)+(G124/G125))*G126-(G123/G125))/(1-G126)</f>
        <v>1.4033445119111653E-2</v>
      </c>
      <c r="H128" s="28"/>
      <c r="I128" s="95" t="s">
        <v>1322</v>
      </c>
      <c r="J128" s="4">
        <f t="shared" si="5"/>
        <v>12</v>
      </c>
      <c r="L128" s="480"/>
    </row>
    <row r="129" spans="1:11" x14ac:dyDescent="0.35">
      <c r="A129" s="4">
        <f t="shared" si="4"/>
        <v>13</v>
      </c>
      <c r="B129" s="257" t="s">
        <v>1323</v>
      </c>
      <c r="G129" s="4"/>
      <c r="H129" s="4"/>
      <c r="J129" s="4">
        <f t="shared" si="5"/>
        <v>13</v>
      </c>
    </row>
    <row r="130" spans="1:11" x14ac:dyDescent="0.35">
      <c r="A130" s="4">
        <f t="shared" si="4"/>
        <v>14</v>
      </c>
      <c r="G130" s="449"/>
      <c r="H130" s="4"/>
      <c r="J130" s="4">
        <f t="shared" si="5"/>
        <v>14</v>
      </c>
    </row>
    <row r="131" spans="1:11" x14ac:dyDescent="0.35">
      <c r="A131" s="4">
        <f t="shared" si="4"/>
        <v>15</v>
      </c>
      <c r="B131" s="259" t="s">
        <v>1324</v>
      </c>
      <c r="C131" s="226"/>
      <c r="D131" s="226"/>
      <c r="E131" s="226"/>
      <c r="F131" s="226"/>
      <c r="G131" s="141"/>
      <c r="H131" s="141"/>
      <c r="I131" s="481"/>
      <c r="J131" s="4">
        <f t="shared" si="5"/>
        <v>15</v>
      </c>
      <c r="K131" s="482"/>
    </row>
    <row r="132" spans="1:11" x14ac:dyDescent="0.35">
      <c r="A132" s="4">
        <f t="shared" si="4"/>
        <v>16</v>
      </c>
      <c r="B132" s="350"/>
      <c r="C132" s="226"/>
      <c r="D132" s="226"/>
      <c r="E132" s="226"/>
      <c r="F132" s="226"/>
      <c r="G132" s="141"/>
      <c r="H132" s="141"/>
      <c r="I132" s="483"/>
      <c r="J132" s="4">
        <f t="shared" si="5"/>
        <v>16</v>
      </c>
      <c r="K132" s="226"/>
    </row>
    <row r="133" spans="1:11" x14ac:dyDescent="0.35">
      <c r="A133" s="4">
        <f t="shared" si="4"/>
        <v>17</v>
      </c>
      <c r="B133" s="35" t="s">
        <v>1309</v>
      </c>
      <c r="C133" s="226"/>
      <c r="D133" s="226"/>
      <c r="E133" s="226"/>
      <c r="F133" s="226"/>
      <c r="G133" s="141"/>
      <c r="H133" s="141"/>
      <c r="I133" s="483"/>
      <c r="J133" s="4">
        <f t="shared" si="5"/>
        <v>17</v>
      </c>
      <c r="K133" s="226"/>
    </row>
    <row r="134" spans="1:11" x14ac:dyDescent="0.35">
      <c r="A134" s="4">
        <f t="shared" si="4"/>
        <v>18</v>
      </c>
      <c r="B134" s="34" t="s">
        <v>1310</v>
      </c>
      <c r="D134" s="226"/>
      <c r="E134" s="226"/>
      <c r="F134" s="226"/>
      <c r="G134" s="29">
        <f>G122</f>
        <v>5.4375394720955782E-2</v>
      </c>
      <c r="H134" s="29"/>
      <c r="I134" s="95" t="s">
        <v>1325</v>
      </c>
      <c r="J134" s="4">
        <f t="shared" si="5"/>
        <v>18</v>
      </c>
      <c r="K134" s="4"/>
    </row>
    <row r="135" spans="1:11" x14ac:dyDescent="0.35">
      <c r="A135" s="4">
        <f t="shared" si="4"/>
        <v>19</v>
      </c>
      <c r="B135" s="34" t="s">
        <v>1326</v>
      </c>
      <c r="D135" s="226"/>
      <c r="E135" s="226"/>
      <c r="F135" s="226"/>
      <c r="G135" s="47">
        <f>-'Stmt AT'!E19</f>
        <v>0</v>
      </c>
      <c r="H135" s="29"/>
      <c r="I135" s="95" t="s">
        <v>1327</v>
      </c>
      <c r="J135" s="4">
        <f t="shared" si="5"/>
        <v>19</v>
      </c>
      <c r="K135" s="4"/>
    </row>
    <row r="136" spans="1:11" x14ac:dyDescent="0.35">
      <c r="A136" s="4">
        <f t="shared" si="4"/>
        <v>20</v>
      </c>
      <c r="B136" s="34" t="s">
        <v>1314</v>
      </c>
      <c r="D136" s="226"/>
      <c r="E136" s="226"/>
      <c r="F136" s="226"/>
      <c r="G136" s="47">
        <f>G124</f>
        <v>9934.6749924400028</v>
      </c>
      <c r="H136" s="47"/>
      <c r="I136" s="95" t="s">
        <v>1328</v>
      </c>
      <c r="J136" s="4">
        <f t="shared" si="5"/>
        <v>20</v>
      </c>
      <c r="K136" s="4"/>
    </row>
    <row r="137" spans="1:11" x14ac:dyDescent="0.35">
      <c r="A137" s="4">
        <f t="shared" si="4"/>
        <v>21</v>
      </c>
      <c r="B137" s="34" t="s">
        <v>1316</v>
      </c>
      <c r="D137" s="226"/>
      <c r="E137" s="226"/>
      <c r="F137" s="226"/>
      <c r="G137" s="10">
        <f>G125</f>
        <v>5032105.0897045555</v>
      </c>
      <c r="H137" s="10"/>
      <c r="I137" s="95" t="s">
        <v>1329</v>
      </c>
      <c r="J137" s="4">
        <f t="shared" si="5"/>
        <v>21</v>
      </c>
      <c r="K137" s="4"/>
    </row>
    <row r="138" spans="1:11" x14ac:dyDescent="0.35">
      <c r="A138" s="4">
        <f t="shared" si="4"/>
        <v>22</v>
      </c>
      <c r="B138" s="34" t="s">
        <v>1330</v>
      </c>
      <c r="D138" s="226"/>
      <c r="E138" s="226"/>
      <c r="F138" s="226"/>
      <c r="G138" s="28">
        <f>G128</f>
        <v>1.4033445119111653E-2</v>
      </c>
      <c r="H138" s="28"/>
      <c r="I138" s="95" t="s">
        <v>1331</v>
      </c>
      <c r="J138" s="4">
        <f t="shared" si="5"/>
        <v>22</v>
      </c>
    </row>
    <row r="139" spans="1:11" x14ac:dyDescent="0.35">
      <c r="A139" s="4">
        <f t="shared" si="4"/>
        <v>23</v>
      </c>
      <c r="B139" s="34" t="s">
        <v>1332</v>
      </c>
      <c r="D139" s="226"/>
      <c r="E139" s="226"/>
      <c r="F139" s="226"/>
      <c r="G139" s="1123" t="s">
        <v>1333</v>
      </c>
      <c r="H139" s="226"/>
      <c r="I139" s="95" t="s">
        <v>1334</v>
      </c>
      <c r="J139" s="4">
        <f t="shared" si="5"/>
        <v>23</v>
      </c>
    </row>
    <row r="140" spans="1:11" x14ac:dyDescent="0.35">
      <c r="A140" s="4">
        <f t="shared" si="4"/>
        <v>24</v>
      </c>
      <c r="B140" s="1"/>
      <c r="D140" s="226"/>
      <c r="E140" s="226"/>
      <c r="F140" s="226"/>
      <c r="G140" s="142"/>
      <c r="H140" s="142"/>
      <c r="I140" s="483"/>
      <c r="J140" s="4">
        <f t="shared" si="5"/>
        <v>24</v>
      </c>
    </row>
    <row r="141" spans="1:11" x14ac:dyDescent="0.35">
      <c r="A141" s="4">
        <f t="shared" si="4"/>
        <v>25</v>
      </c>
      <c r="B141" s="34" t="s">
        <v>1335</v>
      </c>
      <c r="C141" s="4"/>
      <c r="D141" s="4"/>
      <c r="E141" s="226"/>
      <c r="F141" s="226"/>
      <c r="G141" s="1124">
        <f>(((G134)+(G136/G137)+G128)*G139-(G135/G137))/(1-G139)</f>
        <v>6.8252148653314632E-3</v>
      </c>
      <c r="H141" s="28"/>
      <c r="I141" s="95" t="s">
        <v>1336</v>
      </c>
      <c r="J141" s="4">
        <f t="shared" si="5"/>
        <v>25</v>
      </c>
    </row>
    <row r="142" spans="1:11" x14ac:dyDescent="0.35">
      <c r="A142" s="4">
        <f t="shared" si="4"/>
        <v>26</v>
      </c>
      <c r="B142" s="257" t="s">
        <v>1337</v>
      </c>
      <c r="G142" s="4"/>
      <c r="H142" s="4"/>
      <c r="I142" s="95"/>
      <c r="J142" s="4">
        <f t="shared" si="5"/>
        <v>26</v>
      </c>
      <c r="K142" s="4"/>
    </row>
    <row r="143" spans="1:11" x14ac:dyDescent="0.35">
      <c r="A143" s="4">
        <f t="shared" si="4"/>
        <v>27</v>
      </c>
      <c r="G143" s="4"/>
      <c r="H143" s="4"/>
      <c r="I143" s="95"/>
      <c r="J143" s="4">
        <f t="shared" si="5"/>
        <v>27</v>
      </c>
      <c r="K143" s="4"/>
    </row>
    <row r="144" spans="1:11" x14ac:dyDescent="0.35">
      <c r="A144" s="4">
        <f t="shared" si="4"/>
        <v>28</v>
      </c>
      <c r="B144" s="259" t="s">
        <v>1338</v>
      </c>
      <c r="G144" s="28">
        <f>G141+G128</f>
        <v>2.0858659984443115E-2</v>
      </c>
      <c r="H144" s="28"/>
      <c r="I144" s="95" t="s">
        <v>1339</v>
      </c>
      <c r="J144" s="4">
        <f t="shared" si="5"/>
        <v>28</v>
      </c>
      <c r="K144" s="4"/>
    </row>
    <row r="145" spans="1:12" x14ac:dyDescent="0.35">
      <c r="A145" s="4">
        <f t="shared" si="4"/>
        <v>29</v>
      </c>
      <c r="G145" s="4"/>
      <c r="H145" s="4"/>
      <c r="I145" s="95"/>
      <c r="J145" s="4">
        <f t="shared" si="5"/>
        <v>29</v>
      </c>
      <c r="K145" s="4"/>
    </row>
    <row r="146" spans="1:12" x14ac:dyDescent="0.35">
      <c r="A146" s="4">
        <f t="shared" si="4"/>
        <v>30</v>
      </c>
      <c r="B146" s="259" t="s">
        <v>1340</v>
      </c>
      <c r="G146" s="914">
        <f>G50</f>
        <v>7.1276130673259205E-2</v>
      </c>
      <c r="H146" s="226"/>
      <c r="I146" s="95" t="s">
        <v>1341</v>
      </c>
      <c r="J146" s="4">
        <f t="shared" si="5"/>
        <v>30</v>
      </c>
      <c r="K146" s="4"/>
    </row>
    <row r="147" spans="1:12" x14ac:dyDescent="0.35">
      <c r="A147" s="4">
        <f t="shared" si="4"/>
        <v>31</v>
      </c>
      <c r="G147" s="29"/>
      <c r="H147" s="29"/>
      <c r="I147" s="95"/>
      <c r="J147" s="4">
        <f t="shared" si="5"/>
        <v>31</v>
      </c>
      <c r="K147" s="4"/>
    </row>
    <row r="148" spans="1:12" ht="18" thickBot="1" x14ac:dyDescent="0.4">
      <c r="A148" s="4">
        <f t="shared" si="4"/>
        <v>32</v>
      </c>
      <c r="B148" s="259" t="s">
        <v>1342</v>
      </c>
      <c r="G148" s="143">
        <f>G144+G146</f>
        <v>9.2134790657702317E-2</v>
      </c>
      <c r="H148" s="28"/>
      <c r="I148" s="95" t="s">
        <v>1343</v>
      </c>
      <c r="J148" s="4">
        <f t="shared" si="5"/>
        <v>32</v>
      </c>
      <c r="K148" s="484"/>
      <c r="L148" s="480"/>
    </row>
    <row r="149" spans="1:12" ht="16.5" thickTop="1" thickBot="1" x14ac:dyDescent="0.4">
      <c r="A149" s="889">
        <f t="shared" si="4"/>
        <v>33</v>
      </c>
      <c r="B149" s="891"/>
      <c r="C149" s="891"/>
      <c r="D149" s="891"/>
      <c r="E149" s="891"/>
      <c r="F149" s="891"/>
      <c r="G149" s="889"/>
      <c r="H149" s="889"/>
      <c r="I149" s="893"/>
      <c r="J149" s="889">
        <f t="shared" si="5"/>
        <v>33</v>
      </c>
    </row>
    <row r="150" spans="1:12" x14ac:dyDescent="0.35">
      <c r="A150" s="4">
        <f t="shared" si="4"/>
        <v>34</v>
      </c>
      <c r="G150" s="4"/>
      <c r="H150" s="4"/>
      <c r="I150" s="95"/>
      <c r="J150" s="4">
        <f t="shared" si="5"/>
        <v>34</v>
      </c>
    </row>
    <row r="151" spans="1:12" ht="17.5" x14ac:dyDescent="0.35">
      <c r="A151" s="4">
        <f t="shared" si="4"/>
        <v>35</v>
      </c>
      <c r="B151" s="259" t="s">
        <v>1344</v>
      </c>
      <c r="E151" s="226"/>
      <c r="F151" s="226"/>
      <c r="G151" s="44"/>
      <c r="H151" s="44"/>
      <c r="I151" s="95"/>
      <c r="J151" s="4">
        <f t="shared" si="5"/>
        <v>35</v>
      </c>
    </row>
    <row r="152" spans="1:12" x14ac:dyDescent="0.35">
      <c r="A152" s="4">
        <f t="shared" si="4"/>
        <v>36</v>
      </c>
      <c r="B152" s="36"/>
      <c r="E152" s="226"/>
      <c r="F152" s="226"/>
      <c r="G152" s="44"/>
      <c r="H152" s="44"/>
      <c r="I152" s="95"/>
      <c r="J152" s="4">
        <f t="shared" si="5"/>
        <v>36</v>
      </c>
      <c r="L152" s="621"/>
    </row>
    <row r="153" spans="1:12" x14ac:dyDescent="0.35">
      <c r="A153" s="4">
        <f t="shared" si="4"/>
        <v>37</v>
      </c>
      <c r="B153" s="259" t="s">
        <v>1308</v>
      </c>
      <c r="E153" s="226"/>
      <c r="F153" s="226"/>
      <c r="G153" s="44"/>
      <c r="H153" s="44"/>
      <c r="I153" s="95"/>
      <c r="J153" s="4">
        <f t="shared" si="5"/>
        <v>37</v>
      </c>
    </row>
    <row r="154" spans="1:12" x14ac:dyDescent="0.35">
      <c r="A154" s="4">
        <f t="shared" si="4"/>
        <v>38</v>
      </c>
      <c r="B154" s="226"/>
      <c r="C154" s="226"/>
      <c r="D154" s="226"/>
      <c r="E154" s="226"/>
      <c r="F154" s="226"/>
      <c r="G154" s="44"/>
      <c r="H154" s="44"/>
      <c r="I154" s="95"/>
      <c r="J154" s="4">
        <f t="shared" si="5"/>
        <v>38</v>
      </c>
    </row>
    <row r="155" spans="1:12" x14ac:dyDescent="0.35">
      <c r="A155" s="4">
        <f t="shared" si="4"/>
        <v>39</v>
      </c>
      <c r="B155" s="35" t="s">
        <v>1309</v>
      </c>
      <c r="C155" s="226"/>
      <c r="D155" s="226"/>
      <c r="E155" s="226"/>
      <c r="F155" s="226"/>
      <c r="G155" s="44"/>
      <c r="H155" s="44"/>
      <c r="I155" s="478"/>
      <c r="J155" s="4">
        <f t="shared" si="5"/>
        <v>39</v>
      </c>
    </row>
    <row r="156" spans="1:12" x14ac:dyDescent="0.35">
      <c r="A156" s="4">
        <f t="shared" si="4"/>
        <v>40</v>
      </c>
      <c r="B156" s="34" t="s">
        <v>1345</v>
      </c>
      <c r="D156" s="226"/>
      <c r="E156" s="226"/>
      <c r="F156" s="226"/>
      <c r="G156" s="140">
        <f>G65</f>
        <v>2.691851223809692E-3</v>
      </c>
      <c r="H156" s="226"/>
      <c r="I156" s="95" t="s">
        <v>1346</v>
      </c>
      <c r="J156" s="4">
        <f t="shared" si="5"/>
        <v>40</v>
      </c>
      <c r="K156" s="4"/>
    </row>
    <row r="157" spans="1:12" x14ac:dyDescent="0.35">
      <c r="A157" s="4">
        <f t="shared" si="4"/>
        <v>41</v>
      </c>
      <c r="B157" s="34" t="s">
        <v>1312</v>
      </c>
      <c r="D157" s="226"/>
      <c r="E157" s="226"/>
      <c r="F157" s="226"/>
      <c r="G157" s="144">
        <v>0</v>
      </c>
      <c r="H157" s="226"/>
      <c r="I157" s="95" t="s">
        <v>1288</v>
      </c>
      <c r="J157" s="4">
        <f t="shared" si="5"/>
        <v>41</v>
      </c>
      <c r="K157" s="4"/>
    </row>
    <row r="158" spans="1:12" x14ac:dyDescent="0.35">
      <c r="A158" s="4">
        <f t="shared" si="4"/>
        <v>42</v>
      </c>
      <c r="B158" s="34" t="s">
        <v>1314</v>
      </c>
      <c r="D158" s="226"/>
      <c r="E158" s="226"/>
      <c r="F158" s="226"/>
      <c r="G158" s="144">
        <v>0</v>
      </c>
      <c r="H158" s="226"/>
      <c r="I158" s="95" t="s">
        <v>1288</v>
      </c>
      <c r="J158" s="4">
        <f t="shared" si="5"/>
        <v>42</v>
      </c>
      <c r="K158" s="226"/>
    </row>
    <row r="159" spans="1:12" x14ac:dyDescent="0.35">
      <c r="A159" s="4">
        <f t="shared" si="4"/>
        <v>43</v>
      </c>
      <c r="B159" s="34" t="s">
        <v>1316</v>
      </c>
      <c r="D159" s="226"/>
      <c r="E159" s="479"/>
      <c r="F159" s="226"/>
      <c r="G159" s="7">
        <f>'BK-1 Retail TRR'!E136</f>
        <v>5032105.0897045555</v>
      </c>
      <c r="H159" s="226"/>
      <c r="I159" s="95" t="s">
        <v>1317</v>
      </c>
      <c r="J159" s="4">
        <f t="shared" si="5"/>
        <v>43</v>
      </c>
    </row>
    <row r="160" spans="1:12" x14ac:dyDescent="0.35">
      <c r="A160" s="4">
        <f t="shared" si="4"/>
        <v>44</v>
      </c>
      <c r="B160" s="34" t="s">
        <v>1318</v>
      </c>
      <c r="D160" s="50"/>
      <c r="E160" s="226"/>
      <c r="F160" s="226"/>
      <c r="G160" s="1123" t="s">
        <v>1319</v>
      </c>
      <c r="H160" s="226"/>
      <c r="I160" s="95" t="s">
        <v>1320</v>
      </c>
      <c r="J160" s="4">
        <f t="shared" si="5"/>
        <v>44</v>
      </c>
      <c r="L160" s="262"/>
    </row>
    <row r="161" spans="1:12" x14ac:dyDescent="0.35">
      <c r="A161" s="4">
        <f t="shared" si="4"/>
        <v>45</v>
      </c>
      <c r="G161" s="4"/>
      <c r="H161" s="4"/>
      <c r="J161" s="4">
        <f t="shared" si="5"/>
        <v>45</v>
      </c>
    </row>
    <row r="162" spans="1:12" x14ac:dyDescent="0.35">
      <c r="A162" s="4">
        <f t="shared" si="4"/>
        <v>46</v>
      </c>
      <c r="B162" s="34" t="s">
        <v>1321</v>
      </c>
      <c r="D162" s="226"/>
      <c r="E162" s="226"/>
      <c r="F162" s="226"/>
      <c r="G162" s="28">
        <f>(((G156)+(G158/G159))*G160-(G157/G159))/(1-G160)</f>
        <v>7.1555538860763955E-4</v>
      </c>
      <c r="H162" s="28"/>
      <c r="I162" s="95" t="s">
        <v>1322</v>
      </c>
      <c r="J162" s="4">
        <f t="shared" si="5"/>
        <v>46</v>
      </c>
      <c r="L162" s="480"/>
    </row>
    <row r="163" spans="1:12" x14ac:dyDescent="0.35">
      <c r="A163" s="4">
        <f t="shared" si="4"/>
        <v>47</v>
      </c>
      <c r="B163" s="257" t="s">
        <v>1323</v>
      </c>
      <c r="G163" s="4"/>
      <c r="H163" s="4"/>
      <c r="J163" s="4">
        <f t="shared" si="5"/>
        <v>47</v>
      </c>
    </row>
    <row r="164" spans="1:12" x14ac:dyDescent="0.35">
      <c r="A164" s="4">
        <f t="shared" si="4"/>
        <v>48</v>
      </c>
      <c r="G164" s="4"/>
      <c r="H164" s="4"/>
      <c r="J164" s="4">
        <f t="shared" si="5"/>
        <v>48</v>
      </c>
    </row>
    <row r="165" spans="1:12" x14ac:dyDescent="0.35">
      <c r="A165" s="4">
        <f t="shared" si="4"/>
        <v>49</v>
      </c>
      <c r="B165" s="259" t="s">
        <v>1324</v>
      </c>
      <c r="C165" s="226"/>
      <c r="D165" s="226"/>
      <c r="E165" s="226"/>
      <c r="F165" s="226"/>
      <c r="G165" s="141"/>
      <c r="H165" s="141"/>
      <c r="I165" s="481"/>
      <c r="J165" s="4">
        <f t="shared" si="5"/>
        <v>49</v>
      </c>
      <c r="K165" s="482"/>
    </row>
    <row r="166" spans="1:12" x14ac:dyDescent="0.35">
      <c r="A166" s="4">
        <f t="shared" si="4"/>
        <v>50</v>
      </c>
      <c r="B166" s="350"/>
      <c r="C166" s="226"/>
      <c r="D166" s="226"/>
      <c r="E166" s="226"/>
      <c r="F166" s="226"/>
      <c r="G166" s="141"/>
      <c r="H166" s="141"/>
      <c r="I166" s="483"/>
      <c r="J166" s="4">
        <f t="shared" si="5"/>
        <v>50</v>
      </c>
      <c r="K166" s="226"/>
    </row>
    <row r="167" spans="1:12" x14ac:dyDescent="0.35">
      <c r="A167" s="4">
        <f t="shared" si="4"/>
        <v>51</v>
      </c>
      <c r="B167" s="35" t="s">
        <v>1309</v>
      </c>
      <c r="C167" s="226"/>
      <c r="D167" s="226"/>
      <c r="E167" s="226"/>
      <c r="F167" s="226"/>
      <c r="G167" s="141"/>
      <c r="H167" s="141"/>
      <c r="I167" s="483"/>
      <c r="J167" s="4">
        <f t="shared" si="5"/>
        <v>51</v>
      </c>
      <c r="K167" s="226"/>
    </row>
    <row r="168" spans="1:12" x14ac:dyDescent="0.35">
      <c r="A168" s="4">
        <f t="shared" si="4"/>
        <v>52</v>
      </c>
      <c r="B168" s="34" t="s">
        <v>1345</v>
      </c>
      <c r="D168" s="226"/>
      <c r="E168" s="226"/>
      <c r="F168" s="226"/>
      <c r="G168" s="29">
        <f>G156</f>
        <v>2.691851223809692E-3</v>
      </c>
      <c r="H168" s="29"/>
      <c r="I168" s="95" t="s">
        <v>1347</v>
      </c>
      <c r="J168" s="4">
        <f t="shared" si="5"/>
        <v>52</v>
      </c>
      <c r="K168" s="4"/>
    </row>
    <row r="169" spans="1:12" x14ac:dyDescent="0.35">
      <c r="A169" s="4">
        <f t="shared" si="4"/>
        <v>53</v>
      </c>
      <c r="B169" s="34" t="s">
        <v>1326</v>
      </c>
      <c r="D169" s="226"/>
      <c r="E169" s="226"/>
      <c r="F169" s="226"/>
      <c r="G169" s="144">
        <v>0</v>
      </c>
      <c r="H169" s="29"/>
      <c r="I169" s="95" t="s">
        <v>1288</v>
      </c>
      <c r="J169" s="4">
        <f t="shared" si="5"/>
        <v>53</v>
      </c>
      <c r="K169" s="4"/>
    </row>
    <row r="170" spans="1:12" x14ac:dyDescent="0.35">
      <c r="A170" s="4">
        <f t="shared" si="4"/>
        <v>54</v>
      </c>
      <c r="B170" s="34" t="s">
        <v>1314</v>
      </c>
      <c r="D170" s="226"/>
      <c r="E170" s="226"/>
      <c r="F170" s="226"/>
      <c r="G170" s="10">
        <f>G158</f>
        <v>0</v>
      </c>
      <c r="H170" s="47"/>
      <c r="I170" s="95" t="s">
        <v>1348</v>
      </c>
      <c r="J170" s="4">
        <f t="shared" si="5"/>
        <v>54</v>
      </c>
      <c r="K170" s="4"/>
    </row>
    <row r="171" spans="1:12" x14ac:dyDescent="0.35">
      <c r="A171" s="4">
        <f t="shared" si="4"/>
        <v>55</v>
      </c>
      <c r="B171" s="34" t="s">
        <v>1316</v>
      </c>
      <c r="D171" s="226"/>
      <c r="E171" s="226"/>
      <c r="F171" s="226"/>
      <c r="G171" s="10">
        <f>G159</f>
        <v>5032105.0897045555</v>
      </c>
      <c r="H171" s="10"/>
      <c r="I171" s="95" t="s">
        <v>1349</v>
      </c>
      <c r="J171" s="4">
        <f t="shared" si="5"/>
        <v>55</v>
      </c>
      <c r="K171" s="4"/>
    </row>
    <row r="172" spans="1:12" x14ac:dyDescent="0.35">
      <c r="A172" s="4">
        <f t="shared" si="4"/>
        <v>56</v>
      </c>
      <c r="B172" s="34" t="s">
        <v>1330</v>
      </c>
      <c r="D172" s="226"/>
      <c r="E172" s="226"/>
      <c r="F172" s="226"/>
      <c r="G172" s="28">
        <f>G162</f>
        <v>7.1555538860763955E-4</v>
      </c>
      <c r="H172" s="28"/>
      <c r="I172" s="95" t="s">
        <v>1350</v>
      </c>
      <c r="J172" s="4">
        <f t="shared" si="5"/>
        <v>56</v>
      </c>
    </row>
    <row r="173" spans="1:12" x14ac:dyDescent="0.35">
      <c r="A173" s="4">
        <f t="shared" si="4"/>
        <v>57</v>
      </c>
      <c r="B173" s="34" t="s">
        <v>1332</v>
      </c>
      <c r="D173" s="226"/>
      <c r="E173" s="226"/>
      <c r="F173" s="226"/>
      <c r="G173" s="1123" t="s">
        <v>1333</v>
      </c>
      <c r="H173" s="226"/>
      <c r="I173" s="95" t="s">
        <v>1334</v>
      </c>
      <c r="J173" s="4">
        <f t="shared" si="5"/>
        <v>57</v>
      </c>
    </row>
    <row r="174" spans="1:12" x14ac:dyDescent="0.35">
      <c r="A174" s="4">
        <f t="shared" si="4"/>
        <v>58</v>
      </c>
      <c r="B174" s="1"/>
      <c r="D174" s="226"/>
      <c r="E174" s="226"/>
      <c r="F174" s="226"/>
      <c r="G174" s="142"/>
      <c r="H174" s="142"/>
      <c r="I174" s="483"/>
      <c r="J174" s="4">
        <f t="shared" si="5"/>
        <v>58</v>
      </c>
      <c r="K174" s="622"/>
    </row>
    <row r="175" spans="1:12" x14ac:dyDescent="0.35">
      <c r="A175" s="4">
        <f t="shared" si="4"/>
        <v>59</v>
      </c>
      <c r="B175" s="34" t="s">
        <v>1335</v>
      </c>
      <c r="C175" s="4"/>
      <c r="D175" s="4"/>
      <c r="E175" s="226"/>
      <c r="F175" s="226"/>
      <c r="G175" s="1124">
        <f>(((G168)+(G170/G171)+G162)*G173-(G169/G171))/(1-G173)</f>
        <v>3.3042424806679698E-4</v>
      </c>
      <c r="H175" s="28"/>
      <c r="I175" s="95" t="s">
        <v>1336</v>
      </c>
      <c r="J175" s="4">
        <f t="shared" si="5"/>
        <v>59</v>
      </c>
    </row>
    <row r="176" spans="1:12" x14ac:dyDescent="0.35">
      <c r="A176" s="4">
        <f t="shared" si="4"/>
        <v>60</v>
      </c>
      <c r="B176" s="257" t="s">
        <v>1337</v>
      </c>
      <c r="G176" s="4"/>
      <c r="H176" s="4"/>
      <c r="I176" s="95"/>
      <c r="J176" s="4">
        <f t="shared" si="5"/>
        <v>60</v>
      </c>
      <c r="K176" s="4"/>
    </row>
    <row r="177" spans="1:12" x14ac:dyDescent="0.35">
      <c r="A177" s="4">
        <f t="shared" si="4"/>
        <v>61</v>
      </c>
      <c r="G177" s="4"/>
      <c r="H177" s="4"/>
      <c r="I177" s="95"/>
      <c r="J177" s="4">
        <f t="shared" si="5"/>
        <v>61</v>
      </c>
      <c r="K177" s="4"/>
    </row>
    <row r="178" spans="1:12" x14ac:dyDescent="0.35">
      <c r="A178" s="4">
        <f t="shared" si="4"/>
        <v>62</v>
      </c>
      <c r="B178" s="259" t="s">
        <v>1338</v>
      </c>
      <c r="G178" s="28">
        <f>G175+G162</f>
        <v>1.0459796366744365E-3</v>
      </c>
      <c r="H178" s="28"/>
      <c r="I178" s="95" t="s">
        <v>1351</v>
      </c>
      <c r="J178" s="4">
        <f t="shared" si="5"/>
        <v>62</v>
      </c>
      <c r="K178" s="4"/>
    </row>
    <row r="179" spans="1:12" x14ac:dyDescent="0.35">
      <c r="A179" s="4">
        <f t="shared" si="4"/>
        <v>63</v>
      </c>
      <c r="G179" s="4"/>
      <c r="H179" s="4"/>
      <c r="I179" s="95"/>
      <c r="J179" s="4">
        <f t="shared" si="5"/>
        <v>63</v>
      </c>
      <c r="K179" s="4"/>
    </row>
    <row r="180" spans="1:12" x14ac:dyDescent="0.35">
      <c r="A180" s="4">
        <f t="shared" si="4"/>
        <v>64</v>
      </c>
      <c r="B180" s="259" t="s">
        <v>1352</v>
      </c>
      <c r="G180" s="1124">
        <f>G63</f>
        <v>2.691851223809692E-3</v>
      </c>
      <c r="H180" s="226"/>
      <c r="I180" s="95" t="s">
        <v>1353</v>
      </c>
      <c r="J180" s="4">
        <f t="shared" si="5"/>
        <v>64</v>
      </c>
      <c r="K180" s="4"/>
    </row>
    <row r="181" spans="1:12" x14ac:dyDescent="0.35">
      <c r="A181" s="4">
        <f t="shared" si="4"/>
        <v>65</v>
      </c>
      <c r="G181" s="29"/>
      <c r="H181" s="29"/>
      <c r="I181" s="95"/>
      <c r="J181" s="4">
        <f t="shared" si="5"/>
        <v>65</v>
      </c>
      <c r="K181" s="4"/>
    </row>
    <row r="182" spans="1:12" ht="18" thickBot="1" x14ac:dyDescent="0.4">
      <c r="A182" s="4">
        <f t="shared" si="4"/>
        <v>66</v>
      </c>
      <c r="B182" s="259" t="s">
        <v>1354</v>
      </c>
      <c r="G182" s="143">
        <f>G178+G180</f>
        <v>3.7378308604841285E-3</v>
      </c>
      <c r="H182" s="28"/>
      <c r="I182" s="95" t="s">
        <v>1355</v>
      </c>
      <c r="J182" s="4">
        <f t="shared" si="5"/>
        <v>66</v>
      </c>
      <c r="K182" s="484"/>
      <c r="L182" s="480"/>
    </row>
    <row r="183" spans="1:12" ht="16" thickTop="1" x14ac:dyDescent="0.35">
      <c r="B183" s="259"/>
      <c r="G183" s="485"/>
      <c r="H183" s="485"/>
      <c r="I183" s="95"/>
      <c r="J183" s="4"/>
      <c r="K183" s="484"/>
      <c r="L183" s="480"/>
    </row>
    <row r="184" spans="1:12" x14ac:dyDescent="0.35">
      <c r="A184" s="74"/>
      <c r="B184" s="1"/>
      <c r="C184" s="486"/>
      <c r="D184" s="486"/>
      <c r="E184" s="486"/>
      <c r="F184" s="486"/>
      <c r="G184" s="77"/>
      <c r="H184" s="77"/>
      <c r="I184" s="487"/>
      <c r="J184" s="4"/>
    </row>
    <row r="185" spans="1:12" x14ac:dyDescent="0.35">
      <c r="B185" s="1171" t="s">
        <v>0</v>
      </c>
      <c r="C185" s="1171"/>
      <c r="D185" s="1171"/>
      <c r="E185" s="1171"/>
      <c r="F185" s="1171"/>
      <c r="G185" s="1171"/>
      <c r="H185" s="1171"/>
      <c r="I185" s="1171"/>
      <c r="J185" s="4"/>
    </row>
    <row r="186" spans="1:12" x14ac:dyDescent="0.35">
      <c r="B186" s="1171" t="s">
        <v>1219</v>
      </c>
      <c r="C186" s="1171"/>
      <c r="D186" s="1171"/>
      <c r="E186" s="1171"/>
      <c r="F186" s="1171"/>
      <c r="G186" s="1171"/>
      <c r="H186" s="1171"/>
      <c r="I186" s="1171"/>
      <c r="J186" s="4"/>
    </row>
    <row r="187" spans="1:12" x14ac:dyDescent="0.35">
      <c r="B187" s="1171" t="s">
        <v>1220</v>
      </c>
      <c r="C187" s="1171"/>
      <c r="D187" s="1171"/>
      <c r="E187" s="1171"/>
      <c r="F187" s="1171"/>
      <c r="G187" s="1171"/>
      <c r="H187" s="1171"/>
      <c r="I187" s="1171"/>
      <c r="J187" s="4"/>
    </row>
    <row r="188" spans="1:12" x14ac:dyDescent="0.35">
      <c r="B188" s="1176" t="str">
        <f>B5</f>
        <v>Base Period &amp; True-Up Period 12 - Months Ending December 31, 2022</v>
      </c>
      <c r="C188" s="1176"/>
      <c r="D188" s="1176"/>
      <c r="E188" s="1176"/>
      <c r="F188" s="1176"/>
      <c r="G188" s="1176"/>
      <c r="H188" s="1176"/>
      <c r="I188" s="1176"/>
      <c r="J188" s="4"/>
    </row>
    <row r="189" spans="1:12" x14ac:dyDescent="0.35">
      <c r="B189" s="1175" t="s">
        <v>5</v>
      </c>
      <c r="C189" s="1172"/>
      <c r="D189" s="1172"/>
      <c r="E189" s="1172"/>
      <c r="F189" s="1172"/>
      <c r="G189" s="1172"/>
      <c r="H189" s="1172"/>
      <c r="I189" s="1172"/>
      <c r="J189" s="4"/>
    </row>
    <row r="190" spans="1:12" x14ac:dyDescent="0.35">
      <c r="B190" s="4"/>
      <c r="C190" s="4"/>
      <c r="D190" s="4"/>
      <c r="E190" s="4"/>
      <c r="F190" s="4"/>
      <c r="G190" s="226"/>
      <c r="H190" s="226"/>
      <c r="I190" s="95"/>
      <c r="J190" s="4"/>
    </row>
    <row r="191" spans="1:12" x14ac:dyDescent="0.35">
      <c r="A191" s="4" t="s">
        <v>6</v>
      </c>
      <c r="B191" s="226"/>
      <c r="C191" s="226"/>
      <c r="D191" s="226"/>
      <c r="E191" s="226"/>
      <c r="F191" s="226"/>
      <c r="G191" s="226"/>
      <c r="H191" s="226"/>
      <c r="I191" s="95"/>
      <c r="J191" s="4" t="s">
        <v>6</v>
      </c>
    </row>
    <row r="192" spans="1:12" x14ac:dyDescent="0.35">
      <c r="A192" s="4" t="s">
        <v>7</v>
      </c>
      <c r="B192" s="4"/>
      <c r="C192" s="4"/>
      <c r="D192" s="4"/>
      <c r="E192" s="4"/>
      <c r="F192" s="4"/>
      <c r="G192" s="876" t="s">
        <v>8</v>
      </c>
      <c r="H192" s="226"/>
      <c r="I192" s="878" t="s">
        <v>9</v>
      </c>
      <c r="J192" s="4" t="s">
        <v>7</v>
      </c>
    </row>
    <row r="193" spans="1:10" x14ac:dyDescent="0.35">
      <c r="G193" s="4"/>
      <c r="H193" s="4"/>
      <c r="I193" s="95"/>
      <c r="J193" s="4"/>
    </row>
    <row r="194" spans="1:10" ht="18" x14ac:dyDescent="0.35">
      <c r="A194" s="4">
        <v>1</v>
      </c>
      <c r="B194" s="259" t="s">
        <v>1356</v>
      </c>
      <c r="E194" s="226"/>
      <c r="F194" s="226"/>
      <c r="G194" s="44"/>
      <c r="H194" s="44"/>
      <c r="I194" s="95"/>
      <c r="J194" s="4">
        <v>1</v>
      </c>
    </row>
    <row r="195" spans="1:10" x14ac:dyDescent="0.35">
      <c r="A195" s="4">
        <f>A194+1</f>
        <v>2</v>
      </c>
      <c r="B195" s="36"/>
      <c r="E195" s="226"/>
      <c r="F195" s="226"/>
      <c r="G195" s="44"/>
      <c r="H195" s="44"/>
      <c r="I195" s="95"/>
      <c r="J195" s="4">
        <f>J194+1</f>
        <v>2</v>
      </c>
    </row>
    <row r="196" spans="1:10" x14ac:dyDescent="0.35">
      <c r="A196" s="4">
        <f>A195+1</f>
        <v>3</v>
      </c>
      <c r="B196" s="259" t="s">
        <v>1308</v>
      </c>
      <c r="E196" s="226"/>
      <c r="F196" s="226"/>
      <c r="G196" s="44"/>
      <c r="H196" s="44"/>
      <c r="I196" s="95"/>
      <c r="J196" s="4">
        <f>J195+1</f>
        <v>3</v>
      </c>
    </row>
    <row r="197" spans="1:10" x14ac:dyDescent="0.35">
      <c r="A197" s="4">
        <f>A196+1</f>
        <v>4</v>
      </c>
      <c r="B197" s="226"/>
      <c r="C197" s="226"/>
      <c r="D197" s="226"/>
      <c r="E197" s="226"/>
      <c r="F197" s="226"/>
      <c r="G197" s="44"/>
      <c r="H197" s="44"/>
      <c r="I197" s="95"/>
      <c r="J197" s="4">
        <f>J196+1</f>
        <v>4</v>
      </c>
    </row>
    <row r="198" spans="1:10" x14ac:dyDescent="0.35">
      <c r="A198" s="4">
        <f t="shared" ref="A198:A259" si="6">A197+1</f>
        <v>5</v>
      </c>
      <c r="B198" s="35" t="s">
        <v>1309</v>
      </c>
      <c r="C198" s="226"/>
      <c r="D198" s="226"/>
      <c r="E198" s="226"/>
      <c r="F198" s="226"/>
      <c r="G198" s="44"/>
      <c r="H198" s="44"/>
      <c r="I198" s="478"/>
      <c r="J198" s="4">
        <f t="shared" ref="J198:J259" si="7">J197+1</f>
        <v>5</v>
      </c>
    </row>
    <row r="199" spans="1:10" x14ac:dyDescent="0.35">
      <c r="A199" s="4">
        <f t="shared" si="6"/>
        <v>6</v>
      </c>
      <c r="B199" s="34" t="s">
        <v>1310</v>
      </c>
      <c r="D199" s="226"/>
      <c r="E199" s="226"/>
      <c r="F199" s="226"/>
      <c r="G199" s="140">
        <f>G89</f>
        <v>0</v>
      </c>
      <c r="H199" s="226"/>
      <c r="I199" s="95" t="s">
        <v>1357</v>
      </c>
      <c r="J199" s="4">
        <f t="shared" si="7"/>
        <v>6</v>
      </c>
    </row>
    <row r="200" spans="1:10" x14ac:dyDescent="0.35">
      <c r="A200" s="4">
        <f t="shared" si="6"/>
        <v>7</v>
      </c>
      <c r="B200" s="34" t="s">
        <v>1312</v>
      </c>
      <c r="D200" s="226"/>
      <c r="E200" s="226"/>
      <c r="F200" s="226"/>
      <c r="G200" s="144">
        <v>0</v>
      </c>
      <c r="H200" s="226"/>
      <c r="I200" s="95" t="s">
        <v>1358</v>
      </c>
      <c r="J200" s="4">
        <f t="shared" si="7"/>
        <v>7</v>
      </c>
    </row>
    <row r="201" spans="1:10" x14ac:dyDescent="0.35">
      <c r="A201" s="4">
        <f t="shared" si="6"/>
        <v>8</v>
      </c>
      <c r="B201" s="34" t="s">
        <v>1314</v>
      </c>
      <c r="D201" s="226"/>
      <c r="E201" s="226"/>
      <c r="F201" s="226"/>
      <c r="G201" s="115">
        <v>0</v>
      </c>
      <c r="H201" s="226"/>
      <c r="I201" s="434"/>
      <c r="J201" s="4">
        <f t="shared" si="7"/>
        <v>8</v>
      </c>
    </row>
    <row r="202" spans="1:10" x14ac:dyDescent="0.35">
      <c r="A202" s="4">
        <f t="shared" si="6"/>
        <v>9</v>
      </c>
      <c r="B202" s="34" t="s">
        <v>1359</v>
      </c>
      <c r="D202" s="226"/>
      <c r="E202" s="226"/>
      <c r="F202" s="226"/>
      <c r="G202" s="24">
        <f>'BK-1 Retail TRR'!E141</f>
        <v>0</v>
      </c>
      <c r="H202" s="226"/>
      <c r="I202" s="95" t="s">
        <v>1360</v>
      </c>
      <c r="J202" s="4">
        <f t="shared" si="7"/>
        <v>9</v>
      </c>
    </row>
    <row r="203" spans="1:10" x14ac:dyDescent="0.35">
      <c r="A203" s="4">
        <f t="shared" si="6"/>
        <v>10</v>
      </c>
      <c r="B203" s="34" t="s">
        <v>1318</v>
      </c>
      <c r="D203" s="226"/>
      <c r="E203" s="226"/>
      <c r="F203" s="226"/>
      <c r="G203" s="1125" t="str">
        <f>G126</f>
        <v>21%</v>
      </c>
      <c r="H203" s="226"/>
      <c r="I203" s="95" t="s">
        <v>1361</v>
      </c>
      <c r="J203" s="4">
        <f t="shared" si="7"/>
        <v>10</v>
      </c>
    </row>
    <row r="204" spans="1:10" x14ac:dyDescent="0.35">
      <c r="A204" s="4">
        <f t="shared" si="6"/>
        <v>11</v>
      </c>
      <c r="G204" s="4"/>
      <c r="H204" s="4"/>
      <c r="J204" s="4">
        <f t="shared" si="7"/>
        <v>11</v>
      </c>
    </row>
    <row r="205" spans="1:10" x14ac:dyDescent="0.35">
      <c r="A205" s="4">
        <f t="shared" si="6"/>
        <v>12</v>
      </c>
      <c r="B205" s="34" t="s">
        <v>1362</v>
      </c>
      <c r="D205" s="226"/>
      <c r="E205" s="226"/>
      <c r="F205" s="226"/>
      <c r="G205" s="28">
        <f>IFERROR((((G199)+(G201/G202))*G203-(G200/G202))/(1-G203),0)</f>
        <v>0</v>
      </c>
      <c r="H205" s="28"/>
      <c r="I205" s="95" t="s">
        <v>1363</v>
      </c>
      <c r="J205" s="4">
        <f t="shared" si="7"/>
        <v>12</v>
      </c>
    </row>
    <row r="206" spans="1:10" x14ac:dyDescent="0.35">
      <c r="A206" s="4">
        <f t="shared" si="6"/>
        <v>13</v>
      </c>
      <c r="B206" s="257" t="s">
        <v>1323</v>
      </c>
      <c r="D206" s="257"/>
      <c r="G206" s="29"/>
      <c r="H206" s="29"/>
      <c r="J206" s="4">
        <f t="shared" si="7"/>
        <v>13</v>
      </c>
    </row>
    <row r="207" spans="1:10" x14ac:dyDescent="0.35">
      <c r="A207" s="4">
        <f t="shared" si="6"/>
        <v>14</v>
      </c>
      <c r="G207" s="4"/>
      <c r="H207" s="4"/>
      <c r="J207" s="4">
        <f t="shared" si="7"/>
        <v>14</v>
      </c>
    </row>
    <row r="208" spans="1:10" x14ac:dyDescent="0.35">
      <c r="A208" s="4">
        <f t="shared" si="6"/>
        <v>15</v>
      </c>
      <c r="B208" s="259" t="s">
        <v>1324</v>
      </c>
      <c r="C208" s="226"/>
      <c r="D208" s="226"/>
      <c r="E208" s="226"/>
      <c r="F208" s="226"/>
      <c r="G208" s="141"/>
      <c r="H208" s="141"/>
      <c r="I208" s="481"/>
      <c r="J208" s="4">
        <f t="shared" si="7"/>
        <v>15</v>
      </c>
    </row>
    <row r="209" spans="1:10" x14ac:dyDescent="0.35">
      <c r="A209" s="4">
        <f t="shared" si="6"/>
        <v>16</v>
      </c>
      <c r="B209" s="350"/>
      <c r="C209" s="226"/>
      <c r="D209" s="226"/>
      <c r="E209" s="226"/>
      <c r="F209" s="226"/>
      <c r="G209" s="141"/>
      <c r="H209" s="141"/>
      <c r="I209" s="478"/>
      <c r="J209" s="4">
        <f t="shared" si="7"/>
        <v>16</v>
      </c>
    </row>
    <row r="210" spans="1:10" x14ac:dyDescent="0.35">
      <c r="A210" s="4">
        <f t="shared" si="6"/>
        <v>17</v>
      </c>
      <c r="B210" s="35" t="s">
        <v>1309</v>
      </c>
      <c r="C210" s="226"/>
      <c r="D210" s="226"/>
      <c r="E210" s="226"/>
      <c r="F210" s="226"/>
      <c r="G210" s="141"/>
      <c r="H210" s="141"/>
      <c r="I210" s="478"/>
      <c r="J210" s="4">
        <f t="shared" si="7"/>
        <v>17</v>
      </c>
    </row>
    <row r="211" spans="1:10" x14ac:dyDescent="0.35">
      <c r="A211" s="4">
        <f t="shared" si="6"/>
        <v>18</v>
      </c>
      <c r="B211" s="34" t="s">
        <v>1310</v>
      </c>
      <c r="D211" s="226"/>
      <c r="E211" s="226"/>
      <c r="F211" s="226"/>
      <c r="G211" s="29">
        <f>G199</f>
        <v>0</v>
      </c>
      <c r="H211" s="29"/>
      <c r="I211" s="95" t="s">
        <v>1325</v>
      </c>
      <c r="J211" s="4">
        <f t="shared" si="7"/>
        <v>18</v>
      </c>
    </row>
    <row r="212" spans="1:10" x14ac:dyDescent="0.35">
      <c r="A212" s="4">
        <f t="shared" si="6"/>
        <v>19</v>
      </c>
      <c r="B212" s="34" t="s">
        <v>1326</v>
      </c>
      <c r="D212" s="226"/>
      <c r="E212" s="226"/>
      <c r="F212" s="226"/>
      <c r="G212" s="144">
        <v>0</v>
      </c>
      <c r="H212" s="29"/>
      <c r="I212" s="95" t="s">
        <v>1358</v>
      </c>
      <c r="J212" s="4">
        <f t="shared" si="7"/>
        <v>19</v>
      </c>
    </row>
    <row r="213" spans="1:10" x14ac:dyDescent="0.35">
      <c r="A213" s="4">
        <f t="shared" si="6"/>
        <v>20</v>
      </c>
      <c r="B213" s="34" t="s">
        <v>1314</v>
      </c>
      <c r="D213" s="226"/>
      <c r="E213" s="226"/>
      <c r="F213" s="226"/>
      <c r="G213" s="47">
        <f>G201</f>
        <v>0</v>
      </c>
      <c r="H213" s="47"/>
      <c r="I213" s="95" t="s">
        <v>1328</v>
      </c>
      <c r="J213" s="4">
        <f t="shared" si="7"/>
        <v>20</v>
      </c>
    </row>
    <row r="214" spans="1:10" x14ac:dyDescent="0.35">
      <c r="A214" s="4">
        <f t="shared" si="6"/>
        <v>21</v>
      </c>
      <c r="B214" s="34" t="s">
        <v>1359</v>
      </c>
      <c r="D214" s="226"/>
      <c r="E214" s="226"/>
      <c r="F214" s="226"/>
      <c r="G214" s="47">
        <f>G202</f>
        <v>0</v>
      </c>
      <c r="H214" s="47"/>
      <c r="I214" s="95" t="s">
        <v>1329</v>
      </c>
      <c r="J214" s="4">
        <f t="shared" si="7"/>
        <v>21</v>
      </c>
    </row>
    <row r="215" spans="1:10" x14ac:dyDescent="0.35">
      <c r="A215" s="4">
        <f t="shared" si="6"/>
        <v>22</v>
      </c>
      <c r="B215" s="34" t="s">
        <v>1330</v>
      </c>
      <c r="D215" s="226"/>
      <c r="E215" s="226"/>
      <c r="F215" s="226"/>
      <c r="G215" s="28">
        <f>G205</f>
        <v>0</v>
      </c>
      <c r="H215" s="28"/>
      <c r="I215" s="95" t="s">
        <v>1331</v>
      </c>
      <c r="J215" s="4">
        <f t="shared" si="7"/>
        <v>22</v>
      </c>
    </row>
    <row r="216" spans="1:10" x14ac:dyDescent="0.35">
      <c r="A216" s="4">
        <f t="shared" si="6"/>
        <v>23</v>
      </c>
      <c r="B216" s="34" t="s">
        <v>1332</v>
      </c>
      <c r="D216" s="226"/>
      <c r="E216" s="226"/>
      <c r="F216" s="226"/>
      <c r="G216" s="986" t="str">
        <f>G139</f>
        <v>8.84%</v>
      </c>
      <c r="H216" s="226"/>
      <c r="I216" s="95" t="s">
        <v>1364</v>
      </c>
      <c r="J216" s="4">
        <f t="shared" si="7"/>
        <v>23</v>
      </c>
    </row>
    <row r="217" spans="1:10" x14ac:dyDescent="0.35">
      <c r="A217" s="4">
        <f t="shared" si="6"/>
        <v>24</v>
      </c>
      <c r="B217" s="1"/>
      <c r="D217" s="226"/>
      <c r="E217" s="226"/>
      <c r="F217" s="226"/>
      <c r="G217" s="142"/>
      <c r="H217" s="142"/>
      <c r="I217" s="483"/>
      <c r="J217" s="4">
        <f t="shared" si="7"/>
        <v>24</v>
      </c>
    </row>
    <row r="218" spans="1:10" x14ac:dyDescent="0.35">
      <c r="A218" s="4">
        <f t="shared" si="6"/>
        <v>25</v>
      </c>
      <c r="B218" s="34" t="s">
        <v>1335</v>
      </c>
      <c r="C218" s="4"/>
      <c r="D218" s="4"/>
      <c r="E218" s="226"/>
      <c r="F218" s="226"/>
      <c r="G218" s="1124">
        <f>IFERROR((((G211)+(G213/G214)+G205)*G216-(G212/G214))/(1-G216),0)</f>
        <v>0</v>
      </c>
      <c r="H218" s="28"/>
      <c r="I218" s="95" t="s">
        <v>1336</v>
      </c>
      <c r="J218" s="4">
        <f t="shared" si="7"/>
        <v>25</v>
      </c>
    </row>
    <row r="219" spans="1:10" x14ac:dyDescent="0.35">
      <c r="A219" s="4">
        <f t="shared" si="6"/>
        <v>26</v>
      </c>
      <c r="B219" s="257" t="s">
        <v>1337</v>
      </c>
      <c r="D219" s="257"/>
      <c r="G219" s="4"/>
      <c r="H219" s="4"/>
      <c r="I219" s="95"/>
      <c r="J219" s="4">
        <f t="shared" si="7"/>
        <v>26</v>
      </c>
    </row>
    <row r="220" spans="1:10" x14ac:dyDescent="0.35">
      <c r="A220" s="4">
        <f t="shared" si="6"/>
        <v>27</v>
      </c>
      <c r="G220" s="4"/>
      <c r="H220" s="4"/>
      <c r="I220" s="95"/>
      <c r="J220" s="4">
        <f t="shared" si="7"/>
        <v>27</v>
      </c>
    </row>
    <row r="221" spans="1:10" x14ac:dyDescent="0.35">
      <c r="A221" s="4">
        <f t="shared" si="6"/>
        <v>28</v>
      </c>
      <c r="B221" s="259" t="s">
        <v>1338</v>
      </c>
      <c r="G221" s="28">
        <f>G218+G205</f>
        <v>0</v>
      </c>
      <c r="H221" s="28"/>
      <c r="I221" s="95" t="s">
        <v>1339</v>
      </c>
      <c r="J221" s="4">
        <f t="shared" si="7"/>
        <v>28</v>
      </c>
    </row>
    <row r="222" spans="1:10" x14ac:dyDescent="0.35">
      <c r="A222" s="4">
        <f t="shared" si="6"/>
        <v>29</v>
      </c>
      <c r="G222" s="4"/>
      <c r="H222" s="4"/>
      <c r="I222" s="95"/>
      <c r="J222" s="4">
        <f t="shared" si="7"/>
        <v>29</v>
      </c>
    </row>
    <row r="223" spans="1:10" x14ac:dyDescent="0.35">
      <c r="A223" s="4">
        <f t="shared" si="6"/>
        <v>30</v>
      </c>
      <c r="B223" s="259" t="s">
        <v>1365</v>
      </c>
      <c r="G223" s="914">
        <f>G87</f>
        <v>1.6900735952303427E-2</v>
      </c>
      <c r="H223" s="226"/>
      <c r="I223" s="95" t="s">
        <v>1366</v>
      </c>
      <c r="J223" s="4">
        <f t="shared" si="7"/>
        <v>30</v>
      </c>
    </row>
    <row r="224" spans="1:10" x14ac:dyDescent="0.35">
      <c r="A224" s="4">
        <f t="shared" si="6"/>
        <v>31</v>
      </c>
      <c r="G224" s="4"/>
      <c r="H224" s="4"/>
      <c r="I224" s="95"/>
      <c r="J224" s="4">
        <f t="shared" si="7"/>
        <v>31</v>
      </c>
    </row>
    <row r="225" spans="1:10" ht="18" thickBot="1" x14ac:dyDescent="0.4">
      <c r="A225" s="4">
        <f t="shared" si="6"/>
        <v>32</v>
      </c>
      <c r="B225" s="259" t="s">
        <v>1367</v>
      </c>
      <c r="G225" s="143">
        <f>G221+G223</f>
        <v>1.6900735952303427E-2</v>
      </c>
      <c r="H225" s="28"/>
      <c r="I225" s="95" t="s">
        <v>1343</v>
      </c>
      <c r="J225" s="4">
        <f t="shared" si="7"/>
        <v>32</v>
      </c>
    </row>
    <row r="226" spans="1:10" ht="16.5" thickTop="1" thickBot="1" x14ac:dyDescent="0.4">
      <c r="A226" s="889">
        <f t="shared" si="6"/>
        <v>33</v>
      </c>
      <c r="B226" s="890"/>
      <c r="C226" s="891"/>
      <c r="D226" s="891"/>
      <c r="E226" s="891"/>
      <c r="F226" s="891"/>
      <c r="G226" s="909"/>
      <c r="H226" s="909"/>
      <c r="I226" s="893"/>
      <c r="J226" s="889">
        <f t="shared" si="7"/>
        <v>33</v>
      </c>
    </row>
    <row r="227" spans="1:10" x14ac:dyDescent="0.35">
      <c r="A227" s="4">
        <f t="shared" si="6"/>
        <v>34</v>
      </c>
      <c r="B227" s="259"/>
      <c r="G227" s="28"/>
      <c r="H227" s="28"/>
      <c r="I227" s="95"/>
      <c r="J227" s="4">
        <f t="shared" si="7"/>
        <v>34</v>
      </c>
    </row>
    <row r="228" spans="1:10" ht="17.5" x14ac:dyDescent="0.35">
      <c r="A228" s="4">
        <f t="shared" si="6"/>
        <v>35</v>
      </c>
      <c r="B228" s="259" t="s">
        <v>1344</v>
      </c>
      <c r="E228" s="226"/>
      <c r="F228" s="226"/>
      <c r="G228" s="44"/>
      <c r="H228" s="44"/>
      <c r="I228" s="95"/>
      <c r="J228" s="4">
        <f t="shared" si="7"/>
        <v>35</v>
      </c>
    </row>
    <row r="229" spans="1:10" x14ac:dyDescent="0.35">
      <c r="A229" s="4">
        <f t="shared" si="6"/>
        <v>36</v>
      </c>
      <c r="B229" s="36"/>
      <c r="E229" s="226"/>
      <c r="F229" s="226"/>
      <c r="G229" s="44"/>
      <c r="H229" s="44"/>
      <c r="I229" s="95"/>
      <c r="J229" s="4">
        <f t="shared" si="7"/>
        <v>36</v>
      </c>
    </row>
    <row r="230" spans="1:10" x14ac:dyDescent="0.35">
      <c r="A230" s="4">
        <f t="shared" si="6"/>
        <v>37</v>
      </c>
      <c r="B230" s="259" t="s">
        <v>1308</v>
      </c>
      <c r="E230" s="226"/>
      <c r="F230" s="226"/>
      <c r="G230" s="44"/>
      <c r="H230" s="44"/>
      <c r="I230" s="95"/>
      <c r="J230" s="4">
        <f t="shared" si="7"/>
        <v>37</v>
      </c>
    </row>
    <row r="231" spans="1:10" x14ac:dyDescent="0.35">
      <c r="A231" s="4">
        <f t="shared" si="6"/>
        <v>38</v>
      </c>
      <c r="B231" s="226"/>
      <c r="C231" s="226"/>
      <c r="D231" s="226"/>
      <c r="E231" s="226"/>
      <c r="F231" s="226"/>
      <c r="G231" s="44"/>
      <c r="H231" s="44"/>
      <c r="I231" s="95"/>
      <c r="J231" s="4">
        <f t="shared" si="7"/>
        <v>38</v>
      </c>
    </row>
    <row r="232" spans="1:10" x14ac:dyDescent="0.35">
      <c r="A232" s="4">
        <f t="shared" si="6"/>
        <v>39</v>
      </c>
      <c r="B232" s="35" t="s">
        <v>1309</v>
      </c>
      <c r="C232" s="226"/>
      <c r="D232" s="226"/>
      <c r="E232" s="226"/>
      <c r="F232" s="226"/>
      <c r="G232" s="44"/>
      <c r="H232" s="44"/>
      <c r="I232" s="478"/>
      <c r="J232" s="4">
        <f t="shared" si="7"/>
        <v>39</v>
      </c>
    </row>
    <row r="233" spans="1:10" x14ac:dyDescent="0.35">
      <c r="A233" s="4">
        <f t="shared" si="6"/>
        <v>40</v>
      </c>
      <c r="B233" s="34" t="s">
        <v>1345</v>
      </c>
      <c r="D233" s="226"/>
      <c r="E233" s="226"/>
      <c r="F233" s="226"/>
      <c r="G233" s="140">
        <f>G102</f>
        <v>0</v>
      </c>
      <c r="H233" s="226"/>
      <c r="I233" s="95" t="s">
        <v>1368</v>
      </c>
      <c r="J233" s="4">
        <f t="shared" si="7"/>
        <v>40</v>
      </c>
    </row>
    <row r="234" spans="1:10" x14ac:dyDescent="0.35">
      <c r="A234" s="4">
        <f t="shared" si="6"/>
        <v>41</v>
      </c>
      <c r="B234" s="34" t="s">
        <v>1312</v>
      </c>
      <c r="D234" s="226"/>
      <c r="E234" s="226"/>
      <c r="F234" s="226"/>
      <c r="G234" s="144">
        <v>0</v>
      </c>
      <c r="H234" s="226"/>
      <c r="I234" s="95" t="s">
        <v>1358</v>
      </c>
      <c r="J234" s="4">
        <f t="shared" si="7"/>
        <v>41</v>
      </c>
    </row>
    <row r="235" spans="1:10" x14ac:dyDescent="0.35">
      <c r="A235" s="4">
        <f t="shared" si="6"/>
        <v>42</v>
      </c>
      <c r="B235" s="34" t="s">
        <v>1314</v>
      </c>
      <c r="D235" s="226"/>
      <c r="E235" s="226"/>
      <c r="F235" s="226"/>
      <c r="G235" s="115">
        <v>0</v>
      </c>
      <c r="H235" s="226"/>
      <c r="I235" s="434"/>
      <c r="J235" s="4">
        <f t="shared" si="7"/>
        <v>42</v>
      </c>
    </row>
    <row r="236" spans="1:10" x14ac:dyDescent="0.35">
      <c r="A236" s="4">
        <f t="shared" si="6"/>
        <v>43</v>
      </c>
      <c r="B236" s="34" t="s">
        <v>1359</v>
      </c>
      <c r="D236" s="226"/>
      <c r="E236" s="226"/>
      <c r="F236" s="226"/>
      <c r="G236" s="24">
        <f>'BK-1 Retail TRR'!E141</f>
        <v>0</v>
      </c>
      <c r="H236" s="226"/>
      <c r="I236" s="95" t="s">
        <v>1360</v>
      </c>
      <c r="J236" s="4">
        <f t="shared" si="7"/>
        <v>43</v>
      </c>
    </row>
    <row r="237" spans="1:10" x14ac:dyDescent="0.35">
      <c r="A237" s="4">
        <f t="shared" si="6"/>
        <v>44</v>
      </c>
      <c r="B237" s="34" t="s">
        <v>1318</v>
      </c>
      <c r="D237" s="226"/>
      <c r="E237" s="226"/>
      <c r="F237" s="226"/>
      <c r="G237" s="1125" t="str">
        <f>G160</f>
        <v>21%</v>
      </c>
      <c r="H237" s="226"/>
      <c r="I237" s="95" t="s">
        <v>1369</v>
      </c>
      <c r="J237" s="4">
        <f t="shared" si="7"/>
        <v>44</v>
      </c>
    </row>
    <row r="238" spans="1:10" x14ac:dyDescent="0.35">
      <c r="A238" s="4">
        <f t="shared" si="6"/>
        <v>45</v>
      </c>
      <c r="G238" s="4"/>
      <c r="H238" s="4"/>
      <c r="J238" s="4">
        <f t="shared" si="7"/>
        <v>45</v>
      </c>
    </row>
    <row r="239" spans="1:10" x14ac:dyDescent="0.35">
      <c r="A239" s="4">
        <f t="shared" si="6"/>
        <v>46</v>
      </c>
      <c r="B239" s="34" t="s">
        <v>1321</v>
      </c>
      <c r="D239" s="226"/>
      <c r="E239" s="226"/>
      <c r="F239" s="226"/>
      <c r="G239" s="28">
        <f>IFERROR((((G233)+(G235/G236))*G237-(G234/G236))/(1-G237),0)</f>
        <v>0</v>
      </c>
      <c r="H239" s="28"/>
      <c r="I239" s="95" t="s">
        <v>1363</v>
      </c>
      <c r="J239" s="4">
        <f t="shared" si="7"/>
        <v>46</v>
      </c>
    </row>
    <row r="240" spans="1:10" x14ac:dyDescent="0.35">
      <c r="A240" s="4">
        <f t="shared" si="6"/>
        <v>47</v>
      </c>
      <c r="B240" s="257" t="s">
        <v>1323</v>
      </c>
      <c r="D240" s="257"/>
      <c r="G240" s="29"/>
      <c r="H240" s="29"/>
      <c r="J240" s="4">
        <f t="shared" si="7"/>
        <v>47</v>
      </c>
    </row>
    <row r="241" spans="1:10" x14ac:dyDescent="0.35">
      <c r="A241" s="4">
        <f t="shared" si="6"/>
        <v>48</v>
      </c>
      <c r="G241" s="4"/>
      <c r="H241" s="4"/>
      <c r="J241" s="4">
        <f t="shared" si="7"/>
        <v>48</v>
      </c>
    </row>
    <row r="242" spans="1:10" x14ac:dyDescent="0.35">
      <c r="A242" s="4">
        <f t="shared" si="6"/>
        <v>49</v>
      </c>
      <c r="B242" s="259" t="s">
        <v>1324</v>
      </c>
      <c r="C242" s="226"/>
      <c r="D242" s="226"/>
      <c r="E242" s="226"/>
      <c r="F242" s="226"/>
      <c r="G242" s="141"/>
      <c r="H242" s="141"/>
      <c r="I242" s="481"/>
      <c r="J242" s="4">
        <f t="shared" si="7"/>
        <v>49</v>
      </c>
    </row>
    <row r="243" spans="1:10" x14ac:dyDescent="0.35">
      <c r="A243" s="4">
        <f t="shared" si="6"/>
        <v>50</v>
      </c>
      <c r="B243" s="350"/>
      <c r="C243" s="226"/>
      <c r="D243" s="226"/>
      <c r="E243" s="226"/>
      <c r="F243" s="226"/>
      <c r="G243" s="141"/>
      <c r="H243" s="141"/>
      <c r="I243" s="478"/>
      <c r="J243" s="4">
        <f t="shared" si="7"/>
        <v>50</v>
      </c>
    </row>
    <row r="244" spans="1:10" x14ac:dyDescent="0.35">
      <c r="A244" s="4">
        <f t="shared" si="6"/>
        <v>51</v>
      </c>
      <c r="B244" s="35" t="s">
        <v>1309</v>
      </c>
      <c r="C244" s="226"/>
      <c r="D244" s="226"/>
      <c r="E244" s="226"/>
      <c r="F244" s="226"/>
      <c r="G244" s="141"/>
      <c r="H244" s="141"/>
      <c r="I244" s="478"/>
      <c r="J244" s="4">
        <f t="shared" si="7"/>
        <v>51</v>
      </c>
    </row>
    <row r="245" spans="1:10" x14ac:dyDescent="0.35">
      <c r="A245" s="4">
        <f t="shared" si="6"/>
        <v>52</v>
      </c>
      <c r="B245" s="34" t="s">
        <v>1345</v>
      </c>
      <c r="D245" s="226"/>
      <c r="E245" s="226"/>
      <c r="F245" s="226"/>
      <c r="G245" s="29">
        <f>G233</f>
        <v>0</v>
      </c>
      <c r="H245" s="29"/>
      <c r="I245" s="95" t="s">
        <v>1347</v>
      </c>
      <c r="J245" s="4">
        <f t="shared" si="7"/>
        <v>52</v>
      </c>
    </row>
    <row r="246" spans="1:10" x14ac:dyDescent="0.35">
      <c r="A246" s="4">
        <f t="shared" si="6"/>
        <v>53</v>
      </c>
      <c r="B246" s="34" t="s">
        <v>1326</v>
      </c>
      <c r="D246" s="226"/>
      <c r="E246" s="226"/>
      <c r="F246" s="226"/>
      <c r="G246" s="144">
        <v>0</v>
      </c>
      <c r="H246" s="29"/>
      <c r="I246" s="95" t="s">
        <v>1358</v>
      </c>
      <c r="J246" s="4">
        <f t="shared" si="7"/>
        <v>53</v>
      </c>
    </row>
    <row r="247" spans="1:10" x14ac:dyDescent="0.35">
      <c r="A247" s="4">
        <f t="shared" si="6"/>
        <v>54</v>
      </c>
      <c r="B247" s="34" t="s">
        <v>1314</v>
      </c>
      <c r="D247" s="226"/>
      <c r="E247" s="226"/>
      <c r="F247" s="226"/>
      <c r="G247" s="47">
        <f>G235</f>
        <v>0</v>
      </c>
      <c r="H247" s="47"/>
      <c r="I247" s="95" t="s">
        <v>1348</v>
      </c>
      <c r="J247" s="4">
        <f t="shared" si="7"/>
        <v>54</v>
      </c>
    </row>
    <row r="248" spans="1:10" x14ac:dyDescent="0.35">
      <c r="A248" s="4">
        <f t="shared" si="6"/>
        <v>55</v>
      </c>
      <c r="B248" s="34" t="s">
        <v>1359</v>
      </c>
      <c r="D248" s="226"/>
      <c r="E248" s="226"/>
      <c r="F248" s="226"/>
      <c r="G248" s="47">
        <f>G236</f>
        <v>0</v>
      </c>
      <c r="H248" s="47"/>
      <c r="I248" s="95" t="s">
        <v>1349</v>
      </c>
      <c r="J248" s="4">
        <f t="shared" si="7"/>
        <v>55</v>
      </c>
    </row>
    <row r="249" spans="1:10" x14ac:dyDescent="0.35">
      <c r="A249" s="4">
        <f t="shared" si="6"/>
        <v>56</v>
      </c>
      <c r="B249" s="34" t="s">
        <v>1330</v>
      </c>
      <c r="D249" s="226"/>
      <c r="E249" s="226"/>
      <c r="F249" s="226"/>
      <c r="G249" s="28">
        <f>G239</f>
        <v>0</v>
      </c>
      <c r="H249" s="28"/>
      <c r="I249" s="95" t="s">
        <v>1350</v>
      </c>
      <c r="J249" s="4">
        <f t="shared" si="7"/>
        <v>56</v>
      </c>
    </row>
    <row r="250" spans="1:10" x14ac:dyDescent="0.35">
      <c r="A250" s="4">
        <f t="shared" si="6"/>
        <v>57</v>
      </c>
      <c r="B250" s="34" t="s">
        <v>1332</v>
      </c>
      <c r="D250" s="226"/>
      <c r="E250" s="226"/>
      <c r="F250" s="226"/>
      <c r="G250" s="986" t="str">
        <f>G173</f>
        <v>8.84%</v>
      </c>
      <c r="H250" s="226"/>
      <c r="I250" s="95" t="s">
        <v>1370</v>
      </c>
      <c r="J250" s="4">
        <f t="shared" si="7"/>
        <v>57</v>
      </c>
    </row>
    <row r="251" spans="1:10" x14ac:dyDescent="0.35">
      <c r="A251" s="4">
        <f t="shared" si="6"/>
        <v>58</v>
      </c>
      <c r="B251" s="1"/>
      <c r="D251" s="226"/>
      <c r="E251" s="226"/>
      <c r="F251" s="226"/>
      <c r="G251" s="142"/>
      <c r="H251" s="142"/>
      <c r="I251" s="483"/>
      <c r="J251" s="4">
        <f t="shared" si="7"/>
        <v>58</v>
      </c>
    </row>
    <row r="252" spans="1:10" x14ac:dyDescent="0.35">
      <c r="A252" s="4">
        <f t="shared" si="6"/>
        <v>59</v>
      </c>
      <c r="B252" s="34" t="s">
        <v>1335</v>
      </c>
      <c r="C252" s="4"/>
      <c r="D252" s="4"/>
      <c r="E252" s="226"/>
      <c r="F252" s="226"/>
      <c r="G252" s="1124">
        <f>IFERROR((((G245)+(G247/G248)+G239)*G250-(G246/G248))/(1-G250),0)</f>
        <v>0</v>
      </c>
      <c r="H252" s="28"/>
      <c r="I252" s="95" t="s">
        <v>1336</v>
      </c>
      <c r="J252" s="4">
        <f t="shared" si="7"/>
        <v>59</v>
      </c>
    </row>
    <row r="253" spans="1:10" x14ac:dyDescent="0.35">
      <c r="A253" s="4">
        <f t="shared" si="6"/>
        <v>60</v>
      </c>
      <c r="B253" s="257" t="s">
        <v>1337</v>
      </c>
      <c r="D253" s="257"/>
      <c r="G253" s="4"/>
      <c r="H253" s="4"/>
      <c r="I253" s="95"/>
      <c r="J253" s="4">
        <f t="shared" si="7"/>
        <v>60</v>
      </c>
    </row>
    <row r="254" spans="1:10" x14ac:dyDescent="0.35">
      <c r="A254" s="4">
        <f t="shared" si="6"/>
        <v>61</v>
      </c>
      <c r="G254" s="4"/>
      <c r="H254" s="4"/>
      <c r="I254" s="95"/>
      <c r="J254" s="4">
        <f t="shared" si="7"/>
        <v>61</v>
      </c>
    </row>
    <row r="255" spans="1:10" x14ac:dyDescent="0.35">
      <c r="A255" s="4">
        <f t="shared" si="6"/>
        <v>62</v>
      </c>
      <c r="B255" s="259" t="s">
        <v>1338</v>
      </c>
      <c r="G255" s="28">
        <f>G252+G239</f>
        <v>0</v>
      </c>
      <c r="H255" s="28"/>
      <c r="I255" s="95" t="s">
        <v>1351</v>
      </c>
      <c r="J255" s="4">
        <f t="shared" si="7"/>
        <v>62</v>
      </c>
    </row>
    <row r="256" spans="1:10" x14ac:dyDescent="0.35">
      <c r="A256" s="4">
        <f t="shared" si="6"/>
        <v>63</v>
      </c>
      <c r="G256" s="4"/>
      <c r="H256" s="4"/>
      <c r="I256" s="95"/>
      <c r="J256" s="4">
        <f t="shared" si="7"/>
        <v>63</v>
      </c>
    </row>
    <row r="257" spans="1:10" x14ac:dyDescent="0.35">
      <c r="A257" s="4">
        <f t="shared" si="6"/>
        <v>64</v>
      </c>
      <c r="B257" s="259" t="s">
        <v>1352</v>
      </c>
      <c r="G257" s="914">
        <f>G100</f>
        <v>0</v>
      </c>
      <c r="H257" s="226"/>
      <c r="I257" s="95" t="s">
        <v>1371</v>
      </c>
      <c r="J257" s="4">
        <f t="shared" si="7"/>
        <v>64</v>
      </c>
    </row>
    <row r="258" spans="1:10" x14ac:dyDescent="0.35">
      <c r="A258" s="4">
        <f t="shared" si="6"/>
        <v>65</v>
      </c>
      <c r="G258" s="4"/>
      <c r="H258" s="4"/>
      <c r="I258" s="95"/>
      <c r="J258" s="4">
        <f t="shared" si="7"/>
        <v>65</v>
      </c>
    </row>
    <row r="259" spans="1:10" ht="18" thickBot="1" x14ac:dyDescent="0.4">
      <c r="A259" s="4">
        <f t="shared" si="6"/>
        <v>66</v>
      </c>
      <c r="B259" s="259" t="s">
        <v>1354</v>
      </c>
      <c r="G259" s="143">
        <f>G255+G257</f>
        <v>0</v>
      </c>
      <c r="H259" s="28"/>
      <c r="I259" s="95" t="s">
        <v>1355</v>
      </c>
      <c r="J259" s="4">
        <f t="shared" si="7"/>
        <v>66</v>
      </c>
    </row>
    <row r="260" spans="1:10" ht="16" thickTop="1" x14ac:dyDescent="0.35"/>
    <row r="261" spans="1:10" ht="18" x14ac:dyDescent="0.35">
      <c r="A261" s="276">
        <v>1</v>
      </c>
      <c r="B261" s="34" t="s">
        <v>1372</v>
      </c>
    </row>
    <row r="263" spans="1:10" ht="18" x14ac:dyDescent="0.35">
      <c r="A263" s="276"/>
    </row>
  </sheetData>
  <mergeCells count="20">
    <mergeCell ref="B187:I187"/>
    <mergeCell ref="B188:I188"/>
    <mergeCell ref="B189:I189"/>
    <mergeCell ref="B109:I109"/>
    <mergeCell ref="B110:I110"/>
    <mergeCell ref="B111:I111"/>
    <mergeCell ref="B112:I112"/>
    <mergeCell ref="B185:I185"/>
    <mergeCell ref="B186:I186"/>
    <mergeCell ref="B108:I108"/>
    <mergeCell ref="B2:I2"/>
    <mergeCell ref="B3:I3"/>
    <mergeCell ref="B4:I4"/>
    <mergeCell ref="B5:I5"/>
    <mergeCell ref="B6:I6"/>
    <mergeCell ref="B70:I70"/>
    <mergeCell ref="B71:I71"/>
    <mergeCell ref="B72:I72"/>
    <mergeCell ref="B73:I73"/>
    <mergeCell ref="B74:I74"/>
  </mergeCells>
  <printOptions horizontalCentered="1"/>
  <pageMargins left="0.5" right="0.5" top="0.5" bottom="0.5" header="0.25" footer="0.25"/>
  <pageSetup scale="55" fitToHeight="0" orientation="portrait" r:id="rId1"/>
  <headerFooter scaleWithDoc="0">
    <oddFooter>&amp;C&amp;"Times New Roman,Regular"&amp;10AV
Page &amp;P of 4</oddFooter>
    <evenFooter>&amp;C&amp;"Times New Roman,Regular"&amp;10AV3</evenFooter>
    <firstFooter>&amp;C&amp;"Times New Roman,Regular"&amp;10AV&amp;P</firstFooter>
  </headerFooter>
  <rowBreaks count="3" manualBreakCount="3">
    <brk id="68" max="9" man="1"/>
    <brk id="106" max="9" man="1"/>
    <brk id="183" max="9" man="1"/>
  </rowBreaks>
  <customProperties>
    <customPr name="_pios_id" r:id="rId2"/>
  </customProperties>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2:D69"/>
  <sheetViews>
    <sheetView zoomScale="80" zoomScaleNormal="80" workbookViewId="0"/>
  </sheetViews>
  <sheetFormatPr defaultColWidth="8.90625" defaultRowHeight="15.5" x14ac:dyDescent="0.35"/>
  <cols>
    <col min="1" max="1" width="5.08984375" style="351" customWidth="1"/>
    <col min="2" max="2" width="42.54296875" style="5" customWidth="1"/>
    <col min="3" max="3" width="35.90625" style="5" customWidth="1"/>
    <col min="4" max="4" width="5.08984375" style="351" customWidth="1"/>
    <col min="5" max="16384" width="8.90625" style="5"/>
  </cols>
  <sheetData>
    <row r="2" spans="1:4" ht="15.75" customHeight="1" x14ac:dyDescent="0.35">
      <c r="B2" s="1171" t="s">
        <v>1373</v>
      </c>
      <c r="C2" s="1171"/>
    </row>
    <row r="3" spans="1:4" ht="15.75" customHeight="1" x14ac:dyDescent="0.35">
      <c r="B3" s="1171" t="s">
        <v>1374</v>
      </c>
      <c r="C3" s="1171"/>
    </row>
    <row r="4" spans="1:4" ht="15.75" customHeight="1" x14ac:dyDescent="0.35">
      <c r="B4" s="1174" t="s">
        <v>1375</v>
      </c>
      <c r="C4" s="1174"/>
    </row>
    <row r="5" spans="1:4" x14ac:dyDescent="0.35">
      <c r="B5" s="1174" t="s">
        <v>1376</v>
      </c>
      <c r="C5" s="1174"/>
    </row>
    <row r="6" spans="1:4" ht="15.75" customHeight="1" x14ac:dyDescent="0.35">
      <c r="B6" s="1174" t="s">
        <v>662</v>
      </c>
      <c r="C6" s="1174"/>
    </row>
    <row r="7" spans="1:4" ht="17.399999999999999" customHeight="1" x14ac:dyDescent="0.35">
      <c r="B7" s="1200">
        <v>-1000</v>
      </c>
      <c r="C7" s="1200"/>
      <c r="D7" s="49"/>
    </row>
    <row r="8" spans="1:4" ht="17.399999999999999" customHeight="1" thickBot="1" x14ac:dyDescent="0.4">
      <c r="B8" s="430"/>
      <c r="C8" s="430"/>
      <c r="D8" s="49"/>
    </row>
    <row r="9" spans="1:4" ht="17.399999999999999" customHeight="1" x14ac:dyDescent="0.35">
      <c r="B9" s="605"/>
      <c r="C9" s="607" t="s">
        <v>1377</v>
      </c>
      <c r="D9" s="49"/>
    </row>
    <row r="10" spans="1:4" ht="17.399999999999999" customHeight="1" x14ac:dyDescent="0.35">
      <c r="A10" s="49" t="s">
        <v>6</v>
      </c>
      <c r="B10" s="606"/>
      <c r="C10" s="608" t="s">
        <v>1378</v>
      </c>
      <c r="D10" s="49" t="s">
        <v>6</v>
      </c>
    </row>
    <row r="11" spans="1:4" ht="18.5" thickBot="1" x14ac:dyDescent="0.4">
      <c r="A11" s="488" t="s">
        <v>7</v>
      </c>
      <c r="B11" s="603" t="s">
        <v>1379</v>
      </c>
      <c r="C11" s="604" t="s">
        <v>1380</v>
      </c>
      <c r="D11" s="488" t="s">
        <v>7</v>
      </c>
    </row>
    <row r="12" spans="1:4" x14ac:dyDescent="0.35">
      <c r="A12" s="488"/>
      <c r="B12" s="489"/>
      <c r="C12" s="490"/>
      <c r="D12" s="488"/>
    </row>
    <row r="13" spans="1:4" x14ac:dyDescent="0.35">
      <c r="A13" s="351">
        <v>1</v>
      </c>
      <c r="B13" s="491">
        <v>2001</v>
      </c>
      <c r="C13" s="613">
        <v>65.810519999999968</v>
      </c>
      <c r="D13" s="351">
        <f>A13</f>
        <v>1</v>
      </c>
    </row>
    <row r="14" spans="1:4" x14ac:dyDescent="0.35">
      <c r="A14" s="351">
        <f>A13+1</f>
        <v>2</v>
      </c>
      <c r="B14" s="491"/>
      <c r="C14" s="592"/>
      <c r="D14" s="351">
        <f>D13+1</f>
        <v>2</v>
      </c>
    </row>
    <row r="15" spans="1:4" x14ac:dyDescent="0.35">
      <c r="A15" s="351">
        <f t="shared" ref="A15:A64" si="0">A14+1</f>
        <v>3</v>
      </c>
      <c r="B15" s="491">
        <v>2002</v>
      </c>
      <c r="C15" s="593">
        <v>7.111749999999998</v>
      </c>
      <c r="D15" s="351">
        <f t="shared" ref="D15:D64" si="1">D14+1</f>
        <v>3</v>
      </c>
    </row>
    <row r="16" spans="1:4" x14ac:dyDescent="0.35">
      <c r="A16" s="351">
        <f t="shared" si="0"/>
        <v>4</v>
      </c>
      <c r="B16" s="491"/>
      <c r="C16" s="593"/>
      <c r="D16" s="351">
        <f t="shared" si="1"/>
        <v>4</v>
      </c>
    </row>
    <row r="17" spans="1:4" ht="16" thickBot="1" x14ac:dyDescent="0.4">
      <c r="A17" s="351">
        <f t="shared" si="0"/>
        <v>5</v>
      </c>
      <c r="B17" s="684">
        <v>2003</v>
      </c>
      <c r="C17" s="191">
        <v>34.298859999999998</v>
      </c>
      <c r="D17" s="351">
        <f t="shared" si="1"/>
        <v>5</v>
      </c>
    </row>
    <row r="18" spans="1:4" x14ac:dyDescent="0.35">
      <c r="A18" s="351">
        <f t="shared" si="0"/>
        <v>6</v>
      </c>
      <c r="B18" s="492"/>
      <c r="C18" s="131"/>
      <c r="D18" s="351">
        <f t="shared" si="1"/>
        <v>6</v>
      </c>
    </row>
    <row r="19" spans="1:4" x14ac:dyDescent="0.35">
      <c r="A19" s="351">
        <f t="shared" si="0"/>
        <v>7</v>
      </c>
      <c r="B19" s="491">
        <v>2004</v>
      </c>
      <c r="C19" s="593">
        <v>44.722540000000002</v>
      </c>
      <c r="D19" s="351">
        <f t="shared" si="1"/>
        <v>7</v>
      </c>
    </row>
    <row r="20" spans="1:4" x14ac:dyDescent="0.35">
      <c r="A20" s="351">
        <f t="shared" si="0"/>
        <v>8</v>
      </c>
      <c r="B20" s="491"/>
      <c r="C20" s="593"/>
      <c r="D20" s="351">
        <f t="shared" si="1"/>
        <v>8</v>
      </c>
    </row>
    <row r="21" spans="1:4" x14ac:dyDescent="0.35">
      <c r="A21" s="351">
        <f t="shared" si="0"/>
        <v>9</v>
      </c>
      <c r="B21" s="491">
        <v>2005</v>
      </c>
      <c r="C21" s="593">
        <v>61.974159999999998</v>
      </c>
      <c r="D21" s="351">
        <f t="shared" si="1"/>
        <v>9</v>
      </c>
    </row>
    <row r="22" spans="1:4" x14ac:dyDescent="0.35">
      <c r="A22" s="351">
        <f t="shared" si="0"/>
        <v>10</v>
      </c>
      <c r="B22" s="491"/>
      <c r="C22" s="593"/>
      <c r="D22" s="351">
        <f t="shared" si="1"/>
        <v>10</v>
      </c>
    </row>
    <row r="23" spans="1:4" ht="16" thickBot="1" x14ac:dyDescent="0.4">
      <c r="A23" s="351">
        <f t="shared" si="0"/>
        <v>11</v>
      </c>
      <c r="B23" s="684">
        <v>2006</v>
      </c>
      <c r="C23" s="593">
        <v>113.58306999999999</v>
      </c>
      <c r="D23" s="351">
        <f t="shared" si="1"/>
        <v>11</v>
      </c>
    </row>
    <row r="24" spans="1:4" x14ac:dyDescent="0.35">
      <c r="A24" s="351">
        <f t="shared" si="0"/>
        <v>12</v>
      </c>
      <c r="B24" s="492"/>
      <c r="C24" s="131"/>
      <c r="D24" s="351">
        <f t="shared" si="1"/>
        <v>12</v>
      </c>
    </row>
    <row r="25" spans="1:4" x14ac:dyDescent="0.35">
      <c r="A25" s="351">
        <f t="shared" si="0"/>
        <v>13</v>
      </c>
      <c r="B25" s="534">
        <v>2007</v>
      </c>
      <c r="C25" s="593">
        <v>362.58635000000032</v>
      </c>
      <c r="D25" s="351">
        <f t="shared" si="1"/>
        <v>13</v>
      </c>
    </row>
    <row r="26" spans="1:4" x14ac:dyDescent="0.35">
      <c r="A26" s="351">
        <f t="shared" si="0"/>
        <v>14</v>
      </c>
      <c r="B26" s="491"/>
      <c r="C26" s="593"/>
      <c r="D26" s="351">
        <f t="shared" si="1"/>
        <v>14</v>
      </c>
    </row>
    <row r="27" spans="1:4" x14ac:dyDescent="0.35">
      <c r="A27" s="351">
        <f t="shared" si="0"/>
        <v>15</v>
      </c>
      <c r="B27" s="491">
        <v>2008</v>
      </c>
      <c r="C27" s="593">
        <v>355.21767999999975</v>
      </c>
      <c r="D27" s="351">
        <f t="shared" si="1"/>
        <v>15</v>
      </c>
    </row>
    <row r="28" spans="1:4" x14ac:dyDescent="0.35">
      <c r="A28" s="351">
        <f t="shared" si="0"/>
        <v>16</v>
      </c>
      <c r="B28" s="491"/>
      <c r="C28" s="593"/>
      <c r="D28" s="351">
        <f t="shared" si="1"/>
        <v>16</v>
      </c>
    </row>
    <row r="29" spans="1:4" ht="16" thickBot="1" x14ac:dyDescent="0.4">
      <c r="A29" s="351">
        <f t="shared" si="0"/>
        <v>17</v>
      </c>
      <c r="B29" s="684">
        <v>2009</v>
      </c>
      <c r="C29" s="191">
        <v>97.124660000000006</v>
      </c>
      <c r="D29" s="351">
        <f t="shared" si="1"/>
        <v>17</v>
      </c>
    </row>
    <row r="30" spans="1:4" x14ac:dyDescent="0.35">
      <c r="A30" s="351">
        <f t="shared" si="0"/>
        <v>18</v>
      </c>
      <c r="B30" s="491"/>
      <c r="C30" s="593"/>
      <c r="D30" s="351">
        <f t="shared" si="1"/>
        <v>18</v>
      </c>
    </row>
    <row r="31" spans="1:4" x14ac:dyDescent="0.35">
      <c r="A31" s="351">
        <f t="shared" si="0"/>
        <v>19</v>
      </c>
      <c r="B31" s="491">
        <v>2010</v>
      </c>
      <c r="C31" s="593">
        <v>134.73924999999991</v>
      </c>
      <c r="D31" s="351">
        <f t="shared" si="1"/>
        <v>19</v>
      </c>
    </row>
    <row r="32" spans="1:4" x14ac:dyDescent="0.35">
      <c r="A32" s="351">
        <f t="shared" si="0"/>
        <v>20</v>
      </c>
      <c r="B32" s="491"/>
      <c r="C32" s="593"/>
      <c r="D32" s="351">
        <f t="shared" si="1"/>
        <v>20</v>
      </c>
    </row>
    <row r="33" spans="1:4" x14ac:dyDescent="0.35">
      <c r="A33" s="351">
        <f t="shared" si="0"/>
        <v>21</v>
      </c>
      <c r="B33" s="491">
        <v>2011</v>
      </c>
      <c r="C33" s="593">
        <v>168.84127999999998</v>
      </c>
      <c r="D33" s="351">
        <f t="shared" si="1"/>
        <v>21</v>
      </c>
    </row>
    <row r="34" spans="1:4" x14ac:dyDescent="0.35">
      <c r="A34" s="351">
        <f t="shared" si="0"/>
        <v>22</v>
      </c>
      <c r="B34" s="491"/>
      <c r="C34" s="593"/>
      <c r="D34" s="351">
        <f t="shared" si="1"/>
        <v>22</v>
      </c>
    </row>
    <row r="35" spans="1:4" ht="16" thickBot="1" x14ac:dyDescent="0.4">
      <c r="A35" s="351">
        <f t="shared" si="0"/>
        <v>23</v>
      </c>
      <c r="B35" s="684">
        <v>2012</v>
      </c>
      <c r="C35" s="191">
        <v>1617.4501199999997</v>
      </c>
      <c r="D35" s="351">
        <f t="shared" si="1"/>
        <v>23</v>
      </c>
    </row>
    <row r="36" spans="1:4" x14ac:dyDescent="0.35">
      <c r="A36" s="351">
        <f t="shared" si="0"/>
        <v>24</v>
      </c>
      <c r="B36" s="491"/>
      <c r="C36" s="593"/>
      <c r="D36" s="351">
        <f t="shared" si="1"/>
        <v>24</v>
      </c>
    </row>
    <row r="37" spans="1:4" x14ac:dyDescent="0.35">
      <c r="A37" s="351">
        <f t="shared" si="0"/>
        <v>25</v>
      </c>
      <c r="B37" s="491">
        <v>2013</v>
      </c>
      <c r="C37" s="593">
        <v>1309.8404</v>
      </c>
      <c r="D37" s="351">
        <f t="shared" si="1"/>
        <v>25</v>
      </c>
    </row>
    <row r="38" spans="1:4" x14ac:dyDescent="0.35">
      <c r="A38" s="351">
        <f t="shared" si="0"/>
        <v>26</v>
      </c>
      <c r="B38" s="491"/>
      <c r="C38" s="593"/>
      <c r="D38" s="351">
        <f t="shared" si="1"/>
        <v>26</v>
      </c>
    </row>
    <row r="39" spans="1:4" x14ac:dyDescent="0.35">
      <c r="A39" s="351">
        <f t="shared" si="0"/>
        <v>27</v>
      </c>
      <c r="B39" s="491">
        <v>2014</v>
      </c>
      <c r="C39" s="593">
        <v>171.98855000000015</v>
      </c>
      <c r="D39" s="351">
        <f t="shared" si="1"/>
        <v>27</v>
      </c>
    </row>
    <row r="40" spans="1:4" x14ac:dyDescent="0.35">
      <c r="A40" s="351">
        <f t="shared" si="0"/>
        <v>28</v>
      </c>
      <c r="B40" s="491"/>
      <c r="C40" s="593"/>
      <c r="D40" s="351">
        <f t="shared" si="1"/>
        <v>28</v>
      </c>
    </row>
    <row r="41" spans="1:4" ht="16" thickBot="1" x14ac:dyDescent="0.4">
      <c r="A41" s="351">
        <f t="shared" si="0"/>
        <v>29</v>
      </c>
      <c r="B41" s="684">
        <v>2015</v>
      </c>
      <c r="C41" s="191">
        <v>235.17088000000015</v>
      </c>
      <c r="D41" s="351">
        <f t="shared" si="1"/>
        <v>29</v>
      </c>
    </row>
    <row r="42" spans="1:4" x14ac:dyDescent="0.35">
      <c r="A42" s="351">
        <f t="shared" si="0"/>
        <v>30</v>
      </c>
      <c r="B42" s="491"/>
      <c r="C42" s="593"/>
      <c r="D42" s="351">
        <f t="shared" si="1"/>
        <v>30</v>
      </c>
    </row>
    <row r="43" spans="1:4" x14ac:dyDescent="0.35">
      <c r="A43" s="351">
        <f t="shared" si="0"/>
        <v>31</v>
      </c>
      <c r="B43" s="491">
        <v>2016</v>
      </c>
      <c r="C43" s="593">
        <v>417.11558000000042</v>
      </c>
      <c r="D43" s="351">
        <f t="shared" si="1"/>
        <v>31</v>
      </c>
    </row>
    <row r="44" spans="1:4" x14ac:dyDescent="0.35">
      <c r="A44" s="351">
        <f t="shared" si="0"/>
        <v>32</v>
      </c>
      <c r="B44" s="491"/>
      <c r="C44" s="593"/>
      <c r="D44" s="351">
        <f t="shared" si="1"/>
        <v>32</v>
      </c>
    </row>
    <row r="45" spans="1:4" x14ac:dyDescent="0.35">
      <c r="A45" s="351">
        <f t="shared" si="0"/>
        <v>33</v>
      </c>
      <c r="B45" s="491">
        <v>2017</v>
      </c>
      <c r="C45" s="593">
        <v>929.83380999999997</v>
      </c>
      <c r="D45" s="351">
        <f t="shared" si="1"/>
        <v>33</v>
      </c>
    </row>
    <row r="46" spans="1:4" x14ac:dyDescent="0.35">
      <c r="A46" s="351">
        <f t="shared" si="0"/>
        <v>34</v>
      </c>
      <c r="B46" s="491"/>
      <c r="C46" s="593"/>
      <c r="D46" s="351">
        <f t="shared" si="1"/>
        <v>34</v>
      </c>
    </row>
    <row r="47" spans="1:4" ht="16" thickBot="1" x14ac:dyDescent="0.4">
      <c r="A47" s="351">
        <f t="shared" si="0"/>
        <v>35</v>
      </c>
      <c r="B47" s="684">
        <v>2018</v>
      </c>
      <c r="C47" s="191">
        <v>1056.3686800000014</v>
      </c>
      <c r="D47" s="351">
        <f t="shared" si="1"/>
        <v>35</v>
      </c>
    </row>
    <row r="48" spans="1:4" x14ac:dyDescent="0.35">
      <c r="A48" s="351">
        <f t="shared" si="0"/>
        <v>36</v>
      </c>
      <c r="B48" s="491"/>
      <c r="C48" s="593"/>
      <c r="D48" s="351">
        <f t="shared" si="1"/>
        <v>36</v>
      </c>
    </row>
    <row r="49" spans="1:4" x14ac:dyDescent="0.35">
      <c r="A49" s="351">
        <f t="shared" si="0"/>
        <v>37</v>
      </c>
      <c r="B49" s="491">
        <v>2019</v>
      </c>
      <c r="C49" s="593">
        <v>606.25522000000001</v>
      </c>
      <c r="D49" s="351">
        <f t="shared" si="1"/>
        <v>37</v>
      </c>
    </row>
    <row r="50" spans="1:4" x14ac:dyDescent="0.35">
      <c r="A50" s="351">
        <f t="shared" si="0"/>
        <v>38</v>
      </c>
      <c r="B50" s="491"/>
      <c r="C50" s="593"/>
      <c r="D50" s="351">
        <f t="shared" si="1"/>
        <v>38</v>
      </c>
    </row>
    <row r="51" spans="1:4" x14ac:dyDescent="0.35">
      <c r="A51" s="351">
        <f t="shared" si="0"/>
        <v>39</v>
      </c>
      <c r="B51" s="491">
        <v>2020</v>
      </c>
      <c r="C51" s="593">
        <v>945.91189999999995</v>
      </c>
      <c r="D51" s="351">
        <f t="shared" si="1"/>
        <v>39</v>
      </c>
    </row>
    <row r="52" spans="1:4" x14ac:dyDescent="0.35">
      <c r="A52" s="351">
        <f t="shared" si="0"/>
        <v>40</v>
      </c>
      <c r="B52" s="491"/>
      <c r="C52" s="593"/>
      <c r="D52" s="351">
        <f t="shared" si="1"/>
        <v>40</v>
      </c>
    </row>
    <row r="53" spans="1:4" ht="16" thickBot="1" x14ac:dyDescent="0.4">
      <c r="A53" s="351">
        <f t="shared" si="0"/>
        <v>41</v>
      </c>
      <c r="B53" s="684">
        <v>2021</v>
      </c>
      <c r="C53" s="191">
        <v>1066.472009999999</v>
      </c>
      <c r="D53" s="351">
        <f t="shared" si="1"/>
        <v>41</v>
      </c>
    </row>
    <row r="54" spans="1:4" x14ac:dyDescent="0.35">
      <c r="A54" s="351">
        <f t="shared" si="0"/>
        <v>42</v>
      </c>
      <c r="B54" s="491"/>
      <c r="C54" s="593"/>
      <c r="D54" s="351">
        <f t="shared" si="1"/>
        <v>42</v>
      </c>
    </row>
    <row r="55" spans="1:4" x14ac:dyDescent="0.35">
      <c r="A55" s="351">
        <f t="shared" si="0"/>
        <v>43</v>
      </c>
      <c r="B55" s="491">
        <v>2022</v>
      </c>
      <c r="C55" s="593">
        <v>385.61754999999999</v>
      </c>
      <c r="D55" s="351">
        <f t="shared" si="1"/>
        <v>43</v>
      </c>
    </row>
    <row r="56" spans="1:4" x14ac:dyDescent="0.35">
      <c r="A56" s="351">
        <f t="shared" si="0"/>
        <v>44</v>
      </c>
      <c r="B56" s="491"/>
      <c r="C56" s="245"/>
      <c r="D56" s="351">
        <f t="shared" si="1"/>
        <v>44</v>
      </c>
    </row>
    <row r="57" spans="1:4" x14ac:dyDescent="0.35">
      <c r="A57" s="351">
        <f t="shared" si="0"/>
        <v>45</v>
      </c>
      <c r="B57" s="491"/>
      <c r="C57" s="246"/>
      <c r="D57" s="351">
        <f t="shared" si="1"/>
        <v>45</v>
      </c>
    </row>
    <row r="58" spans="1:4" x14ac:dyDescent="0.35">
      <c r="A58" s="351">
        <f t="shared" si="0"/>
        <v>46</v>
      </c>
      <c r="B58" s="491" t="s">
        <v>265</v>
      </c>
      <c r="C58" s="247">
        <f>SUM(C13:C57)</f>
        <v>10188.034820000003</v>
      </c>
      <c r="D58" s="351">
        <f t="shared" si="1"/>
        <v>46</v>
      </c>
    </row>
    <row r="59" spans="1:4" x14ac:dyDescent="0.35">
      <c r="A59" s="351">
        <f t="shared" si="0"/>
        <v>47</v>
      </c>
      <c r="B59" s="491"/>
      <c r="C59" s="247"/>
      <c r="D59" s="351">
        <f t="shared" si="1"/>
        <v>47</v>
      </c>
    </row>
    <row r="60" spans="1:4" x14ac:dyDescent="0.35">
      <c r="A60" s="351">
        <f t="shared" si="0"/>
        <v>48</v>
      </c>
      <c r="B60" s="854" t="s">
        <v>1381</v>
      </c>
      <c r="C60" s="855">
        <f>-'AV-1B'!C19</f>
        <v>-197.33238</v>
      </c>
      <c r="D60" s="351">
        <f t="shared" si="1"/>
        <v>48</v>
      </c>
    </row>
    <row r="61" spans="1:4" x14ac:dyDescent="0.35">
      <c r="A61" s="351">
        <f t="shared" si="0"/>
        <v>49</v>
      </c>
      <c r="B61" s="491" t="s">
        <v>1382</v>
      </c>
      <c r="C61" s="245">
        <f>-'AV-1B'!C33</f>
        <v>-56.027447560000006</v>
      </c>
      <c r="D61" s="351">
        <f t="shared" si="1"/>
        <v>49</v>
      </c>
    </row>
    <row r="62" spans="1:4" x14ac:dyDescent="0.35">
      <c r="A62" s="351">
        <f t="shared" si="0"/>
        <v>50</v>
      </c>
      <c r="B62" s="491"/>
      <c r="C62" s="247"/>
      <c r="D62" s="351">
        <f t="shared" si="1"/>
        <v>50</v>
      </c>
    </row>
    <row r="63" spans="1:4" ht="47" thickBot="1" x14ac:dyDescent="0.4">
      <c r="A63" s="351">
        <f t="shared" si="0"/>
        <v>51</v>
      </c>
      <c r="B63" s="493" t="s">
        <v>1383</v>
      </c>
      <c r="C63" s="145">
        <f>SUM(C58:C61)</f>
        <v>9934.6749924400028</v>
      </c>
      <c r="D63" s="351">
        <f t="shared" si="1"/>
        <v>51</v>
      </c>
    </row>
    <row r="64" spans="1:4" ht="16.5" thickTop="1" thickBot="1" x14ac:dyDescent="0.4">
      <c r="A64" s="351">
        <f t="shared" si="0"/>
        <v>52</v>
      </c>
      <c r="B64" s="685"/>
      <c r="C64" s="248"/>
      <c r="D64" s="351">
        <f t="shared" si="1"/>
        <v>52</v>
      </c>
    </row>
    <row r="67" spans="1:2" ht="18" x14ac:dyDescent="0.35">
      <c r="A67" s="261">
        <v>1</v>
      </c>
      <c r="B67" s="5" t="s">
        <v>1384</v>
      </c>
    </row>
    <row r="68" spans="1:2" x14ac:dyDescent="0.35">
      <c r="B68" s="5" t="s">
        <v>1385</v>
      </c>
    </row>
    <row r="69" spans="1:2" x14ac:dyDescent="0.35">
      <c r="B69" s="5" t="s">
        <v>1386</v>
      </c>
    </row>
  </sheetData>
  <mergeCells count="6">
    <mergeCell ref="B7:C7"/>
    <mergeCell ref="B2:C2"/>
    <mergeCell ref="B3:C3"/>
    <mergeCell ref="B4:C4"/>
    <mergeCell ref="B5:C5"/>
    <mergeCell ref="B6:C6"/>
  </mergeCells>
  <printOptions horizontalCentered="1"/>
  <pageMargins left="0.5" right="0.5" top="0.5" bottom="0.5" header="0.25" footer="0.25"/>
  <pageSetup orientation="portrait" r:id="rId1"/>
  <headerFooter scaleWithDoc="0">
    <oddFooter>&amp;C&amp;"Times New Roman,Regular"&amp;10&amp;A</oddFooter>
  </headerFooter>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heetViews>
  <sheetFormatPr defaultColWidth="8.90625" defaultRowHeight="15.5" x14ac:dyDescent="0.35"/>
  <cols>
    <col min="1" max="1" width="5.08984375" style="5" bestFit="1" customWidth="1"/>
    <col min="2" max="2" width="62.453125" style="5" customWidth="1"/>
    <col min="3" max="3" width="18.54296875" style="5" customWidth="1"/>
    <col min="4" max="4" width="34.54296875" style="5" customWidth="1"/>
    <col min="5" max="5" width="5.08984375" style="351" bestFit="1" customWidth="1"/>
    <col min="6" max="16384" width="8.90625" style="5"/>
  </cols>
  <sheetData>
    <row r="1" spans="1:5" x14ac:dyDescent="0.35">
      <c r="A1" s="351"/>
    </row>
    <row r="2" spans="1:5" x14ac:dyDescent="0.35">
      <c r="B2" s="1193" t="s">
        <v>1373</v>
      </c>
      <c r="C2" s="1193"/>
      <c r="D2" s="1193"/>
      <c r="E2" s="498"/>
    </row>
    <row r="3" spans="1:5" x14ac:dyDescent="0.35">
      <c r="B3" s="1198" t="s">
        <v>1387</v>
      </c>
      <c r="C3" s="1198"/>
      <c r="D3" s="1198"/>
      <c r="E3" s="498"/>
    </row>
    <row r="4" spans="1:5" x14ac:dyDescent="0.35">
      <c r="B4" s="1193" t="s">
        <v>1388</v>
      </c>
      <c r="C4" s="1193"/>
      <c r="D4" s="1193"/>
      <c r="E4" s="498"/>
    </row>
    <row r="5" spans="1:5" ht="15.75" customHeight="1" x14ac:dyDescent="0.35">
      <c r="B5" s="1174" t="s">
        <v>662</v>
      </c>
      <c r="C5" s="1174"/>
      <c r="D5" s="1174"/>
    </row>
    <row r="6" spans="1:5" x14ac:dyDescent="0.35">
      <c r="B6" s="1200">
        <v>-1000</v>
      </c>
      <c r="C6" s="1200"/>
      <c r="D6" s="1200"/>
      <c r="E6" s="49"/>
    </row>
    <row r="7" spans="1:5" ht="16" thickBot="1" x14ac:dyDescent="0.4">
      <c r="A7" s="351"/>
      <c r="C7" s="351"/>
    </row>
    <row r="8" spans="1:5" x14ac:dyDescent="0.35">
      <c r="A8" s="351" t="s">
        <v>6</v>
      </c>
      <c r="B8" s="495"/>
      <c r="C8" s="496"/>
      <c r="D8" s="497"/>
      <c r="E8" s="351" t="s">
        <v>6</v>
      </c>
    </row>
    <row r="9" spans="1:5" ht="16" thickBot="1" x14ac:dyDescent="0.4">
      <c r="A9" s="351" t="s">
        <v>7</v>
      </c>
      <c r="B9" s="686" t="s">
        <v>423</v>
      </c>
      <c r="C9" s="687" t="s">
        <v>8</v>
      </c>
      <c r="D9" s="688" t="s">
        <v>9</v>
      </c>
      <c r="E9" s="351" t="s">
        <v>7</v>
      </c>
    </row>
    <row r="10" spans="1:5" x14ac:dyDescent="0.35">
      <c r="A10" s="498"/>
      <c r="B10" s="499"/>
      <c r="C10" s="856"/>
      <c r="D10" s="689"/>
      <c r="E10" s="498"/>
    </row>
    <row r="11" spans="1:5" x14ac:dyDescent="0.35">
      <c r="A11" s="351">
        <v>1</v>
      </c>
      <c r="B11" s="500" t="s">
        <v>1389</v>
      </c>
      <c r="C11" s="240">
        <v>8358</v>
      </c>
      <c r="D11" s="501"/>
      <c r="E11" s="351">
        <f>A11</f>
        <v>1</v>
      </c>
    </row>
    <row r="12" spans="1:5" x14ac:dyDescent="0.35">
      <c r="A12" s="351">
        <f>A11+1</f>
        <v>2</v>
      </c>
      <c r="B12" s="500"/>
      <c r="C12" s="240"/>
      <c r="D12" s="501"/>
      <c r="E12" s="351">
        <f>E11+1</f>
        <v>2</v>
      </c>
    </row>
    <row r="13" spans="1:5" x14ac:dyDescent="0.35">
      <c r="A13" s="351">
        <f t="shared" ref="A13:A23" si="0">A12+1</f>
        <v>3</v>
      </c>
      <c r="B13" s="500" t="s">
        <v>1390</v>
      </c>
      <c r="C13" s="591">
        <v>0.70830000000000004</v>
      </c>
      <c r="D13" s="501"/>
      <c r="E13" s="351">
        <f t="shared" ref="E13:E24" si="1">E12+1</f>
        <v>3</v>
      </c>
    </row>
    <row r="14" spans="1:5" x14ac:dyDescent="0.35">
      <c r="A14" s="351">
        <f t="shared" si="0"/>
        <v>4</v>
      </c>
      <c r="B14" s="500"/>
      <c r="C14" s="858"/>
      <c r="D14" s="501"/>
      <c r="E14" s="351">
        <f t="shared" si="1"/>
        <v>4</v>
      </c>
    </row>
    <row r="15" spans="1:5" x14ac:dyDescent="0.35">
      <c r="A15" s="351">
        <f t="shared" si="0"/>
        <v>5</v>
      </c>
      <c r="B15" s="500" t="s">
        <v>1391</v>
      </c>
      <c r="C15" s="1016">
        <f>C11*C13</f>
        <v>5919.9714000000004</v>
      </c>
      <c r="D15" s="502" t="s">
        <v>1047</v>
      </c>
      <c r="E15" s="351">
        <f t="shared" si="1"/>
        <v>5</v>
      </c>
    </row>
    <row r="16" spans="1:5" x14ac:dyDescent="0.35">
      <c r="A16" s="351">
        <f t="shared" si="0"/>
        <v>6</v>
      </c>
      <c r="B16" s="500"/>
      <c r="C16" s="860"/>
      <c r="D16" s="502"/>
      <c r="E16" s="351">
        <f t="shared" si="1"/>
        <v>6</v>
      </c>
    </row>
    <row r="17" spans="1:5" x14ac:dyDescent="0.35">
      <c r="A17" s="351">
        <f t="shared" si="0"/>
        <v>7</v>
      </c>
      <c r="B17" s="500" t="s">
        <v>1392</v>
      </c>
      <c r="C17" s="146">
        <f>1/30</f>
        <v>3.3333333333333333E-2</v>
      </c>
      <c r="D17" s="502" t="s">
        <v>1393</v>
      </c>
      <c r="E17" s="351">
        <f t="shared" si="1"/>
        <v>7</v>
      </c>
    </row>
    <row r="18" spans="1:5" x14ac:dyDescent="0.35">
      <c r="A18" s="351">
        <f t="shared" si="0"/>
        <v>8</v>
      </c>
      <c r="B18" s="500"/>
      <c r="C18" s="858"/>
      <c r="D18" s="502"/>
      <c r="E18" s="351">
        <f t="shared" si="1"/>
        <v>8</v>
      </c>
    </row>
    <row r="19" spans="1:5" ht="16" thickBot="1" x14ac:dyDescent="0.4">
      <c r="A19" s="351">
        <f t="shared" si="0"/>
        <v>9</v>
      </c>
      <c r="B19" s="500" t="s">
        <v>1394</v>
      </c>
      <c r="C19" s="147">
        <f>C15*C17</f>
        <v>197.33238</v>
      </c>
      <c r="D19" s="502" t="s">
        <v>1395</v>
      </c>
      <c r="E19" s="351">
        <f t="shared" si="1"/>
        <v>9</v>
      </c>
    </row>
    <row r="20" spans="1:5" ht="16.5" thickTop="1" thickBot="1" x14ac:dyDescent="0.4">
      <c r="A20" s="351">
        <f t="shared" si="0"/>
        <v>10</v>
      </c>
      <c r="B20" s="685"/>
      <c r="C20" s="690"/>
      <c r="D20" s="691"/>
      <c r="E20" s="351">
        <f t="shared" si="1"/>
        <v>10</v>
      </c>
    </row>
    <row r="21" spans="1:5" ht="16" thickBot="1" x14ac:dyDescent="0.4">
      <c r="A21" s="351">
        <f t="shared" si="0"/>
        <v>11</v>
      </c>
      <c r="E21" s="351">
        <f t="shared" si="1"/>
        <v>11</v>
      </c>
    </row>
    <row r="22" spans="1:5" x14ac:dyDescent="0.35">
      <c r="A22" s="351">
        <f t="shared" si="0"/>
        <v>12</v>
      </c>
      <c r="B22" s="495"/>
      <c r="C22" s="496"/>
      <c r="D22" s="497"/>
      <c r="E22" s="351">
        <f t="shared" si="1"/>
        <v>12</v>
      </c>
    </row>
    <row r="23" spans="1:5" ht="16" thickBot="1" x14ac:dyDescent="0.4">
      <c r="A23" s="351">
        <f t="shared" si="0"/>
        <v>13</v>
      </c>
      <c r="B23" s="686" t="s">
        <v>423</v>
      </c>
      <c r="C23" s="687" t="s">
        <v>8</v>
      </c>
      <c r="D23" s="688" t="s">
        <v>9</v>
      </c>
      <c r="E23" s="351">
        <f t="shared" si="1"/>
        <v>13</v>
      </c>
    </row>
    <row r="24" spans="1:5" x14ac:dyDescent="0.35">
      <c r="A24" s="351">
        <f t="shared" ref="A24:A34" si="2">A23+1</f>
        <v>14</v>
      </c>
      <c r="B24" s="499"/>
      <c r="C24" s="856"/>
      <c r="D24" s="689"/>
      <c r="E24" s="351">
        <f t="shared" si="1"/>
        <v>14</v>
      </c>
    </row>
    <row r="25" spans="1:5" x14ac:dyDescent="0.35">
      <c r="A25" s="351">
        <f t="shared" si="2"/>
        <v>15</v>
      </c>
      <c r="B25" s="500" t="s">
        <v>1396</v>
      </c>
      <c r="C25" s="857">
        <v>2282.4870000000001</v>
      </c>
      <c r="D25" s="501"/>
      <c r="E25" s="351">
        <f t="shared" ref="E25:E34" si="3">E24+1</f>
        <v>15</v>
      </c>
    </row>
    <row r="26" spans="1:5" x14ac:dyDescent="0.35">
      <c r="A26" s="351">
        <f t="shared" si="2"/>
        <v>16</v>
      </c>
      <c r="B26" s="531"/>
      <c r="C26" s="857"/>
      <c r="D26" s="501"/>
      <c r="E26" s="351">
        <f t="shared" si="3"/>
        <v>16</v>
      </c>
    </row>
    <row r="27" spans="1:5" x14ac:dyDescent="0.35">
      <c r="A27" s="351">
        <f t="shared" si="2"/>
        <v>17</v>
      </c>
      <c r="B27" s="531" t="s">
        <v>1397</v>
      </c>
      <c r="C27" s="591">
        <v>0.73640000000000005</v>
      </c>
      <c r="D27" s="501"/>
      <c r="E27" s="351">
        <f t="shared" si="3"/>
        <v>17</v>
      </c>
    </row>
    <row r="28" spans="1:5" x14ac:dyDescent="0.35">
      <c r="A28" s="351">
        <f t="shared" si="2"/>
        <v>18</v>
      </c>
      <c r="B28" s="500"/>
      <c r="C28" s="858"/>
      <c r="D28" s="501"/>
      <c r="E28" s="351">
        <f t="shared" si="3"/>
        <v>18</v>
      </c>
    </row>
    <row r="29" spans="1:5" x14ac:dyDescent="0.35">
      <c r="A29" s="351">
        <f t="shared" si="2"/>
        <v>19</v>
      </c>
      <c r="B29" s="500" t="s">
        <v>1398</v>
      </c>
      <c r="C29" s="859">
        <f>C25*C27</f>
        <v>1680.8234268000001</v>
      </c>
      <c r="D29" s="502" t="s">
        <v>1062</v>
      </c>
      <c r="E29" s="351">
        <f t="shared" si="3"/>
        <v>19</v>
      </c>
    </row>
    <row r="30" spans="1:5" x14ac:dyDescent="0.35">
      <c r="A30" s="351">
        <f t="shared" si="2"/>
        <v>20</v>
      </c>
      <c r="B30" s="500"/>
      <c r="C30" s="860"/>
      <c r="D30" s="502"/>
      <c r="E30" s="351">
        <f t="shared" si="3"/>
        <v>20</v>
      </c>
    </row>
    <row r="31" spans="1:5" x14ac:dyDescent="0.35">
      <c r="A31" s="351">
        <f t="shared" si="2"/>
        <v>21</v>
      </c>
      <c r="B31" s="500" t="s">
        <v>1392</v>
      </c>
      <c r="C31" s="861">
        <f>1/30</f>
        <v>3.3333333333333333E-2</v>
      </c>
      <c r="D31" s="502" t="s">
        <v>1393</v>
      </c>
      <c r="E31" s="351">
        <f t="shared" si="3"/>
        <v>21</v>
      </c>
    </row>
    <row r="32" spans="1:5" x14ac:dyDescent="0.35">
      <c r="A32" s="351">
        <f t="shared" si="2"/>
        <v>22</v>
      </c>
      <c r="B32" s="500"/>
      <c r="C32" s="862"/>
      <c r="D32" s="502"/>
      <c r="E32" s="351">
        <f t="shared" si="3"/>
        <v>22</v>
      </c>
    </row>
    <row r="33" spans="1:5" ht="16" thickBot="1" x14ac:dyDescent="0.4">
      <c r="A33" s="351">
        <f t="shared" si="2"/>
        <v>23</v>
      </c>
      <c r="B33" s="500" t="s">
        <v>1394</v>
      </c>
      <c r="C33" s="863">
        <f>C29*C31</f>
        <v>56.027447560000006</v>
      </c>
      <c r="D33" s="502" t="s">
        <v>1399</v>
      </c>
      <c r="E33" s="351">
        <f t="shared" si="3"/>
        <v>23</v>
      </c>
    </row>
    <row r="34" spans="1:5" ht="16.5" thickTop="1" thickBot="1" x14ac:dyDescent="0.4">
      <c r="A34" s="351">
        <f t="shared" si="2"/>
        <v>24</v>
      </c>
      <c r="B34" s="685"/>
      <c r="C34" s="690"/>
      <c r="D34" s="691"/>
      <c r="E34" s="351">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zoomScale="80" zoomScaleNormal="80" workbookViewId="0"/>
  </sheetViews>
  <sheetFormatPr defaultColWidth="8.90625" defaultRowHeight="15.5" x14ac:dyDescent="0.35"/>
  <cols>
    <col min="1" max="1" width="5.08984375" style="4" customWidth="1"/>
    <col min="2" max="2" width="50.90625" style="34" customWidth="1"/>
    <col min="3" max="3" width="21.08984375" style="34" customWidth="1"/>
    <col min="4" max="4" width="1.54296875" style="34" customWidth="1"/>
    <col min="5" max="5" width="16.90625" style="34" customWidth="1"/>
    <col min="6" max="6" width="1.54296875" style="34" customWidth="1"/>
    <col min="7" max="7" width="34.54296875" style="34" customWidth="1"/>
    <col min="8" max="8" width="5.08984375" style="34" customWidth="1"/>
    <col min="9" max="9" width="8.90625" style="34"/>
    <col min="10" max="10" width="20.453125" style="34" bestFit="1" customWidth="1"/>
    <col min="11" max="16384" width="8.90625" style="34"/>
  </cols>
  <sheetData>
    <row r="1" spans="1:8" x14ac:dyDescent="0.35">
      <c r="E1" s="73"/>
      <c r="F1" s="73"/>
      <c r="G1" s="4"/>
      <c r="H1" s="4"/>
    </row>
    <row r="2" spans="1:8" x14ac:dyDescent="0.35">
      <c r="B2" s="1171" t="s">
        <v>0</v>
      </c>
      <c r="C2" s="1171"/>
      <c r="D2" s="1171"/>
      <c r="E2" s="1171"/>
      <c r="F2" s="1171"/>
      <c r="G2" s="1171"/>
      <c r="H2" s="4"/>
    </row>
    <row r="3" spans="1:8" x14ac:dyDescent="0.35">
      <c r="B3" s="1171" t="s">
        <v>1400</v>
      </c>
      <c r="C3" s="1171"/>
      <c r="D3" s="1171"/>
      <c r="E3" s="1173"/>
      <c r="F3" s="1173"/>
      <c r="G3" s="1173"/>
      <c r="H3" s="4"/>
    </row>
    <row r="4" spans="1:8" x14ac:dyDescent="0.35">
      <c r="B4" s="1176" t="str">
        <f>'Stmt AD'!B5</f>
        <v>Base Period &amp; True-Up Period 12 - Months Ending December 31, 2022</v>
      </c>
      <c r="C4" s="1176"/>
      <c r="D4" s="1176"/>
      <c r="E4" s="1176"/>
      <c r="F4" s="1176"/>
      <c r="G4" s="1176"/>
      <c r="H4" s="4"/>
    </row>
    <row r="5" spans="1:8" x14ac:dyDescent="0.35">
      <c r="B5" s="1175" t="s">
        <v>5</v>
      </c>
      <c r="C5" s="1172"/>
      <c r="D5" s="1172"/>
      <c r="E5" s="1172"/>
      <c r="F5" s="1172"/>
      <c r="G5" s="1172"/>
      <c r="H5" s="4"/>
    </row>
    <row r="6" spans="1:8" x14ac:dyDescent="0.35">
      <c r="B6" s="4"/>
      <c r="C6" s="4"/>
      <c r="D6" s="4"/>
      <c r="E6" s="4"/>
      <c r="F6" s="4"/>
      <c r="G6" s="4"/>
      <c r="H6" s="4"/>
    </row>
    <row r="7" spans="1:8" x14ac:dyDescent="0.35">
      <c r="A7" s="4" t="s">
        <v>6</v>
      </c>
      <c r="B7" s="347"/>
      <c r="C7" s="4" t="s">
        <v>317</v>
      </c>
      <c r="D7" s="226"/>
      <c r="E7" s="226"/>
      <c r="F7" s="226"/>
      <c r="G7" s="4"/>
      <c r="H7" s="4" t="s">
        <v>6</v>
      </c>
    </row>
    <row r="8" spans="1:8" x14ac:dyDescent="0.35">
      <c r="A8" s="4" t="s">
        <v>7</v>
      </c>
      <c r="B8" s="4"/>
      <c r="C8" s="876" t="s">
        <v>319</v>
      </c>
      <c r="D8" s="226"/>
      <c r="E8" s="876" t="s">
        <v>8</v>
      </c>
      <c r="F8" s="226"/>
      <c r="G8" s="876" t="s">
        <v>9</v>
      </c>
      <c r="H8" s="4" t="s">
        <v>7</v>
      </c>
    </row>
    <row r="9" spans="1:8" x14ac:dyDescent="0.35">
      <c r="C9" s="4"/>
      <c r="D9" s="4"/>
      <c r="F9" s="226"/>
      <c r="H9" s="4"/>
    </row>
    <row r="10" spans="1:8" ht="18.5" thickBot="1" x14ac:dyDescent="0.4">
      <c r="A10" s="4">
        <v>1</v>
      </c>
      <c r="B10" s="35" t="s">
        <v>1401</v>
      </c>
      <c r="E10" s="96">
        <v>0</v>
      </c>
      <c r="F10" s="226"/>
      <c r="G10" s="4"/>
      <c r="H10" s="4">
        <f>A10</f>
        <v>1</v>
      </c>
    </row>
    <row r="11" spans="1:8" ht="16" thickTop="1" x14ac:dyDescent="0.35">
      <c r="A11" s="4">
        <f>A10+1</f>
        <v>2</v>
      </c>
      <c r="F11" s="226"/>
      <c r="H11" s="4">
        <f>+H10+1</f>
        <v>2</v>
      </c>
    </row>
    <row r="12" spans="1:8" ht="18.5" thickBot="1" x14ac:dyDescent="0.4">
      <c r="A12" s="4">
        <f t="shared" ref="A12:A18" si="0">A11+1</f>
        <v>3</v>
      </c>
      <c r="B12" s="35" t="s">
        <v>1402</v>
      </c>
      <c r="E12" s="96">
        <v>0</v>
      </c>
      <c r="F12" s="226"/>
      <c r="G12" s="4"/>
      <c r="H12" s="4">
        <f t="shared" ref="H12:H18" si="1">+H11+1</f>
        <v>3</v>
      </c>
    </row>
    <row r="13" spans="1:8" ht="16" thickTop="1" x14ac:dyDescent="0.35">
      <c r="A13" s="4">
        <f t="shared" si="0"/>
        <v>4</v>
      </c>
      <c r="F13" s="226"/>
      <c r="H13" s="4">
        <f t="shared" si="1"/>
        <v>4</v>
      </c>
    </row>
    <row r="14" spans="1:8" ht="18.5" thickBot="1" x14ac:dyDescent="0.4">
      <c r="A14" s="4">
        <f t="shared" si="0"/>
        <v>5</v>
      </c>
      <c r="B14" s="35" t="s">
        <v>1403</v>
      </c>
      <c r="E14" s="96">
        <v>0</v>
      </c>
      <c r="F14" s="226"/>
      <c r="G14" s="4"/>
      <c r="H14" s="4">
        <f t="shared" si="1"/>
        <v>5</v>
      </c>
    </row>
    <row r="15" spans="1:8" ht="16" thickTop="1" x14ac:dyDescent="0.35">
      <c r="A15" s="4">
        <f t="shared" si="0"/>
        <v>6</v>
      </c>
      <c r="B15" s="35"/>
      <c r="E15" s="38"/>
      <c r="F15" s="226"/>
      <c r="G15" s="4"/>
      <c r="H15" s="4">
        <f t="shared" si="1"/>
        <v>6</v>
      </c>
    </row>
    <row r="16" spans="1:8" ht="16" thickBot="1" x14ac:dyDescent="0.4">
      <c r="A16" s="4">
        <f t="shared" si="0"/>
        <v>7</v>
      </c>
      <c r="B16" s="35" t="s">
        <v>128</v>
      </c>
      <c r="E16" s="96">
        <f>'Misc.-1'!G19</f>
        <v>-10934.227962302526</v>
      </c>
      <c r="F16" s="226"/>
      <c r="G16" s="4" t="s">
        <v>1404</v>
      </c>
      <c r="H16" s="4">
        <f t="shared" si="1"/>
        <v>7</v>
      </c>
    </row>
    <row r="17" spans="1:8" ht="16" thickTop="1" x14ac:dyDescent="0.35">
      <c r="A17" s="4">
        <f t="shared" si="0"/>
        <v>8</v>
      </c>
      <c r="F17" s="226"/>
      <c r="H17" s="4">
        <f t="shared" si="1"/>
        <v>8</v>
      </c>
    </row>
    <row r="18" spans="1:8" ht="18.5" thickBot="1" x14ac:dyDescent="0.4">
      <c r="A18" s="4">
        <f t="shared" si="0"/>
        <v>9</v>
      </c>
      <c r="B18" s="35" t="s">
        <v>1405</v>
      </c>
      <c r="E18" s="96">
        <v>0</v>
      </c>
      <c r="F18" s="226"/>
      <c r="G18" s="4"/>
      <c r="H18" s="4">
        <f t="shared" si="1"/>
        <v>9</v>
      </c>
    </row>
    <row r="19" spans="1:8" ht="16" thickTop="1" x14ac:dyDescent="0.35">
      <c r="H19" s="4"/>
    </row>
    <row r="20" spans="1:8" x14ac:dyDescent="0.35">
      <c r="H20" s="4"/>
    </row>
    <row r="21" spans="1:8" ht="18" x14ac:dyDescent="0.35">
      <c r="A21" s="276">
        <v>1</v>
      </c>
      <c r="B21" s="34" t="s">
        <v>1406</v>
      </c>
      <c r="H21" s="4"/>
    </row>
    <row r="22" spans="1:8" x14ac:dyDescent="0.35">
      <c r="B22" s="34" t="s">
        <v>1407</v>
      </c>
    </row>
  </sheetData>
  <mergeCells count="4">
    <mergeCell ref="B2:G2"/>
    <mergeCell ref="B3:G3"/>
    <mergeCell ref="B4:G4"/>
    <mergeCell ref="B5:G5"/>
  </mergeCells>
  <printOptions horizontalCentered="1"/>
  <pageMargins left="0.5" right="0.5" top="0.5" bottom="0.5" header="0.25" footer="0.25"/>
  <pageSetup orientation="portrait" r:id="rId1"/>
  <headerFooter scaleWithDoc="0">
    <oddFooter>&amp;C&amp;"Times New Roman,Regular"&amp;10Misc.</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2"/>
  <sheetViews>
    <sheetView zoomScale="80" zoomScaleNormal="80" workbookViewId="0"/>
  </sheetViews>
  <sheetFormatPr defaultColWidth="8.90625" defaultRowHeight="15.5" x14ac:dyDescent="0.35"/>
  <cols>
    <col min="1" max="1" width="5.08984375" style="4" customWidth="1"/>
    <col min="2" max="2" width="56.08984375" style="34" customWidth="1"/>
    <col min="3" max="3" width="16.90625" style="34" customWidth="1"/>
    <col min="4" max="4" width="2.90625" style="34" bestFit="1" customWidth="1"/>
    <col min="5" max="5" width="16.90625" style="34" customWidth="1"/>
    <col min="6" max="6" width="1.54296875" style="34" customWidth="1"/>
    <col min="7" max="7" width="18.453125" style="34" customWidth="1"/>
    <col min="8" max="8" width="62.453125" style="34" customWidth="1"/>
    <col min="9" max="9" width="5.08984375" style="4" customWidth="1"/>
    <col min="10" max="16384" width="8.90625" style="34"/>
  </cols>
  <sheetData>
    <row r="2" spans="1:9" x14ac:dyDescent="0.35">
      <c r="B2" s="1171" t="s">
        <v>0</v>
      </c>
      <c r="C2" s="1171"/>
      <c r="D2" s="1171"/>
      <c r="E2" s="1171"/>
      <c r="F2" s="1171"/>
      <c r="G2" s="1171"/>
      <c r="H2" s="1171"/>
    </row>
    <row r="3" spans="1:9" x14ac:dyDescent="0.35">
      <c r="B3" s="1171" t="s">
        <v>1408</v>
      </c>
      <c r="C3" s="1171"/>
      <c r="D3" s="1171"/>
      <c r="E3" s="1171"/>
      <c r="F3" s="1171"/>
      <c r="G3" s="1171"/>
      <c r="H3" s="1171"/>
    </row>
    <row r="4" spans="1:9" x14ac:dyDescent="0.35">
      <c r="B4" s="1171" t="s">
        <v>1409</v>
      </c>
      <c r="C4" s="1171"/>
      <c r="D4" s="1171"/>
      <c r="E4" s="1171"/>
      <c r="F4" s="1171"/>
      <c r="G4" s="1171"/>
      <c r="H4" s="1171"/>
    </row>
    <row r="5" spans="1:9" x14ac:dyDescent="0.35">
      <c r="B5" s="1171" t="s">
        <v>563</v>
      </c>
      <c r="C5" s="1171"/>
      <c r="D5" s="1171"/>
      <c r="E5" s="1171"/>
      <c r="F5" s="1171"/>
      <c r="G5" s="1171"/>
      <c r="H5" s="1171"/>
    </row>
    <row r="6" spans="1:9" ht="15.75" customHeight="1" x14ac:dyDescent="0.35">
      <c r="B6" s="1175" t="s">
        <v>5</v>
      </c>
      <c r="C6" s="1175"/>
      <c r="D6" s="1175"/>
      <c r="E6" s="1175"/>
      <c r="F6" s="1175"/>
      <c r="G6" s="1175"/>
      <c r="H6" s="1175"/>
    </row>
    <row r="8" spans="1:9" x14ac:dyDescent="0.35">
      <c r="A8" s="4" t="s">
        <v>6</v>
      </c>
      <c r="C8" s="272" t="s">
        <v>280</v>
      </c>
      <c r="D8" s="272"/>
      <c r="E8" s="272" t="s">
        <v>281</v>
      </c>
      <c r="G8" s="272" t="s">
        <v>318</v>
      </c>
      <c r="H8" s="272"/>
      <c r="I8" s="4" t="s">
        <v>6</v>
      </c>
    </row>
    <row r="9" spans="1:9" x14ac:dyDescent="0.35">
      <c r="A9" s="4" t="s">
        <v>7</v>
      </c>
      <c r="B9" s="990" t="s">
        <v>423</v>
      </c>
      <c r="C9" s="753">
        <f>'Stmt AD'!E9</f>
        <v>44561</v>
      </c>
      <c r="D9" s="1037"/>
      <c r="E9" s="753">
        <f>'Stmt AD'!G9</f>
        <v>44926</v>
      </c>
      <c r="F9" s="1038"/>
      <c r="G9" s="990" t="s">
        <v>320</v>
      </c>
      <c r="H9" s="990" t="s">
        <v>9</v>
      </c>
      <c r="I9" s="4" t="s">
        <v>7</v>
      </c>
    </row>
    <row r="11" spans="1:9" x14ac:dyDescent="0.35">
      <c r="A11" s="4">
        <v>1</v>
      </c>
      <c r="B11" s="34" t="s">
        <v>1410</v>
      </c>
      <c r="C11" s="38">
        <f>'Misc.-1.1'!C14</f>
        <v>-105.74018700000001</v>
      </c>
      <c r="D11" s="6"/>
      <c r="E11" s="38">
        <f>'Misc.-1.1'!E14</f>
        <v>-83.353321319683971</v>
      </c>
      <c r="F11" s="38"/>
      <c r="G11" s="38">
        <f>'Misc.-1.1'!G14</f>
        <v>-94.35628190819439</v>
      </c>
      <c r="H11" s="47" t="s">
        <v>1411</v>
      </c>
      <c r="I11" s="4">
        <f>A11</f>
        <v>1</v>
      </c>
    </row>
    <row r="12" spans="1:9" x14ac:dyDescent="0.35">
      <c r="A12" s="4">
        <v>2</v>
      </c>
      <c r="C12" s="38"/>
      <c r="D12" s="6"/>
      <c r="E12" s="38"/>
      <c r="F12" s="38"/>
      <c r="G12" s="38"/>
      <c r="H12" s="38"/>
      <c r="I12" s="4">
        <f t="shared" ref="I12:I19" si="0">A12</f>
        <v>2</v>
      </c>
    </row>
    <row r="13" spans="1:9" x14ac:dyDescent="0.35">
      <c r="A13" s="4">
        <v>3</v>
      </c>
      <c r="B13" s="35" t="s">
        <v>1412</v>
      </c>
      <c r="C13" s="38">
        <f>'Misc.-1.1'!C19</f>
        <v>-2829.1542318900001</v>
      </c>
      <c r="D13" s="6"/>
      <c r="E13" s="38">
        <f>'Misc.-1.1'!E19</f>
        <v>-2548.7271225090149</v>
      </c>
      <c r="F13" s="38"/>
      <c r="G13" s="38">
        <f>'Misc.-1.1'!G19</f>
        <v>-2687.1929038183894</v>
      </c>
      <c r="H13" s="47" t="s">
        <v>1413</v>
      </c>
      <c r="I13" s="4">
        <f t="shared" si="0"/>
        <v>3</v>
      </c>
    </row>
    <row r="14" spans="1:9" x14ac:dyDescent="0.35">
      <c r="A14" s="4">
        <v>4</v>
      </c>
      <c r="C14" s="38"/>
      <c r="D14" s="6"/>
      <c r="E14" s="38"/>
      <c r="F14" s="38"/>
      <c r="G14" s="38"/>
      <c r="H14" s="47"/>
      <c r="I14" s="4">
        <f t="shared" si="0"/>
        <v>4</v>
      </c>
    </row>
    <row r="15" spans="1:9" ht="18" x14ac:dyDescent="0.35">
      <c r="A15" s="4">
        <v>5</v>
      </c>
      <c r="B15" s="34" t="s">
        <v>1414</v>
      </c>
      <c r="C15" s="38">
        <f>'Misc.-1.1'!C24</f>
        <v>-3926.8884303600003</v>
      </c>
      <c r="D15" s="935"/>
      <c r="E15" s="38">
        <f>'Misc.-1.1'!E24</f>
        <v>-3389.5084506032185</v>
      </c>
      <c r="F15" s="38"/>
      <c r="G15" s="38">
        <f>'Misc.-1.1'!G24</f>
        <v>-3654.2152847551547</v>
      </c>
      <c r="H15" s="47" t="s">
        <v>1415</v>
      </c>
      <c r="I15" s="4">
        <f t="shared" si="0"/>
        <v>5</v>
      </c>
    </row>
    <row r="16" spans="1:9" x14ac:dyDescent="0.35">
      <c r="A16" s="4">
        <v>6</v>
      </c>
      <c r="C16" s="38"/>
      <c r="D16" s="6"/>
      <c r="E16" s="38"/>
      <c r="F16" s="38"/>
      <c r="G16" s="38"/>
      <c r="H16" s="47"/>
      <c r="I16" s="4">
        <f t="shared" si="0"/>
        <v>6</v>
      </c>
    </row>
    <row r="17" spans="1:9" x14ac:dyDescent="0.35">
      <c r="A17" s="4">
        <v>7</v>
      </c>
      <c r="B17" s="34" t="s">
        <v>1416</v>
      </c>
      <c r="C17" s="975">
        <f>'Misc.-1.1'!C29</f>
        <v>-4557.5531171100001</v>
      </c>
      <c r="D17" s="6"/>
      <c r="E17" s="975">
        <f>'Misc.-1.1'!E29</f>
        <v>-4438.0207516558694</v>
      </c>
      <c r="F17" s="38"/>
      <c r="G17" s="975">
        <f>'Misc.-1.1'!G29</f>
        <v>-4498.4634918207876</v>
      </c>
      <c r="H17" s="47" t="s">
        <v>1417</v>
      </c>
      <c r="I17" s="4">
        <f t="shared" si="0"/>
        <v>7</v>
      </c>
    </row>
    <row r="18" spans="1:9" x14ac:dyDescent="0.35">
      <c r="A18" s="4">
        <v>8</v>
      </c>
      <c r="C18" s="38"/>
      <c r="D18" s="6"/>
      <c r="E18" s="38"/>
      <c r="F18" s="38"/>
      <c r="G18" s="38"/>
      <c r="H18" s="47"/>
      <c r="I18" s="4">
        <f t="shared" si="0"/>
        <v>8</v>
      </c>
    </row>
    <row r="19" spans="1:9" ht="18.5" thickBot="1" x14ac:dyDescent="0.4">
      <c r="A19" s="4">
        <v>9</v>
      </c>
      <c r="B19" s="34" t="s">
        <v>1418</v>
      </c>
      <c r="C19" s="40">
        <f>C11+C13+C15+C17</f>
        <v>-11419.33596636</v>
      </c>
      <c r="D19" s="935"/>
      <c r="E19" s="40">
        <f>E11+E13+E15+E17</f>
        <v>-10459.609646087787</v>
      </c>
      <c r="F19" s="38"/>
      <c r="G19" s="40">
        <f>G11+G13+G15+G17</f>
        <v>-10934.227962302526</v>
      </c>
      <c r="H19" s="4" t="s">
        <v>1419</v>
      </c>
      <c r="I19" s="4">
        <f t="shared" si="0"/>
        <v>9</v>
      </c>
    </row>
    <row r="20" spans="1:9" ht="16" thickTop="1" x14ac:dyDescent="0.35">
      <c r="C20" s="11"/>
      <c r="D20" s="11"/>
      <c r="E20" s="11"/>
      <c r="F20" s="11"/>
      <c r="G20" s="11"/>
      <c r="H20" s="11"/>
    </row>
    <row r="21" spans="1:9" x14ac:dyDescent="0.35">
      <c r="C21" s="6"/>
      <c r="D21" s="6"/>
      <c r="E21" s="6"/>
      <c r="F21" s="6"/>
      <c r="G21" s="6"/>
      <c r="H21" s="6"/>
    </row>
    <row r="22" spans="1:9" x14ac:dyDescent="0.35">
      <c r="A22"/>
      <c r="B22"/>
      <c r="C22"/>
      <c r="D22"/>
      <c r="E22"/>
      <c r="F22" s="6"/>
      <c r="G22" s="6"/>
      <c r="H22" s="6"/>
    </row>
    <row r="32" spans="1:9" x14ac:dyDescent="0.35">
      <c r="B32" s="646"/>
    </row>
  </sheetData>
  <mergeCells count="5">
    <mergeCell ref="B2:H2"/>
    <mergeCell ref="B3:H3"/>
    <mergeCell ref="B5:H5"/>
    <mergeCell ref="B6:H6"/>
    <mergeCell ref="B4:H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38"/>
  <sheetViews>
    <sheetView zoomScale="80" zoomScaleNormal="80" workbookViewId="0"/>
  </sheetViews>
  <sheetFormatPr defaultColWidth="8.54296875" defaultRowHeight="15.5" x14ac:dyDescent="0.35"/>
  <cols>
    <col min="1" max="1" width="5.54296875" style="4" customWidth="1"/>
    <col min="2" max="2" width="50.90625" style="34" customWidth="1"/>
    <col min="3" max="3" width="16.90625" style="34" customWidth="1"/>
    <col min="4" max="4" width="2.90625" style="34" bestFit="1" customWidth="1"/>
    <col min="5" max="5" width="16.90625" style="34" customWidth="1"/>
    <col min="6" max="6" width="1.54296875" style="34" customWidth="1"/>
    <col min="7" max="7" width="23.453125" style="34" bestFit="1" customWidth="1"/>
    <col min="8" max="8" width="62.54296875" style="34" customWidth="1"/>
    <col min="9" max="9" width="5.453125" style="4" customWidth="1"/>
    <col min="10" max="10" width="8.54296875" style="34"/>
    <col min="11" max="11" width="22" style="34" bestFit="1" customWidth="1"/>
    <col min="12" max="16384" width="8.54296875" style="34"/>
  </cols>
  <sheetData>
    <row r="2" spans="1:11" x14ac:dyDescent="0.35">
      <c r="B2" s="1171" t="s">
        <v>0</v>
      </c>
      <c r="C2" s="1171"/>
      <c r="D2" s="1171"/>
      <c r="E2" s="1171"/>
      <c r="F2" s="1171"/>
      <c r="G2" s="1171"/>
      <c r="H2" s="1171"/>
    </row>
    <row r="3" spans="1:11" x14ac:dyDescent="0.35">
      <c r="B3" s="1171" t="s">
        <v>1408</v>
      </c>
      <c r="C3" s="1171"/>
      <c r="D3" s="1171"/>
      <c r="E3" s="1171"/>
      <c r="F3" s="1171"/>
      <c r="G3" s="1171"/>
      <c r="H3" s="1171"/>
    </row>
    <row r="4" spans="1:11" x14ac:dyDescent="0.35">
      <c r="B4" s="1171" t="s">
        <v>1409</v>
      </c>
      <c r="C4" s="1171"/>
      <c r="D4" s="1171"/>
      <c r="E4" s="1171"/>
      <c r="F4" s="1171"/>
      <c r="G4" s="1171"/>
      <c r="H4" s="1171"/>
    </row>
    <row r="5" spans="1:11" x14ac:dyDescent="0.35">
      <c r="B5" s="1171" t="s">
        <v>563</v>
      </c>
      <c r="C5" s="1171"/>
      <c r="D5" s="1171"/>
      <c r="E5" s="1171"/>
      <c r="F5" s="1171"/>
      <c r="G5" s="1171"/>
      <c r="H5" s="1171"/>
    </row>
    <row r="6" spans="1:11" ht="15.75" customHeight="1" x14ac:dyDescent="0.35">
      <c r="B6" s="1175" t="s">
        <v>5</v>
      </c>
      <c r="C6" s="1175"/>
      <c r="D6" s="1175"/>
      <c r="E6" s="1175"/>
      <c r="F6" s="1175"/>
      <c r="G6" s="1175"/>
      <c r="H6" s="1175"/>
    </row>
    <row r="7" spans="1:11" x14ac:dyDescent="0.35">
      <c r="K7" s="50"/>
    </row>
    <row r="8" spans="1:11" ht="18" x14ac:dyDescent="0.35">
      <c r="A8" s="4" t="s">
        <v>6</v>
      </c>
      <c r="B8" s="1"/>
      <c r="C8" s="272" t="s">
        <v>1420</v>
      </c>
      <c r="D8" s="272"/>
      <c r="E8" s="272" t="s">
        <v>281</v>
      </c>
      <c r="G8" s="272" t="s">
        <v>318</v>
      </c>
      <c r="H8" s="272"/>
      <c r="I8" s="4" t="s">
        <v>6</v>
      </c>
      <c r="K8" s="50"/>
    </row>
    <row r="9" spans="1:11" x14ac:dyDescent="0.35">
      <c r="A9" s="4" t="s">
        <v>7</v>
      </c>
      <c r="B9" s="990" t="s">
        <v>423</v>
      </c>
      <c r="C9" s="753">
        <f>'Stmt AD'!E9</f>
        <v>44561</v>
      </c>
      <c r="D9" s="753"/>
      <c r="E9" s="753">
        <f>'Stmt AD'!G9</f>
        <v>44926</v>
      </c>
      <c r="F9" s="753"/>
      <c r="G9" s="990" t="s">
        <v>320</v>
      </c>
      <c r="H9" s="990" t="s">
        <v>9</v>
      </c>
      <c r="I9" s="4" t="s">
        <v>7</v>
      </c>
      <c r="K9" s="939"/>
    </row>
    <row r="10" spans="1:11" x14ac:dyDescent="0.35">
      <c r="B10" s="1"/>
      <c r="C10" s="349"/>
      <c r="D10" s="349"/>
      <c r="E10" s="349"/>
      <c r="F10" s="349"/>
      <c r="G10" s="95"/>
      <c r="H10" s="95"/>
    </row>
    <row r="11" spans="1:11" x14ac:dyDescent="0.35">
      <c r="A11" s="4">
        <v>1</v>
      </c>
      <c r="B11" s="34" t="s">
        <v>1410</v>
      </c>
      <c r="C11" s="94"/>
      <c r="D11" s="94"/>
      <c r="E11" s="94"/>
      <c r="F11" s="94"/>
      <c r="G11" s="95"/>
      <c r="H11" s="95"/>
      <c r="I11" s="4">
        <f>A11</f>
        <v>1</v>
      </c>
    </row>
    <row r="12" spans="1:11" x14ac:dyDescent="0.35">
      <c r="A12" s="4">
        <f>A11+1</f>
        <v>2</v>
      </c>
      <c r="B12" s="35" t="s">
        <v>1421</v>
      </c>
      <c r="C12" s="38">
        <v>-700</v>
      </c>
      <c r="D12" s="38"/>
      <c r="E12" s="38">
        <v>-575</v>
      </c>
      <c r="F12" s="38"/>
      <c r="G12" s="38">
        <f>(C12+E12)/2</f>
        <v>-637.5</v>
      </c>
      <c r="H12" s="47" t="s">
        <v>372</v>
      </c>
      <c r="I12" s="4">
        <f>I11+1</f>
        <v>2</v>
      </c>
    </row>
    <row r="13" spans="1:11" x14ac:dyDescent="0.35">
      <c r="A13" s="4">
        <f t="shared" ref="A13:A29" si="0">A12+1</f>
        <v>3</v>
      </c>
      <c r="B13" s="35" t="s">
        <v>1422</v>
      </c>
      <c r="C13" s="50">
        <v>0.15105741</v>
      </c>
      <c r="D13" s="6"/>
      <c r="E13" s="50">
        <f>'AD-10'!$D$18*'Stmt AI'!$E$25</f>
        <v>0.14496229794727647</v>
      </c>
      <c r="F13" s="6"/>
      <c r="G13" s="50">
        <f>(C13+E13)/2</f>
        <v>0.14800985397363825</v>
      </c>
      <c r="H13" s="47" t="s">
        <v>1423</v>
      </c>
      <c r="I13" s="4">
        <f t="shared" ref="I13:I29" si="1">I12+1</f>
        <v>3</v>
      </c>
      <c r="K13" s="898"/>
    </row>
    <row r="14" spans="1:11" ht="16" thickBot="1" x14ac:dyDescent="0.4">
      <c r="A14" s="4">
        <f t="shared" si="0"/>
        <v>4</v>
      </c>
      <c r="B14" s="350" t="s">
        <v>1424</v>
      </c>
      <c r="C14" s="93">
        <f>C12*C13</f>
        <v>-105.74018700000001</v>
      </c>
      <c r="D14" s="6"/>
      <c r="E14" s="93">
        <f>E12*E13</f>
        <v>-83.353321319683971</v>
      </c>
      <c r="F14" s="46"/>
      <c r="G14" s="93">
        <f>G12*G13</f>
        <v>-94.35628190819439</v>
      </c>
      <c r="H14" s="647" t="s">
        <v>1425</v>
      </c>
      <c r="I14" s="4">
        <f t="shared" si="1"/>
        <v>4</v>
      </c>
      <c r="K14" s="898"/>
    </row>
    <row r="15" spans="1:11" ht="16" thickTop="1" x14ac:dyDescent="0.35">
      <c r="A15" s="4">
        <f t="shared" si="0"/>
        <v>5</v>
      </c>
      <c r="C15" s="89"/>
      <c r="D15" s="89"/>
      <c r="E15" s="89"/>
      <c r="F15" s="89"/>
      <c r="G15" s="89"/>
      <c r="H15" s="89"/>
      <c r="I15" s="4">
        <f t="shared" si="1"/>
        <v>5</v>
      </c>
      <c r="K15" s="936"/>
    </row>
    <row r="16" spans="1:11" x14ac:dyDescent="0.35">
      <c r="A16" s="4">
        <f t="shared" si="0"/>
        <v>6</v>
      </c>
      <c r="B16" s="35" t="s">
        <v>1412</v>
      </c>
      <c r="C16" s="94"/>
      <c r="D16" s="94"/>
      <c r="E16" s="94"/>
      <c r="F16" s="94"/>
      <c r="G16" s="95"/>
      <c r="H16" s="95"/>
      <c r="I16" s="4">
        <f t="shared" si="1"/>
        <v>6</v>
      </c>
    </row>
    <row r="17" spans="1:9" x14ac:dyDescent="0.35">
      <c r="A17" s="4">
        <f t="shared" si="0"/>
        <v>7</v>
      </c>
      <c r="B17" s="35" t="s">
        <v>1426</v>
      </c>
      <c r="C17" s="38">
        <v>-18729</v>
      </c>
      <c r="D17" s="38"/>
      <c r="E17" s="38">
        <v>-17582</v>
      </c>
      <c r="F17" s="38"/>
      <c r="G17" s="38">
        <f>(C17+E17)/2</f>
        <v>-18155.5</v>
      </c>
      <c r="H17" s="47" t="s">
        <v>372</v>
      </c>
      <c r="I17" s="4">
        <f t="shared" si="1"/>
        <v>7</v>
      </c>
    </row>
    <row r="18" spans="1:9" x14ac:dyDescent="0.35">
      <c r="A18" s="4">
        <f t="shared" si="0"/>
        <v>8</v>
      </c>
      <c r="B18" s="35" t="s">
        <v>1422</v>
      </c>
      <c r="C18" s="50">
        <f>C13</f>
        <v>0.15105741</v>
      </c>
      <c r="D18" s="6"/>
      <c r="E18" s="50">
        <f>'AD-10'!$D$18*'Stmt AI'!$E$25</f>
        <v>0.14496229794727647</v>
      </c>
      <c r="F18" s="6"/>
      <c r="G18" s="50">
        <f>(C18+E18)/2</f>
        <v>0.14800985397363825</v>
      </c>
      <c r="H18" s="47" t="s">
        <v>1423</v>
      </c>
      <c r="I18" s="4">
        <f t="shared" si="1"/>
        <v>8</v>
      </c>
    </row>
    <row r="19" spans="1:9" ht="16" thickBot="1" x14ac:dyDescent="0.4">
      <c r="A19" s="4">
        <f t="shared" si="0"/>
        <v>9</v>
      </c>
      <c r="B19" s="350" t="s">
        <v>1427</v>
      </c>
      <c r="C19" s="93">
        <f>C17*C18</f>
        <v>-2829.1542318900001</v>
      </c>
      <c r="D19" s="6"/>
      <c r="E19" s="93">
        <f>E17*E18</f>
        <v>-2548.7271225090149</v>
      </c>
      <c r="F19" s="46"/>
      <c r="G19" s="93">
        <f>G17*G18</f>
        <v>-2687.1929038183894</v>
      </c>
      <c r="H19" s="647" t="s">
        <v>61</v>
      </c>
      <c r="I19" s="4">
        <f t="shared" si="1"/>
        <v>9</v>
      </c>
    </row>
    <row r="20" spans="1:9" ht="16" thickTop="1" x14ac:dyDescent="0.35">
      <c r="A20" s="4">
        <f t="shared" si="0"/>
        <v>10</v>
      </c>
      <c r="I20" s="4">
        <f t="shared" si="1"/>
        <v>10</v>
      </c>
    </row>
    <row r="21" spans="1:9" x14ac:dyDescent="0.35">
      <c r="A21" s="4">
        <f t="shared" si="0"/>
        <v>11</v>
      </c>
      <c r="B21" s="34" t="s">
        <v>1414</v>
      </c>
      <c r="C21" s="94"/>
      <c r="D21" s="94"/>
      <c r="E21" s="94"/>
      <c r="F21" s="94"/>
      <c r="G21" s="95"/>
      <c r="H21" s="4"/>
      <c r="I21" s="4">
        <f t="shared" si="1"/>
        <v>11</v>
      </c>
    </row>
    <row r="22" spans="1:9" ht="18" x14ac:dyDescent="0.35">
      <c r="A22" s="4">
        <f t="shared" si="0"/>
        <v>12</v>
      </c>
      <c r="B22" s="35" t="s">
        <v>1428</v>
      </c>
      <c r="C22" s="38">
        <v>-25996</v>
      </c>
      <c r="D22" s="935"/>
      <c r="E22" s="38">
        <v>-23382</v>
      </c>
      <c r="F22" s="38"/>
      <c r="G22" s="38">
        <f>(C22+E22)/2</f>
        <v>-24689</v>
      </c>
      <c r="H22" s="47" t="s">
        <v>372</v>
      </c>
      <c r="I22" s="4">
        <f t="shared" si="1"/>
        <v>12</v>
      </c>
    </row>
    <row r="23" spans="1:9" x14ac:dyDescent="0.35">
      <c r="A23" s="4">
        <f t="shared" si="0"/>
        <v>13</v>
      </c>
      <c r="B23" s="35" t="s">
        <v>1422</v>
      </c>
      <c r="C23" s="50">
        <f>C13</f>
        <v>0.15105741</v>
      </c>
      <c r="D23" s="6"/>
      <c r="E23" s="50">
        <f>'AD-10'!$D$18*'Stmt AI'!$E$25</f>
        <v>0.14496229794727647</v>
      </c>
      <c r="F23" s="6"/>
      <c r="G23" s="50">
        <f>(C23+E23)/2</f>
        <v>0.14800985397363825</v>
      </c>
      <c r="H23" s="47" t="s">
        <v>1423</v>
      </c>
      <c r="I23" s="4">
        <f t="shared" si="1"/>
        <v>13</v>
      </c>
    </row>
    <row r="24" spans="1:9" ht="18.5" thickBot="1" x14ac:dyDescent="0.4">
      <c r="A24" s="4">
        <f t="shared" si="0"/>
        <v>14</v>
      </c>
      <c r="B24" s="350" t="s">
        <v>1429</v>
      </c>
      <c r="C24" s="93">
        <f>C22*C23</f>
        <v>-3926.8884303600003</v>
      </c>
      <c r="D24" s="935"/>
      <c r="E24" s="93">
        <f>E22*E23</f>
        <v>-3389.5084506032185</v>
      </c>
      <c r="F24" s="46"/>
      <c r="G24" s="93">
        <f>G22*G23</f>
        <v>-3654.2152847551547</v>
      </c>
      <c r="H24" s="647" t="s">
        <v>1430</v>
      </c>
      <c r="I24" s="4">
        <f t="shared" si="1"/>
        <v>14</v>
      </c>
    </row>
    <row r="25" spans="1:9" ht="16" thickTop="1" x14ac:dyDescent="0.35">
      <c r="A25" s="4">
        <f t="shared" si="0"/>
        <v>15</v>
      </c>
      <c r="I25" s="4">
        <f t="shared" si="1"/>
        <v>15</v>
      </c>
    </row>
    <row r="26" spans="1:9" x14ac:dyDescent="0.35">
      <c r="A26" s="4">
        <f t="shared" si="0"/>
        <v>16</v>
      </c>
      <c r="B26" s="34" t="s">
        <v>1416</v>
      </c>
      <c r="C26" s="94"/>
      <c r="D26" s="94"/>
      <c r="E26" s="94"/>
      <c r="F26" s="94"/>
      <c r="G26" s="95"/>
      <c r="H26" s="4"/>
      <c r="I26" s="4">
        <f t="shared" si="1"/>
        <v>16</v>
      </c>
    </row>
    <row r="27" spans="1:9" x14ac:dyDescent="0.35">
      <c r="A27" s="4">
        <f t="shared" si="0"/>
        <v>17</v>
      </c>
      <c r="B27" s="35" t="s">
        <v>1431</v>
      </c>
      <c r="C27" s="38">
        <v>-30171</v>
      </c>
      <c r="D27" s="38"/>
      <c r="E27" s="38">
        <v>-30615</v>
      </c>
      <c r="F27" s="38"/>
      <c r="G27" s="38">
        <f>(C27+E27)/2</f>
        <v>-30393</v>
      </c>
      <c r="H27" s="47" t="s">
        <v>372</v>
      </c>
      <c r="I27" s="4">
        <f t="shared" si="1"/>
        <v>17</v>
      </c>
    </row>
    <row r="28" spans="1:9" x14ac:dyDescent="0.35">
      <c r="A28" s="4">
        <f t="shared" si="0"/>
        <v>18</v>
      </c>
      <c r="B28" s="35" t="s">
        <v>1422</v>
      </c>
      <c r="C28" s="50">
        <f>C13</f>
        <v>0.15105741</v>
      </c>
      <c r="D28" s="6"/>
      <c r="E28" s="50">
        <f>'AD-10'!$D$18*'Stmt AI'!$E$25</f>
        <v>0.14496229794727647</v>
      </c>
      <c r="F28" s="6"/>
      <c r="G28" s="50">
        <f>(C28+E28)/2</f>
        <v>0.14800985397363825</v>
      </c>
      <c r="H28" s="47" t="s">
        <v>1423</v>
      </c>
      <c r="I28" s="4">
        <f t="shared" si="1"/>
        <v>18</v>
      </c>
    </row>
    <row r="29" spans="1:9" ht="16" thickBot="1" x14ac:dyDescent="0.4">
      <c r="A29" s="4">
        <f t="shared" si="0"/>
        <v>19</v>
      </c>
      <c r="B29" s="350" t="s">
        <v>1432</v>
      </c>
      <c r="C29" s="93">
        <f>C27*C28</f>
        <v>-4557.5531171100001</v>
      </c>
      <c r="D29" s="6"/>
      <c r="E29" s="93">
        <f>E27*E28</f>
        <v>-4438.0207516558694</v>
      </c>
      <c r="F29" s="46"/>
      <c r="G29" s="93">
        <f>G27*G28</f>
        <v>-4498.4634918207876</v>
      </c>
      <c r="H29" s="647" t="s">
        <v>34</v>
      </c>
      <c r="I29" s="4">
        <f t="shared" si="1"/>
        <v>19</v>
      </c>
    </row>
    <row r="30" spans="1:9" ht="16" thickTop="1" x14ac:dyDescent="0.35">
      <c r="B30" s="350"/>
      <c r="C30" s="46"/>
      <c r="D30" s="6"/>
      <c r="E30" s="46"/>
      <c r="F30" s="46"/>
      <c r="G30" s="46"/>
      <c r="H30" s="647"/>
    </row>
    <row r="32" spans="1:9" ht="18" x14ac:dyDescent="0.35">
      <c r="A32" s="272" t="s">
        <v>1433</v>
      </c>
      <c r="B32" s="34" t="s">
        <v>1434</v>
      </c>
    </row>
    <row r="33" spans="1:9" x14ac:dyDescent="0.35">
      <c r="A33" s="4" t="s">
        <v>1435</v>
      </c>
      <c r="B33" s="34" t="s">
        <v>1436</v>
      </c>
      <c r="C33" s="50">
        <v>0.74670000000000003</v>
      </c>
      <c r="E33" s="38"/>
      <c r="H33" s="648" t="s">
        <v>1437</v>
      </c>
      <c r="I33" s="4" t="s">
        <v>1435</v>
      </c>
    </row>
    <row r="34" spans="1:9" x14ac:dyDescent="0.35">
      <c r="A34" s="4" t="s">
        <v>1438</v>
      </c>
      <c r="B34" s="34" t="s">
        <v>345</v>
      </c>
      <c r="C34" s="50">
        <v>0.20230000000000001</v>
      </c>
      <c r="H34" s="4" t="s">
        <v>1439</v>
      </c>
      <c r="I34" s="4" t="s">
        <v>1438</v>
      </c>
    </row>
    <row r="35" spans="1:9" ht="16" thickBot="1" x14ac:dyDescent="0.4">
      <c r="A35" s="4" t="s">
        <v>1440</v>
      </c>
      <c r="B35" s="34" t="s">
        <v>1422</v>
      </c>
      <c r="C35" s="649">
        <f>C33*C34</f>
        <v>0.15105741</v>
      </c>
      <c r="H35" s="4" t="s">
        <v>1441</v>
      </c>
      <c r="I35" s="4" t="s">
        <v>1440</v>
      </c>
    </row>
    <row r="36" spans="1:9" ht="16" thickTop="1" x14ac:dyDescent="0.35"/>
    <row r="37" spans="1:9" x14ac:dyDescent="0.35">
      <c r="A37"/>
      <c r="B37"/>
      <c r="C37"/>
    </row>
    <row r="38" spans="1:9" x14ac:dyDescent="0.35">
      <c r="H38" s="4"/>
      <c r="I38" s="34"/>
    </row>
  </sheetData>
  <mergeCells count="5">
    <mergeCell ref="B2:H2"/>
    <mergeCell ref="B3:H3"/>
    <mergeCell ref="B4:H4"/>
    <mergeCell ref="B5:H5"/>
    <mergeCell ref="B6:H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heetViews>
  <sheetFormatPr defaultColWidth="14.54296875" defaultRowHeight="14.5" x14ac:dyDescent="0.35"/>
  <cols>
    <col min="1" max="1" width="5.90625" style="775" customWidth="1"/>
    <col min="2" max="2" width="48.453125" style="775" customWidth="1"/>
    <col min="3" max="3" width="8.90625" style="775" customWidth="1"/>
    <col min="4" max="11" width="15.90625" style="775" customWidth="1"/>
    <col min="12" max="12" width="18.90625" style="775" bestFit="1" customWidth="1"/>
    <col min="13" max="14" width="15.90625" style="775" customWidth="1"/>
    <col min="15" max="15" width="30.54296875" style="775" customWidth="1"/>
    <col min="16" max="16" width="5.90625" style="775" customWidth="1"/>
    <col min="17" max="16384" width="14.54296875" style="775"/>
  </cols>
  <sheetData>
    <row r="1" spans="1:17" ht="15.5" x14ac:dyDescent="0.35">
      <c r="A1" s="778"/>
      <c r="B1" s="779" t="s">
        <v>0</v>
      </c>
      <c r="C1" s="780"/>
      <c r="D1" s="780"/>
      <c r="E1" s="780"/>
      <c r="F1" s="780"/>
      <c r="G1" s="780"/>
      <c r="H1" s="780"/>
      <c r="I1" s="780"/>
      <c r="J1" s="780"/>
      <c r="K1" s="780"/>
      <c r="L1" s="780"/>
      <c r="M1" s="780"/>
      <c r="N1" s="780"/>
      <c r="O1" s="780"/>
    </row>
    <row r="2" spans="1:17" x14ac:dyDescent="0.35">
      <c r="A2" s="781"/>
      <c r="B2" s="779" t="s">
        <v>1442</v>
      </c>
      <c r="C2" s="780"/>
      <c r="D2" s="780"/>
      <c r="E2" s="780"/>
      <c r="F2" s="780"/>
      <c r="G2" s="780"/>
      <c r="H2" s="780"/>
      <c r="I2" s="780"/>
      <c r="J2" s="780"/>
      <c r="K2" s="780"/>
      <c r="L2" s="780"/>
      <c r="M2" s="780"/>
      <c r="N2" s="780"/>
      <c r="O2" s="780"/>
    </row>
    <row r="3" spans="1:17" x14ac:dyDescent="0.35">
      <c r="A3" s="781"/>
      <c r="B3" s="750" t="s">
        <v>1443</v>
      </c>
      <c r="C3" s="780"/>
      <c r="D3" s="780"/>
      <c r="E3" s="780"/>
      <c r="F3" s="780"/>
      <c r="G3" s="780"/>
      <c r="H3" s="780"/>
      <c r="I3" s="780"/>
      <c r="J3" s="780"/>
      <c r="K3" s="780"/>
      <c r="L3" s="780"/>
      <c r="M3" s="780"/>
      <c r="N3" s="780"/>
      <c r="O3" s="780"/>
    </row>
    <row r="4" spans="1:17" x14ac:dyDescent="0.35">
      <c r="A4" s="782"/>
      <c r="B4" s="783" t="s">
        <v>1444</v>
      </c>
      <c r="C4" s="784"/>
      <c r="D4" s="784"/>
      <c r="E4" s="784"/>
      <c r="F4" s="784"/>
      <c r="G4" s="784"/>
      <c r="H4" s="784"/>
      <c r="I4" s="784"/>
      <c r="J4" s="784"/>
      <c r="K4" s="784"/>
      <c r="L4" s="784"/>
      <c r="M4" s="784"/>
      <c r="N4" s="784"/>
      <c r="O4" s="785"/>
      <c r="P4" s="786"/>
      <c r="Q4" s="786"/>
    </row>
    <row r="5" spans="1:17" x14ac:dyDescent="0.35">
      <c r="A5" s="782"/>
      <c r="B5" s="1201" t="s">
        <v>5</v>
      </c>
      <c r="C5" s="1201"/>
      <c r="D5" s="1201"/>
      <c r="E5" s="1201"/>
      <c r="F5" s="1201"/>
      <c r="G5" s="1201"/>
      <c r="H5" s="1201"/>
      <c r="I5" s="1201"/>
      <c r="J5" s="1201"/>
      <c r="K5" s="1201"/>
      <c r="L5" s="1201"/>
      <c r="M5" s="1201"/>
      <c r="N5" s="1201"/>
      <c r="O5" s="1201"/>
      <c r="P5" s="786"/>
      <c r="Q5" s="786"/>
    </row>
    <row r="6" spans="1:17" x14ac:dyDescent="0.35">
      <c r="A6" s="782"/>
      <c r="B6" s="748"/>
      <c r="C6" s="748"/>
      <c r="D6" s="748"/>
      <c r="E6" s="748"/>
      <c r="F6" s="748"/>
      <c r="G6" s="748"/>
      <c r="H6" s="748"/>
      <c r="I6" s="748"/>
      <c r="J6" s="748"/>
      <c r="K6" s="748"/>
      <c r="L6" s="748"/>
      <c r="M6" s="748"/>
      <c r="N6" s="748"/>
      <c r="O6" s="748"/>
      <c r="P6" s="786"/>
      <c r="Q6" s="786"/>
    </row>
    <row r="7" spans="1:17" x14ac:dyDescent="0.35">
      <c r="A7" s="739"/>
      <c r="B7" s="782"/>
      <c r="C7" s="782"/>
      <c r="D7" s="787"/>
      <c r="E7" s="787"/>
      <c r="F7" s="787"/>
      <c r="G7" s="787"/>
      <c r="H7" s="787"/>
      <c r="I7" s="787"/>
      <c r="J7" s="787"/>
      <c r="K7" s="787"/>
      <c r="L7" s="788"/>
      <c r="M7" s="777" t="s">
        <v>1445</v>
      </c>
      <c r="N7" s="789">
        <v>2021</v>
      </c>
      <c r="O7" s="790"/>
      <c r="P7" s="774"/>
      <c r="Q7" s="774"/>
    </row>
    <row r="8" spans="1:17" x14ac:dyDescent="0.35">
      <c r="A8" s="739"/>
      <c r="B8" s="787"/>
      <c r="C8" s="787"/>
      <c r="D8" s="787"/>
      <c r="E8" s="787"/>
      <c r="F8" s="787"/>
      <c r="G8" s="787"/>
      <c r="H8" s="787"/>
      <c r="I8" s="787"/>
      <c r="J8" s="787"/>
      <c r="K8" s="787"/>
      <c r="L8" s="787"/>
      <c r="M8" s="787"/>
      <c r="N8" s="787"/>
      <c r="O8" s="790"/>
      <c r="P8" s="774"/>
      <c r="Q8" s="774"/>
    </row>
    <row r="9" spans="1:17" x14ac:dyDescent="0.35">
      <c r="A9" s="755"/>
      <c r="B9" s="791" t="s">
        <v>1446</v>
      </c>
      <c r="C9" s="791" t="s">
        <v>1447</v>
      </c>
      <c r="D9" s="791" t="s">
        <v>1448</v>
      </c>
      <c r="E9" s="791" t="s">
        <v>1449</v>
      </c>
      <c r="F9" s="791" t="s">
        <v>1450</v>
      </c>
      <c r="G9" s="791" t="s">
        <v>1451</v>
      </c>
      <c r="H9" s="791" t="s">
        <v>1452</v>
      </c>
      <c r="I9" s="791" t="s">
        <v>1453</v>
      </c>
      <c r="J9" s="791" t="s">
        <v>1454</v>
      </c>
      <c r="K9" s="791" t="s">
        <v>1455</v>
      </c>
      <c r="L9" s="791" t="s">
        <v>1456</v>
      </c>
      <c r="M9" s="791" t="s">
        <v>1457</v>
      </c>
      <c r="N9" s="791" t="s">
        <v>1458</v>
      </c>
      <c r="O9" s="792"/>
      <c r="P9" s="793"/>
      <c r="Q9" s="793"/>
    </row>
    <row r="10" spans="1:17" ht="15" thickBot="1" x14ac:dyDescent="0.4">
      <c r="A10" s="739"/>
      <c r="B10" s="755"/>
      <c r="C10" s="755"/>
      <c r="D10" s="755"/>
      <c r="E10" s="755"/>
      <c r="F10" s="755"/>
      <c r="G10" s="755"/>
      <c r="H10" s="755"/>
      <c r="I10" s="755"/>
      <c r="J10" s="755"/>
      <c r="K10" s="755"/>
      <c r="L10" s="755"/>
      <c r="M10" s="755"/>
      <c r="N10" s="755"/>
      <c r="O10" s="792"/>
      <c r="P10" s="792"/>
      <c r="Q10" s="792"/>
    </row>
    <row r="11" spans="1:17" ht="15" thickBot="1" x14ac:dyDescent="0.4">
      <c r="A11" s="739"/>
      <c r="B11" s="755"/>
      <c r="C11" s="755"/>
      <c r="D11" s="794"/>
      <c r="E11" s="794"/>
      <c r="F11" s="794"/>
      <c r="G11" s="794"/>
      <c r="H11" s="794"/>
      <c r="I11" s="794"/>
      <c r="J11" s="795" t="s">
        <v>372</v>
      </c>
      <c r="K11" s="821" t="s">
        <v>1459</v>
      </c>
      <c r="L11" s="795" t="s">
        <v>1460</v>
      </c>
      <c r="M11" s="795" t="s">
        <v>1461</v>
      </c>
      <c r="N11" s="795" t="s">
        <v>1461</v>
      </c>
      <c r="O11" s="792"/>
      <c r="P11" s="792"/>
      <c r="Q11" s="792"/>
    </row>
    <row r="12" spans="1:17" ht="71.25" customHeight="1" thickBot="1" x14ac:dyDescent="0.4">
      <c r="A12" s="796" t="s">
        <v>1462</v>
      </c>
      <c r="B12" s="822" t="s">
        <v>1463</v>
      </c>
      <c r="C12" s="797" t="s">
        <v>1464</v>
      </c>
      <c r="D12" s="798" t="s">
        <v>1465</v>
      </c>
      <c r="E12" s="798" t="s">
        <v>1466</v>
      </c>
      <c r="F12" s="798" t="s">
        <v>1467</v>
      </c>
      <c r="G12" s="798" t="s">
        <v>1468</v>
      </c>
      <c r="H12" s="799" t="s">
        <v>1469</v>
      </c>
      <c r="I12" s="798" t="s">
        <v>1470</v>
      </c>
      <c r="J12" s="798" t="s">
        <v>1471</v>
      </c>
      <c r="K12" s="798" t="s">
        <v>1472</v>
      </c>
      <c r="L12" s="799" t="s">
        <v>1473</v>
      </c>
      <c r="M12" s="798" t="s">
        <v>1474</v>
      </c>
      <c r="N12" s="798" t="s">
        <v>1475</v>
      </c>
      <c r="O12" s="822" t="s">
        <v>9</v>
      </c>
      <c r="P12" s="796" t="s">
        <v>1462</v>
      </c>
      <c r="Q12" s="800"/>
    </row>
    <row r="13" spans="1:17" x14ac:dyDescent="0.35">
      <c r="A13" s="754">
        <v>1</v>
      </c>
      <c r="B13" s="739" t="s">
        <v>1476</v>
      </c>
      <c r="C13" s="761"/>
      <c r="D13" s="739"/>
      <c r="E13" s="739"/>
      <c r="F13" s="739"/>
      <c r="G13" s="739"/>
      <c r="H13" s="739"/>
      <c r="I13" s="739"/>
      <c r="J13" s="739"/>
      <c r="K13" s="739"/>
      <c r="L13" s="739"/>
      <c r="M13" s="739"/>
      <c r="N13" s="739"/>
      <c r="O13" s="766"/>
      <c r="P13" s="754">
        <v>1</v>
      </c>
      <c r="Q13" s="774"/>
    </row>
    <row r="14" spans="1:17" x14ac:dyDescent="0.35">
      <c r="A14" s="754">
        <f t="shared" ref="A14:A44" si="0">+A13+1</f>
        <v>2</v>
      </c>
      <c r="B14" s="739" t="s">
        <v>1477</v>
      </c>
      <c r="C14" s="722"/>
      <c r="D14" s="739"/>
      <c r="E14" s="739"/>
      <c r="F14" s="739"/>
      <c r="G14" s="739"/>
      <c r="H14" s="739"/>
      <c r="I14" s="739"/>
      <c r="J14" s="739"/>
      <c r="K14" s="739"/>
      <c r="L14" s="739"/>
      <c r="M14" s="739"/>
      <c r="N14" s="739"/>
      <c r="O14" s="755"/>
      <c r="P14" s="754">
        <f t="shared" ref="P14:P44" si="1">+P13+1</f>
        <v>2</v>
      </c>
      <c r="Q14" s="774"/>
    </row>
    <row r="15" spans="1:17" x14ac:dyDescent="0.35">
      <c r="A15" s="754">
        <f t="shared" si="0"/>
        <v>3</v>
      </c>
      <c r="B15" s="739" t="s">
        <v>1478</v>
      </c>
      <c r="C15" s="722">
        <v>190</v>
      </c>
      <c r="D15" s="744">
        <v>0</v>
      </c>
      <c r="E15" s="744">
        <v>0</v>
      </c>
      <c r="F15" s="744"/>
      <c r="G15" s="744"/>
      <c r="H15" s="744"/>
      <c r="I15" s="744"/>
      <c r="J15" s="739">
        <v>-121.75572065244999</v>
      </c>
      <c r="K15" s="739">
        <f t="shared" ref="K15:K17" si="2">SUM(D15:I15)</f>
        <v>0</v>
      </c>
      <c r="L15" s="739">
        <f>+'Order 864-2'!I18</f>
        <v>0</v>
      </c>
      <c r="M15" s="739">
        <f>IF(SUM($K$15:$L$17)&lt;0,0,SUM($K15:$L15))</f>
        <v>0</v>
      </c>
      <c r="N15" s="739">
        <f>IF(SUM($K$15:$L$17)&lt;0,SUM($K15:$L15),0)</f>
        <v>0</v>
      </c>
      <c r="O15" s="755" t="s">
        <v>372</v>
      </c>
      <c r="P15" s="754">
        <f t="shared" si="1"/>
        <v>3</v>
      </c>
      <c r="Q15" s="774"/>
    </row>
    <row r="16" spans="1:17" x14ac:dyDescent="0.35">
      <c r="A16" s="754">
        <f t="shared" si="0"/>
        <v>4</v>
      </c>
      <c r="B16" s="739" t="s">
        <v>1479</v>
      </c>
      <c r="C16" s="722">
        <v>190</v>
      </c>
      <c r="D16" s="744">
        <v>0</v>
      </c>
      <c r="E16" s="744">
        <v>0</v>
      </c>
      <c r="F16" s="744"/>
      <c r="G16" s="744"/>
      <c r="H16" s="744"/>
      <c r="I16" s="744"/>
      <c r="J16" s="739">
        <v>-67.238548636628707</v>
      </c>
      <c r="K16" s="739">
        <f t="shared" si="2"/>
        <v>0</v>
      </c>
      <c r="L16" s="739">
        <f>+'Order 864-2'!I19</f>
        <v>0</v>
      </c>
      <c r="M16" s="739">
        <f>IF(SUM($K$15:$L$17)&lt;0,0,SUM($K16:$L16))</f>
        <v>0</v>
      </c>
      <c r="N16" s="739">
        <f>IF(SUM($K$15:$L$17)&lt;0,SUM($K16:$L16),0)</f>
        <v>0</v>
      </c>
      <c r="O16" s="755" t="s">
        <v>372</v>
      </c>
      <c r="P16" s="754">
        <f t="shared" si="1"/>
        <v>4</v>
      </c>
      <c r="Q16" s="774"/>
    </row>
    <row r="17" spans="1:17" x14ac:dyDescent="0.35">
      <c r="A17" s="754">
        <f t="shared" si="0"/>
        <v>5</v>
      </c>
      <c r="B17" s="739" t="s">
        <v>1480</v>
      </c>
      <c r="C17" s="722">
        <v>190</v>
      </c>
      <c r="D17" s="744">
        <v>214.48517768267459</v>
      </c>
      <c r="E17" s="744">
        <v>0</v>
      </c>
      <c r="F17" s="744"/>
      <c r="G17" s="744"/>
      <c r="H17" s="744">
        <v>-214.4</v>
      </c>
      <c r="I17" s="744"/>
      <c r="J17" s="739">
        <v>-214.4</v>
      </c>
      <c r="K17" s="739">
        <f t="shared" si="2"/>
        <v>8.5177682674583366E-2</v>
      </c>
      <c r="L17" s="739">
        <f>+'Order 864-2'!I20</f>
        <v>0</v>
      </c>
      <c r="M17" s="739">
        <f>IF(SUM($K$15:$L$17)&lt;0,0,SUM($K17:$L17))</f>
        <v>8.5177682674583366E-2</v>
      </c>
      <c r="N17" s="739">
        <f>IF(SUM($K$15:$L$17)&lt;0,SUM($K17:$L17),0)</f>
        <v>0</v>
      </c>
      <c r="O17" s="755" t="s">
        <v>372</v>
      </c>
      <c r="P17" s="754">
        <f t="shared" si="1"/>
        <v>5</v>
      </c>
      <c r="Q17" s="774"/>
    </row>
    <row r="18" spans="1:17" x14ac:dyDescent="0.35">
      <c r="A18" s="754">
        <f t="shared" si="0"/>
        <v>6</v>
      </c>
      <c r="B18" s="739" t="s">
        <v>1481</v>
      </c>
      <c r="C18" s="722"/>
      <c r="D18" s="744"/>
      <c r="E18" s="744"/>
      <c r="F18" s="744"/>
      <c r="G18" s="744"/>
      <c r="H18" s="744"/>
      <c r="I18" s="744"/>
      <c r="J18" s="739"/>
      <c r="K18" s="739"/>
      <c r="L18" s="739"/>
      <c r="M18" s="739"/>
      <c r="N18" s="739"/>
      <c r="O18" s="755"/>
      <c r="P18" s="754">
        <f t="shared" si="1"/>
        <v>6</v>
      </c>
      <c r="Q18" s="774"/>
    </row>
    <row r="19" spans="1:17" x14ac:dyDescent="0.35">
      <c r="A19" s="754">
        <f t="shared" si="0"/>
        <v>7</v>
      </c>
      <c r="B19" s="739" t="s">
        <v>1482</v>
      </c>
      <c r="C19" s="722">
        <v>190</v>
      </c>
      <c r="D19" s="744">
        <v>181.15525620575846</v>
      </c>
      <c r="E19" s="744">
        <v>0</v>
      </c>
      <c r="F19" s="744"/>
      <c r="G19" s="744"/>
      <c r="H19" s="744">
        <v>-181</v>
      </c>
      <c r="I19" s="744"/>
      <c r="J19" s="739">
        <v>-555.29460583790205</v>
      </c>
      <c r="K19" s="739">
        <f t="shared" ref="K19" si="3">SUM(D19:I19)</f>
        <v>0.15525620575846233</v>
      </c>
      <c r="L19" s="739">
        <f>+'Order 864-2'!I22</f>
        <v>0</v>
      </c>
      <c r="M19" s="739">
        <f>IF(SUM($K$19:$L$19)&lt;0,0,SUM($K19:$L19))</f>
        <v>0.15525620575846233</v>
      </c>
      <c r="N19" s="739">
        <f>IF(SUM($K$19:$L$19)&lt;0,SUM($K19:$L19),0)</f>
        <v>0</v>
      </c>
      <c r="O19" s="755" t="s">
        <v>372</v>
      </c>
      <c r="P19" s="754">
        <f t="shared" si="1"/>
        <v>7</v>
      </c>
      <c r="Q19" s="774"/>
    </row>
    <row r="20" spans="1:17" x14ac:dyDescent="0.35">
      <c r="A20" s="754">
        <f t="shared" si="0"/>
        <v>8</v>
      </c>
      <c r="B20" s="739" t="s">
        <v>1483</v>
      </c>
      <c r="C20" s="722"/>
      <c r="D20" s="744"/>
      <c r="E20" s="744"/>
      <c r="F20" s="744"/>
      <c r="G20" s="744"/>
      <c r="H20" s="744"/>
      <c r="I20" s="744"/>
      <c r="J20" s="739"/>
      <c r="K20" s="739"/>
      <c r="L20" s="739"/>
      <c r="M20" s="739"/>
      <c r="N20" s="739"/>
      <c r="O20" s="755"/>
      <c r="P20" s="754">
        <f t="shared" si="1"/>
        <v>8</v>
      </c>
      <c r="Q20" s="774"/>
    </row>
    <row r="21" spans="1:17" x14ac:dyDescent="0.35">
      <c r="A21" s="754">
        <f t="shared" si="0"/>
        <v>9</v>
      </c>
      <c r="B21" s="739" t="s">
        <v>1484</v>
      </c>
      <c r="C21" s="722">
        <v>283</v>
      </c>
      <c r="D21" s="744">
        <v>0</v>
      </c>
      <c r="E21" s="744">
        <v>0</v>
      </c>
      <c r="F21" s="744"/>
      <c r="G21" s="744"/>
      <c r="H21" s="744"/>
      <c r="I21" s="744"/>
      <c r="J21" s="739">
        <v>-21828.386489952001</v>
      </c>
      <c r="K21" s="739">
        <f t="shared" ref="K21:K22" si="4">SUM(D21:I21)</f>
        <v>0</v>
      </c>
      <c r="L21" s="739">
        <f>+'Order 864-2'!I24</f>
        <v>0</v>
      </c>
      <c r="M21" s="739">
        <f>IF(SUM($K$21:$L$22)&lt;0,0,SUM($K21:$L21))</f>
        <v>0</v>
      </c>
      <c r="N21" s="739">
        <f>IF(SUM($K$21:$L$22)&lt;0,SUM($K21:$L21),0)</f>
        <v>0</v>
      </c>
      <c r="O21" s="755" t="s">
        <v>372</v>
      </c>
      <c r="P21" s="754">
        <f t="shared" si="1"/>
        <v>9</v>
      </c>
      <c r="Q21" s="774"/>
    </row>
    <row r="22" spans="1:17" x14ac:dyDescent="0.35">
      <c r="A22" s="754">
        <f t="shared" si="0"/>
        <v>10</v>
      </c>
      <c r="B22" s="739" t="s">
        <v>1485</v>
      </c>
      <c r="C22" s="722">
        <v>283</v>
      </c>
      <c r="D22" s="744">
        <v>0</v>
      </c>
      <c r="E22" s="744">
        <v>0</v>
      </c>
      <c r="F22" s="744"/>
      <c r="G22" s="744"/>
      <c r="H22" s="744"/>
      <c r="I22" s="744"/>
      <c r="J22" s="739">
        <v>24387.763684080001</v>
      </c>
      <c r="K22" s="739">
        <f t="shared" si="4"/>
        <v>0</v>
      </c>
      <c r="L22" s="739">
        <f>+'Order 864-2'!I25</f>
        <v>0</v>
      </c>
      <c r="M22" s="739">
        <f>IF(SUM($K$21:$L$22)&lt;0,0,SUM($K22:$L22))</f>
        <v>0</v>
      </c>
      <c r="N22" s="739">
        <f>IF(SUM($K$21:$L$22)&lt;0,SUM($K22:$L22),0)</f>
        <v>0</v>
      </c>
      <c r="O22" s="755" t="s">
        <v>372</v>
      </c>
      <c r="P22" s="754">
        <f t="shared" si="1"/>
        <v>10</v>
      </c>
      <c r="Q22" s="774"/>
    </row>
    <row r="23" spans="1:17" x14ac:dyDescent="0.35">
      <c r="A23" s="754">
        <f>+A22+1</f>
        <v>11</v>
      </c>
      <c r="B23" s="755"/>
      <c r="C23" s="756"/>
      <c r="D23" s="757"/>
      <c r="E23" s="757"/>
      <c r="F23" s="757"/>
      <c r="G23" s="757"/>
      <c r="H23" s="757"/>
      <c r="I23" s="757"/>
      <c r="J23" s="806"/>
      <c r="K23" s="757"/>
      <c r="L23" s="757"/>
      <c r="M23" s="757"/>
      <c r="N23" s="757"/>
      <c r="O23" s="739"/>
      <c r="P23" s="754">
        <f>+P22+1</f>
        <v>11</v>
      </c>
      <c r="Q23" s="774"/>
    </row>
    <row r="24" spans="1:17" ht="15" thickBot="1" x14ac:dyDescent="0.4">
      <c r="A24" s="754">
        <f t="shared" si="0"/>
        <v>12</v>
      </c>
      <c r="B24" s="755" t="s">
        <v>1486</v>
      </c>
      <c r="C24" s="739"/>
      <c r="D24" s="737">
        <f t="shared" ref="D24:N24" si="5">SUM(D14:D22)</f>
        <v>395.64043388843305</v>
      </c>
      <c r="E24" s="758">
        <f t="shared" si="5"/>
        <v>0</v>
      </c>
      <c r="F24" s="758">
        <f t="shared" si="5"/>
        <v>0</v>
      </c>
      <c r="G24" s="758">
        <f t="shared" si="5"/>
        <v>0</v>
      </c>
      <c r="H24" s="737">
        <f t="shared" si="5"/>
        <v>-395.4</v>
      </c>
      <c r="I24" s="758">
        <f t="shared" si="5"/>
        <v>0</v>
      </c>
      <c r="J24" s="737">
        <f t="shared" si="5"/>
        <v>1600.6883190010194</v>
      </c>
      <c r="K24" s="737">
        <f t="shared" si="5"/>
        <v>0.24043388843304569</v>
      </c>
      <c r="L24" s="737">
        <f t="shared" si="5"/>
        <v>0</v>
      </c>
      <c r="M24" s="737">
        <f t="shared" si="5"/>
        <v>0.24043388843304569</v>
      </c>
      <c r="N24" s="737">
        <f t="shared" si="5"/>
        <v>0</v>
      </c>
      <c r="O24" s="755" t="s">
        <v>1487</v>
      </c>
      <c r="P24" s="754">
        <f t="shared" si="1"/>
        <v>12</v>
      </c>
      <c r="Q24" s="774"/>
    </row>
    <row r="25" spans="1:17" ht="15" thickTop="1" x14ac:dyDescent="0.35">
      <c r="A25" s="754">
        <f t="shared" si="0"/>
        <v>13</v>
      </c>
      <c r="B25" s="739"/>
      <c r="C25" s="739"/>
      <c r="D25" s="759"/>
      <c r="E25" s="759"/>
      <c r="F25" s="759"/>
      <c r="G25" s="759"/>
      <c r="H25" s="759"/>
      <c r="I25" s="759"/>
      <c r="J25" s="759"/>
      <c r="K25" s="759"/>
      <c r="L25" s="759"/>
      <c r="M25" s="759"/>
      <c r="N25" s="759"/>
      <c r="O25" s="739"/>
      <c r="P25" s="754">
        <f t="shared" si="1"/>
        <v>13</v>
      </c>
      <c r="Q25" s="774"/>
    </row>
    <row r="26" spans="1:17" x14ac:dyDescent="0.35">
      <c r="A26" s="754">
        <f t="shared" si="0"/>
        <v>14</v>
      </c>
      <c r="B26" s="739" t="s">
        <v>1488</v>
      </c>
      <c r="C26" s="760"/>
      <c r="D26" s="759"/>
      <c r="E26" s="759"/>
      <c r="F26" s="759"/>
      <c r="G26" s="759"/>
      <c r="H26" s="759"/>
      <c r="I26" s="759"/>
      <c r="J26" s="759"/>
      <c r="K26" s="759"/>
      <c r="L26" s="759"/>
      <c r="M26" s="759"/>
      <c r="N26" s="759"/>
      <c r="O26" s="739"/>
      <c r="P26" s="754">
        <f t="shared" si="1"/>
        <v>14</v>
      </c>
      <c r="Q26" s="774"/>
    </row>
    <row r="27" spans="1:17" x14ac:dyDescent="0.35">
      <c r="A27" s="754">
        <f t="shared" si="0"/>
        <v>15</v>
      </c>
      <c r="B27" s="739" t="s">
        <v>1489</v>
      </c>
      <c r="C27" s="754">
        <v>190</v>
      </c>
      <c r="D27" s="744">
        <v>106709.95322450979</v>
      </c>
      <c r="E27" s="744">
        <v>0</v>
      </c>
      <c r="F27" s="744">
        <v>-15.203281039115543</v>
      </c>
      <c r="G27" s="744"/>
      <c r="H27" s="744">
        <v>-1358.3771498376336</v>
      </c>
      <c r="I27" s="744"/>
      <c r="J27" s="739">
        <v>-5122.7361521031489</v>
      </c>
      <c r="K27" s="739">
        <f>SUM(D27:I27)</f>
        <v>105336.37279363305</v>
      </c>
      <c r="L27" s="739">
        <f>+'Order 864-2'!I30</f>
        <v>0</v>
      </c>
      <c r="M27" s="739">
        <f>IF(SUM($K$27:$L$27)&lt;0,0,SUM($K27:$L27))</f>
        <v>105336.37279363305</v>
      </c>
      <c r="N27" s="739">
        <f>IF(SUM($K$27:$L$27)&lt;0,SUM($K27:$L27),0)</f>
        <v>0</v>
      </c>
      <c r="O27" s="755" t="s">
        <v>372</v>
      </c>
      <c r="P27" s="754">
        <f t="shared" si="1"/>
        <v>15</v>
      </c>
      <c r="Q27" s="774"/>
    </row>
    <row r="28" spans="1:17" x14ac:dyDescent="0.35">
      <c r="A28" s="754">
        <f t="shared" si="0"/>
        <v>16</v>
      </c>
      <c r="B28" s="739" t="s">
        <v>1490</v>
      </c>
      <c r="C28" s="754"/>
      <c r="D28" s="744"/>
      <c r="E28" s="744"/>
      <c r="F28" s="744"/>
      <c r="G28" s="744"/>
      <c r="H28" s="744"/>
      <c r="I28" s="744"/>
      <c r="J28" s="739"/>
      <c r="K28" s="739"/>
      <c r="L28" s="739"/>
      <c r="M28" s="739"/>
      <c r="N28" s="739"/>
      <c r="O28" s="755"/>
      <c r="P28" s="754">
        <f t="shared" si="1"/>
        <v>16</v>
      </c>
      <c r="Q28" s="774"/>
    </row>
    <row r="29" spans="1:17" x14ac:dyDescent="0.35">
      <c r="A29" s="754">
        <f t="shared" si="0"/>
        <v>17</v>
      </c>
      <c r="B29" s="739" t="s">
        <v>1491</v>
      </c>
      <c r="C29" s="754">
        <v>282</v>
      </c>
      <c r="D29" s="744">
        <v>0</v>
      </c>
      <c r="E29" s="744">
        <v>-383627.67687569576</v>
      </c>
      <c r="F29" s="744"/>
      <c r="G29" s="744">
        <v>1041.5441818181362</v>
      </c>
      <c r="H29" s="744">
        <v>0</v>
      </c>
      <c r="I29" s="744">
        <v>4867.7146530612245</v>
      </c>
      <c r="J29" s="739">
        <v>17950.555777365524</v>
      </c>
      <c r="K29" s="739">
        <f t="shared" ref="K29:K30" si="6">SUM(D29:I29)</f>
        <v>-377718.41804081638</v>
      </c>
      <c r="L29" s="739">
        <f>+'Order 864-2'!I32</f>
        <v>0</v>
      </c>
      <c r="M29" s="739">
        <f>IF(SUM($K$29:$L$30)&lt;0,0,SUM($K29:$L29))</f>
        <v>0</v>
      </c>
      <c r="N29" s="739">
        <f>IF(SUM($K$29:$L$30)&lt;0,SUM($K29:$L29),0)</f>
        <v>-377718.41804081638</v>
      </c>
      <c r="O29" s="755" t="s">
        <v>372</v>
      </c>
      <c r="P29" s="754">
        <f t="shared" si="1"/>
        <v>17</v>
      </c>
      <c r="Q29" s="774"/>
    </row>
    <row r="30" spans="1:17" x14ac:dyDescent="0.35">
      <c r="A30" s="754">
        <f t="shared" si="0"/>
        <v>18</v>
      </c>
      <c r="B30" s="739" t="s">
        <v>1492</v>
      </c>
      <c r="C30" s="754">
        <v>282</v>
      </c>
      <c r="D30" s="744">
        <v>0</v>
      </c>
      <c r="E30" s="744">
        <v>8691.854000000003</v>
      </c>
      <c r="F30" s="744"/>
      <c r="G30" s="744">
        <v>-27.932999999999083</v>
      </c>
      <c r="H30" s="744">
        <v>0</v>
      </c>
      <c r="I30" s="744">
        <v>-1002.7300000000005</v>
      </c>
      <c r="J30" s="739">
        <v>-4355.1580000000004</v>
      </c>
      <c r="K30" s="739">
        <f t="shared" si="6"/>
        <v>7661.1910000000034</v>
      </c>
      <c r="L30" s="739">
        <f>+'Order 864-2'!I33</f>
        <v>0</v>
      </c>
      <c r="M30" s="739">
        <f>IF(SUM($K$29:$L$30)&lt;0,0,SUM($K30:$L30))</f>
        <v>0</v>
      </c>
      <c r="N30" s="739">
        <f>IF(SUM($K$29:$L$30)&lt;0,SUM($K30:$L30),0)</f>
        <v>7661.1910000000034</v>
      </c>
      <c r="O30" s="755" t="s">
        <v>372</v>
      </c>
      <c r="P30" s="754">
        <f t="shared" si="1"/>
        <v>18</v>
      </c>
      <c r="Q30" s="774"/>
    </row>
    <row r="31" spans="1:17" x14ac:dyDescent="0.35">
      <c r="A31" s="754">
        <f t="shared" si="0"/>
        <v>19</v>
      </c>
      <c r="B31" s="755" t="s">
        <v>1493</v>
      </c>
      <c r="C31" s="756"/>
      <c r="D31" s="747">
        <f t="shared" ref="D31:N31" si="7">SUM(D27:D30)</f>
        <v>106709.95322450979</v>
      </c>
      <c r="E31" s="747">
        <f t="shared" si="7"/>
        <v>-374935.82287569577</v>
      </c>
      <c r="F31" s="747">
        <f t="shared" si="7"/>
        <v>-15.203281039115543</v>
      </c>
      <c r="G31" s="747">
        <f t="shared" si="7"/>
        <v>1013.6111818181371</v>
      </c>
      <c r="H31" s="747">
        <f t="shared" si="7"/>
        <v>-1358.3771498376336</v>
      </c>
      <c r="I31" s="747">
        <f t="shared" si="7"/>
        <v>3864.984653061224</v>
      </c>
      <c r="J31" s="747">
        <f t="shared" si="7"/>
        <v>8472.6616252623753</v>
      </c>
      <c r="K31" s="747">
        <f t="shared" si="7"/>
        <v>-264720.85424718331</v>
      </c>
      <c r="L31" s="747">
        <f t="shared" si="7"/>
        <v>0</v>
      </c>
      <c r="M31" s="747">
        <f t="shared" si="7"/>
        <v>105336.37279363305</v>
      </c>
      <c r="N31" s="747">
        <f t="shared" si="7"/>
        <v>-370057.22704081639</v>
      </c>
      <c r="O31" s="755" t="s">
        <v>1494</v>
      </c>
      <c r="P31" s="754">
        <f t="shared" si="1"/>
        <v>19</v>
      </c>
      <c r="Q31" s="774"/>
    </row>
    <row r="32" spans="1:17" x14ac:dyDescent="0.35">
      <c r="A32" s="754">
        <f t="shared" si="0"/>
        <v>20</v>
      </c>
      <c r="B32" s="739"/>
      <c r="C32" s="756"/>
      <c r="D32" s="759"/>
      <c r="E32" s="759"/>
      <c r="F32" s="759"/>
      <c r="G32" s="759"/>
      <c r="H32" s="759"/>
      <c r="I32" s="759"/>
      <c r="J32" s="739"/>
      <c r="K32" s="759"/>
      <c r="L32" s="759"/>
      <c r="M32" s="759"/>
      <c r="N32" s="759"/>
      <c r="O32" s="739"/>
      <c r="P32" s="754">
        <f t="shared" si="1"/>
        <v>20</v>
      </c>
      <c r="Q32" s="774"/>
    </row>
    <row r="33" spans="1:17" x14ac:dyDescent="0.35">
      <c r="A33" s="754">
        <f t="shared" si="0"/>
        <v>21</v>
      </c>
      <c r="B33" s="739" t="s">
        <v>1495</v>
      </c>
      <c r="C33" s="761"/>
      <c r="D33" s="759"/>
      <c r="E33" s="759"/>
      <c r="F33" s="759"/>
      <c r="G33" s="759"/>
      <c r="H33" s="759"/>
      <c r="I33" s="759"/>
      <c r="J33" s="739"/>
      <c r="K33" s="759"/>
      <c r="L33" s="759"/>
      <c r="M33" s="759"/>
      <c r="N33" s="759"/>
      <c r="O33" s="739"/>
      <c r="P33" s="754">
        <f t="shared" si="1"/>
        <v>21</v>
      </c>
      <c r="Q33" s="774"/>
    </row>
    <row r="34" spans="1:17" x14ac:dyDescent="0.35">
      <c r="A34" s="754">
        <f t="shared" si="0"/>
        <v>22</v>
      </c>
      <c r="B34" s="739" t="s">
        <v>1496</v>
      </c>
      <c r="C34" s="754">
        <v>282</v>
      </c>
      <c r="D34" s="744">
        <v>0</v>
      </c>
      <c r="E34" s="744">
        <v>-12447.835636363636</v>
      </c>
      <c r="F34" s="744"/>
      <c r="G34" s="744">
        <v>33.168636363636153</v>
      </c>
      <c r="H34" s="744"/>
      <c r="I34" s="744">
        <v>268.61399999999958</v>
      </c>
      <c r="J34" s="739">
        <v>1052.8493636363637</v>
      </c>
      <c r="K34" s="739">
        <f>SUM(D34:I34)</f>
        <v>-12146.053</v>
      </c>
      <c r="L34" s="739">
        <f>+'Order 864-2'!I37</f>
        <v>0</v>
      </c>
      <c r="M34" s="739">
        <f>IF(SUM($K$34:$L$34)&lt;0,0,SUM($K34:$L34))</f>
        <v>0</v>
      </c>
      <c r="N34" s="739">
        <f>IF(SUM($K$34:$L$34)&lt;0,SUM($K34:$L34),0)</f>
        <v>-12146.053</v>
      </c>
      <c r="O34" s="755" t="s">
        <v>372</v>
      </c>
      <c r="P34" s="754">
        <f t="shared" si="1"/>
        <v>22</v>
      </c>
      <c r="Q34" s="774"/>
    </row>
    <row r="35" spans="1:17" x14ac:dyDescent="0.35">
      <c r="A35" s="754">
        <f t="shared" si="0"/>
        <v>23</v>
      </c>
      <c r="B35" s="739" t="s">
        <v>1497</v>
      </c>
      <c r="C35" s="754">
        <v>282</v>
      </c>
      <c r="D35" s="744">
        <v>0</v>
      </c>
      <c r="E35" s="744">
        <v>-33804.298727272733</v>
      </c>
      <c r="F35" s="744"/>
      <c r="G35" s="744">
        <v>9.1397272727303971</v>
      </c>
      <c r="H35" s="744"/>
      <c r="I35" s="744">
        <v>1427.9730000000018</v>
      </c>
      <c r="J35" s="739">
        <v>6278.0032727272719</v>
      </c>
      <c r="K35" s="739">
        <f t="shared" ref="K35:K36" si="8">SUM(D35:I35)</f>
        <v>-32367.185999999998</v>
      </c>
      <c r="L35" s="739">
        <f>+'Order 864-2'!I38</f>
        <v>0</v>
      </c>
      <c r="M35" s="739">
        <f>IF(SUM($K$35:$L$35)&lt;0,0,SUM($K35:$L35))</f>
        <v>0</v>
      </c>
      <c r="N35" s="739">
        <f>IF(SUM($K$35:$L$35)&lt;0,SUM($K35:$L35),0)</f>
        <v>-32367.185999999998</v>
      </c>
      <c r="O35" s="755" t="s">
        <v>372</v>
      </c>
      <c r="P35" s="754">
        <f t="shared" si="1"/>
        <v>23</v>
      </c>
      <c r="Q35" s="774"/>
    </row>
    <row r="36" spans="1:17" x14ac:dyDescent="0.35">
      <c r="A36" s="754">
        <f t="shared" si="0"/>
        <v>24</v>
      </c>
      <c r="B36" s="739" t="s">
        <v>1498</v>
      </c>
      <c r="C36" s="762">
        <v>282</v>
      </c>
      <c r="D36" s="744">
        <v>575.57872727272797</v>
      </c>
      <c r="E36" s="744">
        <v>0</v>
      </c>
      <c r="F36" s="744">
        <v>12835.4331749063</v>
      </c>
      <c r="G36" s="744"/>
      <c r="H36" s="744">
        <v>-15.275999999999197</v>
      </c>
      <c r="I36" s="744"/>
      <c r="J36" s="739">
        <v>533.48772727272785</v>
      </c>
      <c r="K36" s="739">
        <f t="shared" si="8"/>
        <v>13395.735902179029</v>
      </c>
      <c r="L36" s="739">
        <f>+'Order 864-2'!I39</f>
        <v>0</v>
      </c>
      <c r="M36" s="739">
        <f>IF(SUM($K$36:$L$36)&lt;0,0,SUM($K36:$L36))</f>
        <v>13395.735902179029</v>
      </c>
      <c r="N36" s="739">
        <f>IF(SUM($K$36:$L$36)&lt;0,SUM($K36:$L36),0)</f>
        <v>0</v>
      </c>
      <c r="O36" s="755" t="s">
        <v>372</v>
      </c>
      <c r="P36" s="754">
        <f t="shared" si="1"/>
        <v>24</v>
      </c>
      <c r="Q36" s="774"/>
    </row>
    <row r="37" spans="1:17" x14ac:dyDescent="0.35">
      <c r="A37" s="754">
        <f t="shared" si="0"/>
        <v>25</v>
      </c>
      <c r="B37" s="755" t="s">
        <v>1493</v>
      </c>
      <c r="C37" s="756"/>
      <c r="D37" s="747">
        <f t="shared" ref="D37:L37" si="9">SUM(D34:D36)</f>
        <v>575.57872727272797</v>
      </c>
      <c r="E37" s="747">
        <f t="shared" si="9"/>
        <v>-46252.134363636367</v>
      </c>
      <c r="F37" s="747">
        <f t="shared" si="9"/>
        <v>12835.4331749063</v>
      </c>
      <c r="G37" s="747">
        <f t="shared" si="9"/>
        <v>42.308363636366551</v>
      </c>
      <c r="H37" s="747">
        <f t="shared" si="9"/>
        <v>-15.275999999999197</v>
      </c>
      <c r="I37" s="747">
        <f t="shared" si="9"/>
        <v>1696.5870000000014</v>
      </c>
      <c r="J37" s="747">
        <f t="shared" ref="J37" si="10">SUM(J34:J36)</f>
        <v>7864.3403636363637</v>
      </c>
      <c r="K37" s="747">
        <f t="shared" si="9"/>
        <v>-31117.503097820972</v>
      </c>
      <c r="L37" s="747">
        <f t="shared" si="9"/>
        <v>0</v>
      </c>
      <c r="M37" s="747">
        <f>SUM(M34:M36)</f>
        <v>13395.735902179029</v>
      </c>
      <c r="N37" s="747">
        <f>SUM(N34:N36)</f>
        <v>-44513.239000000001</v>
      </c>
      <c r="O37" s="755" t="s">
        <v>1499</v>
      </c>
      <c r="P37" s="754">
        <f t="shared" si="1"/>
        <v>25</v>
      </c>
      <c r="Q37" s="774"/>
    </row>
    <row r="38" spans="1:17" x14ac:dyDescent="0.35">
      <c r="A38" s="754">
        <f t="shared" si="0"/>
        <v>26</v>
      </c>
      <c r="B38" s="739"/>
      <c r="C38" s="756"/>
      <c r="D38" s="757"/>
      <c r="E38" s="757"/>
      <c r="F38" s="757"/>
      <c r="G38" s="757"/>
      <c r="H38" s="757"/>
      <c r="I38" s="757"/>
      <c r="J38" s="757"/>
      <c r="K38" s="757"/>
      <c r="L38" s="757"/>
      <c r="M38" s="757"/>
      <c r="N38" s="757"/>
      <c r="O38" s="739"/>
      <c r="P38" s="754">
        <f t="shared" si="1"/>
        <v>26</v>
      </c>
      <c r="Q38" s="774"/>
    </row>
    <row r="39" spans="1:17" x14ac:dyDescent="0.35">
      <c r="A39" s="754">
        <f t="shared" si="0"/>
        <v>27</v>
      </c>
      <c r="B39" s="739" t="s">
        <v>1495</v>
      </c>
      <c r="C39" s="761"/>
      <c r="D39" s="759"/>
      <c r="E39" s="759"/>
      <c r="F39" s="759"/>
      <c r="G39" s="759"/>
      <c r="H39" s="759"/>
      <c r="I39" s="759"/>
      <c r="J39" s="759"/>
      <c r="K39" s="759"/>
      <c r="L39" s="759"/>
      <c r="M39" s="759"/>
      <c r="N39" s="759"/>
      <c r="O39" s="739"/>
      <c r="P39" s="754">
        <f t="shared" si="1"/>
        <v>27</v>
      </c>
      <c r="Q39" s="774"/>
    </row>
    <row r="40" spans="1:17" x14ac:dyDescent="0.35">
      <c r="A40" s="754">
        <f t="shared" si="0"/>
        <v>28</v>
      </c>
      <c r="B40" s="739" t="s">
        <v>1500</v>
      </c>
      <c r="C40" s="762">
        <v>282</v>
      </c>
      <c r="D40" s="772">
        <v>39256.840315053982</v>
      </c>
      <c r="E40" s="818">
        <v>0</v>
      </c>
      <c r="F40" s="807">
        <v>-179.31870210307693</v>
      </c>
      <c r="G40" s="807"/>
      <c r="H40" s="807">
        <v>-497.51115402315071</v>
      </c>
      <c r="I40" s="807"/>
      <c r="J40" s="739">
        <v>-1847.9718389692107</v>
      </c>
      <c r="K40" s="773">
        <f>SUM(D40:I40)</f>
        <v>38580.010458927754</v>
      </c>
      <c r="L40" s="773">
        <f>+'Order 864-2'!I43</f>
        <v>0</v>
      </c>
      <c r="M40" s="739">
        <f>IF(SUM($K$40:$L$40)&lt;0,0,SUM($K40:$L40))</f>
        <v>38580.010458927754</v>
      </c>
      <c r="N40" s="739">
        <f>IF(SUM($K$40:$L$40)&lt;0,SUM($K40:$L40),0)</f>
        <v>0</v>
      </c>
      <c r="O40" s="755" t="s">
        <v>372</v>
      </c>
      <c r="P40" s="754">
        <f t="shared" si="1"/>
        <v>28</v>
      </c>
      <c r="Q40" s="774"/>
    </row>
    <row r="41" spans="1:17" x14ac:dyDescent="0.35">
      <c r="A41" s="754">
        <f t="shared" si="0"/>
        <v>29</v>
      </c>
      <c r="B41" s="739"/>
      <c r="C41" s="756"/>
      <c r="D41" s="763"/>
      <c r="E41" s="763"/>
      <c r="F41" s="763"/>
      <c r="G41" s="763"/>
      <c r="H41" s="763"/>
      <c r="I41" s="763"/>
      <c r="J41" s="763"/>
      <c r="K41" s="763"/>
      <c r="L41" s="763"/>
      <c r="M41" s="763"/>
      <c r="N41" s="763"/>
      <c r="O41" s="739"/>
      <c r="P41" s="754">
        <f t="shared" si="1"/>
        <v>29</v>
      </c>
      <c r="Q41" s="774"/>
    </row>
    <row r="42" spans="1:17" ht="15" thickBot="1" x14ac:dyDescent="0.4">
      <c r="A42" s="754">
        <f t="shared" si="0"/>
        <v>30</v>
      </c>
      <c r="B42" s="755" t="s">
        <v>1501</v>
      </c>
      <c r="C42" s="756"/>
      <c r="D42" s="737">
        <f t="shared" ref="D42:N42" si="11">+D40+D37+D31</f>
        <v>146542.37226683649</v>
      </c>
      <c r="E42" s="737">
        <f t="shared" si="11"/>
        <v>-421187.95723933214</v>
      </c>
      <c r="F42" s="737">
        <f t="shared" si="11"/>
        <v>12640.911191764108</v>
      </c>
      <c r="G42" s="737">
        <f t="shared" si="11"/>
        <v>1055.9195454545036</v>
      </c>
      <c r="H42" s="737">
        <f t="shared" si="11"/>
        <v>-1871.1643038607835</v>
      </c>
      <c r="I42" s="737">
        <f t="shared" si="11"/>
        <v>5561.5716530612253</v>
      </c>
      <c r="J42" s="737">
        <f t="shared" ref="J42" si="12">J31+J37+J40</f>
        <v>14489.030149929527</v>
      </c>
      <c r="K42" s="737">
        <f t="shared" si="11"/>
        <v>-257258.34688607653</v>
      </c>
      <c r="L42" s="737">
        <f t="shared" si="11"/>
        <v>0</v>
      </c>
      <c r="M42" s="737">
        <f t="shared" si="11"/>
        <v>157312.11915473983</v>
      </c>
      <c r="N42" s="737">
        <f t="shared" si="11"/>
        <v>-414570.46604081639</v>
      </c>
      <c r="O42" s="823" t="s">
        <v>1502</v>
      </c>
      <c r="P42" s="754">
        <f t="shared" si="1"/>
        <v>30</v>
      </c>
      <c r="Q42" s="774"/>
    </row>
    <row r="43" spans="1:17" ht="15" thickTop="1" x14ac:dyDescent="0.35">
      <c r="A43" s="754">
        <f t="shared" si="0"/>
        <v>31</v>
      </c>
      <c r="B43" s="739"/>
      <c r="C43" s="739"/>
      <c r="D43" s="764"/>
      <c r="E43" s="764"/>
      <c r="F43" s="764"/>
      <c r="G43" s="764"/>
      <c r="H43" s="764"/>
      <c r="I43" s="764"/>
      <c r="J43" s="764"/>
      <c r="K43" s="764"/>
      <c r="L43" s="764"/>
      <c r="M43" s="764"/>
      <c r="N43" s="764"/>
      <c r="O43" s="739"/>
      <c r="P43" s="754">
        <f t="shared" si="1"/>
        <v>31</v>
      </c>
      <c r="Q43" s="774"/>
    </row>
    <row r="44" spans="1:17" ht="15" thickBot="1" x14ac:dyDescent="0.4">
      <c r="A44" s="754">
        <f t="shared" si="0"/>
        <v>32</v>
      </c>
      <c r="B44" s="755" t="s">
        <v>1503</v>
      </c>
      <c r="C44" s="739"/>
      <c r="D44" s="737">
        <f t="shared" ref="D44:N44" si="13">D24+D42</f>
        <v>146938.01270072494</v>
      </c>
      <c r="E44" s="737">
        <f t="shared" si="13"/>
        <v>-421187.95723933214</v>
      </c>
      <c r="F44" s="737">
        <f t="shared" si="13"/>
        <v>12640.911191764108</v>
      </c>
      <c r="G44" s="737">
        <f t="shared" si="13"/>
        <v>1055.9195454545036</v>
      </c>
      <c r="H44" s="737">
        <f t="shared" si="13"/>
        <v>-2266.5643038607836</v>
      </c>
      <c r="I44" s="737">
        <f t="shared" si="13"/>
        <v>5561.5716530612253</v>
      </c>
      <c r="J44" s="737">
        <f t="shared" si="13"/>
        <v>16089.718468930547</v>
      </c>
      <c r="K44" s="737">
        <f t="shared" si="13"/>
        <v>-257258.10645218811</v>
      </c>
      <c r="L44" s="737">
        <f t="shared" si="13"/>
        <v>0</v>
      </c>
      <c r="M44" s="737">
        <f t="shared" si="13"/>
        <v>157312.35958862826</v>
      </c>
      <c r="N44" s="737">
        <f t="shared" si="13"/>
        <v>-414570.46604081639</v>
      </c>
      <c r="O44" s="755" t="s">
        <v>1504</v>
      </c>
      <c r="P44" s="754">
        <f t="shared" si="1"/>
        <v>32</v>
      </c>
      <c r="Q44" s="774"/>
    </row>
    <row r="45" spans="1:17" ht="15" thickTop="1" x14ac:dyDescent="0.35">
      <c r="A45" s="754"/>
      <c r="B45" s="739"/>
      <c r="C45" s="739"/>
      <c r="D45" s="739"/>
      <c r="E45" s="739"/>
      <c r="F45" s="739"/>
      <c r="G45" s="739"/>
      <c r="H45" s="739"/>
      <c r="I45" s="739"/>
      <c r="J45" s="739"/>
      <c r="K45" s="739"/>
      <c r="L45" s="739"/>
      <c r="M45" s="739">
        <f>'AF-1'!E35-M44</f>
        <v>0</v>
      </c>
      <c r="N45" s="739">
        <f>N44-'AF-1'!G35</f>
        <v>0</v>
      </c>
      <c r="O45" s="774"/>
      <c r="P45" s="774"/>
      <c r="Q45" s="774"/>
    </row>
    <row r="46" spans="1:17" x14ac:dyDescent="0.35">
      <c r="A46" s="801"/>
      <c r="B46" s="726" t="s">
        <v>1505</v>
      </c>
      <c r="C46" s="765"/>
      <c r="D46" s="933"/>
      <c r="E46" s="933"/>
      <c r="F46" s="933"/>
      <c r="G46" s="933"/>
      <c r="H46" s="933"/>
      <c r="I46" s="933"/>
      <c r="J46" s="933"/>
      <c r="K46" s="933"/>
      <c r="L46" s="933"/>
      <c r="M46" s="933"/>
      <c r="N46" s="933"/>
      <c r="O46" s="774"/>
      <c r="P46" s="774"/>
      <c r="Q46" s="774"/>
    </row>
    <row r="47" spans="1:17" x14ac:dyDescent="0.35">
      <c r="A47" s="801"/>
      <c r="B47" s="837" t="s">
        <v>1506</v>
      </c>
      <c r="C47" s="765"/>
      <c r="D47" s="739"/>
      <c r="E47" s="739"/>
      <c r="F47" s="739"/>
      <c r="G47" s="739"/>
      <c r="H47" s="739"/>
      <c r="I47" s="739"/>
      <c r="J47" s="739"/>
      <c r="K47" s="739"/>
      <c r="L47" s="739"/>
      <c r="M47" s="739"/>
      <c r="N47" s="739"/>
      <c r="O47" s="774"/>
      <c r="P47" s="774"/>
      <c r="Q47" s="774"/>
    </row>
    <row r="48" spans="1:17" x14ac:dyDescent="0.35">
      <c r="A48" s="801"/>
      <c r="B48" s="837" t="s">
        <v>1507</v>
      </c>
      <c r="C48" s="766"/>
      <c r="D48" s="766"/>
      <c r="E48" s="766"/>
      <c r="F48" s="739"/>
      <c r="G48" s="739"/>
      <c r="H48" s="739"/>
      <c r="I48" s="739"/>
      <c r="J48" s="739"/>
      <c r="K48" s="739"/>
      <c r="L48" s="739"/>
      <c r="M48" s="739"/>
      <c r="N48" s="739"/>
      <c r="O48" s="824"/>
      <c r="P48" s="774"/>
      <c r="Q48" s="774"/>
    </row>
    <row r="49" spans="1:17" x14ac:dyDescent="0.35">
      <c r="A49" s="801"/>
      <c r="B49" s="837" t="s">
        <v>1508</v>
      </c>
      <c r="C49" s="766"/>
      <c r="D49" s="766"/>
      <c r="E49" s="766"/>
      <c r="F49" s="739"/>
      <c r="G49" s="739"/>
      <c r="H49" s="739"/>
      <c r="I49" s="739"/>
      <c r="J49" s="739"/>
      <c r="K49" s="739"/>
      <c r="L49" s="739"/>
      <c r="M49" s="739"/>
      <c r="N49" s="739"/>
      <c r="O49" s="824"/>
      <c r="P49" s="774"/>
      <c r="Q49" s="774"/>
    </row>
    <row r="50" spans="1:17" x14ac:dyDescent="0.35">
      <c r="A50" s="801"/>
      <c r="B50" s="837" t="s">
        <v>1509</v>
      </c>
      <c r="C50" s="766"/>
      <c r="D50" s="766"/>
      <c r="E50" s="766"/>
      <c r="F50" s="739"/>
      <c r="G50" s="739"/>
      <c r="H50" s="739"/>
      <c r="I50" s="739"/>
      <c r="J50" s="739"/>
      <c r="K50" s="739"/>
      <c r="L50" s="739"/>
      <c r="M50" s="739"/>
      <c r="N50" s="739"/>
      <c r="O50" s="824"/>
      <c r="P50" s="774"/>
      <c r="Q50" s="774"/>
    </row>
    <row r="51" spans="1:17" x14ac:dyDescent="0.35">
      <c r="A51" s="766"/>
      <c r="B51" s="837" t="s">
        <v>1510</v>
      </c>
      <c r="C51" s="766"/>
      <c r="D51" s="766"/>
      <c r="E51" s="766"/>
      <c r="F51" s="766"/>
      <c r="G51" s="766"/>
      <c r="H51" s="766"/>
      <c r="I51" s="766"/>
      <c r="J51" s="766"/>
      <c r="K51" s="766"/>
      <c r="L51" s="766"/>
      <c r="M51" s="766"/>
      <c r="N51" s="766"/>
      <c r="O51" s="774"/>
      <c r="P51" s="774"/>
      <c r="Q51" s="774"/>
    </row>
    <row r="52" spans="1:17" x14ac:dyDescent="0.35">
      <c r="A52" s="766"/>
      <c r="B52" s="837" t="s">
        <v>1511</v>
      </c>
      <c r="C52" s="766"/>
      <c r="D52" s="766"/>
      <c r="E52" s="766"/>
      <c r="F52" s="766"/>
      <c r="G52" s="766"/>
      <c r="H52" s="766"/>
      <c r="I52" s="766"/>
      <c r="J52" s="766"/>
      <c r="K52" s="766"/>
      <c r="L52" s="766"/>
      <c r="M52" s="766"/>
      <c r="N52" s="766"/>
      <c r="O52" s="825"/>
      <c r="P52" s="774"/>
      <c r="Q52" s="774"/>
    </row>
    <row r="53" spans="1:17" x14ac:dyDescent="0.35">
      <c r="A53" s="766"/>
      <c r="B53" s="837" t="s">
        <v>1512</v>
      </c>
      <c r="C53" s="766"/>
      <c r="D53" s="766"/>
      <c r="E53" s="766"/>
      <c r="F53" s="766"/>
      <c r="G53" s="766"/>
      <c r="H53" s="766"/>
      <c r="I53" s="766"/>
      <c r="J53" s="766"/>
      <c r="K53" s="766"/>
      <c r="L53" s="766"/>
      <c r="M53" s="766"/>
      <c r="N53" s="766"/>
      <c r="O53" s="824"/>
      <c r="P53" s="774"/>
      <c r="Q53" s="774"/>
    </row>
    <row r="54" spans="1:17" x14ac:dyDescent="0.35">
      <c r="A54" s="768"/>
      <c r="B54" s="837" t="s">
        <v>1513</v>
      </c>
      <c r="C54" s="768"/>
      <c r="D54" s="768"/>
      <c r="E54" s="768"/>
      <c r="F54" s="768"/>
      <c r="G54" s="768"/>
      <c r="H54" s="768"/>
      <c r="I54" s="768"/>
      <c r="J54" s="768"/>
      <c r="K54" s="768"/>
      <c r="L54" s="768"/>
      <c r="M54" s="768"/>
      <c r="N54" s="768"/>
    </row>
    <row r="55" spans="1:17" x14ac:dyDescent="0.35">
      <c r="A55" s="768"/>
      <c r="B55" s="837" t="s">
        <v>1514</v>
      </c>
      <c r="C55" s="768"/>
      <c r="D55" s="768"/>
      <c r="E55" s="768"/>
      <c r="F55" s="768"/>
      <c r="G55" s="768"/>
      <c r="H55" s="768"/>
      <c r="I55" s="768"/>
      <c r="J55" s="768"/>
      <c r="K55" s="768"/>
      <c r="L55" s="768"/>
      <c r="M55" s="768"/>
      <c r="N55" s="768"/>
    </row>
    <row r="56" spans="1:17" x14ac:dyDescent="0.35">
      <c r="A56" s="768"/>
      <c r="B56" s="837" t="s">
        <v>1515</v>
      </c>
      <c r="C56" s="768"/>
      <c r="D56" s="768"/>
      <c r="E56" s="768"/>
      <c r="F56" s="768"/>
      <c r="G56" s="768"/>
      <c r="H56" s="768"/>
      <c r="I56" s="768"/>
      <c r="J56" s="768"/>
      <c r="K56" s="768"/>
      <c r="L56" s="768"/>
      <c r="M56" s="768"/>
      <c r="N56" s="768"/>
    </row>
    <row r="57" spans="1:17" x14ac:dyDescent="0.35">
      <c r="A57" s="768"/>
      <c r="B57" s="837"/>
      <c r="C57" s="768"/>
      <c r="D57" s="768"/>
      <c r="E57" s="768"/>
      <c r="F57" s="768"/>
      <c r="G57" s="768"/>
      <c r="H57" s="768"/>
      <c r="I57" s="768"/>
      <c r="J57" s="768"/>
      <c r="K57" s="768"/>
      <c r="L57" s="768"/>
      <c r="M57" s="768"/>
      <c r="N57" s="768"/>
    </row>
    <row r="58" spans="1:17" x14ac:dyDescent="0.35">
      <c r="A58" s="768"/>
      <c r="B58" s="767"/>
      <c r="C58" s="739"/>
      <c r="D58" s="739"/>
      <c r="E58" s="739"/>
      <c r="F58" s="756"/>
      <c r="G58" s="756"/>
      <c r="H58" s="801" t="s">
        <v>1516</v>
      </c>
      <c r="I58" s="801" t="s">
        <v>1517</v>
      </c>
      <c r="J58" s="801" t="s">
        <v>1518</v>
      </c>
      <c r="K58" s="801" t="s">
        <v>1519</v>
      </c>
      <c r="L58" s="801" t="s">
        <v>1520</v>
      </c>
      <c r="M58" s="768"/>
      <c r="N58" s="768"/>
    </row>
    <row r="59" spans="1:17" x14ac:dyDescent="0.35">
      <c r="A59" s="768"/>
      <c r="B59" s="767"/>
      <c r="C59" s="739"/>
      <c r="D59" s="739"/>
      <c r="E59" s="739"/>
      <c r="F59" s="756"/>
      <c r="G59" s="756"/>
      <c r="H59" s="791" t="s">
        <v>1457</v>
      </c>
      <c r="I59" s="791" t="s">
        <v>1458</v>
      </c>
      <c r="J59" s="756"/>
      <c r="M59" s="768"/>
      <c r="N59" s="768"/>
    </row>
    <row r="60" spans="1:17" ht="39.5" x14ac:dyDescent="0.35">
      <c r="A60" s="768"/>
      <c r="B60" s="838" t="s">
        <v>1521</v>
      </c>
      <c r="C60" s="739"/>
      <c r="D60" s="839" t="s">
        <v>1522</v>
      </c>
      <c r="E60" s="754"/>
      <c r="F60" s="756"/>
      <c r="G60" s="756"/>
      <c r="H60" s="840" t="s">
        <v>1474</v>
      </c>
      <c r="I60" s="840" t="s">
        <v>1475</v>
      </c>
      <c r="J60" s="840" t="s">
        <v>1523</v>
      </c>
      <c r="K60" s="840" t="s">
        <v>1524</v>
      </c>
      <c r="L60" s="840" t="s">
        <v>1525</v>
      </c>
      <c r="M60" s="768"/>
      <c r="N60" s="768"/>
    </row>
    <row r="61" spans="1:17" x14ac:dyDescent="0.35">
      <c r="A61" s="768"/>
      <c r="B61" s="776" t="s">
        <v>1526</v>
      </c>
      <c r="C61" s="841" t="s">
        <v>1435</v>
      </c>
      <c r="D61" s="842">
        <v>0.21</v>
      </c>
      <c r="E61" s="843"/>
      <c r="F61" s="756"/>
      <c r="G61" s="776" t="s">
        <v>1527</v>
      </c>
      <c r="H61" s="739">
        <f>M24</f>
        <v>0.24043388843304569</v>
      </c>
      <c r="I61" s="739">
        <f>N24</f>
        <v>0</v>
      </c>
      <c r="J61" s="844">
        <f>D66-1</f>
        <v>0.38857260290711548</v>
      </c>
      <c r="K61" s="739">
        <f>H61*J61</f>
        <v>9.3426021855507566E-2</v>
      </c>
      <c r="L61" s="739">
        <f>I61*J61</f>
        <v>0</v>
      </c>
      <c r="M61" s="768"/>
      <c r="N61" s="768"/>
    </row>
    <row r="62" spans="1:17" x14ac:dyDescent="0.35">
      <c r="A62" s="768"/>
      <c r="B62" s="776" t="s">
        <v>1528</v>
      </c>
      <c r="C62" s="841" t="s">
        <v>1438</v>
      </c>
      <c r="D62" s="842">
        <v>8.8400000000000006E-2</v>
      </c>
      <c r="E62" s="843"/>
      <c r="F62" s="756"/>
      <c r="G62" s="776" t="s">
        <v>1529</v>
      </c>
      <c r="H62" s="739">
        <f>M42</f>
        <v>157312.11915473983</v>
      </c>
      <c r="I62" s="739">
        <f>N42</f>
        <v>-414570.46604081639</v>
      </c>
      <c r="J62" s="844">
        <f>D66-1</f>
        <v>0.38857260290711548</v>
      </c>
      <c r="K62" s="739">
        <f>H62*J62</f>
        <v>61127.179608791557</v>
      </c>
      <c r="L62" s="739">
        <f>I62*J62</f>
        <v>-161090.72507789594</v>
      </c>
      <c r="M62" s="768"/>
      <c r="N62" s="768"/>
    </row>
    <row r="63" spans="1:17" x14ac:dyDescent="0.35">
      <c r="A63" s="768"/>
      <c r="B63" s="776" t="s">
        <v>1530</v>
      </c>
      <c r="C63" s="841" t="s">
        <v>1531</v>
      </c>
      <c r="D63" s="846">
        <f>-D62*D61</f>
        <v>-1.8564000000000001E-2</v>
      </c>
      <c r="E63" s="843"/>
      <c r="F63" s="843"/>
      <c r="G63" s="768"/>
      <c r="H63" s="768"/>
      <c r="I63" s="768"/>
      <c r="J63" s="768"/>
      <c r="K63" s="768"/>
      <c r="L63" s="768"/>
      <c r="M63" s="768"/>
      <c r="N63" s="768"/>
    </row>
    <row r="64" spans="1:17" x14ac:dyDescent="0.35">
      <c r="B64" s="776" t="s">
        <v>1532</v>
      </c>
      <c r="C64" s="841" t="s">
        <v>1533</v>
      </c>
      <c r="D64" s="847">
        <f>SUM(D61:D63)</f>
        <v>0.27983599999999997</v>
      </c>
      <c r="E64" s="845"/>
      <c r="F64" s="843"/>
    </row>
    <row r="65" spans="2:6" x14ac:dyDescent="0.35">
      <c r="B65" s="776" t="s">
        <v>1534</v>
      </c>
      <c r="C65" s="841" t="s">
        <v>1535</v>
      </c>
      <c r="D65" s="847">
        <f>1-D64</f>
        <v>0.72016400000000003</v>
      </c>
      <c r="E65" s="845"/>
      <c r="F65" s="843"/>
    </row>
    <row r="66" spans="2:6" x14ac:dyDescent="0.35">
      <c r="B66" s="776" t="s">
        <v>1523</v>
      </c>
      <c r="C66" s="841" t="s">
        <v>1536</v>
      </c>
      <c r="D66" s="848">
        <f>1/D65</f>
        <v>1.3885726029071155</v>
      </c>
      <c r="E66" s="844"/>
      <c r="F66" s="844"/>
    </row>
    <row r="67" spans="2:6" x14ac:dyDescent="0.35">
      <c r="B67" s="766"/>
      <c r="C67" s="776"/>
      <c r="D67" s="802"/>
      <c r="E67" s="802"/>
    </row>
    <row r="68" spans="2:6" x14ac:dyDescent="0.35">
      <c r="B68" s="767"/>
      <c r="C68" s="766"/>
      <c r="D68" s="766"/>
      <c r="E68" s="766"/>
    </row>
  </sheetData>
  <mergeCells count="1">
    <mergeCell ref="B5:O5"/>
  </mergeCells>
  <printOptions horizontalCentered="1"/>
  <pageMargins left="0.25" right="0.25" top="0.5" bottom="0.5" header="0.25" footer="0.25"/>
  <pageSetup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80" zoomScaleNormal="80" workbookViewId="0"/>
  </sheetViews>
  <sheetFormatPr defaultColWidth="14.54296875" defaultRowHeight="14.5" x14ac:dyDescent="0.35"/>
  <cols>
    <col min="1" max="1" width="5.90625" customWidth="1"/>
    <col min="2" max="2" width="48.54296875" customWidth="1"/>
    <col min="3" max="3" width="8.90625" customWidth="1"/>
    <col min="4" max="9" width="16.54296875" customWidth="1"/>
    <col min="10" max="10" width="45.90625" customWidth="1"/>
    <col min="11" max="11" width="5.90625" customWidth="1"/>
    <col min="12" max="12" width="18.90625" customWidth="1"/>
  </cols>
  <sheetData>
    <row r="1" spans="1:14" ht="15.5" x14ac:dyDescent="0.35">
      <c r="A1" s="710"/>
      <c r="B1" s="711" t="s">
        <v>0</v>
      </c>
      <c r="C1" s="712"/>
      <c r="D1" s="712"/>
      <c r="E1" s="712"/>
      <c r="F1" s="712"/>
      <c r="G1" s="712"/>
      <c r="H1" s="712"/>
      <c r="I1" s="712"/>
      <c r="J1" s="712"/>
      <c r="K1" s="713"/>
    </row>
    <row r="2" spans="1:14" x14ac:dyDescent="0.35">
      <c r="A2" s="713"/>
      <c r="B2" s="711" t="s">
        <v>1537</v>
      </c>
      <c r="C2" s="712"/>
      <c r="D2" s="712"/>
      <c r="E2" s="712"/>
      <c r="F2" s="712"/>
      <c r="G2" s="712"/>
      <c r="H2" s="712"/>
      <c r="I2" s="712"/>
      <c r="J2" s="712"/>
      <c r="K2" s="713"/>
    </row>
    <row r="3" spans="1:14" x14ac:dyDescent="0.35">
      <c r="A3" s="713"/>
      <c r="B3" s="750" t="s">
        <v>1443</v>
      </c>
      <c r="C3" s="712"/>
      <c r="D3" s="712"/>
      <c r="E3" s="712"/>
      <c r="F3" s="712"/>
      <c r="G3" s="712"/>
      <c r="H3" s="712"/>
      <c r="I3" s="712"/>
      <c r="J3" s="712"/>
      <c r="K3" s="713"/>
    </row>
    <row r="4" spans="1:14" x14ac:dyDescent="0.35">
      <c r="A4" s="713"/>
      <c r="B4" s="745" t="s">
        <v>1444</v>
      </c>
      <c r="C4" s="746"/>
      <c r="D4" s="746"/>
      <c r="E4" s="746"/>
      <c r="F4" s="746"/>
      <c r="G4" s="746"/>
      <c r="H4" s="746"/>
      <c r="I4" s="746"/>
      <c r="J4" s="746"/>
      <c r="K4" s="713"/>
    </row>
    <row r="5" spans="1:14" x14ac:dyDescent="0.35">
      <c r="A5" s="713"/>
      <c r="B5" s="1201" t="s">
        <v>5</v>
      </c>
      <c r="C5" s="1201"/>
      <c r="D5" s="1201"/>
      <c r="E5" s="1201"/>
      <c r="F5" s="1201"/>
      <c r="G5" s="1201"/>
      <c r="H5" s="1201"/>
      <c r="I5" s="1201"/>
      <c r="J5" s="1201"/>
      <c r="K5" s="730"/>
      <c r="L5" s="730"/>
      <c r="M5" s="730"/>
      <c r="N5" s="730"/>
    </row>
    <row r="6" spans="1:14" x14ac:dyDescent="0.35">
      <c r="A6" s="713"/>
      <c r="B6" s="711"/>
      <c r="C6" s="712"/>
      <c r="D6" s="712"/>
      <c r="E6" s="712"/>
      <c r="F6" s="712"/>
      <c r="G6" s="712"/>
      <c r="H6" s="712"/>
      <c r="I6" s="712"/>
      <c r="J6" s="712"/>
      <c r="K6" s="713"/>
    </row>
    <row r="7" spans="1:14" x14ac:dyDescent="0.35">
      <c r="A7" s="714"/>
      <c r="B7" s="731"/>
      <c r="C7" s="732"/>
      <c r="D7" s="732"/>
      <c r="E7" s="732"/>
      <c r="F7" s="732"/>
      <c r="G7" s="732"/>
      <c r="H7" s="716" t="s">
        <v>1445</v>
      </c>
      <c r="I7" s="741">
        <v>2021</v>
      </c>
      <c r="J7" s="714"/>
      <c r="K7" s="714"/>
      <c r="L7" s="714"/>
    </row>
    <row r="8" spans="1:14" x14ac:dyDescent="0.35">
      <c r="A8" s="714"/>
      <c r="B8" s="731"/>
      <c r="C8" s="732"/>
      <c r="D8" s="732"/>
      <c r="E8" s="732"/>
      <c r="F8" s="732"/>
      <c r="G8" s="732"/>
      <c r="H8" s="716" t="s">
        <v>1538</v>
      </c>
      <c r="I8" s="742" t="s">
        <v>1178</v>
      </c>
      <c r="J8" s="714"/>
      <c r="K8" s="714"/>
      <c r="L8" s="714"/>
    </row>
    <row r="9" spans="1:14" x14ac:dyDescent="0.35">
      <c r="A9" s="714"/>
      <c r="B9" s="715"/>
      <c r="C9" s="715"/>
      <c r="D9" s="715"/>
      <c r="E9" s="715"/>
      <c r="F9" s="715"/>
      <c r="G9" s="715"/>
      <c r="H9" s="728" t="s">
        <v>1539</v>
      </c>
      <c r="I9" s="743"/>
      <c r="J9" s="714"/>
      <c r="K9" s="714"/>
      <c r="L9" s="714"/>
    </row>
    <row r="10" spans="1:14" x14ac:dyDescent="0.35">
      <c r="A10" s="714"/>
      <c r="B10" s="715"/>
      <c r="C10" s="715"/>
      <c r="D10" s="715"/>
      <c r="E10" s="715"/>
      <c r="F10" s="715"/>
      <c r="G10" s="715"/>
      <c r="H10" s="733"/>
      <c r="I10" s="733"/>
      <c r="J10" s="714"/>
      <c r="K10" s="714"/>
      <c r="L10" s="714"/>
    </row>
    <row r="11" spans="1:14" x14ac:dyDescent="0.35">
      <c r="A11" s="717"/>
      <c r="B11" s="718" t="s">
        <v>1446</v>
      </c>
      <c r="C11" s="718" t="s">
        <v>1447</v>
      </c>
      <c r="D11" s="718" t="s">
        <v>1448</v>
      </c>
      <c r="E11" s="718" t="s">
        <v>1449</v>
      </c>
      <c r="F11" s="718" t="s">
        <v>1450</v>
      </c>
      <c r="G11" s="718" t="s">
        <v>1451</v>
      </c>
      <c r="H11" s="718" t="s">
        <v>1452</v>
      </c>
      <c r="I11" s="718" t="s">
        <v>1453</v>
      </c>
      <c r="J11" s="714"/>
      <c r="K11" s="714"/>
      <c r="L11" s="714"/>
    </row>
    <row r="12" spans="1:14" ht="15" thickBot="1" x14ac:dyDescent="0.4">
      <c r="A12" s="714"/>
      <c r="B12" s="717"/>
      <c r="C12" s="717"/>
      <c r="D12" s="714"/>
      <c r="E12" s="714"/>
      <c r="F12" s="714"/>
      <c r="G12" s="714"/>
      <c r="H12" s="714"/>
      <c r="I12" s="714"/>
      <c r="J12" s="714"/>
      <c r="K12" s="714"/>
      <c r="L12" s="714"/>
    </row>
    <row r="13" spans="1:14" ht="15" thickBot="1" x14ac:dyDescent="0.4">
      <c r="A13" s="714"/>
      <c r="B13" s="717"/>
      <c r="C13" s="717"/>
      <c r="D13" s="1202" t="s">
        <v>1540</v>
      </c>
      <c r="E13" s="1203"/>
      <c r="F13" s="1203"/>
      <c r="G13" s="1203"/>
      <c r="H13" s="1203"/>
      <c r="I13" s="1204"/>
      <c r="J13" s="714"/>
      <c r="K13" s="714"/>
      <c r="L13" s="714"/>
    </row>
    <row r="14" spans="1:14" ht="15" thickBot="1" x14ac:dyDescent="0.4">
      <c r="A14" s="714"/>
      <c r="B14" s="717"/>
      <c r="C14" s="717"/>
      <c r="D14" s="826"/>
      <c r="E14" s="826"/>
      <c r="F14" s="827" t="s">
        <v>1541</v>
      </c>
      <c r="G14" s="828" t="s">
        <v>1542</v>
      </c>
      <c r="H14" s="827" t="s">
        <v>1543</v>
      </c>
      <c r="I14" s="827" t="s">
        <v>1544</v>
      </c>
      <c r="J14" s="714"/>
      <c r="K14" s="714"/>
      <c r="L14" s="714"/>
    </row>
    <row r="15" spans="1:14" ht="39.5" thickBot="1" x14ac:dyDescent="0.4">
      <c r="A15" s="719" t="s">
        <v>1462</v>
      </c>
      <c r="B15" s="822" t="s">
        <v>1463</v>
      </c>
      <c r="C15" s="721" t="s">
        <v>1464</v>
      </c>
      <c r="D15" s="829" t="s">
        <v>1545</v>
      </c>
      <c r="E15" s="829" t="s">
        <v>1546</v>
      </c>
      <c r="F15" s="829" t="s">
        <v>1547</v>
      </c>
      <c r="G15" s="829" t="s">
        <v>1548</v>
      </c>
      <c r="H15" s="829" t="s">
        <v>1549</v>
      </c>
      <c r="I15" s="829" t="s">
        <v>1550</v>
      </c>
      <c r="J15" s="720" t="s">
        <v>9</v>
      </c>
      <c r="K15" s="719" t="s">
        <v>1462</v>
      </c>
      <c r="L15" s="734"/>
    </row>
    <row r="16" spans="1:14" x14ac:dyDescent="0.35">
      <c r="A16" s="722">
        <v>1</v>
      </c>
      <c r="B16" s="739" t="s">
        <v>1476</v>
      </c>
      <c r="C16" s="723"/>
      <c r="D16" s="725"/>
      <c r="E16" s="714"/>
      <c r="F16" s="714"/>
      <c r="G16" s="714"/>
      <c r="H16" s="714"/>
      <c r="I16" s="714"/>
      <c r="J16" s="714"/>
      <c r="K16" s="722">
        <v>1</v>
      </c>
      <c r="L16" s="734"/>
    </row>
    <row r="17" spans="1:12" x14ac:dyDescent="0.35">
      <c r="A17" s="722">
        <f t="shared" ref="A17:A47" si="0">+A16+1</f>
        <v>2</v>
      </c>
      <c r="B17" s="739" t="s">
        <v>1477</v>
      </c>
      <c r="C17" s="722"/>
      <c r="D17" s="714"/>
      <c r="E17" s="714"/>
      <c r="F17" s="714"/>
      <c r="G17" s="714"/>
      <c r="H17" s="714"/>
      <c r="I17" s="714"/>
      <c r="J17" s="717"/>
      <c r="K17" s="722">
        <f t="shared" ref="K17:K47" si="1">+K16+1</f>
        <v>2</v>
      </c>
      <c r="L17" s="734"/>
    </row>
    <row r="18" spans="1:12" x14ac:dyDescent="0.35">
      <c r="A18" s="722">
        <f t="shared" si="0"/>
        <v>3</v>
      </c>
      <c r="B18" s="739" t="s">
        <v>1478</v>
      </c>
      <c r="C18" s="722">
        <v>190</v>
      </c>
      <c r="D18" s="740"/>
      <c r="E18" s="740"/>
      <c r="F18" s="714">
        <f>+D18*$I$9</f>
        <v>0</v>
      </c>
      <c r="G18" s="714">
        <f>+E18-F18</f>
        <v>0</v>
      </c>
      <c r="H18" s="714">
        <f>IF(+$I$8="No",0,'Order 864-1'!K15)</f>
        <v>0</v>
      </c>
      <c r="I18" s="714">
        <f t="shared" ref="I18:I20" si="2">+G18-H18</f>
        <v>0</v>
      </c>
      <c r="J18" s="717" t="s">
        <v>372</v>
      </c>
      <c r="K18" s="722">
        <f t="shared" si="1"/>
        <v>3</v>
      </c>
      <c r="L18" s="734"/>
    </row>
    <row r="19" spans="1:12" x14ac:dyDescent="0.35">
      <c r="A19" s="722">
        <f t="shared" si="0"/>
        <v>4</v>
      </c>
      <c r="B19" s="739" t="s">
        <v>1479</v>
      </c>
      <c r="C19" s="722">
        <v>190</v>
      </c>
      <c r="D19" s="740"/>
      <c r="E19" s="740"/>
      <c r="F19" s="714">
        <f>+D19*$I$9</f>
        <v>0</v>
      </c>
      <c r="G19" s="714">
        <f>+E19-F19</f>
        <v>0</v>
      </c>
      <c r="H19" s="714">
        <f>IF(+$I$8="No",0,'Order 864-1'!K16)</f>
        <v>0</v>
      </c>
      <c r="I19" s="714">
        <f t="shared" si="2"/>
        <v>0</v>
      </c>
      <c r="J19" s="717" t="s">
        <v>372</v>
      </c>
      <c r="K19" s="722">
        <f t="shared" si="1"/>
        <v>4</v>
      </c>
      <c r="L19" s="734"/>
    </row>
    <row r="20" spans="1:12" x14ac:dyDescent="0.35">
      <c r="A20" s="722">
        <f t="shared" si="0"/>
        <v>5</v>
      </c>
      <c r="B20" s="739" t="s">
        <v>1480</v>
      </c>
      <c r="C20" s="722">
        <v>190</v>
      </c>
      <c r="D20" s="740"/>
      <c r="E20" s="740"/>
      <c r="F20" s="714">
        <f>+D20*$I$9</f>
        <v>0</v>
      </c>
      <c r="G20" s="714">
        <f>+E20-F20</f>
        <v>0</v>
      </c>
      <c r="H20" s="714">
        <f>IF(+$I$8="No",0,'Order 864-1'!K17)</f>
        <v>0</v>
      </c>
      <c r="I20" s="714">
        <f t="shared" si="2"/>
        <v>0</v>
      </c>
      <c r="J20" s="717" t="s">
        <v>372</v>
      </c>
      <c r="K20" s="722">
        <f t="shared" si="1"/>
        <v>5</v>
      </c>
      <c r="L20" s="734"/>
    </row>
    <row r="21" spans="1:12" x14ac:dyDescent="0.35">
      <c r="A21" s="722">
        <f t="shared" si="0"/>
        <v>6</v>
      </c>
      <c r="B21" s="739" t="s">
        <v>1481</v>
      </c>
      <c r="C21" s="722"/>
      <c r="D21" s="740"/>
      <c r="E21" s="740"/>
      <c r="F21" s="714"/>
      <c r="G21" s="714"/>
      <c r="H21" s="714"/>
      <c r="I21" s="714"/>
      <c r="J21" s="717"/>
      <c r="K21" s="722">
        <f t="shared" si="1"/>
        <v>6</v>
      </c>
      <c r="L21" s="734"/>
    </row>
    <row r="22" spans="1:12" x14ac:dyDescent="0.35">
      <c r="A22" s="722">
        <f t="shared" si="0"/>
        <v>7</v>
      </c>
      <c r="B22" s="739" t="s">
        <v>1482</v>
      </c>
      <c r="C22" s="722">
        <v>190</v>
      </c>
      <c r="D22" s="740"/>
      <c r="E22" s="740"/>
      <c r="F22" s="714">
        <f>+D22*$I$9</f>
        <v>0</v>
      </c>
      <c r="G22" s="714">
        <f>+E22-F22</f>
        <v>0</v>
      </c>
      <c r="H22" s="714">
        <f>IF(+$I$8="No",0,'Order 864-1'!K19)</f>
        <v>0</v>
      </c>
      <c r="I22" s="714">
        <f t="shared" ref="I22" si="3">+G22-H22</f>
        <v>0</v>
      </c>
      <c r="J22" s="717" t="s">
        <v>372</v>
      </c>
      <c r="K22" s="722">
        <f t="shared" si="1"/>
        <v>7</v>
      </c>
      <c r="L22" s="734"/>
    </row>
    <row r="23" spans="1:12" x14ac:dyDescent="0.35">
      <c r="A23" s="722">
        <f t="shared" si="0"/>
        <v>8</v>
      </c>
      <c r="B23" s="739" t="s">
        <v>1483</v>
      </c>
      <c r="C23" s="722"/>
      <c r="D23" s="744"/>
      <c r="E23" s="744"/>
      <c r="F23" s="714"/>
      <c r="G23" s="714"/>
      <c r="H23" s="714"/>
      <c r="I23" s="714"/>
      <c r="J23" s="717"/>
      <c r="K23" s="722">
        <f t="shared" si="1"/>
        <v>8</v>
      </c>
      <c r="L23" s="734"/>
    </row>
    <row r="24" spans="1:12" x14ac:dyDescent="0.35">
      <c r="A24" s="722">
        <f t="shared" si="0"/>
        <v>9</v>
      </c>
      <c r="B24" s="739" t="s">
        <v>1484</v>
      </c>
      <c r="C24" s="722">
        <v>283</v>
      </c>
      <c r="D24" s="744"/>
      <c r="E24" s="744"/>
      <c r="F24" s="714">
        <f>+D24*$I$9</f>
        <v>0</v>
      </c>
      <c r="G24" s="714">
        <f>+E24-F24</f>
        <v>0</v>
      </c>
      <c r="H24" s="714">
        <f>IF(+$I$8="No",0,'Order 864-1'!K21)</f>
        <v>0</v>
      </c>
      <c r="I24" s="714">
        <f t="shared" ref="I24:I25" si="4">+G24-H24</f>
        <v>0</v>
      </c>
      <c r="J24" s="717" t="s">
        <v>372</v>
      </c>
      <c r="K24" s="722">
        <f t="shared" si="1"/>
        <v>9</v>
      </c>
      <c r="L24" s="734"/>
    </row>
    <row r="25" spans="1:12" x14ac:dyDescent="0.35">
      <c r="A25" s="722">
        <f t="shared" si="0"/>
        <v>10</v>
      </c>
      <c r="B25" s="739" t="s">
        <v>1485</v>
      </c>
      <c r="C25" s="722">
        <v>283</v>
      </c>
      <c r="D25" s="744"/>
      <c r="E25" s="744"/>
      <c r="F25" s="714">
        <f>+D25*$I$9</f>
        <v>0</v>
      </c>
      <c r="G25" s="714">
        <f>+E25-F25</f>
        <v>0</v>
      </c>
      <c r="H25" s="714">
        <f>IF(+$I$8="No",0,'Order 864-1'!K22)</f>
        <v>0</v>
      </c>
      <c r="I25" s="714">
        <f t="shared" si="4"/>
        <v>0</v>
      </c>
      <c r="J25" s="717" t="s">
        <v>372</v>
      </c>
      <c r="K25" s="722">
        <f t="shared" si="1"/>
        <v>10</v>
      </c>
      <c r="L25" s="734"/>
    </row>
    <row r="26" spans="1:12" x14ac:dyDescent="0.35">
      <c r="A26" s="722">
        <f t="shared" si="0"/>
        <v>11</v>
      </c>
      <c r="B26" s="755"/>
      <c r="C26" s="769"/>
      <c r="D26" s="736"/>
      <c r="E26" s="736"/>
      <c r="F26" s="736"/>
      <c r="G26" s="736"/>
      <c r="H26" s="736"/>
      <c r="I26" s="736"/>
      <c r="J26" s="739"/>
      <c r="K26" s="722">
        <f t="shared" si="1"/>
        <v>11</v>
      </c>
      <c r="L26" s="769"/>
    </row>
    <row r="27" spans="1:12" ht="15" thickBot="1" x14ac:dyDescent="0.4">
      <c r="A27" s="722">
        <f t="shared" si="0"/>
        <v>12</v>
      </c>
      <c r="B27" s="755" t="s">
        <v>1486</v>
      </c>
      <c r="C27" s="739"/>
      <c r="D27" s="737">
        <f>SUM(D17:D25)</f>
        <v>0</v>
      </c>
      <c r="E27" s="737">
        <f t="shared" ref="E27:I27" si="5">SUM(E17:E25)</f>
        <v>0</v>
      </c>
      <c r="F27" s="737">
        <f t="shared" si="5"/>
        <v>0</v>
      </c>
      <c r="G27" s="737">
        <f t="shared" si="5"/>
        <v>0</v>
      </c>
      <c r="H27" s="737">
        <f t="shared" si="5"/>
        <v>0</v>
      </c>
      <c r="I27" s="737">
        <f t="shared" si="5"/>
        <v>0</v>
      </c>
      <c r="J27" s="755" t="s">
        <v>1487</v>
      </c>
      <c r="K27" s="722">
        <f t="shared" si="1"/>
        <v>12</v>
      </c>
      <c r="L27" s="769"/>
    </row>
    <row r="28" spans="1:12" ht="15" thickTop="1" x14ac:dyDescent="0.35">
      <c r="A28" s="722">
        <f t="shared" si="0"/>
        <v>13</v>
      </c>
      <c r="B28" s="770"/>
      <c r="C28" s="771"/>
      <c r="D28" s="738"/>
      <c r="E28" s="738"/>
      <c r="F28" s="738"/>
      <c r="G28" s="738"/>
      <c r="H28" s="738"/>
      <c r="I28" s="738"/>
      <c r="J28" s="739"/>
      <c r="K28" s="722">
        <f t="shared" si="1"/>
        <v>13</v>
      </c>
      <c r="L28" s="769"/>
    </row>
    <row r="29" spans="1:12" x14ac:dyDescent="0.35">
      <c r="A29" s="722">
        <f t="shared" si="0"/>
        <v>14</v>
      </c>
      <c r="B29" s="739" t="s">
        <v>1488</v>
      </c>
      <c r="C29" s="760"/>
      <c r="D29" s="739"/>
      <c r="E29" s="739"/>
      <c r="F29" s="739"/>
      <c r="G29" s="739"/>
      <c r="H29" s="739"/>
      <c r="I29" s="739"/>
      <c r="J29" s="739"/>
      <c r="K29" s="722">
        <f t="shared" si="1"/>
        <v>14</v>
      </c>
      <c r="L29" s="754"/>
    </row>
    <row r="30" spans="1:12" x14ac:dyDescent="0.35">
      <c r="A30" s="722">
        <f t="shared" si="0"/>
        <v>15</v>
      </c>
      <c r="B30" s="739" t="s">
        <v>1489</v>
      </c>
      <c r="C30" s="754">
        <v>190</v>
      </c>
      <c r="D30" s="744"/>
      <c r="E30" s="744"/>
      <c r="F30" s="739">
        <f>+D30*$I$9</f>
        <v>0</v>
      </c>
      <c r="G30" s="739">
        <f>+E30-F30</f>
        <v>0</v>
      </c>
      <c r="H30" s="739">
        <f>IF(+$I$8="No",0,'Order 864-1'!K27)</f>
        <v>0</v>
      </c>
      <c r="I30" s="739">
        <f>+G30-H30</f>
        <v>0</v>
      </c>
      <c r="J30" s="755" t="s">
        <v>372</v>
      </c>
      <c r="K30" s="722">
        <f t="shared" si="1"/>
        <v>15</v>
      </c>
      <c r="L30" s="754"/>
    </row>
    <row r="31" spans="1:12" x14ac:dyDescent="0.35">
      <c r="A31" s="722">
        <f t="shared" si="0"/>
        <v>16</v>
      </c>
      <c r="B31" s="739" t="s">
        <v>1490</v>
      </c>
      <c r="C31" s="754"/>
      <c r="D31" s="744"/>
      <c r="E31" s="744"/>
      <c r="F31" s="739"/>
      <c r="G31" s="739"/>
      <c r="H31" s="739"/>
      <c r="I31" s="739"/>
      <c r="J31" s="755"/>
      <c r="K31" s="722">
        <f t="shared" si="1"/>
        <v>16</v>
      </c>
      <c r="L31" s="754"/>
    </row>
    <row r="32" spans="1:12" x14ac:dyDescent="0.35">
      <c r="A32" s="722">
        <f t="shared" si="0"/>
        <v>17</v>
      </c>
      <c r="B32" s="739" t="s">
        <v>1491</v>
      </c>
      <c r="C32" s="754">
        <v>282</v>
      </c>
      <c r="D32" s="744"/>
      <c r="E32" s="744"/>
      <c r="F32" s="739">
        <f t="shared" ref="F32:F33" si="6">+D32*$I$9</f>
        <v>0</v>
      </c>
      <c r="G32" s="739">
        <f t="shared" ref="G32:G33" si="7">+E32-F32</f>
        <v>0</v>
      </c>
      <c r="H32" s="739">
        <f>IF(+$I$8="No",0,'Order 864-1'!K29)</f>
        <v>0</v>
      </c>
      <c r="I32" s="739">
        <f t="shared" ref="I32:I33" si="8">+G32-H32</f>
        <v>0</v>
      </c>
      <c r="J32" s="755" t="s">
        <v>372</v>
      </c>
      <c r="K32" s="722">
        <f t="shared" si="1"/>
        <v>17</v>
      </c>
      <c r="L32" s="754"/>
    </row>
    <row r="33" spans="1:12" x14ac:dyDescent="0.35">
      <c r="A33" s="722">
        <f t="shared" si="0"/>
        <v>18</v>
      </c>
      <c r="B33" s="739" t="s">
        <v>1492</v>
      </c>
      <c r="C33" s="754">
        <v>282</v>
      </c>
      <c r="D33" s="744"/>
      <c r="E33" s="744"/>
      <c r="F33" s="739">
        <f t="shared" si="6"/>
        <v>0</v>
      </c>
      <c r="G33" s="739">
        <f t="shared" si="7"/>
        <v>0</v>
      </c>
      <c r="H33" s="739">
        <f>IF(+$I$8="No",0,'Order 864-1'!K30)</f>
        <v>0</v>
      </c>
      <c r="I33" s="739">
        <f t="shared" si="8"/>
        <v>0</v>
      </c>
      <c r="J33" s="755" t="s">
        <v>372</v>
      </c>
      <c r="K33" s="722">
        <f t="shared" si="1"/>
        <v>18</v>
      </c>
      <c r="L33" s="754"/>
    </row>
    <row r="34" spans="1:12" x14ac:dyDescent="0.35">
      <c r="A34" s="722">
        <f t="shared" si="0"/>
        <v>19</v>
      </c>
      <c r="B34" s="755" t="s">
        <v>1493</v>
      </c>
      <c r="C34" s="756"/>
      <c r="D34" s="747">
        <f t="shared" ref="D34:I34" si="9">SUM(D30:D33)</f>
        <v>0</v>
      </c>
      <c r="E34" s="747">
        <f t="shared" si="9"/>
        <v>0</v>
      </c>
      <c r="F34" s="747">
        <f t="shared" si="9"/>
        <v>0</v>
      </c>
      <c r="G34" s="747">
        <f t="shared" si="9"/>
        <v>0</v>
      </c>
      <c r="H34" s="747">
        <f t="shared" si="9"/>
        <v>0</v>
      </c>
      <c r="I34" s="747">
        <f t="shared" si="9"/>
        <v>0</v>
      </c>
      <c r="J34" s="755" t="s">
        <v>1494</v>
      </c>
      <c r="K34" s="722">
        <f t="shared" si="1"/>
        <v>19</v>
      </c>
      <c r="L34" s="754"/>
    </row>
    <row r="35" spans="1:12" x14ac:dyDescent="0.35">
      <c r="A35" s="722">
        <f t="shared" si="0"/>
        <v>20</v>
      </c>
      <c r="B35" s="739"/>
      <c r="C35" s="756"/>
      <c r="D35" s="739"/>
      <c r="E35" s="739"/>
      <c r="F35" s="739"/>
      <c r="G35" s="739"/>
      <c r="H35" s="739"/>
      <c r="I35" s="739"/>
      <c r="J35" s="739"/>
      <c r="K35" s="722">
        <f t="shared" si="1"/>
        <v>20</v>
      </c>
      <c r="L35" s="754"/>
    </row>
    <row r="36" spans="1:12" x14ac:dyDescent="0.35">
      <c r="A36" s="722">
        <f t="shared" si="0"/>
        <v>21</v>
      </c>
      <c r="B36" s="739" t="s">
        <v>1495</v>
      </c>
      <c r="C36" s="761"/>
      <c r="D36" s="739"/>
      <c r="E36" s="739"/>
      <c r="F36" s="739"/>
      <c r="G36" s="739"/>
      <c r="H36" s="739"/>
      <c r="I36" s="739"/>
      <c r="J36" s="739"/>
      <c r="K36" s="722">
        <f t="shared" si="1"/>
        <v>21</v>
      </c>
      <c r="L36" s="754"/>
    </row>
    <row r="37" spans="1:12" x14ac:dyDescent="0.35">
      <c r="A37" s="722">
        <f t="shared" si="0"/>
        <v>22</v>
      </c>
      <c r="B37" s="739" t="s">
        <v>1496</v>
      </c>
      <c r="C37" s="754">
        <v>282</v>
      </c>
      <c r="D37" s="744"/>
      <c r="E37" s="744"/>
      <c r="F37" s="739">
        <f t="shared" ref="F37:F39" si="10">+D37*$I$9</f>
        <v>0</v>
      </c>
      <c r="G37" s="739">
        <f t="shared" ref="G37:G39" si="11">+E37-F37</f>
        <v>0</v>
      </c>
      <c r="H37" s="739">
        <f>IF(+$I$8="No",0,'Order 864-1'!K34)</f>
        <v>0</v>
      </c>
      <c r="I37" s="739">
        <f t="shared" ref="I37:I39" si="12">+G37-H37</f>
        <v>0</v>
      </c>
      <c r="J37" s="755" t="s">
        <v>372</v>
      </c>
      <c r="K37" s="722">
        <f t="shared" si="1"/>
        <v>22</v>
      </c>
      <c r="L37" s="754"/>
    </row>
    <row r="38" spans="1:12" x14ac:dyDescent="0.35">
      <c r="A38" s="722">
        <f t="shared" si="0"/>
        <v>23</v>
      </c>
      <c r="B38" s="739" t="s">
        <v>1497</v>
      </c>
      <c r="C38" s="754">
        <v>282</v>
      </c>
      <c r="D38" s="744"/>
      <c r="E38" s="744"/>
      <c r="F38" s="739">
        <f t="shared" si="10"/>
        <v>0</v>
      </c>
      <c r="G38" s="739">
        <f t="shared" si="11"/>
        <v>0</v>
      </c>
      <c r="H38" s="739">
        <f>IF(+$I$8="No",0,'Order 864-1'!K35)</f>
        <v>0</v>
      </c>
      <c r="I38" s="739">
        <f t="shared" si="12"/>
        <v>0</v>
      </c>
      <c r="J38" s="755" t="s">
        <v>372</v>
      </c>
      <c r="K38" s="722">
        <f t="shared" si="1"/>
        <v>23</v>
      </c>
      <c r="L38" s="754"/>
    </row>
    <row r="39" spans="1:12" x14ac:dyDescent="0.35">
      <c r="A39" s="722">
        <f t="shared" si="0"/>
        <v>24</v>
      </c>
      <c r="B39" s="739" t="s">
        <v>1498</v>
      </c>
      <c r="C39" s="762">
        <v>282</v>
      </c>
      <c r="D39" s="744"/>
      <c r="E39" s="744"/>
      <c r="F39" s="739">
        <f t="shared" si="10"/>
        <v>0</v>
      </c>
      <c r="G39" s="739">
        <f t="shared" si="11"/>
        <v>0</v>
      </c>
      <c r="H39" s="739">
        <f>IF(+$I$8="No",0,'Order 864-1'!K36)</f>
        <v>0</v>
      </c>
      <c r="I39" s="739">
        <f t="shared" si="12"/>
        <v>0</v>
      </c>
      <c r="J39" s="755" t="s">
        <v>372</v>
      </c>
      <c r="K39" s="722">
        <f t="shared" si="1"/>
        <v>24</v>
      </c>
      <c r="L39" s="754"/>
    </row>
    <row r="40" spans="1:12" x14ac:dyDescent="0.35">
      <c r="A40" s="722">
        <f t="shared" si="0"/>
        <v>25</v>
      </c>
      <c r="B40" s="755" t="s">
        <v>1493</v>
      </c>
      <c r="C40" s="756"/>
      <c r="D40" s="747">
        <f t="shared" ref="D40:I40" si="13">SUM(D37:D39)</f>
        <v>0</v>
      </c>
      <c r="E40" s="747">
        <f t="shared" si="13"/>
        <v>0</v>
      </c>
      <c r="F40" s="747">
        <f t="shared" si="13"/>
        <v>0</v>
      </c>
      <c r="G40" s="747">
        <f t="shared" si="13"/>
        <v>0</v>
      </c>
      <c r="H40" s="747">
        <f t="shared" si="13"/>
        <v>0</v>
      </c>
      <c r="I40" s="747">
        <f t="shared" si="13"/>
        <v>0</v>
      </c>
      <c r="J40" s="755" t="s">
        <v>1499</v>
      </c>
      <c r="K40" s="722">
        <f t="shared" si="1"/>
        <v>25</v>
      </c>
      <c r="L40" s="754"/>
    </row>
    <row r="41" spans="1:12" x14ac:dyDescent="0.35">
      <c r="A41" s="722">
        <f t="shared" si="0"/>
        <v>26</v>
      </c>
      <c r="B41" s="739"/>
      <c r="C41" s="756"/>
      <c r="D41" s="763"/>
      <c r="E41" s="757"/>
      <c r="F41" s="763"/>
      <c r="G41" s="763"/>
      <c r="H41" s="763"/>
      <c r="I41" s="763"/>
      <c r="J41" s="739"/>
      <c r="K41" s="722">
        <f t="shared" si="1"/>
        <v>26</v>
      </c>
      <c r="L41" s="754"/>
    </row>
    <row r="42" spans="1:12" x14ac:dyDescent="0.35">
      <c r="A42" s="722">
        <f t="shared" si="0"/>
        <v>27</v>
      </c>
      <c r="B42" s="739" t="s">
        <v>1495</v>
      </c>
      <c r="C42" s="756"/>
      <c r="D42" s="756"/>
      <c r="E42" s="759"/>
      <c r="F42" s="756"/>
      <c r="G42" s="756"/>
      <c r="H42" s="756"/>
      <c r="I42" s="756"/>
      <c r="J42" s="739"/>
      <c r="K42" s="722">
        <f t="shared" si="1"/>
        <v>27</v>
      </c>
      <c r="L42" s="754"/>
    </row>
    <row r="43" spans="1:12" x14ac:dyDescent="0.35">
      <c r="A43" s="722">
        <f t="shared" si="0"/>
        <v>28</v>
      </c>
      <c r="B43" s="739" t="s">
        <v>1500</v>
      </c>
      <c r="C43" s="762">
        <v>282</v>
      </c>
      <c r="D43" s="772"/>
      <c r="E43" s="772"/>
      <c r="F43" s="773">
        <f>+D43*$I$9</f>
        <v>0</v>
      </c>
      <c r="G43" s="773">
        <f>+E43-F43</f>
        <v>0</v>
      </c>
      <c r="H43" s="773">
        <f>IF(+$I$8="No",0,'Order 864-1'!K40)</f>
        <v>0</v>
      </c>
      <c r="I43" s="773">
        <f>+G43-H43</f>
        <v>0</v>
      </c>
      <c r="J43" s="755" t="s">
        <v>372</v>
      </c>
      <c r="K43" s="722">
        <f t="shared" si="1"/>
        <v>28</v>
      </c>
      <c r="L43" s="754"/>
    </row>
    <row r="44" spans="1:12" x14ac:dyDescent="0.35">
      <c r="A44" s="722">
        <f t="shared" si="0"/>
        <v>29</v>
      </c>
      <c r="B44" s="739"/>
      <c r="C44" s="756"/>
      <c r="D44" s="763"/>
      <c r="E44" s="763"/>
      <c r="F44" s="763"/>
      <c r="G44" s="763"/>
      <c r="H44" s="763"/>
      <c r="I44" s="763"/>
      <c r="J44" s="739"/>
      <c r="K44" s="722">
        <f t="shared" si="1"/>
        <v>29</v>
      </c>
      <c r="L44" s="754"/>
    </row>
    <row r="45" spans="1:12" ht="15" thickBot="1" x14ac:dyDescent="0.4">
      <c r="A45" s="722">
        <f t="shared" si="0"/>
        <v>30</v>
      </c>
      <c r="B45" s="755" t="s">
        <v>1501</v>
      </c>
      <c r="C45" s="756"/>
      <c r="D45" s="737">
        <f t="shared" ref="D45:I45" si="14">+D43+D40+D34</f>
        <v>0</v>
      </c>
      <c r="E45" s="737">
        <f t="shared" si="14"/>
        <v>0</v>
      </c>
      <c r="F45" s="737">
        <f t="shared" si="14"/>
        <v>0</v>
      </c>
      <c r="G45" s="737">
        <f t="shared" si="14"/>
        <v>0</v>
      </c>
      <c r="H45" s="737">
        <f t="shared" si="14"/>
        <v>0</v>
      </c>
      <c r="I45" s="737">
        <f t="shared" si="14"/>
        <v>0</v>
      </c>
      <c r="J45" s="823" t="s">
        <v>1502</v>
      </c>
      <c r="K45" s="722">
        <f t="shared" si="1"/>
        <v>30</v>
      </c>
      <c r="L45" s="754"/>
    </row>
    <row r="46" spans="1:12" ht="15" thickTop="1" x14ac:dyDescent="0.35">
      <c r="A46" s="722">
        <f t="shared" si="0"/>
        <v>31</v>
      </c>
      <c r="B46" s="739"/>
      <c r="C46" s="756"/>
      <c r="D46" s="764"/>
      <c r="E46" s="764"/>
      <c r="F46" s="764"/>
      <c r="G46" s="764"/>
      <c r="H46" s="764"/>
      <c r="I46" s="764"/>
      <c r="J46" s="739"/>
      <c r="K46" s="722">
        <f t="shared" si="1"/>
        <v>31</v>
      </c>
      <c r="L46" s="754"/>
    </row>
    <row r="47" spans="1:12" ht="15" thickBot="1" x14ac:dyDescent="0.4">
      <c r="A47" s="722">
        <f t="shared" si="0"/>
        <v>32</v>
      </c>
      <c r="B47" s="755" t="s">
        <v>1503</v>
      </c>
      <c r="C47" s="739"/>
      <c r="D47" s="737">
        <f t="shared" ref="D47:I47" si="15">D45+D27</f>
        <v>0</v>
      </c>
      <c r="E47" s="737">
        <f t="shared" si="15"/>
        <v>0</v>
      </c>
      <c r="F47" s="737">
        <f t="shared" si="15"/>
        <v>0</v>
      </c>
      <c r="G47" s="737">
        <f t="shared" si="15"/>
        <v>0</v>
      </c>
      <c r="H47" s="737">
        <f t="shared" si="15"/>
        <v>0</v>
      </c>
      <c r="I47" s="737">
        <f t="shared" si="15"/>
        <v>0</v>
      </c>
      <c r="J47" s="755" t="s">
        <v>1504</v>
      </c>
      <c r="K47" s="722">
        <f t="shared" si="1"/>
        <v>32</v>
      </c>
      <c r="L47" s="754"/>
    </row>
    <row r="48" spans="1:12" ht="15" thickTop="1" x14ac:dyDescent="0.35">
      <c r="A48" s="754"/>
      <c r="B48" s="739"/>
      <c r="C48" s="739"/>
      <c r="D48" s="739"/>
      <c r="E48" s="739"/>
      <c r="F48" s="739"/>
      <c r="G48" s="739"/>
      <c r="H48" s="739"/>
      <c r="I48" s="739"/>
      <c r="J48" s="739"/>
      <c r="K48" s="739"/>
      <c r="L48" s="739"/>
    </row>
    <row r="49" spans="1:12" x14ac:dyDescent="0.35">
      <c r="A49" s="754"/>
      <c r="B49" s="726" t="s">
        <v>1551</v>
      </c>
      <c r="C49" s="739"/>
      <c r="D49" s="739"/>
      <c r="E49" s="739"/>
      <c r="F49" s="739"/>
      <c r="G49" s="739"/>
      <c r="H49" s="739"/>
      <c r="I49" s="739"/>
      <c r="J49" s="739"/>
      <c r="K49" s="739"/>
      <c r="L49" s="739"/>
    </row>
    <row r="50" spans="1:12" ht="15.5" x14ac:dyDescent="0.45">
      <c r="A50" s="754"/>
      <c r="B50" s="767" t="s">
        <v>1552</v>
      </c>
      <c r="C50" s="739"/>
      <c r="D50" s="739"/>
      <c r="E50" s="739"/>
      <c r="F50" s="739"/>
      <c r="G50" s="739"/>
      <c r="H50" s="739"/>
      <c r="I50" s="739"/>
      <c r="J50" s="739"/>
      <c r="K50" s="739"/>
      <c r="L50" s="739"/>
    </row>
    <row r="51" spans="1:12" x14ac:dyDescent="0.35">
      <c r="A51" s="754"/>
      <c r="B51" s="767" t="s">
        <v>1553</v>
      </c>
      <c r="C51" s="739"/>
      <c r="D51" s="739"/>
      <c r="E51" s="739"/>
      <c r="F51" s="739"/>
      <c r="G51" s="739"/>
      <c r="H51" s="739"/>
      <c r="I51" s="739"/>
      <c r="J51" s="739"/>
      <c r="K51" s="739"/>
      <c r="L51" s="739"/>
    </row>
    <row r="52" spans="1:12" x14ac:dyDescent="0.35">
      <c r="A52" s="754"/>
      <c r="B52" s="726" t="s">
        <v>1505</v>
      </c>
      <c r="C52" s="765"/>
      <c r="D52" s="739"/>
      <c r="E52" s="739"/>
      <c r="F52" s="739"/>
      <c r="G52" s="739"/>
      <c r="H52" s="739"/>
      <c r="I52" s="739"/>
      <c r="J52" s="739"/>
      <c r="K52" s="739"/>
      <c r="L52" s="739"/>
    </row>
    <row r="53" spans="1:12" x14ac:dyDescent="0.35">
      <c r="A53" s="754"/>
      <c r="B53" s="837" t="s">
        <v>1506</v>
      </c>
      <c r="C53" s="766"/>
      <c r="D53" s="766"/>
      <c r="E53" s="766"/>
      <c r="F53" s="739"/>
      <c r="G53" s="739"/>
      <c r="H53" s="739"/>
      <c r="I53" s="739"/>
      <c r="J53" s="739"/>
      <c r="K53" s="739"/>
      <c r="L53" s="739"/>
    </row>
    <row r="54" spans="1:12" x14ac:dyDescent="0.35">
      <c r="A54" s="766"/>
      <c r="B54" s="837" t="s">
        <v>1507</v>
      </c>
      <c r="C54" s="766"/>
      <c r="D54" s="766"/>
      <c r="E54" s="766"/>
      <c r="F54" s="766"/>
      <c r="G54" s="766"/>
      <c r="H54" s="766"/>
      <c r="I54" s="766"/>
      <c r="J54" s="739"/>
      <c r="K54" s="739"/>
      <c r="L54" s="739"/>
    </row>
    <row r="55" spans="1:12" x14ac:dyDescent="0.35">
      <c r="A55" s="766"/>
      <c r="B55" s="837" t="s">
        <v>1508</v>
      </c>
      <c r="C55" s="766"/>
      <c r="D55" s="766"/>
      <c r="E55" s="766"/>
      <c r="F55" s="766"/>
      <c r="G55" s="766"/>
      <c r="H55" s="766"/>
      <c r="I55" s="766"/>
      <c r="J55" s="739"/>
      <c r="K55" s="739"/>
      <c r="L55" s="739"/>
    </row>
    <row r="56" spans="1:12" x14ac:dyDescent="0.35">
      <c r="A56" s="766"/>
      <c r="B56" s="837" t="s">
        <v>1509</v>
      </c>
      <c r="C56" s="766"/>
      <c r="D56" s="766"/>
      <c r="E56" s="766"/>
      <c r="F56" s="766"/>
      <c r="G56" s="766"/>
      <c r="H56" s="766"/>
      <c r="I56" s="766"/>
      <c r="J56" s="739"/>
      <c r="K56" s="739"/>
      <c r="L56" s="739"/>
    </row>
    <row r="57" spans="1:12" x14ac:dyDescent="0.35">
      <c r="A57" s="766"/>
      <c r="B57" s="837" t="s">
        <v>1510</v>
      </c>
      <c r="C57" s="766"/>
      <c r="D57" s="766"/>
      <c r="E57" s="766"/>
      <c r="F57" s="766"/>
      <c r="G57" s="766"/>
      <c r="H57" s="766"/>
      <c r="I57" s="766"/>
      <c r="J57" s="739"/>
      <c r="K57" s="739"/>
      <c r="L57" s="739"/>
    </row>
    <row r="58" spans="1:12" x14ac:dyDescent="0.35">
      <c r="A58" s="774"/>
      <c r="B58" s="837" t="s">
        <v>1511</v>
      </c>
      <c r="C58" s="774"/>
      <c r="D58" s="774"/>
      <c r="E58" s="774"/>
      <c r="F58" s="774"/>
      <c r="G58" s="774"/>
      <c r="H58" s="774"/>
      <c r="I58" s="774"/>
      <c r="J58" s="739"/>
      <c r="K58" s="739"/>
      <c r="L58" s="739"/>
    </row>
    <row r="59" spans="1:12" x14ac:dyDescent="0.35">
      <c r="A59" s="754"/>
      <c r="B59" s="837" t="s">
        <v>1512</v>
      </c>
      <c r="C59" s="739"/>
      <c r="D59" s="739"/>
      <c r="E59" s="739"/>
      <c r="F59" s="739"/>
      <c r="G59" s="775"/>
      <c r="H59" s="775"/>
      <c r="I59" s="775"/>
      <c r="J59" s="756"/>
      <c r="K59" s="756"/>
      <c r="L59" s="756"/>
    </row>
    <row r="60" spans="1:12" x14ac:dyDescent="0.35">
      <c r="A60" s="754"/>
      <c r="B60" s="837" t="s">
        <v>1513</v>
      </c>
      <c r="C60" s="739"/>
      <c r="D60" s="739"/>
      <c r="E60" s="739"/>
      <c r="F60" s="739"/>
      <c r="G60" s="775"/>
      <c r="H60" s="775"/>
      <c r="I60" s="775"/>
      <c r="J60" s="756"/>
      <c r="K60" s="756"/>
      <c r="L60" s="756"/>
    </row>
    <row r="61" spans="1:12" x14ac:dyDescent="0.35">
      <c r="A61" s="754"/>
      <c r="B61" s="837" t="s">
        <v>1514</v>
      </c>
      <c r="C61" s="776"/>
      <c r="D61" s="777"/>
      <c r="E61" s="739"/>
      <c r="F61" s="739"/>
      <c r="G61" s="775"/>
      <c r="H61" s="775"/>
      <c r="I61" s="775"/>
      <c r="J61" s="756"/>
      <c r="K61" s="756"/>
      <c r="L61" s="756"/>
    </row>
    <row r="62" spans="1:12" x14ac:dyDescent="0.35">
      <c r="A62" s="722"/>
      <c r="B62" s="767"/>
      <c r="C62" s="739"/>
      <c r="D62" s="739"/>
      <c r="E62" s="739"/>
      <c r="F62" s="739"/>
      <c r="G62" s="775"/>
      <c r="H62" s="775"/>
      <c r="I62" s="775"/>
      <c r="J62" s="756"/>
      <c r="K62" s="756"/>
      <c r="L62" s="756"/>
    </row>
    <row r="63" spans="1:12" x14ac:dyDescent="0.35">
      <c r="A63" s="722"/>
      <c r="B63" s="724"/>
      <c r="C63" s="728"/>
      <c r="D63" s="716"/>
      <c r="E63" s="714"/>
      <c r="F63" s="714"/>
      <c r="J63" s="735"/>
      <c r="K63" s="735"/>
      <c r="L63" s="735"/>
    </row>
    <row r="64" spans="1:12" x14ac:dyDescent="0.35">
      <c r="A64" s="722"/>
      <c r="B64" s="724"/>
      <c r="C64" s="728"/>
      <c r="D64" s="729"/>
      <c r="E64" s="714"/>
      <c r="F64" s="714"/>
      <c r="J64" s="735"/>
      <c r="K64" s="735"/>
      <c r="L64" s="735"/>
    </row>
    <row r="65" spans="1:12" x14ac:dyDescent="0.35">
      <c r="A65" s="722"/>
      <c r="B65" s="727"/>
      <c r="C65" s="724"/>
      <c r="D65" s="724"/>
      <c r="E65" s="724"/>
      <c r="F65" s="724"/>
      <c r="J65" s="735"/>
      <c r="K65" s="735"/>
      <c r="L65" s="735"/>
    </row>
    <row r="66" spans="1:12" x14ac:dyDescent="0.35">
      <c r="A66" s="724"/>
      <c r="B66" s="724"/>
      <c r="C66" s="728"/>
      <c r="D66" s="716"/>
      <c r="E66" s="724"/>
      <c r="F66" s="724"/>
      <c r="J66" s="735"/>
      <c r="K66" s="735"/>
      <c r="L66" s="735"/>
    </row>
    <row r="67" spans="1:12" x14ac:dyDescent="0.35">
      <c r="A67" s="724"/>
      <c r="B67" s="724"/>
      <c r="C67" s="728"/>
      <c r="D67" s="729"/>
      <c r="E67" s="724"/>
      <c r="F67" s="724"/>
      <c r="J67" s="735"/>
      <c r="K67" s="735"/>
      <c r="L67" s="735"/>
    </row>
    <row r="68" spans="1:12" x14ac:dyDescent="0.35">
      <c r="A68" s="724"/>
      <c r="B68" s="727"/>
      <c r="C68" s="724"/>
      <c r="D68" s="724"/>
      <c r="E68" s="724"/>
      <c r="F68" s="724"/>
      <c r="J68" s="735"/>
      <c r="K68" s="735"/>
      <c r="L68" s="735"/>
    </row>
    <row r="69" spans="1:12" x14ac:dyDescent="0.35">
      <c r="J69" s="735"/>
      <c r="K69" s="735"/>
      <c r="L69" s="735"/>
    </row>
    <row r="70" spans="1:12" x14ac:dyDescent="0.35">
      <c r="J70" s="735"/>
      <c r="K70" s="735"/>
      <c r="L70" s="735"/>
    </row>
    <row r="71" spans="1:12" x14ac:dyDescent="0.35">
      <c r="J71" s="735"/>
      <c r="K71" s="735"/>
      <c r="L71" s="735"/>
    </row>
    <row r="72" spans="1:12" x14ac:dyDescent="0.35">
      <c r="J72" s="735"/>
      <c r="K72" s="735"/>
      <c r="L72" s="735"/>
    </row>
    <row r="73" spans="1:12" x14ac:dyDescent="0.35">
      <c r="J73" s="735"/>
      <c r="K73" s="735"/>
      <c r="L73" s="735"/>
    </row>
    <row r="74" spans="1:12" x14ac:dyDescent="0.35">
      <c r="J74" s="735"/>
      <c r="K74" s="735"/>
      <c r="L74" s="735"/>
    </row>
    <row r="75" spans="1:12" x14ac:dyDescent="0.35">
      <c r="J75" s="735"/>
      <c r="K75" s="735"/>
      <c r="L75" s="735"/>
    </row>
    <row r="76" spans="1:12" x14ac:dyDescent="0.35">
      <c r="J76" s="735"/>
      <c r="K76" s="735"/>
      <c r="L76" s="735"/>
    </row>
    <row r="77" spans="1:12" x14ac:dyDescent="0.35">
      <c r="J77" s="735"/>
      <c r="K77" s="735"/>
      <c r="L77" s="735"/>
    </row>
    <row r="78" spans="1:12" x14ac:dyDescent="0.35">
      <c r="J78" s="735"/>
      <c r="K78" s="735"/>
      <c r="L78" s="735"/>
    </row>
    <row r="79" spans="1:12" x14ac:dyDescent="0.35">
      <c r="J79" s="735"/>
      <c r="K79" s="735"/>
      <c r="L79" s="735"/>
    </row>
    <row r="80" spans="1:12" x14ac:dyDescent="0.35">
      <c r="J80" s="735"/>
      <c r="K80" s="735"/>
      <c r="L80" s="735"/>
    </row>
    <row r="81" spans="10:12" x14ac:dyDescent="0.35">
      <c r="J81" s="735"/>
      <c r="K81" s="735"/>
      <c r="L81" s="735"/>
    </row>
    <row r="82" spans="10:12" x14ac:dyDescent="0.35">
      <c r="J82" s="735"/>
      <c r="K82" s="735"/>
      <c r="L82" s="735"/>
    </row>
    <row r="83" spans="10:12" x14ac:dyDescent="0.35">
      <c r="J83" s="735"/>
      <c r="K83" s="735"/>
      <c r="L83" s="735"/>
    </row>
    <row r="84" spans="10:12" x14ac:dyDescent="0.35">
      <c r="J84" s="735"/>
      <c r="K84" s="735"/>
      <c r="L84" s="735"/>
    </row>
    <row r="85" spans="10:12" x14ac:dyDescent="0.35">
      <c r="J85" s="735"/>
      <c r="K85" s="735"/>
      <c r="L85" s="735"/>
    </row>
    <row r="86" spans="10:12" x14ac:dyDescent="0.35">
      <c r="J86" s="735"/>
      <c r="K86" s="735"/>
      <c r="L86" s="735"/>
    </row>
    <row r="87" spans="10:12" x14ac:dyDescent="0.35">
      <c r="J87" s="735"/>
      <c r="K87" s="735"/>
      <c r="L87" s="735"/>
    </row>
    <row r="88" spans="10:12" x14ac:dyDescent="0.35">
      <c r="J88" s="735"/>
      <c r="K88" s="735"/>
      <c r="L88" s="735"/>
    </row>
    <row r="89" spans="10:12" x14ac:dyDescent="0.35">
      <c r="J89" s="735"/>
      <c r="K89" s="735"/>
      <c r="L89" s="735"/>
    </row>
    <row r="90" spans="10:12" x14ac:dyDescent="0.35">
      <c r="J90" s="735"/>
      <c r="K90" s="735"/>
      <c r="L90" s="735"/>
    </row>
    <row r="91" spans="10:12" x14ac:dyDescent="0.35">
      <c r="J91" s="735"/>
      <c r="K91" s="735"/>
      <c r="L91" s="735"/>
    </row>
    <row r="92" spans="10:12" x14ac:dyDescent="0.35">
      <c r="J92" s="735"/>
      <c r="K92" s="735"/>
      <c r="L92" s="735"/>
    </row>
    <row r="93" spans="10:12" x14ac:dyDescent="0.35">
      <c r="J93" s="735"/>
      <c r="K93" s="735"/>
      <c r="L93" s="735"/>
    </row>
    <row r="94" spans="10:12" x14ac:dyDescent="0.35">
      <c r="J94" s="735"/>
      <c r="K94" s="735"/>
      <c r="L94" s="735"/>
    </row>
    <row r="95" spans="10:12" x14ac:dyDescent="0.35">
      <c r="J95" s="735"/>
      <c r="K95" s="735"/>
      <c r="L95" s="735"/>
    </row>
    <row r="96" spans="10:12" x14ac:dyDescent="0.35">
      <c r="J96" s="735"/>
      <c r="K96" s="735"/>
      <c r="L96" s="735"/>
    </row>
    <row r="97" spans="10:12" x14ac:dyDescent="0.35">
      <c r="J97" s="735"/>
      <c r="K97" s="735"/>
      <c r="L97" s="735"/>
    </row>
  </sheetData>
  <mergeCells count="2">
    <mergeCell ref="B5:J5"/>
    <mergeCell ref="D13:I13"/>
  </mergeCells>
  <printOptions horizontalCentered="1"/>
  <pageMargins left="0.25" right="0.25" top="0.5" bottom="0.5" header="0.25" footer="0.25"/>
  <pageSetup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heetViews>
  <sheetFormatPr defaultColWidth="14.54296875" defaultRowHeight="14.5" x14ac:dyDescent="0.35"/>
  <cols>
    <col min="1" max="1" width="5.90625" style="775" customWidth="1"/>
    <col min="2" max="2" width="49" style="775" customWidth="1"/>
    <col min="3" max="3" width="8.90625" style="775" customWidth="1"/>
    <col min="4" max="9" width="15.90625" style="775" customWidth="1"/>
    <col min="10" max="10" width="16.453125" style="775" customWidth="1"/>
    <col min="11" max="11" width="17.08984375" style="775" customWidth="1"/>
    <col min="12" max="12" width="18.90625" style="775" customWidth="1"/>
    <col min="13" max="13" width="15.90625" style="775" customWidth="1"/>
    <col min="14" max="14" width="17.08984375" style="775" customWidth="1"/>
    <col min="15" max="15" width="30.54296875" style="775" customWidth="1"/>
    <col min="16" max="16" width="5.90625" style="775" customWidth="1"/>
    <col min="17" max="16384" width="14.54296875" style="775"/>
  </cols>
  <sheetData>
    <row r="1" spans="1:17" ht="15.5" x14ac:dyDescent="0.35">
      <c r="A1" s="778"/>
      <c r="B1" s="779" t="s">
        <v>0</v>
      </c>
      <c r="C1" s="780"/>
      <c r="D1" s="780"/>
      <c r="E1" s="780"/>
      <c r="F1" s="780"/>
      <c r="G1" s="780"/>
      <c r="H1" s="780"/>
      <c r="I1" s="780"/>
      <c r="J1" s="780"/>
      <c r="K1" s="780"/>
      <c r="L1" s="780"/>
      <c r="M1" s="780"/>
      <c r="N1" s="780"/>
      <c r="O1" s="780"/>
    </row>
    <row r="2" spans="1:17" x14ac:dyDescent="0.35">
      <c r="A2" s="781"/>
      <c r="B2" s="779" t="s">
        <v>1554</v>
      </c>
      <c r="C2" s="780"/>
      <c r="D2" s="780"/>
      <c r="E2" s="780"/>
      <c r="F2" s="780"/>
      <c r="G2" s="780"/>
      <c r="H2" s="780"/>
      <c r="I2" s="780"/>
      <c r="J2" s="780"/>
      <c r="K2" s="780"/>
      <c r="L2" s="780"/>
      <c r="M2" s="780"/>
      <c r="N2" s="780"/>
      <c r="O2" s="780"/>
    </row>
    <row r="3" spans="1:17" x14ac:dyDescent="0.35">
      <c r="A3" s="781"/>
      <c r="B3" s="750" t="s">
        <v>1443</v>
      </c>
      <c r="C3" s="780"/>
      <c r="D3" s="780"/>
      <c r="E3" s="780"/>
      <c r="F3" s="780"/>
      <c r="G3" s="780"/>
      <c r="H3" s="780"/>
      <c r="I3" s="780"/>
      <c r="J3" s="780"/>
      <c r="K3" s="780"/>
      <c r="L3" s="780"/>
      <c r="M3" s="780"/>
      <c r="N3" s="780"/>
      <c r="O3" s="780"/>
    </row>
    <row r="4" spans="1:17" x14ac:dyDescent="0.35">
      <c r="A4" s="782"/>
      <c r="B4" s="783" t="s">
        <v>1555</v>
      </c>
      <c r="C4" s="784"/>
      <c r="D4" s="784"/>
      <c r="E4" s="784"/>
      <c r="F4" s="784"/>
      <c r="G4" s="784"/>
      <c r="H4" s="784"/>
      <c r="I4" s="784"/>
      <c r="J4" s="784"/>
      <c r="K4" s="784"/>
      <c r="L4" s="784"/>
      <c r="M4" s="784"/>
      <c r="N4" s="784"/>
      <c r="O4" s="785"/>
      <c r="P4" s="786"/>
      <c r="Q4" s="786"/>
    </row>
    <row r="5" spans="1:17" x14ac:dyDescent="0.35">
      <c r="A5" s="782"/>
      <c r="B5" s="1201" t="s">
        <v>5</v>
      </c>
      <c r="C5" s="1201"/>
      <c r="D5" s="1201"/>
      <c r="E5" s="1201"/>
      <c r="F5" s="1201"/>
      <c r="G5" s="1201"/>
      <c r="H5" s="1201"/>
      <c r="I5" s="1201"/>
      <c r="J5" s="1201"/>
      <c r="K5" s="1201"/>
      <c r="L5" s="1201"/>
      <c r="M5" s="1201"/>
      <c r="N5" s="1201"/>
      <c r="O5" s="1201"/>
      <c r="P5" s="786"/>
      <c r="Q5" s="786"/>
    </row>
    <row r="6" spans="1:17" x14ac:dyDescent="0.35">
      <c r="A6" s="782"/>
      <c r="B6" s="750"/>
      <c r="C6" s="803"/>
      <c r="D6" s="803"/>
      <c r="E6" s="803"/>
      <c r="F6" s="803"/>
      <c r="G6" s="803"/>
      <c r="H6" s="803"/>
      <c r="I6" s="803"/>
      <c r="J6" s="803"/>
      <c r="K6" s="803"/>
      <c r="L6" s="803"/>
      <c r="M6" s="803"/>
      <c r="N6" s="803"/>
      <c r="O6" s="804"/>
      <c r="P6" s="786"/>
      <c r="Q6" s="786"/>
    </row>
    <row r="7" spans="1:17" x14ac:dyDescent="0.35">
      <c r="A7" s="739"/>
      <c r="B7" s="805"/>
      <c r="C7" s="805"/>
      <c r="D7" s="739"/>
      <c r="E7" s="739"/>
      <c r="F7" s="739"/>
      <c r="G7" s="739"/>
      <c r="H7" s="739"/>
      <c r="I7" s="739"/>
      <c r="J7" s="739"/>
      <c r="K7" s="739"/>
      <c r="L7" s="756"/>
      <c r="M7" s="777" t="s">
        <v>1445</v>
      </c>
      <c r="N7" s="789">
        <v>2022</v>
      </c>
      <c r="O7" s="790"/>
      <c r="P7" s="774"/>
      <c r="Q7" s="774"/>
    </row>
    <row r="8" spans="1:17" x14ac:dyDescent="0.35">
      <c r="A8" s="739"/>
      <c r="B8" s="739"/>
      <c r="C8" s="739"/>
      <c r="D8" s="739"/>
      <c r="E8" s="739"/>
      <c r="F8" s="739"/>
      <c r="G8" s="739"/>
      <c r="H8" s="739"/>
      <c r="I8" s="739"/>
      <c r="J8" s="739"/>
      <c r="K8" s="739"/>
      <c r="L8" s="739"/>
      <c r="M8" s="739"/>
      <c r="N8" s="739"/>
      <c r="O8" s="790"/>
      <c r="P8" s="774"/>
      <c r="Q8" s="774"/>
    </row>
    <row r="9" spans="1:17" x14ac:dyDescent="0.35">
      <c r="A9" s="755"/>
      <c r="B9" s="791" t="s">
        <v>1446</v>
      </c>
      <c r="C9" s="791" t="s">
        <v>1447</v>
      </c>
      <c r="D9" s="791" t="s">
        <v>1448</v>
      </c>
      <c r="E9" s="791" t="s">
        <v>1449</v>
      </c>
      <c r="F9" s="791" t="s">
        <v>1450</v>
      </c>
      <c r="G9" s="791" t="s">
        <v>1451</v>
      </c>
      <c r="H9" s="791" t="s">
        <v>1452</v>
      </c>
      <c r="I9" s="791" t="s">
        <v>1453</v>
      </c>
      <c r="J9" s="791" t="s">
        <v>1454</v>
      </c>
      <c r="K9" s="791" t="s">
        <v>1455</v>
      </c>
      <c r="L9" s="791" t="s">
        <v>1456</v>
      </c>
      <c r="M9" s="791" t="s">
        <v>1457</v>
      </c>
      <c r="N9" s="791" t="s">
        <v>1458</v>
      </c>
      <c r="O9" s="792"/>
      <c r="P9" s="793"/>
      <c r="Q9" s="793"/>
    </row>
    <row r="10" spans="1:17" ht="15" thickBot="1" x14ac:dyDescent="0.4">
      <c r="A10" s="739"/>
      <c r="B10" s="755"/>
      <c r="C10" s="755"/>
      <c r="D10" s="755"/>
      <c r="E10" s="755"/>
      <c r="F10" s="755"/>
      <c r="G10" s="755"/>
      <c r="H10" s="755"/>
      <c r="I10" s="755"/>
      <c r="J10" s="755"/>
      <c r="K10" s="755"/>
      <c r="L10" s="755"/>
      <c r="M10" s="755"/>
      <c r="N10" s="755"/>
      <c r="O10" s="792"/>
      <c r="P10" s="792"/>
      <c r="Q10" s="792"/>
    </row>
    <row r="11" spans="1:17" ht="15" thickBot="1" x14ac:dyDescent="0.4">
      <c r="A11" s="739"/>
      <c r="B11" s="755"/>
      <c r="C11" s="755"/>
      <c r="D11" s="794"/>
      <c r="E11" s="794"/>
      <c r="F11" s="794"/>
      <c r="G11" s="794"/>
      <c r="H11" s="794"/>
      <c r="I11" s="794"/>
      <c r="J11" s="830" t="s">
        <v>372</v>
      </c>
      <c r="K11" s="820" t="s">
        <v>1459</v>
      </c>
      <c r="L11" s="795" t="s">
        <v>1556</v>
      </c>
      <c r="M11" s="795" t="s">
        <v>1461</v>
      </c>
      <c r="N11" s="795" t="s">
        <v>1461</v>
      </c>
      <c r="O11" s="792"/>
      <c r="P11" s="792"/>
      <c r="Q11" s="792"/>
    </row>
    <row r="12" spans="1:17" ht="72.75" customHeight="1" thickBot="1" x14ac:dyDescent="0.4">
      <c r="A12" s="796" t="s">
        <v>1462</v>
      </c>
      <c r="B12" s="822" t="s">
        <v>1463</v>
      </c>
      <c r="C12" s="797" t="s">
        <v>1464</v>
      </c>
      <c r="D12" s="798" t="s">
        <v>1465</v>
      </c>
      <c r="E12" s="798" t="s">
        <v>1466</v>
      </c>
      <c r="F12" s="798" t="s">
        <v>1467</v>
      </c>
      <c r="G12" s="798" t="s">
        <v>1468</v>
      </c>
      <c r="H12" s="799" t="s">
        <v>1469</v>
      </c>
      <c r="I12" s="798" t="s">
        <v>1470</v>
      </c>
      <c r="J12" s="798" t="s">
        <v>1471</v>
      </c>
      <c r="K12" s="798" t="s">
        <v>1472</v>
      </c>
      <c r="L12" s="799" t="s">
        <v>1473</v>
      </c>
      <c r="M12" s="798" t="s">
        <v>1474</v>
      </c>
      <c r="N12" s="798" t="s">
        <v>1475</v>
      </c>
      <c r="O12" s="822" t="s">
        <v>9</v>
      </c>
      <c r="P12" s="796" t="s">
        <v>1462</v>
      </c>
      <c r="Q12" s="800"/>
    </row>
    <row r="13" spans="1:17" x14ac:dyDescent="0.35">
      <c r="A13" s="754">
        <v>1</v>
      </c>
      <c r="B13" s="739" t="s">
        <v>1476</v>
      </c>
      <c r="C13" s="761"/>
      <c r="D13" s="739"/>
      <c r="E13" s="739"/>
      <c r="F13" s="739"/>
      <c r="G13" s="739"/>
      <c r="H13" s="739"/>
      <c r="I13" s="739"/>
      <c r="J13" s="739"/>
      <c r="K13" s="739"/>
      <c r="L13" s="739"/>
      <c r="M13" s="739"/>
      <c r="N13" s="739"/>
      <c r="O13" s="766"/>
      <c r="P13" s="754">
        <v>1</v>
      </c>
      <c r="Q13" s="774"/>
    </row>
    <row r="14" spans="1:17" x14ac:dyDescent="0.35">
      <c r="A14" s="754">
        <f t="shared" ref="A14:A44" si="0">+A13+1</f>
        <v>2</v>
      </c>
      <c r="B14" s="739" t="s">
        <v>1477</v>
      </c>
      <c r="C14" s="754"/>
      <c r="D14" s="739"/>
      <c r="E14" s="739"/>
      <c r="F14" s="744"/>
      <c r="G14" s="744"/>
      <c r="H14" s="744"/>
      <c r="I14" s="744"/>
      <c r="J14" s="739"/>
      <c r="K14" s="739"/>
      <c r="L14" s="739"/>
      <c r="M14" s="739"/>
      <c r="N14" s="739"/>
      <c r="O14" s="755"/>
      <c r="P14" s="754">
        <f t="shared" ref="P14:P44" si="1">+P13+1</f>
        <v>2</v>
      </c>
      <c r="Q14" s="774"/>
    </row>
    <row r="15" spans="1:17" x14ac:dyDescent="0.35">
      <c r="A15" s="754">
        <f t="shared" si="0"/>
        <v>3</v>
      </c>
      <c r="B15" s="739" t="s">
        <v>1478</v>
      </c>
      <c r="C15" s="754">
        <v>190</v>
      </c>
      <c r="D15" s="739">
        <f>'Order 864-1'!M15</f>
        <v>0</v>
      </c>
      <c r="E15" s="739">
        <f>'Order 864-1'!N15</f>
        <v>0</v>
      </c>
      <c r="F15" s="744"/>
      <c r="G15" s="744"/>
      <c r="H15" s="744"/>
      <c r="I15" s="744"/>
      <c r="J15" s="739">
        <f>'Order 864-1'!J15+H15+I15</f>
        <v>-121.75572065244999</v>
      </c>
      <c r="K15" s="739">
        <f t="shared" ref="K15:K17" si="2">SUM(D15:I15)</f>
        <v>0</v>
      </c>
      <c r="L15" s="739">
        <f>'Order 864-4'!I21</f>
        <v>0</v>
      </c>
      <c r="M15" s="739">
        <f>IF(SUM($K$15:$L$17)&lt;0,0,SUM($K15:$L15))</f>
        <v>0</v>
      </c>
      <c r="N15" s="739">
        <f>IF(SUM($K$15:$L$17)&lt;0,SUM($K15:$L15),0)</f>
        <v>0</v>
      </c>
      <c r="O15" s="755" t="s">
        <v>372</v>
      </c>
      <c r="P15" s="754">
        <f t="shared" si="1"/>
        <v>3</v>
      </c>
      <c r="Q15" s="774"/>
    </row>
    <row r="16" spans="1:17" x14ac:dyDescent="0.35">
      <c r="A16" s="754">
        <f t="shared" si="0"/>
        <v>4</v>
      </c>
      <c r="B16" s="739" t="s">
        <v>1479</v>
      </c>
      <c r="C16" s="754">
        <v>190</v>
      </c>
      <c r="D16" s="739">
        <f>'Order 864-1'!M16</f>
        <v>0</v>
      </c>
      <c r="E16" s="739">
        <f>'Order 864-1'!N16</f>
        <v>0</v>
      </c>
      <c r="F16" s="744"/>
      <c r="G16" s="744"/>
      <c r="H16" s="744"/>
      <c r="I16" s="744"/>
      <c r="J16" s="739">
        <f>'Order 864-1'!J16+H16+I16</f>
        <v>-67.238548636628707</v>
      </c>
      <c r="K16" s="739">
        <f t="shared" si="2"/>
        <v>0</v>
      </c>
      <c r="L16" s="739">
        <f>'Order 864-4'!I23</f>
        <v>0</v>
      </c>
      <c r="M16" s="739">
        <f>IF(SUM($K$15:$L$17)&lt;0,0,SUM($K16:$L16))</f>
        <v>0</v>
      </c>
      <c r="N16" s="739">
        <f>IF(SUM($K$15:$L$17)&lt;0,SUM($K16:$L16),0)</f>
        <v>0</v>
      </c>
      <c r="O16" s="755" t="s">
        <v>372</v>
      </c>
      <c r="P16" s="754">
        <f t="shared" si="1"/>
        <v>4</v>
      </c>
      <c r="Q16" s="774"/>
    </row>
    <row r="17" spans="1:17" x14ac:dyDescent="0.35">
      <c r="A17" s="754">
        <f t="shared" si="0"/>
        <v>5</v>
      </c>
      <c r="B17" s="739" t="s">
        <v>1480</v>
      </c>
      <c r="C17" s="754">
        <v>190</v>
      </c>
      <c r="D17" s="739">
        <f>'Order 864-1'!M17</f>
        <v>8.5177682674583366E-2</v>
      </c>
      <c r="E17" s="739">
        <f>'Order 864-1'!N17</f>
        <v>0</v>
      </c>
      <c r="F17" s="744">
        <v>-8.5177682674583366E-2</v>
      </c>
      <c r="G17" s="744"/>
      <c r="H17" s="744"/>
      <c r="I17" s="744"/>
      <c r="J17" s="739">
        <f>'Order 864-1'!J17+H17+I17</f>
        <v>-214.4</v>
      </c>
      <c r="K17" s="739">
        <f t="shared" si="2"/>
        <v>0</v>
      </c>
      <c r="L17" s="739">
        <f>'Order 864-4'!I26</f>
        <v>0</v>
      </c>
      <c r="M17" s="739">
        <f>IF(SUM($K$15:$L$17)&lt;0,0,SUM($K17:$L17))</f>
        <v>0</v>
      </c>
      <c r="N17" s="739">
        <f>IF(SUM($K$15:$L$17)&lt;0,SUM($K17:$L17),0)</f>
        <v>0</v>
      </c>
      <c r="O17" s="755" t="s">
        <v>372</v>
      </c>
      <c r="P17" s="754">
        <f t="shared" si="1"/>
        <v>5</v>
      </c>
      <c r="Q17" s="774"/>
    </row>
    <row r="18" spans="1:17" x14ac:dyDescent="0.35">
      <c r="A18" s="754">
        <f t="shared" si="0"/>
        <v>6</v>
      </c>
      <c r="B18" s="739" t="s">
        <v>1481</v>
      </c>
      <c r="C18" s="754"/>
      <c r="D18" s="739"/>
      <c r="E18" s="739"/>
      <c r="F18" s="744"/>
      <c r="G18" s="744"/>
      <c r="H18" s="744"/>
      <c r="I18" s="744"/>
      <c r="J18" s="739">
        <f>'Order 864-1'!J18+H18+I18</f>
        <v>0</v>
      </c>
      <c r="K18" s="739"/>
      <c r="L18" s="739"/>
      <c r="M18" s="739"/>
      <c r="N18" s="739"/>
      <c r="O18" s="755"/>
      <c r="P18" s="754">
        <f t="shared" si="1"/>
        <v>6</v>
      </c>
      <c r="Q18" s="774"/>
    </row>
    <row r="19" spans="1:17" x14ac:dyDescent="0.35">
      <c r="A19" s="754">
        <f t="shared" si="0"/>
        <v>7</v>
      </c>
      <c r="B19" s="739" t="s">
        <v>1482</v>
      </c>
      <c r="C19" s="754">
        <v>190</v>
      </c>
      <c r="D19" s="739">
        <f>'Order 864-1'!M19</f>
        <v>0.15525620575846233</v>
      </c>
      <c r="E19" s="739">
        <f>'Order 864-1'!N19</f>
        <v>0</v>
      </c>
      <c r="F19" s="744">
        <v>-0.15525620575846233</v>
      </c>
      <c r="G19" s="744"/>
      <c r="H19" s="744"/>
      <c r="I19" s="744"/>
      <c r="J19" s="739">
        <f>'Order 864-1'!J19+H19+I19</f>
        <v>-555.29460583790205</v>
      </c>
      <c r="K19" s="739">
        <f t="shared" ref="K19" si="3">SUM(D19:I19)</f>
        <v>0</v>
      </c>
      <c r="L19" s="739">
        <f>'Order 864-4'!I23</f>
        <v>0</v>
      </c>
      <c r="M19" s="739">
        <f>IF(SUM($K$19:$L$19)&lt;0,0,SUM($K19:$L19))</f>
        <v>0</v>
      </c>
      <c r="N19" s="739">
        <f>IF(SUM($K$19:$L$19)&lt;0,SUM($K19:$L19),0)</f>
        <v>0</v>
      </c>
      <c r="O19" s="755" t="s">
        <v>372</v>
      </c>
      <c r="P19" s="754">
        <f t="shared" si="1"/>
        <v>7</v>
      </c>
      <c r="Q19" s="774"/>
    </row>
    <row r="20" spans="1:17" x14ac:dyDescent="0.35">
      <c r="A20" s="754">
        <f t="shared" si="0"/>
        <v>8</v>
      </c>
      <c r="B20" s="739" t="s">
        <v>1483</v>
      </c>
      <c r="C20" s="754"/>
      <c r="D20" s="739"/>
      <c r="E20" s="739"/>
      <c r="F20" s="744"/>
      <c r="G20" s="744"/>
      <c r="H20" s="744"/>
      <c r="I20" s="744"/>
      <c r="J20" s="739">
        <f>'Order 864-1'!J20+H20+I20</f>
        <v>0</v>
      </c>
      <c r="K20" s="739"/>
      <c r="L20" s="739"/>
      <c r="M20" s="739"/>
      <c r="N20" s="739"/>
      <c r="O20" s="755"/>
      <c r="P20" s="754">
        <f t="shared" si="1"/>
        <v>8</v>
      </c>
      <c r="Q20" s="774"/>
    </row>
    <row r="21" spans="1:17" x14ac:dyDescent="0.35">
      <c r="A21" s="754">
        <f t="shared" si="0"/>
        <v>9</v>
      </c>
      <c r="B21" s="739" t="s">
        <v>1484</v>
      </c>
      <c r="C21" s="754">
        <v>283</v>
      </c>
      <c r="D21" s="739">
        <f>'Order 864-1'!M21</f>
        <v>0</v>
      </c>
      <c r="E21" s="739">
        <f>'Order 864-1'!N21</f>
        <v>0</v>
      </c>
      <c r="F21" s="744"/>
      <c r="G21" s="744"/>
      <c r="H21" s="744"/>
      <c r="I21" s="744"/>
      <c r="J21" s="739">
        <f>'Order 864-1'!J21+H21+I21</f>
        <v>-21828.386489952001</v>
      </c>
      <c r="K21" s="739">
        <f t="shared" ref="K21:K22" si="4">SUM(D21:I21)</f>
        <v>0</v>
      </c>
      <c r="L21" s="739">
        <f>'Order 864-4'!I26</f>
        <v>0</v>
      </c>
      <c r="M21" s="739">
        <f>IF(SUM($K$21:$L$22)&lt;0,0,SUM($K21:$L21))</f>
        <v>0</v>
      </c>
      <c r="N21" s="739">
        <f>IF(SUM($K$21:$L$22)&lt;0,SUM($K21:$L21),0)</f>
        <v>0</v>
      </c>
      <c r="O21" s="755" t="s">
        <v>372</v>
      </c>
      <c r="P21" s="754">
        <f t="shared" si="1"/>
        <v>9</v>
      </c>
      <c r="Q21" s="774"/>
    </row>
    <row r="22" spans="1:17" x14ac:dyDescent="0.35">
      <c r="A22" s="754">
        <f t="shared" si="0"/>
        <v>10</v>
      </c>
      <c r="B22" s="739" t="s">
        <v>1485</v>
      </c>
      <c r="C22" s="754">
        <v>283</v>
      </c>
      <c r="D22" s="739">
        <f>'Order 864-1'!M22</f>
        <v>0</v>
      </c>
      <c r="E22" s="739">
        <f>'Order 864-1'!N22</f>
        <v>0</v>
      </c>
      <c r="F22" s="744"/>
      <c r="G22" s="744"/>
      <c r="H22" s="744"/>
      <c r="I22" s="744"/>
      <c r="J22" s="739">
        <f>'Order 864-1'!J22+H22+I22</f>
        <v>24387.763684080001</v>
      </c>
      <c r="K22" s="739">
        <f t="shared" si="4"/>
        <v>0</v>
      </c>
      <c r="L22" s="739">
        <f>'Order 864-4'!I27</f>
        <v>0</v>
      </c>
      <c r="M22" s="739">
        <f>IF(SUM($K$21:$L$22)&lt;0,0,SUM($K22:$L22))</f>
        <v>0</v>
      </c>
      <c r="N22" s="739">
        <f>IF(SUM($K$21:$L$22)&lt;0,SUM($K22:$L22),0)</f>
        <v>0</v>
      </c>
      <c r="O22" s="755" t="s">
        <v>372</v>
      </c>
      <c r="P22" s="754">
        <f t="shared" si="1"/>
        <v>10</v>
      </c>
      <c r="Q22" s="774"/>
    </row>
    <row r="23" spans="1:17" x14ac:dyDescent="0.35">
      <c r="A23" s="754">
        <f t="shared" si="0"/>
        <v>11</v>
      </c>
      <c r="B23" s="755"/>
      <c r="C23" s="756"/>
      <c r="D23" s="806"/>
      <c r="E23" s="806"/>
      <c r="F23" s="806"/>
      <c r="G23" s="806"/>
      <c r="H23" s="806"/>
      <c r="I23" s="806"/>
      <c r="J23" s="806"/>
      <c r="K23" s="806"/>
      <c r="L23" s="806"/>
      <c r="M23" s="806"/>
      <c r="N23" s="806"/>
      <c r="O23" s="739"/>
      <c r="P23" s="754">
        <f t="shared" si="1"/>
        <v>11</v>
      </c>
      <c r="Q23" s="774"/>
    </row>
    <row r="24" spans="1:17" ht="15" thickBot="1" x14ac:dyDescent="0.4">
      <c r="A24" s="754">
        <f t="shared" si="0"/>
        <v>12</v>
      </c>
      <c r="B24" s="755" t="s">
        <v>1486</v>
      </c>
      <c r="C24" s="787"/>
      <c r="D24" s="737">
        <f>SUM(D14:D22)</f>
        <v>0.24043388843304569</v>
      </c>
      <c r="E24" s="737">
        <f t="shared" ref="E24:L24" si="5">SUM(E14:E22)</f>
        <v>0</v>
      </c>
      <c r="F24" s="737">
        <f t="shared" si="5"/>
        <v>-0.24043388843304569</v>
      </c>
      <c r="G24" s="737">
        <f t="shared" si="5"/>
        <v>0</v>
      </c>
      <c r="H24" s="737">
        <f t="shared" si="5"/>
        <v>0</v>
      </c>
      <c r="I24" s="737">
        <f t="shared" si="5"/>
        <v>0</v>
      </c>
      <c r="J24" s="737">
        <f t="shared" ref="J24" si="6">SUM(J14:J22)</f>
        <v>1600.6883190010194</v>
      </c>
      <c r="K24" s="737">
        <f t="shared" si="5"/>
        <v>0</v>
      </c>
      <c r="L24" s="737">
        <f t="shared" si="5"/>
        <v>0</v>
      </c>
      <c r="M24" s="737">
        <f t="shared" ref="M24:N24" si="7">SUM(M14:M22)</f>
        <v>0</v>
      </c>
      <c r="N24" s="737">
        <f t="shared" si="7"/>
        <v>0</v>
      </c>
      <c r="O24" s="755" t="s">
        <v>1487</v>
      </c>
      <c r="P24" s="754">
        <f t="shared" si="1"/>
        <v>12</v>
      </c>
      <c r="Q24" s="774"/>
    </row>
    <row r="25" spans="1:17" ht="15" thickTop="1" x14ac:dyDescent="0.35">
      <c r="A25" s="754">
        <f t="shared" si="0"/>
        <v>13</v>
      </c>
      <c r="B25" s="739"/>
      <c r="C25" s="739"/>
      <c r="D25" s="759"/>
      <c r="E25" s="759"/>
      <c r="F25" s="759"/>
      <c r="G25" s="759"/>
      <c r="H25" s="759"/>
      <c r="I25" s="759"/>
      <c r="J25" s="759"/>
      <c r="K25" s="759"/>
      <c r="L25" s="759"/>
      <c r="M25" s="759"/>
      <c r="N25" s="759"/>
      <c r="O25" s="739"/>
      <c r="P25" s="754">
        <f t="shared" si="1"/>
        <v>13</v>
      </c>
      <c r="Q25" s="774"/>
    </row>
    <row r="26" spans="1:17" x14ac:dyDescent="0.35">
      <c r="A26" s="754">
        <f t="shared" si="0"/>
        <v>14</v>
      </c>
      <c r="B26" s="739" t="s">
        <v>1488</v>
      </c>
      <c r="C26" s="760"/>
      <c r="D26" s="759"/>
      <c r="E26" s="759"/>
      <c r="F26" s="759"/>
      <c r="G26" s="759"/>
      <c r="H26" s="759"/>
      <c r="I26" s="759"/>
      <c r="J26" s="759"/>
      <c r="K26" s="759"/>
      <c r="L26" s="759"/>
      <c r="M26" s="759"/>
      <c r="N26" s="759"/>
      <c r="O26" s="739"/>
      <c r="P26" s="754">
        <f t="shared" si="1"/>
        <v>14</v>
      </c>
      <c r="Q26" s="774"/>
    </row>
    <row r="27" spans="1:17" x14ac:dyDescent="0.35">
      <c r="A27" s="754">
        <f t="shared" si="0"/>
        <v>15</v>
      </c>
      <c r="B27" s="739" t="s">
        <v>1489</v>
      </c>
      <c r="C27" s="754">
        <v>190</v>
      </c>
      <c r="D27" s="739">
        <f>'Order 864-1'!M27</f>
        <v>105336.37279363305</v>
      </c>
      <c r="E27" s="739">
        <f>'Order 864-1'!N27</f>
        <v>0</v>
      </c>
      <c r="F27" s="744">
        <v>17.729633871337942</v>
      </c>
      <c r="G27" s="744"/>
      <c r="H27" s="744">
        <v>-1458.5555226342103</v>
      </c>
      <c r="I27" s="744"/>
      <c r="J27" s="739">
        <f>'Order 864-1'!J27+F27+H27+I27</f>
        <v>-6563.5620408660216</v>
      </c>
      <c r="K27" s="739">
        <f>SUM(D27:I27)</f>
        <v>103895.54690487018</v>
      </c>
      <c r="L27" s="739">
        <f>'Order 864-4'!I30</f>
        <v>0</v>
      </c>
      <c r="M27" s="739">
        <f>IF(SUM($K$27:$L$27)&lt;0,0,SUM($K27:$L27))</f>
        <v>103895.54690487018</v>
      </c>
      <c r="N27" s="739">
        <f>IF(SUM($K$27:$L$27)&lt;0,SUM($K27:$L27),0)</f>
        <v>0</v>
      </c>
      <c r="O27" s="755" t="s">
        <v>372</v>
      </c>
      <c r="P27" s="754">
        <f t="shared" si="1"/>
        <v>15</v>
      </c>
      <c r="Q27" s="774"/>
    </row>
    <row r="28" spans="1:17" x14ac:dyDescent="0.35">
      <c r="A28" s="754">
        <f t="shared" si="0"/>
        <v>16</v>
      </c>
      <c r="B28" s="739" t="s">
        <v>1490</v>
      </c>
      <c r="C28" s="754"/>
      <c r="D28" s="739"/>
      <c r="E28" s="739"/>
      <c r="F28" s="744"/>
      <c r="G28" s="744"/>
      <c r="H28" s="744"/>
      <c r="I28" s="744"/>
      <c r="J28" s="739">
        <f>'Order 864-1'!J28+H28+I28</f>
        <v>0</v>
      </c>
      <c r="K28" s="739"/>
      <c r="L28" s="739"/>
      <c r="M28" s="739"/>
      <c r="N28" s="739"/>
      <c r="O28" s="755"/>
      <c r="P28" s="754">
        <f t="shared" si="1"/>
        <v>16</v>
      </c>
      <c r="Q28" s="774"/>
    </row>
    <row r="29" spans="1:17" x14ac:dyDescent="0.35">
      <c r="A29" s="754">
        <f t="shared" si="0"/>
        <v>17</v>
      </c>
      <c r="B29" s="739" t="s">
        <v>1491</v>
      </c>
      <c r="C29" s="754">
        <v>282</v>
      </c>
      <c r="D29" s="739">
        <f>'Order 864-1'!M29</f>
        <v>0</v>
      </c>
      <c r="E29" s="739">
        <f>'Order 864-1'!N29</f>
        <v>-377718.41804081638</v>
      </c>
      <c r="F29" s="744"/>
      <c r="G29" s="744">
        <v>-51.312346938798839</v>
      </c>
      <c r="H29" s="744"/>
      <c r="I29" s="744">
        <v>5077.6216530611991</v>
      </c>
      <c r="J29" s="739">
        <f>'Order 864-1'!J29+H29+I29</f>
        <v>23028.177430426724</v>
      </c>
      <c r="K29" s="739">
        <f t="shared" ref="K29" si="8">SUM(D29:I29)</f>
        <v>-372692.10873469402</v>
      </c>
      <c r="L29" s="739">
        <f>'Order 864-4'!I34</f>
        <v>0</v>
      </c>
      <c r="M29" s="739">
        <f>IF(SUM($K$29:$L$30)&lt;0,0,SUM($K29:$L29))</f>
        <v>0</v>
      </c>
      <c r="N29" s="739">
        <f>IF(SUM($K$29:$L$30)&lt;0,SUM($K29:$L29),0)</f>
        <v>-372692.10873469402</v>
      </c>
      <c r="O29" s="755" t="s">
        <v>372</v>
      </c>
      <c r="P29" s="754">
        <f t="shared" si="1"/>
        <v>17</v>
      </c>
      <c r="Q29" s="774"/>
    </row>
    <row r="30" spans="1:17" x14ac:dyDescent="0.35">
      <c r="A30" s="754">
        <f t="shared" si="0"/>
        <v>18</v>
      </c>
      <c r="B30" s="739" t="s">
        <v>1492</v>
      </c>
      <c r="C30" s="754">
        <v>282</v>
      </c>
      <c r="D30" s="739">
        <f>'Order 864-1'!M30</f>
        <v>0</v>
      </c>
      <c r="E30" s="739">
        <f>'Order 864-1'!N30</f>
        <v>7661.1910000000034</v>
      </c>
      <c r="F30" s="744"/>
      <c r="G30" s="744">
        <v>-0.70600000000372531</v>
      </c>
      <c r="H30" s="744"/>
      <c r="I30" s="744">
        <v>-923.30299999999988</v>
      </c>
      <c r="J30" s="739">
        <f>'Order 864-1'!J30+H30+I30</f>
        <v>-5278.4610000000002</v>
      </c>
      <c r="K30" s="739">
        <f>SUM(D30:I30)</f>
        <v>6737.1819999999998</v>
      </c>
      <c r="L30" s="739">
        <f>'Order 864-4'!I36</f>
        <v>0</v>
      </c>
      <c r="M30" s="739">
        <f>IF(SUM($K$29:$L$30)&lt;0,0,SUM($K30:$L30))</f>
        <v>0</v>
      </c>
      <c r="N30" s="739">
        <f>IF(SUM($K$29:$L$30)&lt;0,SUM($K30:$L30),0)</f>
        <v>6737.1819999999998</v>
      </c>
      <c r="O30" s="755" t="s">
        <v>372</v>
      </c>
      <c r="P30" s="754">
        <f t="shared" si="1"/>
        <v>18</v>
      </c>
      <c r="Q30" s="774"/>
    </row>
    <row r="31" spans="1:17" x14ac:dyDescent="0.35">
      <c r="A31" s="754">
        <f t="shared" si="0"/>
        <v>19</v>
      </c>
      <c r="B31" s="755" t="s">
        <v>1493</v>
      </c>
      <c r="C31" s="788"/>
      <c r="D31" s="747">
        <f t="shared" ref="D31:N31" si="9">SUM(D27:D30)</f>
        <v>105336.37279363305</v>
      </c>
      <c r="E31" s="747">
        <f t="shared" si="9"/>
        <v>-370057.22704081639</v>
      </c>
      <c r="F31" s="747">
        <f t="shared" si="9"/>
        <v>17.729633871337942</v>
      </c>
      <c r="G31" s="747">
        <f t="shared" si="9"/>
        <v>-52.018346938802566</v>
      </c>
      <c r="H31" s="747">
        <f t="shared" si="9"/>
        <v>-1458.5555226342103</v>
      </c>
      <c r="I31" s="747">
        <f t="shared" si="9"/>
        <v>4154.3186530611993</v>
      </c>
      <c r="J31" s="747">
        <f t="shared" si="9"/>
        <v>11186.154389560703</v>
      </c>
      <c r="K31" s="747">
        <f t="shared" si="9"/>
        <v>-262059.37982982383</v>
      </c>
      <c r="L31" s="747">
        <f t="shared" si="9"/>
        <v>0</v>
      </c>
      <c r="M31" s="747">
        <f t="shared" si="9"/>
        <v>103895.54690487018</v>
      </c>
      <c r="N31" s="747">
        <f t="shared" si="9"/>
        <v>-365954.92673469405</v>
      </c>
      <c r="O31" s="755" t="s">
        <v>1494</v>
      </c>
      <c r="P31" s="754">
        <f t="shared" si="1"/>
        <v>19</v>
      </c>
      <c r="Q31" s="774"/>
    </row>
    <row r="32" spans="1:17" x14ac:dyDescent="0.35">
      <c r="A32" s="754">
        <f t="shared" si="0"/>
        <v>20</v>
      </c>
      <c r="B32" s="739"/>
      <c r="C32" s="756"/>
      <c r="D32" s="739"/>
      <c r="E32" s="739"/>
      <c r="F32" s="739"/>
      <c r="G32" s="739"/>
      <c r="H32" s="739"/>
      <c r="I32" s="739"/>
      <c r="J32" s="739"/>
      <c r="K32" s="739"/>
      <c r="L32" s="739"/>
      <c r="M32" s="739"/>
      <c r="N32" s="739"/>
      <c r="O32" s="739"/>
      <c r="P32" s="754">
        <f t="shared" si="1"/>
        <v>20</v>
      </c>
      <c r="Q32" s="774"/>
    </row>
    <row r="33" spans="1:17" x14ac:dyDescent="0.35">
      <c r="A33" s="754">
        <f t="shared" si="0"/>
        <v>21</v>
      </c>
      <c r="B33" s="739" t="s">
        <v>1495</v>
      </c>
      <c r="C33" s="761"/>
      <c r="D33" s="739"/>
      <c r="E33" s="739"/>
      <c r="F33" s="739"/>
      <c r="G33" s="739"/>
      <c r="H33" s="739"/>
      <c r="I33" s="739"/>
      <c r="J33" s="739"/>
      <c r="K33" s="739"/>
      <c r="L33" s="739"/>
      <c r="M33" s="739"/>
      <c r="N33" s="739"/>
      <c r="O33" s="739"/>
      <c r="P33" s="754">
        <f t="shared" si="1"/>
        <v>21</v>
      </c>
      <c r="Q33" s="774"/>
    </row>
    <row r="34" spans="1:17" x14ac:dyDescent="0.35">
      <c r="A34" s="754">
        <f t="shared" si="0"/>
        <v>22</v>
      </c>
      <c r="B34" s="739" t="s">
        <v>1496</v>
      </c>
      <c r="C34" s="754">
        <v>282</v>
      </c>
      <c r="D34" s="739">
        <f>'Order 864-1'!M34</f>
        <v>0</v>
      </c>
      <c r="E34" s="739">
        <f>'Order 864-1'!N34</f>
        <v>-12146.053</v>
      </c>
      <c r="F34" s="744"/>
      <c r="G34" s="744">
        <v>-6.7529999999996653</v>
      </c>
      <c r="H34" s="744"/>
      <c r="I34" s="744">
        <v>266.32500000000073</v>
      </c>
      <c r="J34" s="739">
        <f>'Order 864-1'!J34+H34+I34</f>
        <v>1319.1743636363644</v>
      </c>
      <c r="K34" s="739">
        <f t="shared" ref="K34:K36" si="10">SUM(D34:I34)</f>
        <v>-11886.480999999998</v>
      </c>
      <c r="L34" s="739">
        <f>'Order 864-4'!I37</f>
        <v>0</v>
      </c>
      <c r="M34" s="739">
        <f>IF(SUM($K$34:$L$34)&lt;0,0,SUM($K34:$L34))</f>
        <v>0</v>
      </c>
      <c r="N34" s="739">
        <f>IF(SUM($K$34:$L$34)&lt;0,SUM($K34:$L34),0)</f>
        <v>-11886.480999999998</v>
      </c>
      <c r="O34" s="755" t="s">
        <v>372</v>
      </c>
      <c r="P34" s="754">
        <f t="shared" si="1"/>
        <v>22</v>
      </c>
      <c r="Q34" s="774"/>
    </row>
    <row r="35" spans="1:17" x14ac:dyDescent="0.35">
      <c r="A35" s="754">
        <f t="shared" si="0"/>
        <v>23</v>
      </c>
      <c r="B35" s="739" t="s">
        <v>1497</v>
      </c>
      <c r="C35" s="754">
        <v>282</v>
      </c>
      <c r="D35" s="739">
        <f>'Order 864-1'!M35</f>
        <v>0</v>
      </c>
      <c r="E35" s="739">
        <f>'Order 864-1'!N35</f>
        <v>-32367.185999999998</v>
      </c>
      <c r="F35" s="744"/>
      <c r="G35" s="744">
        <v>-17.226999999999389</v>
      </c>
      <c r="H35" s="744"/>
      <c r="I35" s="744">
        <v>1199.9959999999992</v>
      </c>
      <c r="J35" s="739">
        <f>'Order 864-1'!J35+H35+I35</f>
        <v>7477.9992727272711</v>
      </c>
      <c r="K35" s="739">
        <f t="shared" si="10"/>
        <v>-31184.416999999998</v>
      </c>
      <c r="L35" s="739">
        <f>'Order 864-4'!I38</f>
        <v>0</v>
      </c>
      <c r="M35" s="739">
        <f>IF(SUM($K$35:$L$35)&lt;0,0,SUM($K35:$L35))</f>
        <v>0</v>
      </c>
      <c r="N35" s="739">
        <f>IF(SUM($K$35:$L$35)&lt;0,SUM($K35:$L35),0)</f>
        <v>-31184.416999999998</v>
      </c>
      <c r="O35" s="755" t="s">
        <v>372</v>
      </c>
      <c r="P35" s="754">
        <f t="shared" si="1"/>
        <v>23</v>
      </c>
      <c r="Q35" s="774"/>
    </row>
    <row r="36" spans="1:17" x14ac:dyDescent="0.35">
      <c r="A36" s="754">
        <f t="shared" si="0"/>
        <v>24</v>
      </c>
      <c r="B36" s="739" t="s">
        <v>1498</v>
      </c>
      <c r="C36" s="762">
        <v>282</v>
      </c>
      <c r="D36" s="739">
        <f>'Order 864-1'!M36</f>
        <v>13395.735902179029</v>
      </c>
      <c r="E36" s="739">
        <f>'Order 864-1'!N36</f>
        <v>0</v>
      </c>
      <c r="F36" s="744">
        <v>5.1880000000001019</v>
      </c>
      <c r="G36" s="744"/>
      <c r="H36" s="744">
        <v>-87.047999646206662</v>
      </c>
      <c r="I36" s="744"/>
      <c r="J36" s="739">
        <f>'Order 864-1'!J36+H36+I36</f>
        <v>446.43972762652118</v>
      </c>
      <c r="K36" s="739">
        <f t="shared" si="10"/>
        <v>13313.875902532822</v>
      </c>
      <c r="L36" s="739">
        <f>'Order 864-4'!I39</f>
        <v>0</v>
      </c>
      <c r="M36" s="739">
        <f>IF(SUM($K$36:$L$36)&lt;0,0,SUM($K36:$L36))</f>
        <v>13313.875902532822</v>
      </c>
      <c r="N36" s="739">
        <f>IF(SUM($K$36:$L$36)&lt;0,SUM($K36:$L36),0)</f>
        <v>0</v>
      </c>
      <c r="O36" s="755" t="s">
        <v>372</v>
      </c>
      <c r="P36" s="754">
        <f t="shared" si="1"/>
        <v>24</v>
      </c>
      <c r="Q36" s="774"/>
    </row>
    <row r="37" spans="1:17" x14ac:dyDescent="0.35">
      <c r="A37" s="754">
        <f t="shared" si="0"/>
        <v>25</v>
      </c>
      <c r="B37" s="755" t="s">
        <v>1493</v>
      </c>
      <c r="C37" s="788"/>
      <c r="D37" s="747">
        <f t="shared" ref="D37:L37" si="11">SUM(D34:D36)</f>
        <v>13395.735902179029</v>
      </c>
      <c r="E37" s="747">
        <f t="shared" si="11"/>
        <v>-44513.239000000001</v>
      </c>
      <c r="F37" s="747">
        <f t="shared" si="11"/>
        <v>5.1880000000001019</v>
      </c>
      <c r="G37" s="747">
        <f t="shared" si="11"/>
        <v>-23.979999999999055</v>
      </c>
      <c r="H37" s="747">
        <f t="shared" si="11"/>
        <v>-87.047999646206662</v>
      </c>
      <c r="I37" s="747">
        <f t="shared" si="11"/>
        <v>1466.3209999999999</v>
      </c>
      <c r="J37" s="747">
        <f t="shared" ref="J37" si="12">SUM(J34:J36)</f>
        <v>9243.6133639901564</v>
      </c>
      <c r="K37" s="747">
        <f t="shared" si="11"/>
        <v>-29757.022097467172</v>
      </c>
      <c r="L37" s="747">
        <f t="shared" si="11"/>
        <v>0</v>
      </c>
      <c r="M37" s="747">
        <f>SUM(M34:M36)</f>
        <v>13313.875902532822</v>
      </c>
      <c r="N37" s="747">
        <f>SUM(N34:N36)</f>
        <v>-43070.897999999994</v>
      </c>
      <c r="O37" s="755" t="s">
        <v>1499</v>
      </c>
      <c r="P37" s="754">
        <f t="shared" si="1"/>
        <v>25</v>
      </c>
      <c r="Q37" s="774"/>
    </row>
    <row r="38" spans="1:17" x14ac:dyDescent="0.35">
      <c r="A38" s="754">
        <f t="shared" si="0"/>
        <v>26</v>
      </c>
      <c r="B38" s="739"/>
      <c r="C38" s="756"/>
      <c r="D38" s="757"/>
      <c r="E38" s="757"/>
      <c r="F38" s="757"/>
      <c r="G38" s="757"/>
      <c r="H38" s="757"/>
      <c r="I38" s="757"/>
      <c r="J38" s="757"/>
      <c r="K38" s="757"/>
      <c r="L38" s="757"/>
      <c r="M38" s="757"/>
      <c r="N38" s="757"/>
      <c r="O38" s="739"/>
      <c r="P38" s="754">
        <f t="shared" si="1"/>
        <v>26</v>
      </c>
      <c r="Q38" s="774"/>
    </row>
    <row r="39" spans="1:17" x14ac:dyDescent="0.35">
      <c r="A39" s="754">
        <f t="shared" si="0"/>
        <v>27</v>
      </c>
      <c r="B39" s="739" t="s">
        <v>1495</v>
      </c>
      <c r="C39" s="756"/>
      <c r="D39" s="759"/>
      <c r="E39" s="759"/>
      <c r="F39" s="759"/>
      <c r="G39" s="759"/>
      <c r="H39" s="759"/>
      <c r="I39" s="759"/>
      <c r="J39" s="759"/>
      <c r="K39" s="759"/>
      <c r="L39" s="759"/>
      <c r="M39" s="759"/>
      <c r="N39" s="759"/>
      <c r="O39" s="739"/>
      <c r="P39" s="754">
        <f t="shared" si="1"/>
        <v>27</v>
      </c>
      <c r="Q39" s="774"/>
    </row>
    <row r="40" spans="1:17" x14ac:dyDescent="0.35">
      <c r="A40" s="754">
        <f t="shared" si="0"/>
        <v>28</v>
      </c>
      <c r="B40" s="739" t="s">
        <v>1500</v>
      </c>
      <c r="C40" s="762">
        <v>282</v>
      </c>
      <c r="D40" s="773">
        <f>'Order 864-1'!M40</f>
        <v>38580.010458927754</v>
      </c>
      <c r="E40" s="773">
        <f>'Order 864-1'!N40</f>
        <v>0</v>
      </c>
      <c r="F40" s="807">
        <v>6.4935504905921562</v>
      </c>
      <c r="G40" s="807"/>
      <c r="H40" s="807">
        <v>-534.20189036551778</v>
      </c>
      <c r="I40" s="807"/>
      <c r="J40" s="739">
        <f>'Order 864-1'!J40+H40+I40</f>
        <v>-2382.1737293347287</v>
      </c>
      <c r="K40" s="739">
        <f t="shared" ref="K40" si="13">SUM(D40:I40)</f>
        <v>38052.302119052831</v>
      </c>
      <c r="L40" s="739">
        <f>'Order 864-4'!I43</f>
        <v>0</v>
      </c>
      <c r="M40" s="739">
        <f>IF(SUM($K$40:$L$40)&lt;0,0,SUM($K40:$L40))</f>
        <v>38052.302119052831</v>
      </c>
      <c r="N40" s="739">
        <f>IF(SUM($K$40:$L$40)&lt;0,SUM($K40:$L40),0)</f>
        <v>0</v>
      </c>
      <c r="O40" s="755" t="s">
        <v>372</v>
      </c>
      <c r="P40" s="754">
        <f t="shared" si="1"/>
        <v>28</v>
      </c>
      <c r="Q40" s="774"/>
    </row>
    <row r="41" spans="1:17" x14ac:dyDescent="0.35">
      <c r="A41" s="754">
        <f t="shared" si="0"/>
        <v>29</v>
      </c>
      <c r="B41" s="739"/>
      <c r="C41" s="756"/>
      <c r="D41" s="763"/>
      <c r="E41" s="763"/>
      <c r="F41" s="763"/>
      <c r="G41" s="763"/>
      <c r="H41" s="763"/>
      <c r="I41" s="763"/>
      <c r="J41" s="763"/>
      <c r="K41" s="763"/>
      <c r="L41" s="763"/>
      <c r="M41" s="763"/>
      <c r="N41" s="763"/>
      <c r="O41" s="739"/>
      <c r="P41" s="754">
        <f t="shared" si="1"/>
        <v>29</v>
      </c>
      <c r="Q41" s="774"/>
    </row>
    <row r="42" spans="1:17" ht="15" thickBot="1" x14ac:dyDescent="0.4">
      <c r="A42" s="754">
        <f t="shared" si="0"/>
        <v>30</v>
      </c>
      <c r="B42" s="755" t="s">
        <v>1501</v>
      </c>
      <c r="C42" s="788"/>
      <c r="D42" s="737">
        <f t="shared" ref="D42:L42" si="14">D31+D37+D40</f>
        <v>157312.11915473983</v>
      </c>
      <c r="E42" s="737">
        <f t="shared" si="14"/>
        <v>-414570.46604081639</v>
      </c>
      <c r="F42" s="737">
        <f t="shared" si="14"/>
        <v>29.4111843619302</v>
      </c>
      <c r="G42" s="737">
        <f t="shared" si="14"/>
        <v>-75.998346938801618</v>
      </c>
      <c r="H42" s="737">
        <f t="shared" si="14"/>
        <v>-2079.8054126459347</v>
      </c>
      <c r="I42" s="737">
        <f t="shared" si="14"/>
        <v>5620.6396530611992</v>
      </c>
      <c r="J42" s="737">
        <f t="shared" si="14"/>
        <v>18047.59402421613</v>
      </c>
      <c r="K42" s="737">
        <f>K31+K37+K40</f>
        <v>-253764.09980823818</v>
      </c>
      <c r="L42" s="737">
        <f t="shared" si="14"/>
        <v>0</v>
      </c>
      <c r="M42" s="737">
        <f t="shared" ref="M42:N42" si="15">+M40+M37+M31</f>
        <v>155261.72492645582</v>
      </c>
      <c r="N42" s="737">
        <f t="shared" si="15"/>
        <v>-409025.82473469403</v>
      </c>
      <c r="O42" s="823" t="s">
        <v>1502</v>
      </c>
      <c r="P42" s="754">
        <f t="shared" si="1"/>
        <v>30</v>
      </c>
      <c r="Q42" s="774"/>
    </row>
    <row r="43" spans="1:17" ht="15" thickTop="1" x14ac:dyDescent="0.35">
      <c r="A43" s="754">
        <f t="shared" si="0"/>
        <v>31</v>
      </c>
      <c r="B43" s="739"/>
      <c r="C43" s="739"/>
      <c r="D43" s="764"/>
      <c r="E43" s="764"/>
      <c r="F43" s="764"/>
      <c r="G43" s="764"/>
      <c r="H43" s="764"/>
      <c r="I43" s="764"/>
      <c r="J43" s="764"/>
      <c r="K43" s="764"/>
      <c r="L43" s="764"/>
      <c r="M43" s="764"/>
      <c r="N43" s="764"/>
      <c r="O43" s="739"/>
      <c r="P43" s="754">
        <f t="shared" si="1"/>
        <v>31</v>
      </c>
      <c r="Q43" s="774"/>
    </row>
    <row r="44" spans="1:17" ht="15" thickBot="1" x14ac:dyDescent="0.4">
      <c r="A44" s="754">
        <f t="shared" si="0"/>
        <v>32</v>
      </c>
      <c r="B44" s="755" t="s">
        <v>1503</v>
      </c>
      <c r="C44" s="787"/>
      <c r="D44" s="737">
        <f t="shared" ref="D44:N44" si="16">D24+D42</f>
        <v>157312.35958862826</v>
      </c>
      <c r="E44" s="737">
        <f t="shared" si="16"/>
        <v>-414570.46604081639</v>
      </c>
      <c r="F44" s="737">
        <f t="shared" si="16"/>
        <v>29.170750473497154</v>
      </c>
      <c r="G44" s="737">
        <f t="shared" si="16"/>
        <v>-75.998346938801618</v>
      </c>
      <c r="H44" s="737">
        <f t="shared" si="16"/>
        <v>-2079.8054126459347</v>
      </c>
      <c r="I44" s="737">
        <f t="shared" si="16"/>
        <v>5620.6396530611992</v>
      </c>
      <c r="J44" s="737">
        <f t="shared" si="16"/>
        <v>19648.28234321715</v>
      </c>
      <c r="K44" s="737">
        <f t="shared" si="16"/>
        <v>-253764.09980823818</v>
      </c>
      <c r="L44" s="737">
        <f t="shared" si="16"/>
        <v>0</v>
      </c>
      <c r="M44" s="737">
        <f t="shared" si="16"/>
        <v>155261.72492645582</v>
      </c>
      <c r="N44" s="737">
        <f t="shared" si="16"/>
        <v>-409025.82473469403</v>
      </c>
      <c r="O44" s="755" t="s">
        <v>1504</v>
      </c>
      <c r="P44" s="754">
        <f t="shared" si="1"/>
        <v>32</v>
      </c>
      <c r="Q44" s="774"/>
    </row>
    <row r="45" spans="1:17" ht="15" thickTop="1" x14ac:dyDescent="0.35">
      <c r="A45" s="801"/>
      <c r="B45" s="739"/>
      <c r="C45" s="739"/>
      <c r="D45" s="739"/>
      <c r="E45" s="739"/>
      <c r="F45" s="739"/>
      <c r="G45" s="739"/>
      <c r="H45" s="739"/>
      <c r="I45" s="739"/>
      <c r="J45" s="739"/>
      <c r="K45" s="739"/>
      <c r="L45" s="739"/>
      <c r="M45" s="739">
        <f>'AF-2'!E35-M44</f>
        <v>0</v>
      </c>
      <c r="N45" s="739">
        <f>N44-'AF-2'!G35</f>
        <v>0</v>
      </c>
      <c r="O45" s="774"/>
      <c r="P45" s="774"/>
      <c r="Q45" s="774"/>
    </row>
    <row r="46" spans="1:17" x14ac:dyDescent="0.35">
      <c r="A46" s="801"/>
      <c r="B46" s="726" t="s">
        <v>1505</v>
      </c>
      <c r="C46" s="765"/>
      <c r="D46" s="739"/>
      <c r="E46" s="739"/>
      <c r="F46" s="739"/>
      <c r="G46" s="739"/>
      <c r="H46" s="739"/>
      <c r="I46" s="739"/>
      <c r="J46" s="739"/>
      <c r="K46" s="739"/>
      <c r="L46" s="739"/>
      <c r="M46" s="739"/>
      <c r="N46" s="739"/>
      <c r="O46" s="774"/>
      <c r="P46" s="774"/>
      <c r="Q46" s="774"/>
    </row>
    <row r="47" spans="1:17" x14ac:dyDescent="0.35">
      <c r="A47" s="801"/>
      <c r="B47" s="837" t="s">
        <v>1506</v>
      </c>
      <c r="C47" s="765"/>
      <c r="D47" s="739"/>
      <c r="E47" s="739"/>
      <c r="F47" s="739"/>
      <c r="G47" s="739"/>
      <c r="H47" s="739"/>
      <c r="I47" s="739"/>
      <c r="J47" s="739"/>
      <c r="K47" s="739"/>
      <c r="L47" s="739"/>
      <c r="M47" s="739"/>
      <c r="N47" s="739"/>
      <c r="O47" s="774"/>
      <c r="P47" s="774"/>
      <c r="Q47" s="774"/>
    </row>
    <row r="48" spans="1:17" x14ac:dyDescent="0.35">
      <c r="A48" s="801"/>
      <c r="B48" s="837" t="s">
        <v>1557</v>
      </c>
      <c r="C48" s="766"/>
      <c r="D48" s="766"/>
      <c r="E48" s="766"/>
      <c r="F48" s="739"/>
      <c r="G48" s="739"/>
      <c r="H48" s="739"/>
      <c r="I48" s="739"/>
      <c r="J48" s="739"/>
      <c r="K48" s="739"/>
      <c r="L48"/>
      <c r="M48" s="739"/>
      <c r="N48" s="739"/>
      <c r="O48" s="774"/>
      <c r="P48" s="774"/>
      <c r="Q48" s="774"/>
    </row>
    <row r="49" spans="1:17" x14ac:dyDescent="0.35">
      <c r="A49" s="801"/>
      <c r="B49" s="837" t="s">
        <v>1508</v>
      </c>
      <c r="C49" s="739"/>
      <c r="D49" s="739"/>
      <c r="E49" s="739"/>
      <c r="F49" s="739"/>
      <c r="G49" s="739"/>
      <c r="H49" s="739"/>
      <c r="I49" s="739"/>
      <c r="J49" s="739"/>
      <c r="K49" s="739"/>
      <c r="L49" s="739"/>
      <c r="M49" s="739"/>
      <c r="P49" s="774"/>
      <c r="Q49" s="774"/>
    </row>
    <row r="50" spans="1:17" x14ac:dyDescent="0.35">
      <c r="A50" s="801"/>
      <c r="B50" s="837" t="s">
        <v>1509</v>
      </c>
      <c r="C50" s="739"/>
      <c r="D50" s="831"/>
      <c r="E50" s="739"/>
      <c r="F50" s="739"/>
      <c r="G50" s="739"/>
      <c r="H50" s="739"/>
      <c r="I50" s="739"/>
      <c r="J50" s="739"/>
      <c r="K50" s="739"/>
      <c r="L50" s="739"/>
      <c r="M50" s="739"/>
      <c r="P50" s="774"/>
      <c r="Q50" s="774"/>
    </row>
    <row r="51" spans="1:17" x14ac:dyDescent="0.35">
      <c r="A51" s="801"/>
      <c r="B51" s="837" t="s">
        <v>1510</v>
      </c>
      <c r="C51" s="776"/>
      <c r="D51" s="808"/>
      <c r="E51" s="777"/>
      <c r="F51" s="739"/>
      <c r="G51" s="739"/>
      <c r="H51" s="739"/>
      <c r="I51" s="739"/>
      <c r="J51" s="739"/>
      <c r="K51" s="739"/>
      <c r="L51" s="739"/>
      <c r="M51" s="739"/>
      <c r="P51" s="774"/>
      <c r="Q51" s="774"/>
    </row>
    <row r="52" spans="1:17" x14ac:dyDescent="0.35">
      <c r="B52" s="837" t="s">
        <v>1511</v>
      </c>
      <c r="C52" s="776"/>
      <c r="D52" s="777"/>
      <c r="E52" s="777"/>
    </row>
    <row r="53" spans="1:17" x14ac:dyDescent="0.35">
      <c r="B53" s="837" t="s">
        <v>1512</v>
      </c>
      <c r="C53" s="776"/>
      <c r="D53" s="802"/>
      <c r="E53" s="802"/>
    </row>
    <row r="54" spans="1:17" x14ac:dyDescent="0.35">
      <c r="B54" s="837" t="s">
        <v>1513</v>
      </c>
      <c r="C54" s="766"/>
      <c r="D54" s="766"/>
      <c r="E54" s="766"/>
    </row>
    <row r="55" spans="1:17" x14ac:dyDescent="0.35">
      <c r="B55" s="837" t="s">
        <v>1514</v>
      </c>
    </row>
    <row r="56" spans="1:17" x14ac:dyDescent="0.35">
      <c r="B56" s="837" t="s">
        <v>1515</v>
      </c>
    </row>
    <row r="58" spans="1:17" x14ac:dyDescent="0.35">
      <c r="B58" s="767"/>
      <c r="C58" s="739"/>
      <c r="D58" s="739"/>
      <c r="E58" s="739"/>
      <c r="F58" s="756"/>
      <c r="G58" s="756"/>
      <c r="H58" s="801" t="s">
        <v>1516</v>
      </c>
      <c r="I58" s="801" t="s">
        <v>1517</v>
      </c>
      <c r="J58" s="801" t="s">
        <v>1518</v>
      </c>
      <c r="K58" s="801" t="s">
        <v>1519</v>
      </c>
      <c r="L58" s="801" t="s">
        <v>1520</v>
      </c>
    </row>
    <row r="59" spans="1:17" x14ac:dyDescent="0.35">
      <c r="B59" s="767"/>
      <c r="C59" s="739"/>
      <c r="D59" s="739"/>
      <c r="E59" s="739"/>
      <c r="F59" s="756"/>
      <c r="G59" s="756"/>
      <c r="H59" s="791" t="s">
        <v>1457</v>
      </c>
      <c r="I59" s="791" t="s">
        <v>1458</v>
      </c>
      <c r="J59" s="756"/>
    </row>
    <row r="60" spans="1:17" ht="39.5" x14ac:dyDescent="0.35">
      <c r="B60" s="838" t="s">
        <v>1521</v>
      </c>
      <c r="C60" s="739"/>
      <c r="D60" s="839" t="s">
        <v>1522</v>
      </c>
      <c r="E60" s="754"/>
      <c r="F60" s="756"/>
      <c r="G60" s="756"/>
      <c r="H60" s="840" t="s">
        <v>1474</v>
      </c>
      <c r="I60" s="840" t="s">
        <v>1475</v>
      </c>
      <c r="J60" s="840" t="s">
        <v>1523</v>
      </c>
      <c r="K60" s="840" t="s">
        <v>1524</v>
      </c>
      <c r="L60" s="840" t="s">
        <v>1525</v>
      </c>
    </row>
    <row r="61" spans="1:17" x14ac:dyDescent="0.35">
      <c r="B61" s="776" t="s">
        <v>1526</v>
      </c>
      <c r="C61" s="841" t="s">
        <v>1435</v>
      </c>
      <c r="D61" s="842">
        <v>0.21</v>
      </c>
      <c r="E61" s="843"/>
      <c r="F61" s="756"/>
      <c r="G61" s="776" t="s">
        <v>1527</v>
      </c>
      <c r="H61" s="739">
        <f>M24</f>
        <v>0</v>
      </c>
      <c r="I61" s="739">
        <f>N24</f>
        <v>0</v>
      </c>
      <c r="J61" s="844">
        <f>D66-1</f>
        <v>0.38857260290711548</v>
      </c>
      <c r="K61" s="739">
        <f>H61*J61</f>
        <v>0</v>
      </c>
      <c r="L61" s="739">
        <f>I61*J61</f>
        <v>0</v>
      </c>
    </row>
    <row r="62" spans="1:17" x14ac:dyDescent="0.35">
      <c r="B62" s="776" t="s">
        <v>1528</v>
      </c>
      <c r="C62" s="841" t="s">
        <v>1438</v>
      </c>
      <c r="D62" s="842">
        <v>8.8400000000000006E-2</v>
      </c>
      <c r="E62" s="843"/>
      <c r="F62" s="756"/>
      <c r="G62" s="776" t="s">
        <v>1529</v>
      </c>
      <c r="H62" s="739">
        <f>M42</f>
        <v>155261.72492645582</v>
      </c>
      <c r="I62" s="739">
        <f>N42</f>
        <v>-409025.82473469403</v>
      </c>
      <c r="J62" s="844">
        <f>D66-1</f>
        <v>0.38857260290711548</v>
      </c>
      <c r="K62" s="739">
        <f>H62*J62</f>
        <v>60330.452586521511</v>
      </c>
      <c r="L62" s="739">
        <f>I62*J62</f>
        <v>-158936.22937338968</v>
      </c>
    </row>
    <row r="63" spans="1:17" x14ac:dyDescent="0.35">
      <c r="B63" s="776" t="s">
        <v>1530</v>
      </c>
      <c r="C63" s="841" t="s">
        <v>1531</v>
      </c>
      <c r="D63" s="846">
        <f>-D62*D61</f>
        <v>-1.8564000000000001E-2</v>
      </c>
      <c r="E63" s="843"/>
      <c r="F63" s="843"/>
      <c r="G63" s="768"/>
      <c r="H63" s="768"/>
      <c r="I63" s="768"/>
      <c r="J63" s="768"/>
      <c r="K63" s="768"/>
      <c r="L63" s="768"/>
    </row>
    <row r="64" spans="1:17" x14ac:dyDescent="0.35">
      <c r="B64" s="776" t="s">
        <v>1532</v>
      </c>
      <c r="C64" s="841" t="s">
        <v>1533</v>
      </c>
      <c r="D64" s="847">
        <f>SUM(D61:D63)</f>
        <v>0.27983599999999997</v>
      </c>
      <c r="E64" s="845"/>
      <c r="F64" s="843"/>
    </row>
    <row r="65" spans="2:6" x14ac:dyDescent="0.35">
      <c r="B65" s="776" t="s">
        <v>1534</v>
      </c>
      <c r="C65" s="841" t="s">
        <v>1535</v>
      </c>
      <c r="D65" s="847">
        <f>1-D64</f>
        <v>0.72016400000000003</v>
      </c>
      <c r="E65" s="845"/>
      <c r="F65" s="843"/>
    </row>
    <row r="66" spans="2:6" x14ac:dyDescent="0.35">
      <c r="B66" s="776" t="s">
        <v>1523</v>
      </c>
      <c r="C66" s="841" t="s">
        <v>1536</v>
      </c>
      <c r="D66" s="848">
        <f>1/D65</f>
        <v>1.3885726029071155</v>
      </c>
      <c r="E66" s="844"/>
      <c r="F66" s="844"/>
    </row>
  </sheetData>
  <mergeCells count="1">
    <mergeCell ref="B5:O5"/>
  </mergeCells>
  <printOptions horizontalCentered="1"/>
  <pageMargins left="0.25" right="0.25" top="0.5" bottom="0.5" header="0.25" footer="0.25"/>
  <pageSetup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5.08984375" style="1" customWidth="1"/>
    <col min="5" max="5" width="18.54296875" style="1" customWidth="1"/>
    <col min="6" max="6" width="62.542968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1171" t="s">
        <v>0</v>
      </c>
      <c r="C2" s="1171"/>
      <c r="D2" s="1171"/>
      <c r="E2" s="1171"/>
      <c r="F2" s="1171"/>
    </row>
    <row r="3" spans="1:8" x14ac:dyDescent="0.35">
      <c r="B3" s="1171" t="s">
        <v>362</v>
      </c>
      <c r="C3" s="1171"/>
      <c r="D3" s="1171"/>
      <c r="E3" s="1171"/>
      <c r="F3" s="1171"/>
    </row>
    <row r="4" spans="1:8" x14ac:dyDescent="0.35">
      <c r="B4" s="1171" t="s">
        <v>363</v>
      </c>
      <c r="C4" s="1171"/>
      <c r="D4" s="1171"/>
      <c r="E4" s="1171"/>
      <c r="F4" s="1171"/>
    </row>
    <row r="5" spans="1:8" x14ac:dyDescent="0.35">
      <c r="B5" s="1171" t="s">
        <v>364</v>
      </c>
      <c r="C5" s="1171"/>
      <c r="D5" s="1171"/>
      <c r="E5" s="1171"/>
      <c r="F5" s="1171"/>
    </row>
    <row r="6" spans="1:8" x14ac:dyDescent="0.35">
      <c r="B6" s="1175" t="s">
        <v>5</v>
      </c>
      <c r="C6" s="1175"/>
      <c r="D6" s="1175"/>
      <c r="E6" s="1175"/>
      <c r="F6" s="1175"/>
    </row>
    <row r="7" spans="1:8" x14ac:dyDescent="0.35">
      <c r="B7" s="277"/>
      <c r="C7" s="278"/>
      <c r="D7" s="277"/>
      <c r="E7" s="277"/>
      <c r="F7" s="277"/>
    </row>
    <row r="8" spans="1:8" x14ac:dyDescent="0.35">
      <c r="B8" s="1171" t="s">
        <v>398</v>
      </c>
      <c r="C8" s="1171"/>
      <c r="D8" s="1171"/>
      <c r="E8" s="1171"/>
      <c r="F8" s="1171"/>
    </row>
    <row r="10" spans="1:8" x14ac:dyDescent="0.35">
      <c r="B10" s="987"/>
      <c r="C10" s="279" t="s">
        <v>265</v>
      </c>
      <c r="D10" s="988"/>
      <c r="E10" s="279"/>
      <c r="F10" s="988"/>
    </row>
    <row r="11" spans="1:8" ht="15.5" x14ac:dyDescent="0.35">
      <c r="A11" s="4"/>
      <c r="B11" s="280"/>
      <c r="C11" s="226" t="s">
        <v>399</v>
      </c>
      <c r="D11" s="280"/>
      <c r="E11" s="284" t="s">
        <v>399</v>
      </c>
      <c r="F11" s="280"/>
    </row>
    <row r="12" spans="1:8" ht="15.5" x14ac:dyDescent="0.35">
      <c r="A12" s="4" t="s">
        <v>6</v>
      </c>
      <c r="B12" s="283"/>
      <c r="C12" s="226" t="s">
        <v>367</v>
      </c>
      <c r="D12" s="280"/>
      <c r="E12" s="284" t="s">
        <v>367</v>
      </c>
      <c r="F12" s="280"/>
      <c r="G12" s="4" t="s">
        <v>6</v>
      </c>
    </row>
    <row r="13" spans="1:8" ht="18" x14ac:dyDescent="0.35">
      <c r="A13" s="4" t="s">
        <v>7</v>
      </c>
      <c r="B13" s="285" t="s">
        <v>368</v>
      </c>
      <c r="C13" s="990" t="s">
        <v>369</v>
      </c>
      <c r="D13" s="285" t="s">
        <v>9</v>
      </c>
      <c r="E13" s="286" t="s">
        <v>370</v>
      </c>
      <c r="F13" s="285" t="s">
        <v>9</v>
      </c>
      <c r="G13" s="4" t="s">
        <v>7</v>
      </c>
    </row>
    <row r="14" spans="1:8" ht="15.5" x14ac:dyDescent="0.35">
      <c r="A14" s="4">
        <v>1</v>
      </c>
      <c r="B14" s="991" t="str">
        <f>'AD-1'!B14</f>
        <v>Dec-21</v>
      </c>
      <c r="C14" s="61">
        <v>579619.97169999999</v>
      </c>
      <c r="D14" s="992" t="s">
        <v>372</v>
      </c>
      <c r="E14" s="61">
        <v>537622.61215000006</v>
      </c>
      <c r="F14" s="992" t="s">
        <v>373</v>
      </c>
      <c r="G14" s="4">
        <f>A14</f>
        <v>1</v>
      </c>
      <c r="H14" s="287"/>
    </row>
    <row r="15" spans="1:8" ht="15.5" x14ac:dyDescent="0.35">
      <c r="A15" s="4">
        <f>A14+1</f>
        <v>2</v>
      </c>
      <c r="B15" s="991" t="str">
        <f>'AD-1'!B15</f>
        <v>Jan-22</v>
      </c>
      <c r="C15" s="55">
        <v>579570.40697999997</v>
      </c>
      <c r="D15" s="993"/>
      <c r="E15" s="55">
        <v>537573.04743000004</v>
      </c>
      <c r="F15" s="993"/>
      <c r="G15" s="4">
        <f>G14+1</f>
        <v>2</v>
      </c>
    </row>
    <row r="16" spans="1:8" ht="15.5" x14ac:dyDescent="0.35">
      <c r="A16" s="4">
        <f t="shared" ref="A16:A32" si="0">A15+1</f>
        <v>3</v>
      </c>
      <c r="B16" s="994" t="s">
        <v>375</v>
      </c>
      <c r="C16" s="55">
        <v>579613.80974000006</v>
      </c>
      <c r="D16" s="993"/>
      <c r="E16" s="55">
        <v>537616.45019000012</v>
      </c>
      <c r="F16" s="993"/>
      <c r="G16" s="4">
        <f t="shared" ref="G16:G26" si="1">G15+1</f>
        <v>3</v>
      </c>
    </row>
    <row r="17" spans="1:8" ht="15.5" x14ac:dyDescent="0.35">
      <c r="A17" s="4">
        <f t="shared" si="0"/>
        <v>4</v>
      </c>
      <c r="B17" s="994" t="s">
        <v>376</v>
      </c>
      <c r="C17" s="55">
        <v>579616.71510000003</v>
      </c>
      <c r="D17" s="993"/>
      <c r="E17" s="55">
        <v>537619.35555000009</v>
      </c>
      <c r="F17" s="993"/>
      <c r="G17" s="4">
        <f t="shared" si="1"/>
        <v>4</v>
      </c>
    </row>
    <row r="18" spans="1:8" ht="15.5" x14ac:dyDescent="0.35">
      <c r="A18" s="4">
        <f t="shared" si="0"/>
        <v>5</v>
      </c>
      <c r="B18" s="994" t="s">
        <v>377</v>
      </c>
      <c r="C18" s="55">
        <v>580086.20122000005</v>
      </c>
      <c r="D18" s="993"/>
      <c r="E18" s="55">
        <v>538088.84167000011</v>
      </c>
      <c r="F18" s="993"/>
      <c r="G18" s="4">
        <f t="shared" si="1"/>
        <v>5</v>
      </c>
    </row>
    <row r="19" spans="1:8" ht="15.5" x14ac:dyDescent="0.35">
      <c r="A19" s="4">
        <f t="shared" si="0"/>
        <v>6</v>
      </c>
      <c r="B19" s="994" t="s">
        <v>378</v>
      </c>
      <c r="C19" s="55">
        <v>580764.82056000002</v>
      </c>
      <c r="D19" s="993"/>
      <c r="E19" s="55">
        <v>538767.46101000009</v>
      </c>
      <c r="F19" s="993"/>
      <c r="G19" s="4">
        <f t="shared" si="1"/>
        <v>6</v>
      </c>
    </row>
    <row r="20" spans="1:8" ht="15.5" x14ac:dyDescent="0.35">
      <c r="A20" s="4">
        <f>A19+1</f>
        <v>7</v>
      </c>
      <c r="B20" s="994" t="s">
        <v>379</v>
      </c>
      <c r="C20" s="55">
        <v>580903.41880999994</v>
      </c>
      <c r="D20" s="993"/>
      <c r="E20" s="55">
        <v>538906.05926000001</v>
      </c>
      <c r="F20" s="993"/>
      <c r="G20" s="4">
        <f>G19+1</f>
        <v>7</v>
      </c>
    </row>
    <row r="21" spans="1:8" ht="15.5" x14ac:dyDescent="0.35">
      <c r="A21" s="4">
        <f t="shared" si="0"/>
        <v>8</v>
      </c>
      <c r="B21" s="994" t="s">
        <v>380</v>
      </c>
      <c r="C21" s="55">
        <v>581158.10817000002</v>
      </c>
      <c r="D21" s="993"/>
      <c r="E21" s="55">
        <v>539160.74862000009</v>
      </c>
      <c r="F21" s="993"/>
      <c r="G21" s="4">
        <f t="shared" si="1"/>
        <v>8</v>
      </c>
    </row>
    <row r="22" spans="1:8" ht="15.5" x14ac:dyDescent="0.35">
      <c r="A22" s="4">
        <f t="shared" si="0"/>
        <v>9</v>
      </c>
      <c r="B22" s="994" t="s">
        <v>381</v>
      </c>
      <c r="C22" s="55">
        <v>581336.15954000002</v>
      </c>
      <c r="D22" s="993"/>
      <c r="E22" s="55">
        <v>539338.79999000009</v>
      </c>
      <c r="F22" s="993"/>
      <c r="G22" s="4">
        <f t="shared" si="1"/>
        <v>9</v>
      </c>
    </row>
    <row r="23" spans="1:8" ht="15.5" x14ac:dyDescent="0.35">
      <c r="A23" s="4">
        <f t="shared" si="0"/>
        <v>10</v>
      </c>
      <c r="B23" s="994" t="s">
        <v>382</v>
      </c>
      <c r="C23" s="55">
        <v>581339.76743999997</v>
      </c>
      <c r="D23" s="993"/>
      <c r="E23" s="55">
        <v>539342.40789000003</v>
      </c>
      <c r="F23" s="993"/>
      <c r="G23" s="4">
        <f t="shared" si="1"/>
        <v>10</v>
      </c>
    </row>
    <row r="24" spans="1:8" ht="15.5" x14ac:dyDescent="0.35">
      <c r="A24" s="4">
        <f t="shared" si="0"/>
        <v>11</v>
      </c>
      <c r="B24" s="994" t="s">
        <v>383</v>
      </c>
      <c r="C24" s="55">
        <v>583170.49074000004</v>
      </c>
      <c r="D24" s="993"/>
      <c r="E24" s="55">
        <v>541173.1311900001</v>
      </c>
      <c r="F24" s="993"/>
      <c r="G24" s="4">
        <f t="shared" si="1"/>
        <v>11</v>
      </c>
    </row>
    <row r="25" spans="1:8" ht="15.5" x14ac:dyDescent="0.35">
      <c r="A25" s="4">
        <f t="shared" si="0"/>
        <v>12</v>
      </c>
      <c r="B25" s="994" t="s">
        <v>384</v>
      </c>
      <c r="C25" s="55">
        <v>583135.63291000004</v>
      </c>
      <c r="D25" s="993"/>
      <c r="E25" s="55">
        <v>541138.27336000011</v>
      </c>
      <c r="F25" s="993"/>
      <c r="G25" s="4">
        <f t="shared" si="1"/>
        <v>12</v>
      </c>
    </row>
    <row r="26" spans="1:8" ht="15.5" x14ac:dyDescent="0.35">
      <c r="A26" s="4">
        <f t="shared" si="0"/>
        <v>13</v>
      </c>
      <c r="B26" s="652" t="str">
        <f>'AD-1'!B26</f>
        <v>Dec-22</v>
      </c>
      <c r="C26" s="56">
        <v>587096.16952999996</v>
      </c>
      <c r="D26" s="294" t="s">
        <v>372</v>
      </c>
      <c r="E26" s="56">
        <v>545098.80998000002</v>
      </c>
      <c r="F26" s="992" t="s">
        <v>386</v>
      </c>
      <c r="G26" s="4">
        <f t="shared" si="1"/>
        <v>13</v>
      </c>
      <c r="H26" s="287"/>
    </row>
    <row r="27" spans="1:8" ht="15.5" x14ac:dyDescent="0.35">
      <c r="A27" s="4">
        <f>A26+1</f>
        <v>14</v>
      </c>
      <c r="B27" s="288"/>
      <c r="C27" s="62"/>
      <c r="D27" s="288"/>
      <c r="E27" s="63"/>
      <c r="F27" s="987"/>
      <c r="G27" s="4">
        <f>G26+1</f>
        <v>14</v>
      </c>
    </row>
    <row r="28" spans="1:8" ht="15.5" x14ac:dyDescent="0.35">
      <c r="A28" s="4">
        <f t="shared" si="0"/>
        <v>15</v>
      </c>
      <c r="B28" s="288" t="s">
        <v>387</v>
      </c>
      <c r="C28" s="58">
        <f>SUM(C14:C26)</f>
        <v>7557411.6724399999</v>
      </c>
      <c r="D28" s="995" t="s">
        <v>388</v>
      </c>
      <c r="E28" s="58">
        <f>SUM(E14:E26)</f>
        <v>7011445.9982900014</v>
      </c>
      <c r="F28" s="995" t="s">
        <v>388</v>
      </c>
      <c r="G28" s="4">
        <f t="shared" ref="G28:G32" si="2">G27+1</f>
        <v>15</v>
      </c>
    </row>
    <row r="29" spans="1:8" ht="15.5" x14ac:dyDescent="0.35">
      <c r="A29" s="4">
        <f t="shared" si="0"/>
        <v>16</v>
      </c>
      <c r="B29" s="124"/>
      <c r="C29" s="59"/>
      <c r="D29" s="295"/>
      <c r="E29" s="59"/>
      <c r="F29" s="295"/>
      <c r="G29" s="4">
        <f t="shared" si="2"/>
        <v>16</v>
      </c>
    </row>
    <row r="30" spans="1:8" ht="15.5" x14ac:dyDescent="0.35">
      <c r="A30" s="4">
        <f t="shared" si="0"/>
        <v>17</v>
      </c>
      <c r="B30" s="288"/>
      <c r="C30" s="58"/>
      <c r="D30" s="242"/>
      <c r="E30" s="58"/>
      <c r="F30" s="242"/>
      <c r="G30" s="4">
        <f t="shared" si="2"/>
        <v>17</v>
      </c>
    </row>
    <row r="31" spans="1:8" ht="15.5" x14ac:dyDescent="0.35">
      <c r="A31" s="4">
        <f t="shared" si="0"/>
        <v>18</v>
      </c>
      <c r="B31" s="288" t="s">
        <v>389</v>
      </c>
      <c r="C31" s="58">
        <f>C28/13</f>
        <v>581339.35941846156</v>
      </c>
      <c r="D31" s="995" t="s">
        <v>390</v>
      </c>
      <c r="E31" s="58">
        <f>E28/13</f>
        <v>539341.99986846163</v>
      </c>
      <c r="F31" s="992" t="s">
        <v>391</v>
      </c>
      <c r="G31" s="4">
        <f t="shared" si="2"/>
        <v>18</v>
      </c>
      <c r="H31" s="287"/>
    </row>
    <row r="32" spans="1:8" ht="15.5" x14ac:dyDescent="0.35">
      <c r="A32" s="4">
        <f t="shared" si="0"/>
        <v>19</v>
      </c>
      <c r="B32" s="124"/>
      <c r="C32" s="64"/>
      <c r="D32" s="124"/>
      <c r="E32" s="64"/>
      <c r="F32" s="124"/>
      <c r="G32" s="4">
        <f t="shared" si="2"/>
        <v>19</v>
      </c>
    </row>
    <row r="33" spans="1:7" ht="15.5" x14ac:dyDescent="0.35">
      <c r="B33" s="34"/>
      <c r="C33" s="6"/>
      <c r="D33" s="34"/>
      <c r="E33" s="6"/>
      <c r="F33" s="34"/>
    </row>
    <row r="34" spans="1:7" ht="15.5" x14ac:dyDescent="0.35">
      <c r="C34" s="6"/>
      <c r="D34" s="34"/>
      <c r="E34" s="6"/>
      <c r="F34" s="34"/>
    </row>
    <row r="35" spans="1:7" ht="18" x14ac:dyDescent="0.35">
      <c r="A35" s="276">
        <v>1</v>
      </c>
      <c r="B35" s="34" t="s">
        <v>392</v>
      </c>
      <c r="C35" s="6"/>
      <c r="D35" s="34"/>
      <c r="E35" s="6"/>
      <c r="F35" s="34"/>
    </row>
    <row r="36" spans="1:7" ht="15.5" x14ac:dyDescent="0.35">
      <c r="B36" s="34" t="s">
        <v>393</v>
      </c>
      <c r="C36" s="6"/>
      <c r="D36" s="34"/>
      <c r="E36" s="6"/>
      <c r="F36" s="34"/>
    </row>
    <row r="37" spans="1:7" ht="15.5" x14ac:dyDescent="0.35">
      <c r="C37" s="6"/>
      <c r="D37" s="34"/>
      <c r="E37" s="6"/>
      <c r="F37" s="34"/>
    </row>
    <row r="38" spans="1:7" ht="15.5" x14ac:dyDescent="0.35">
      <c r="C38" s="6"/>
      <c r="D38" s="34"/>
      <c r="E38" s="6"/>
      <c r="F38" s="34"/>
    </row>
    <row r="39" spans="1:7" x14ac:dyDescent="0.35">
      <c r="C39" s="296"/>
      <c r="D39" s="296"/>
      <c r="E39" s="296"/>
      <c r="F39" s="296"/>
      <c r="G39" s="600"/>
    </row>
    <row r="40" spans="1:7" x14ac:dyDescent="0.35">
      <c r="E40" s="91"/>
    </row>
    <row r="41" spans="1:7" x14ac:dyDescent="0.35">
      <c r="E41" s="91"/>
    </row>
    <row r="42" spans="1:7" x14ac:dyDescent="0.35">
      <c r="E42" s="91"/>
    </row>
    <row r="43" spans="1:7" x14ac:dyDescent="0.35">
      <c r="E43" s="91"/>
    </row>
    <row r="44" spans="1:7" x14ac:dyDescent="0.35">
      <c r="E44" s="91"/>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heetViews>
  <sheetFormatPr defaultColWidth="14.54296875" defaultRowHeight="14.5" x14ac:dyDescent="0.35"/>
  <cols>
    <col min="1" max="1" width="5.90625" style="775" customWidth="1"/>
    <col min="2" max="2" width="45.90625" style="775" customWidth="1"/>
    <col min="3" max="3" width="8.90625" style="775" customWidth="1"/>
    <col min="4" max="9" width="16.54296875" style="775" customWidth="1"/>
    <col min="10" max="10" width="45.90625" style="775" customWidth="1"/>
    <col min="11" max="11" width="5.90625" style="775" customWidth="1"/>
    <col min="12" max="12" width="15.90625" style="775" customWidth="1"/>
    <col min="13" max="16384" width="14.54296875" style="775"/>
  </cols>
  <sheetData>
    <row r="1" spans="1:12" x14ac:dyDescent="0.35">
      <c r="A1" s="781"/>
      <c r="B1" s="779" t="s">
        <v>0</v>
      </c>
      <c r="C1" s="780"/>
      <c r="D1" s="780"/>
      <c r="E1" s="780"/>
      <c r="F1" s="780"/>
      <c r="G1" s="780"/>
      <c r="H1" s="780"/>
      <c r="I1" s="780"/>
      <c r="J1" s="780"/>
      <c r="K1" s="781"/>
    </row>
    <row r="2" spans="1:12" x14ac:dyDescent="0.35">
      <c r="A2" s="781"/>
      <c r="B2" s="779" t="s">
        <v>1558</v>
      </c>
      <c r="C2" s="780"/>
      <c r="D2" s="780"/>
      <c r="E2" s="780"/>
      <c r="F2" s="780"/>
      <c r="G2" s="780"/>
      <c r="H2" s="780"/>
      <c r="I2" s="780"/>
      <c r="J2" s="780"/>
      <c r="K2" s="781"/>
    </row>
    <row r="3" spans="1:12" x14ac:dyDescent="0.35">
      <c r="A3" s="781"/>
      <c r="B3" s="750" t="s">
        <v>1443</v>
      </c>
      <c r="C3" s="780"/>
      <c r="D3" s="780"/>
      <c r="E3" s="780"/>
      <c r="F3" s="780"/>
      <c r="G3" s="780"/>
      <c r="H3" s="780"/>
      <c r="I3" s="780"/>
      <c r="J3" s="780"/>
      <c r="K3" s="781"/>
    </row>
    <row r="4" spans="1:12" x14ac:dyDescent="0.35">
      <c r="A4" s="787"/>
      <c r="B4" s="809" t="s">
        <v>1555</v>
      </c>
      <c r="C4" s="810"/>
      <c r="D4" s="810"/>
      <c r="E4" s="810"/>
      <c r="F4" s="810"/>
      <c r="G4" s="810"/>
      <c r="H4" s="810"/>
      <c r="I4" s="810"/>
      <c r="J4" s="810"/>
      <c r="K4" s="811"/>
      <c r="L4" s="786"/>
    </row>
    <row r="5" spans="1:12" x14ac:dyDescent="0.35">
      <c r="A5" s="787"/>
      <c r="B5" s="1201" t="s">
        <v>5</v>
      </c>
      <c r="C5" s="1201"/>
      <c r="D5" s="1201"/>
      <c r="E5" s="1201"/>
      <c r="F5" s="1201"/>
      <c r="G5" s="1201"/>
      <c r="H5" s="1201"/>
      <c r="I5" s="1201"/>
      <c r="J5" s="1201"/>
      <c r="K5" s="811"/>
      <c r="L5" s="786"/>
    </row>
    <row r="6" spans="1:12" x14ac:dyDescent="0.35">
      <c r="A6" s="739"/>
      <c r="B6" s="812"/>
      <c r="C6" s="755"/>
      <c r="D6" s="755"/>
      <c r="E6" s="755"/>
      <c r="F6" s="755"/>
      <c r="G6" s="755"/>
      <c r="H6" s="755"/>
      <c r="I6" s="755"/>
      <c r="J6" s="790"/>
      <c r="K6" s="790"/>
      <c r="L6" s="774"/>
    </row>
    <row r="7" spans="1:12" x14ac:dyDescent="0.35">
      <c r="A7" s="739"/>
      <c r="B7" s="812"/>
      <c r="C7" s="755"/>
      <c r="D7" s="755"/>
      <c r="E7" s="755"/>
      <c r="F7" s="755"/>
      <c r="G7" s="755"/>
      <c r="H7" s="777" t="s">
        <v>1445</v>
      </c>
      <c r="I7" s="789">
        <v>2022</v>
      </c>
      <c r="J7" s="790"/>
      <c r="K7" s="790"/>
      <c r="L7" s="774"/>
    </row>
    <row r="8" spans="1:12" x14ac:dyDescent="0.35">
      <c r="A8" s="739"/>
      <c r="B8" s="812"/>
      <c r="C8" s="755"/>
      <c r="D8" s="755"/>
      <c r="E8" s="755"/>
      <c r="F8" s="755"/>
      <c r="G8" s="755"/>
      <c r="H8" s="777" t="s">
        <v>1538</v>
      </c>
      <c r="I8" s="813" t="s">
        <v>1178</v>
      </c>
      <c r="J8" s="790"/>
      <c r="K8" s="790"/>
      <c r="L8" s="774"/>
    </row>
    <row r="9" spans="1:12" x14ac:dyDescent="0.35">
      <c r="A9" s="739"/>
      <c r="B9" s="739"/>
      <c r="C9" s="739"/>
      <c r="D9" s="739"/>
      <c r="E9" s="739"/>
      <c r="F9" s="739"/>
      <c r="G9" s="739"/>
      <c r="H9" s="776" t="s">
        <v>1539</v>
      </c>
      <c r="I9" s="814"/>
      <c r="J9" s="790"/>
      <c r="K9" s="790"/>
      <c r="L9" s="774"/>
    </row>
    <row r="10" spans="1:12" x14ac:dyDescent="0.35">
      <c r="A10" s="739"/>
      <c r="B10" s="739"/>
      <c r="C10" s="739"/>
      <c r="D10" s="739"/>
      <c r="E10" s="739"/>
      <c r="F10" s="739"/>
      <c r="G10" s="739"/>
      <c r="H10" s="776"/>
      <c r="I10" s="776"/>
      <c r="J10" s="790"/>
      <c r="K10" s="790"/>
      <c r="L10" s="774"/>
    </row>
    <row r="11" spans="1:12" x14ac:dyDescent="0.35">
      <c r="A11" s="755"/>
      <c r="B11" s="791" t="s">
        <v>1446</v>
      </c>
      <c r="C11" s="791" t="s">
        <v>1447</v>
      </c>
      <c r="D11" s="791" t="s">
        <v>1448</v>
      </c>
      <c r="E11" s="791" t="s">
        <v>1449</v>
      </c>
      <c r="F11" s="791" t="s">
        <v>1450</v>
      </c>
      <c r="G11" s="791" t="s">
        <v>1451</v>
      </c>
      <c r="H11" s="791" t="s">
        <v>1452</v>
      </c>
      <c r="I11" s="791" t="s">
        <v>1453</v>
      </c>
      <c r="J11" s="790"/>
      <c r="K11" s="790"/>
      <c r="L11" s="774"/>
    </row>
    <row r="12" spans="1:12" ht="15" thickBot="1" x14ac:dyDescent="0.4">
      <c r="A12" s="739"/>
      <c r="B12" s="755"/>
      <c r="C12" s="755"/>
      <c r="D12" s="739"/>
      <c r="E12" s="739"/>
      <c r="F12" s="739"/>
      <c r="G12" s="739"/>
      <c r="H12" s="739"/>
      <c r="I12" s="739"/>
      <c r="J12" s="790"/>
      <c r="K12" s="790"/>
      <c r="L12" s="774"/>
    </row>
    <row r="13" spans="1:12" ht="15" thickBot="1" x14ac:dyDescent="0.4">
      <c r="A13" s="739"/>
      <c r="B13" s="755"/>
      <c r="C13" s="755"/>
      <c r="D13" s="1205" t="s">
        <v>1559</v>
      </c>
      <c r="E13" s="1206"/>
      <c r="F13" s="1206"/>
      <c r="G13" s="1206"/>
      <c r="H13" s="1206"/>
      <c r="I13" s="1207"/>
      <c r="J13" s="790"/>
      <c r="K13" s="790"/>
      <c r="L13" s="774"/>
    </row>
    <row r="14" spans="1:12" ht="15" thickBot="1" x14ac:dyDescent="0.4">
      <c r="A14" s="739"/>
      <c r="B14" s="755"/>
      <c r="C14" s="755"/>
      <c r="D14" s="794"/>
      <c r="E14" s="794"/>
      <c r="F14" s="815" t="s">
        <v>1541</v>
      </c>
      <c r="G14" s="816" t="s">
        <v>1542</v>
      </c>
      <c r="H14" s="815" t="s">
        <v>1560</v>
      </c>
      <c r="I14" s="815" t="s">
        <v>1544</v>
      </c>
      <c r="J14" s="790"/>
      <c r="K14" s="790"/>
      <c r="L14" s="774"/>
    </row>
    <row r="15" spans="1:12" ht="39.5" thickBot="1" x14ac:dyDescent="0.4">
      <c r="A15" s="796" t="s">
        <v>1462</v>
      </c>
      <c r="B15" s="822" t="s">
        <v>1463</v>
      </c>
      <c r="C15" s="797" t="s">
        <v>1464</v>
      </c>
      <c r="D15" s="798" t="s">
        <v>1545</v>
      </c>
      <c r="E15" s="798" t="s">
        <v>1546</v>
      </c>
      <c r="F15" s="798" t="s">
        <v>1547</v>
      </c>
      <c r="G15" s="798" t="s">
        <v>1548</v>
      </c>
      <c r="H15" s="798" t="s">
        <v>1549</v>
      </c>
      <c r="I15" s="798" t="s">
        <v>1550</v>
      </c>
      <c r="J15" s="822" t="s">
        <v>9</v>
      </c>
      <c r="K15" s="796" t="s">
        <v>1462</v>
      </c>
      <c r="L15" s="769"/>
    </row>
    <row r="16" spans="1:12" x14ac:dyDescent="0.35">
      <c r="A16" s="754">
        <v>1</v>
      </c>
      <c r="B16" s="739" t="s">
        <v>1476</v>
      </c>
      <c r="C16" s="761"/>
      <c r="D16" s="739"/>
      <c r="E16" s="739"/>
      <c r="F16" s="739"/>
      <c r="G16" s="739"/>
      <c r="H16" s="739"/>
      <c r="I16" s="739"/>
      <c r="J16" s="739"/>
      <c r="K16" s="754">
        <v>1</v>
      </c>
      <c r="L16" s="774"/>
    </row>
    <row r="17" spans="1:12" x14ac:dyDescent="0.35">
      <c r="A17" s="754">
        <f t="shared" ref="A17:A47" si="0">+A16+1</f>
        <v>2</v>
      </c>
      <c r="B17" s="739" t="s">
        <v>1477</v>
      </c>
      <c r="C17" s="754"/>
      <c r="D17" s="744"/>
      <c r="E17" s="744"/>
      <c r="F17" s="739"/>
      <c r="G17" s="739"/>
      <c r="H17" s="739"/>
      <c r="I17" s="739"/>
      <c r="J17" s="755"/>
      <c r="K17" s="754">
        <f t="shared" ref="K17:K47" si="1">+K16+1</f>
        <v>2</v>
      </c>
      <c r="L17" s="774"/>
    </row>
    <row r="18" spans="1:12" x14ac:dyDescent="0.35">
      <c r="A18" s="754">
        <f t="shared" si="0"/>
        <v>3</v>
      </c>
      <c r="B18" s="739" t="s">
        <v>1478</v>
      </c>
      <c r="C18" s="754">
        <v>190</v>
      </c>
      <c r="D18" s="744"/>
      <c r="E18" s="744"/>
      <c r="F18" s="739">
        <f t="shared" ref="F18:F20" si="2">+D18*$I$9</f>
        <v>0</v>
      </c>
      <c r="G18" s="739">
        <f t="shared" ref="G18:G20" si="3">+E18-F18</f>
        <v>0</v>
      </c>
      <c r="H18" s="739">
        <f>IF(+$I$8="No",0,'Order 864-3'!K15)</f>
        <v>0</v>
      </c>
      <c r="I18" s="739">
        <f t="shared" ref="I18:I20" si="4">+G18-H18</f>
        <v>0</v>
      </c>
      <c r="J18" s="755" t="s">
        <v>372</v>
      </c>
      <c r="K18" s="754">
        <f t="shared" si="1"/>
        <v>3</v>
      </c>
      <c r="L18" s="774"/>
    </row>
    <row r="19" spans="1:12" x14ac:dyDescent="0.35">
      <c r="A19" s="754">
        <f t="shared" si="0"/>
        <v>4</v>
      </c>
      <c r="B19" s="739" t="s">
        <v>1479</v>
      </c>
      <c r="C19" s="754">
        <v>190</v>
      </c>
      <c r="D19" s="744"/>
      <c r="E19" s="744"/>
      <c r="F19" s="739">
        <f t="shared" si="2"/>
        <v>0</v>
      </c>
      <c r="G19" s="739">
        <f t="shared" si="3"/>
        <v>0</v>
      </c>
      <c r="H19" s="739">
        <f>IF(+$I$8="No",0,'Order 864-3'!K16)</f>
        <v>0</v>
      </c>
      <c r="I19" s="739">
        <f t="shared" si="4"/>
        <v>0</v>
      </c>
      <c r="J19" s="755" t="s">
        <v>372</v>
      </c>
      <c r="K19" s="754">
        <f t="shared" si="1"/>
        <v>4</v>
      </c>
      <c r="L19" s="774"/>
    </row>
    <row r="20" spans="1:12" x14ac:dyDescent="0.35">
      <c r="A20" s="754">
        <f t="shared" si="0"/>
        <v>5</v>
      </c>
      <c r="B20" s="739" t="s">
        <v>1480</v>
      </c>
      <c r="C20" s="754">
        <v>190</v>
      </c>
      <c r="D20" s="744"/>
      <c r="E20" s="744"/>
      <c r="F20" s="739">
        <f t="shared" si="2"/>
        <v>0</v>
      </c>
      <c r="G20" s="739">
        <f t="shared" si="3"/>
        <v>0</v>
      </c>
      <c r="H20" s="739">
        <f>IF(+$I$8="No",0,'Order 864-3'!K17)</f>
        <v>0</v>
      </c>
      <c r="I20" s="739">
        <f t="shared" si="4"/>
        <v>0</v>
      </c>
      <c r="J20" s="755" t="s">
        <v>372</v>
      </c>
      <c r="K20" s="754">
        <f t="shared" si="1"/>
        <v>5</v>
      </c>
      <c r="L20" s="774"/>
    </row>
    <row r="21" spans="1:12" x14ac:dyDescent="0.35">
      <c r="A21" s="754">
        <f t="shared" si="0"/>
        <v>6</v>
      </c>
      <c r="B21" s="739" t="s">
        <v>1481</v>
      </c>
      <c r="C21" s="754"/>
      <c r="D21" s="744"/>
      <c r="E21" s="744"/>
      <c r="F21" s="739"/>
      <c r="G21" s="739"/>
      <c r="H21" s="739"/>
      <c r="I21" s="739"/>
      <c r="J21" s="755"/>
      <c r="K21" s="754">
        <f t="shared" si="1"/>
        <v>6</v>
      </c>
      <c r="L21" s="774"/>
    </row>
    <row r="22" spans="1:12" x14ac:dyDescent="0.35">
      <c r="A22" s="754">
        <f t="shared" si="0"/>
        <v>7</v>
      </c>
      <c r="B22" s="739" t="s">
        <v>1482</v>
      </c>
      <c r="C22" s="754">
        <v>190</v>
      </c>
      <c r="D22" s="744"/>
      <c r="E22" s="744"/>
      <c r="F22" s="739">
        <f t="shared" ref="F22" si="5">+D22*$I$9</f>
        <v>0</v>
      </c>
      <c r="G22" s="739">
        <f t="shared" ref="G22" si="6">+E22-F22</f>
        <v>0</v>
      </c>
      <c r="H22" s="739">
        <f>IF(+$I$8="No",0,'Order 864-3'!K19)</f>
        <v>0</v>
      </c>
      <c r="I22" s="739">
        <f t="shared" ref="I22" si="7">+G22-H22</f>
        <v>0</v>
      </c>
      <c r="J22" s="755" t="s">
        <v>372</v>
      </c>
      <c r="K22" s="754">
        <f t="shared" si="1"/>
        <v>7</v>
      </c>
      <c r="L22" s="774"/>
    </row>
    <row r="23" spans="1:12" x14ac:dyDescent="0.35">
      <c r="A23" s="754">
        <f t="shared" si="0"/>
        <v>8</v>
      </c>
      <c r="B23" s="739" t="s">
        <v>1483</v>
      </c>
      <c r="C23" s="754"/>
      <c r="D23" s="744"/>
      <c r="E23" s="744"/>
      <c r="F23" s="739"/>
      <c r="G23" s="739"/>
      <c r="H23" s="739"/>
      <c r="I23" s="739"/>
      <c r="J23" s="755"/>
      <c r="K23" s="754">
        <f t="shared" si="1"/>
        <v>8</v>
      </c>
      <c r="L23" s="774"/>
    </row>
    <row r="24" spans="1:12" x14ac:dyDescent="0.35">
      <c r="A24" s="754">
        <f t="shared" si="0"/>
        <v>9</v>
      </c>
      <c r="B24" s="739" t="s">
        <v>1484</v>
      </c>
      <c r="C24" s="754">
        <v>283</v>
      </c>
      <c r="D24" s="744"/>
      <c r="E24" s="744"/>
      <c r="F24" s="739">
        <f t="shared" ref="F24:F25" si="8">+D24*$I$9</f>
        <v>0</v>
      </c>
      <c r="G24" s="739">
        <f t="shared" ref="G24:G25" si="9">+E24-F24</f>
        <v>0</v>
      </c>
      <c r="H24" s="739">
        <f>IF(+$I$8="No",0,'Order 864-3'!K21)</f>
        <v>0</v>
      </c>
      <c r="I24" s="739">
        <f t="shared" ref="I24:I25" si="10">+G24-H24</f>
        <v>0</v>
      </c>
      <c r="J24" s="755" t="s">
        <v>372</v>
      </c>
      <c r="K24" s="754">
        <f t="shared" si="1"/>
        <v>9</v>
      </c>
      <c r="L24" s="774"/>
    </row>
    <row r="25" spans="1:12" x14ac:dyDescent="0.35">
      <c r="A25" s="754">
        <f t="shared" si="0"/>
        <v>10</v>
      </c>
      <c r="B25" s="739" t="s">
        <v>1485</v>
      </c>
      <c r="C25" s="754">
        <v>283</v>
      </c>
      <c r="D25" s="772"/>
      <c r="E25" s="772"/>
      <c r="F25" s="773">
        <f t="shared" si="8"/>
        <v>0</v>
      </c>
      <c r="G25" s="773">
        <f t="shared" si="9"/>
        <v>0</v>
      </c>
      <c r="H25" s="773">
        <f>IF(+$I$8="No",0,'Order 864-3'!K22)</f>
        <v>0</v>
      </c>
      <c r="I25" s="773">
        <f t="shared" si="10"/>
        <v>0</v>
      </c>
      <c r="J25" s="755" t="s">
        <v>372</v>
      </c>
      <c r="K25" s="754">
        <f t="shared" si="1"/>
        <v>10</v>
      </c>
      <c r="L25" s="774"/>
    </row>
    <row r="26" spans="1:12" x14ac:dyDescent="0.35">
      <c r="A26" s="754">
        <f t="shared" si="0"/>
        <v>11</v>
      </c>
      <c r="B26" s="755"/>
      <c r="C26" s="756"/>
      <c r="D26" s="739"/>
      <c r="E26" s="739"/>
      <c r="F26" s="739"/>
      <c r="G26" s="739"/>
      <c r="H26" s="739"/>
      <c r="I26" s="739"/>
      <c r="J26" s="739"/>
      <c r="K26" s="754">
        <f t="shared" si="1"/>
        <v>11</v>
      </c>
      <c r="L26" s="774"/>
    </row>
    <row r="27" spans="1:12" ht="15" thickBot="1" x14ac:dyDescent="0.4">
      <c r="A27" s="754">
        <f t="shared" si="0"/>
        <v>12</v>
      </c>
      <c r="B27" s="755" t="s">
        <v>1486</v>
      </c>
      <c r="C27" s="756"/>
      <c r="D27" s="737">
        <f>SUM(D17:D25)</f>
        <v>0</v>
      </c>
      <c r="E27" s="737">
        <f t="shared" ref="E27:I27" si="11">SUM(E17:E25)</f>
        <v>0</v>
      </c>
      <c r="F27" s="737">
        <f t="shared" si="11"/>
        <v>0</v>
      </c>
      <c r="G27" s="737">
        <f t="shared" si="11"/>
        <v>0</v>
      </c>
      <c r="H27" s="737">
        <f t="shared" si="11"/>
        <v>0</v>
      </c>
      <c r="I27" s="737">
        <f t="shared" si="11"/>
        <v>0</v>
      </c>
      <c r="J27" s="755" t="s">
        <v>1487</v>
      </c>
      <c r="K27" s="754">
        <f t="shared" si="1"/>
        <v>12</v>
      </c>
      <c r="L27" s="774"/>
    </row>
    <row r="28" spans="1:12" ht="15" thickTop="1" x14ac:dyDescent="0.35">
      <c r="A28" s="754">
        <f t="shared" si="0"/>
        <v>13</v>
      </c>
      <c r="B28" s="770"/>
      <c r="C28" s="756"/>
      <c r="D28" s="759"/>
      <c r="E28" s="759"/>
      <c r="F28" s="759"/>
      <c r="G28" s="759"/>
      <c r="H28" s="759"/>
      <c r="I28" s="759"/>
      <c r="J28" s="739"/>
      <c r="K28" s="754">
        <f t="shared" si="1"/>
        <v>13</v>
      </c>
      <c r="L28" s="774"/>
    </row>
    <row r="29" spans="1:12" x14ac:dyDescent="0.35">
      <c r="A29" s="754">
        <f t="shared" si="0"/>
        <v>14</v>
      </c>
      <c r="B29" s="739" t="s">
        <v>1488</v>
      </c>
      <c r="C29" s="760"/>
      <c r="D29" s="739"/>
      <c r="E29" s="739"/>
      <c r="F29" s="739"/>
      <c r="G29" s="739"/>
      <c r="H29" s="739"/>
      <c r="I29" s="739"/>
      <c r="J29" s="739"/>
      <c r="K29" s="754">
        <f t="shared" si="1"/>
        <v>14</v>
      </c>
      <c r="L29" s="774"/>
    </row>
    <row r="30" spans="1:12" x14ac:dyDescent="0.35">
      <c r="A30" s="754">
        <f t="shared" si="0"/>
        <v>15</v>
      </c>
      <c r="B30" s="739" t="s">
        <v>1489</v>
      </c>
      <c r="C30" s="754">
        <v>190</v>
      </c>
      <c r="D30" s="817"/>
      <c r="E30" s="744"/>
      <c r="F30" s="739">
        <f>+D30*$I$9</f>
        <v>0</v>
      </c>
      <c r="G30" s="739">
        <f>+E30-F30</f>
        <v>0</v>
      </c>
      <c r="H30" s="739">
        <f>IF(+$I$8="No",0,'Order 864-3'!K27)</f>
        <v>0</v>
      </c>
      <c r="I30" s="739">
        <f>+G30-H30</f>
        <v>0</v>
      </c>
      <c r="J30" s="755" t="s">
        <v>372</v>
      </c>
      <c r="K30" s="754">
        <f t="shared" si="1"/>
        <v>15</v>
      </c>
      <c r="L30" s="774"/>
    </row>
    <row r="31" spans="1:12" x14ac:dyDescent="0.35">
      <c r="A31" s="754">
        <f t="shared" si="0"/>
        <v>16</v>
      </c>
      <c r="B31" s="739" t="s">
        <v>1490</v>
      </c>
      <c r="C31" s="754"/>
      <c r="D31" s="817"/>
      <c r="E31" s="744"/>
      <c r="F31" s="739"/>
      <c r="G31" s="739"/>
      <c r="H31" s="739"/>
      <c r="I31" s="739"/>
      <c r="J31" s="755"/>
      <c r="K31" s="754">
        <f t="shared" si="1"/>
        <v>16</v>
      </c>
      <c r="L31" s="774"/>
    </row>
    <row r="32" spans="1:12" x14ac:dyDescent="0.35">
      <c r="A32" s="754">
        <f t="shared" si="0"/>
        <v>17</v>
      </c>
      <c r="B32" s="739" t="s">
        <v>1491</v>
      </c>
      <c r="C32" s="754">
        <v>282</v>
      </c>
      <c r="D32" s="817"/>
      <c r="E32" s="744"/>
      <c r="F32" s="739">
        <f t="shared" ref="F32:F33" si="12">+D32*$I$9</f>
        <v>0</v>
      </c>
      <c r="G32" s="739">
        <f t="shared" ref="G32:G33" si="13">+E32-F32</f>
        <v>0</v>
      </c>
      <c r="H32" s="739">
        <f>IF(+$I$8="No",0,'Order 864-3'!K29)</f>
        <v>0</v>
      </c>
      <c r="I32" s="739">
        <f t="shared" ref="I32:I33" si="14">+G32-H32</f>
        <v>0</v>
      </c>
      <c r="J32" s="755" t="s">
        <v>372</v>
      </c>
      <c r="K32" s="754">
        <f t="shared" si="1"/>
        <v>17</v>
      </c>
      <c r="L32" s="774"/>
    </row>
    <row r="33" spans="1:12" x14ac:dyDescent="0.35">
      <c r="A33" s="754">
        <f t="shared" si="0"/>
        <v>18</v>
      </c>
      <c r="B33" s="739" t="s">
        <v>1492</v>
      </c>
      <c r="C33" s="754">
        <v>282</v>
      </c>
      <c r="D33" s="817"/>
      <c r="E33" s="744"/>
      <c r="F33" s="739">
        <f t="shared" si="12"/>
        <v>0</v>
      </c>
      <c r="G33" s="739">
        <f t="shared" si="13"/>
        <v>0</v>
      </c>
      <c r="H33" s="739">
        <f>IF(+$I$8="No",0,'Order 864-3'!K30)</f>
        <v>0</v>
      </c>
      <c r="I33" s="739">
        <f t="shared" si="14"/>
        <v>0</v>
      </c>
      <c r="J33" s="755" t="s">
        <v>372</v>
      </c>
      <c r="K33" s="754">
        <f t="shared" si="1"/>
        <v>18</v>
      </c>
      <c r="L33" s="774"/>
    </row>
    <row r="34" spans="1:12" x14ac:dyDescent="0.35">
      <c r="A34" s="754">
        <f t="shared" si="0"/>
        <v>19</v>
      </c>
      <c r="B34" s="755" t="s">
        <v>1493</v>
      </c>
      <c r="C34" s="756"/>
      <c r="D34" s="747">
        <f t="shared" ref="D34:I34" si="15">SUM(D30:D33)</f>
        <v>0</v>
      </c>
      <c r="E34" s="747">
        <f t="shared" si="15"/>
        <v>0</v>
      </c>
      <c r="F34" s="747">
        <f t="shared" si="15"/>
        <v>0</v>
      </c>
      <c r="G34" s="747">
        <f t="shared" si="15"/>
        <v>0</v>
      </c>
      <c r="H34" s="747">
        <f t="shared" si="15"/>
        <v>0</v>
      </c>
      <c r="I34" s="747">
        <f t="shared" si="15"/>
        <v>0</v>
      </c>
      <c r="J34" s="755" t="s">
        <v>1561</v>
      </c>
      <c r="K34" s="754">
        <f t="shared" si="1"/>
        <v>19</v>
      </c>
      <c r="L34" s="774"/>
    </row>
    <row r="35" spans="1:12" x14ac:dyDescent="0.35">
      <c r="A35" s="754">
        <f t="shared" si="0"/>
        <v>20</v>
      </c>
      <c r="B35" s="739"/>
      <c r="C35" s="756"/>
      <c r="D35" s="739"/>
      <c r="E35" s="739"/>
      <c r="F35" s="739"/>
      <c r="G35" s="739"/>
      <c r="H35" s="739"/>
      <c r="I35" s="739"/>
      <c r="J35" s="739"/>
      <c r="K35" s="754">
        <f t="shared" si="1"/>
        <v>20</v>
      </c>
      <c r="L35" s="774"/>
    </row>
    <row r="36" spans="1:12" x14ac:dyDescent="0.35">
      <c r="A36" s="754">
        <f t="shared" si="0"/>
        <v>21</v>
      </c>
      <c r="B36" s="739" t="s">
        <v>1495</v>
      </c>
      <c r="C36" s="761"/>
      <c r="D36" s="739"/>
      <c r="E36" s="739"/>
      <c r="F36" s="739"/>
      <c r="G36" s="739"/>
      <c r="H36" s="739"/>
      <c r="I36" s="739"/>
      <c r="J36" s="739"/>
      <c r="K36" s="754">
        <f t="shared" si="1"/>
        <v>21</v>
      </c>
      <c r="L36" s="774"/>
    </row>
    <row r="37" spans="1:12" x14ac:dyDescent="0.35">
      <c r="A37" s="754">
        <f t="shared" si="0"/>
        <v>22</v>
      </c>
      <c r="B37" s="739" t="s">
        <v>1496</v>
      </c>
      <c r="C37" s="754">
        <v>282</v>
      </c>
      <c r="D37" s="744"/>
      <c r="E37" s="744"/>
      <c r="F37" s="739">
        <f t="shared" ref="F37:F39" si="16">+D37*$I$9</f>
        <v>0</v>
      </c>
      <c r="G37" s="739">
        <f t="shared" ref="G37:G39" si="17">+E37-F37</f>
        <v>0</v>
      </c>
      <c r="H37" s="739">
        <f>IF(+$I$8="No",0,'Order 864-3'!K34)</f>
        <v>0</v>
      </c>
      <c r="I37" s="739">
        <f t="shared" ref="I37:I39" si="18">+G37-H37</f>
        <v>0</v>
      </c>
      <c r="J37" s="755" t="s">
        <v>372</v>
      </c>
      <c r="K37" s="754">
        <f t="shared" si="1"/>
        <v>22</v>
      </c>
      <c r="L37" s="774"/>
    </row>
    <row r="38" spans="1:12" x14ac:dyDescent="0.35">
      <c r="A38" s="754">
        <f t="shared" si="0"/>
        <v>23</v>
      </c>
      <c r="B38" s="739" t="s">
        <v>1497</v>
      </c>
      <c r="C38" s="754">
        <v>282</v>
      </c>
      <c r="D38" s="744"/>
      <c r="E38" s="744"/>
      <c r="F38" s="739">
        <f t="shared" si="16"/>
        <v>0</v>
      </c>
      <c r="G38" s="739">
        <f t="shared" si="17"/>
        <v>0</v>
      </c>
      <c r="H38" s="739">
        <f>IF(+$I$8="No",0,'Order 864-3'!K35)</f>
        <v>0</v>
      </c>
      <c r="I38" s="739">
        <f t="shared" si="18"/>
        <v>0</v>
      </c>
      <c r="J38" s="755" t="s">
        <v>372</v>
      </c>
      <c r="K38" s="754">
        <f t="shared" si="1"/>
        <v>23</v>
      </c>
      <c r="L38" s="774"/>
    </row>
    <row r="39" spans="1:12" x14ac:dyDescent="0.35">
      <c r="A39" s="754">
        <f t="shared" si="0"/>
        <v>24</v>
      </c>
      <c r="B39" s="739" t="s">
        <v>1498</v>
      </c>
      <c r="C39" s="762">
        <v>282</v>
      </c>
      <c r="D39" s="744"/>
      <c r="E39" s="744"/>
      <c r="F39" s="739">
        <f t="shared" si="16"/>
        <v>0</v>
      </c>
      <c r="G39" s="739">
        <f t="shared" si="17"/>
        <v>0</v>
      </c>
      <c r="H39" s="739">
        <f>IF(+$I$8="No",0,'Order 864-3'!K36)</f>
        <v>0</v>
      </c>
      <c r="I39" s="739">
        <f t="shared" si="18"/>
        <v>0</v>
      </c>
      <c r="J39" s="755" t="s">
        <v>372</v>
      </c>
      <c r="K39" s="754">
        <f t="shared" si="1"/>
        <v>24</v>
      </c>
      <c r="L39" s="774"/>
    </row>
    <row r="40" spans="1:12" x14ac:dyDescent="0.35">
      <c r="A40" s="754">
        <f t="shared" si="0"/>
        <v>25</v>
      </c>
      <c r="B40" s="755" t="s">
        <v>1493</v>
      </c>
      <c r="C40" s="756"/>
      <c r="D40" s="747">
        <f t="shared" ref="D40:I40" si="19">SUM(D37:D39)</f>
        <v>0</v>
      </c>
      <c r="E40" s="747">
        <f t="shared" si="19"/>
        <v>0</v>
      </c>
      <c r="F40" s="747">
        <f t="shared" si="19"/>
        <v>0</v>
      </c>
      <c r="G40" s="747">
        <f t="shared" si="19"/>
        <v>0</v>
      </c>
      <c r="H40" s="747">
        <f t="shared" si="19"/>
        <v>0</v>
      </c>
      <c r="I40" s="747">
        <f t="shared" si="19"/>
        <v>0</v>
      </c>
      <c r="J40" s="755" t="s">
        <v>1562</v>
      </c>
      <c r="K40" s="754">
        <f t="shared" si="1"/>
        <v>25</v>
      </c>
      <c r="L40" s="774"/>
    </row>
    <row r="41" spans="1:12" x14ac:dyDescent="0.35">
      <c r="A41" s="754">
        <f t="shared" si="0"/>
        <v>26</v>
      </c>
      <c r="B41" s="770"/>
      <c r="C41" s="756"/>
      <c r="D41" s="806"/>
      <c r="E41" s="806"/>
      <c r="F41" s="806"/>
      <c r="G41" s="806"/>
      <c r="H41" s="806"/>
      <c r="I41" s="806"/>
      <c r="J41" s="739"/>
      <c r="K41" s="754">
        <f t="shared" si="1"/>
        <v>26</v>
      </c>
      <c r="L41" s="774"/>
    </row>
    <row r="42" spans="1:12" x14ac:dyDescent="0.35">
      <c r="A42" s="754">
        <f t="shared" si="0"/>
        <v>27</v>
      </c>
      <c r="B42" s="739" t="s">
        <v>1495</v>
      </c>
      <c r="C42" s="756"/>
      <c r="D42" s="739"/>
      <c r="E42" s="739"/>
      <c r="F42" s="739"/>
      <c r="G42" s="739"/>
      <c r="H42" s="739"/>
      <c r="I42" s="739"/>
      <c r="J42" s="739"/>
      <c r="K42" s="754">
        <f t="shared" si="1"/>
        <v>27</v>
      </c>
      <c r="L42" s="774"/>
    </row>
    <row r="43" spans="1:12" x14ac:dyDescent="0.35">
      <c r="A43" s="754">
        <f t="shared" si="0"/>
        <v>28</v>
      </c>
      <c r="B43" s="739" t="s">
        <v>1500</v>
      </c>
      <c r="C43" s="762">
        <v>282</v>
      </c>
      <c r="D43" s="818"/>
      <c r="E43" s="818"/>
      <c r="F43" s="819">
        <f t="shared" ref="F43" si="20">+D43*$I$9</f>
        <v>0</v>
      </c>
      <c r="G43" s="819">
        <f>+E43-F43</f>
        <v>0</v>
      </c>
      <c r="H43" s="819">
        <f>IF(+$I$8="No",0,'Order 864-3'!K40)</f>
        <v>0</v>
      </c>
      <c r="I43" s="819">
        <f>+G43-H43</f>
        <v>0</v>
      </c>
      <c r="J43" s="755" t="s">
        <v>372</v>
      </c>
      <c r="K43" s="754">
        <f t="shared" si="1"/>
        <v>28</v>
      </c>
      <c r="L43" s="774"/>
    </row>
    <row r="44" spans="1:12" x14ac:dyDescent="0.35">
      <c r="A44" s="754">
        <f t="shared" si="0"/>
        <v>29</v>
      </c>
      <c r="B44" s="739"/>
      <c r="C44" s="756"/>
      <c r="D44" s="763"/>
      <c r="E44" s="763"/>
      <c r="F44" s="763"/>
      <c r="G44" s="763"/>
      <c r="H44" s="763"/>
      <c r="I44" s="763"/>
      <c r="J44" s="739"/>
      <c r="K44" s="754">
        <f t="shared" si="1"/>
        <v>29</v>
      </c>
      <c r="L44" s="774"/>
    </row>
    <row r="45" spans="1:12" ht="15" thickBot="1" x14ac:dyDescent="0.4">
      <c r="A45" s="754">
        <f t="shared" si="0"/>
        <v>30</v>
      </c>
      <c r="B45" s="755" t="s">
        <v>1501</v>
      </c>
      <c r="C45" s="756"/>
      <c r="D45" s="758">
        <f t="shared" ref="D45:I45" si="21">D34+D40+D43</f>
        <v>0</v>
      </c>
      <c r="E45" s="758">
        <f t="shared" si="21"/>
        <v>0</v>
      </c>
      <c r="F45" s="758">
        <f t="shared" si="21"/>
        <v>0</v>
      </c>
      <c r="G45" s="758">
        <f t="shared" si="21"/>
        <v>0</v>
      </c>
      <c r="H45" s="758">
        <f t="shared" si="21"/>
        <v>0</v>
      </c>
      <c r="I45" s="758">
        <f t="shared" si="21"/>
        <v>0</v>
      </c>
      <c r="J45" s="823" t="s">
        <v>1563</v>
      </c>
      <c r="K45" s="754">
        <f t="shared" si="1"/>
        <v>30</v>
      </c>
      <c r="L45" s="774"/>
    </row>
    <row r="46" spans="1:12" ht="15" thickTop="1" x14ac:dyDescent="0.35">
      <c r="A46" s="754">
        <f t="shared" si="0"/>
        <v>31</v>
      </c>
      <c r="B46" s="739"/>
      <c r="C46" s="756"/>
      <c r="D46" s="739"/>
      <c r="E46" s="739"/>
      <c r="F46" s="739"/>
      <c r="G46" s="739"/>
      <c r="H46" s="739"/>
      <c r="I46" s="739"/>
      <c r="J46" s="739"/>
      <c r="K46" s="754">
        <f t="shared" si="1"/>
        <v>31</v>
      </c>
      <c r="L46" s="774"/>
    </row>
    <row r="47" spans="1:12" ht="15" thickBot="1" x14ac:dyDescent="0.4">
      <c r="A47" s="754">
        <f t="shared" si="0"/>
        <v>32</v>
      </c>
      <c r="B47" s="755" t="s">
        <v>1503</v>
      </c>
      <c r="C47" s="739"/>
      <c r="D47" s="758">
        <f t="shared" ref="D47:I47" si="22">D27+D45</f>
        <v>0</v>
      </c>
      <c r="E47" s="758">
        <f t="shared" si="22"/>
        <v>0</v>
      </c>
      <c r="F47" s="758">
        <f t="shared" si="22"/>
        <v>0</v>
      </c>
      <c r="G47" s="758">
        <f t="shared" si="22"/>
        <v>0</v>
      </c>
      <c r="H47" s="758">
        <f t="shared" si="22"/>
        <v>0</v>
      </c>
      <c r="I47" s="758">
        <f t="shared" si="22"/>
        <v>0</v>
      </c>
      <c r="J47" s="755" t="s">
        <v>1564</v>
      </c>
      <c r="K47" s="754">
        <f t="shared" si="1"/>
        <v>32</v>
      </c>
      <c r="L47" s="774"/>
    </row>
    <row r="48" spans="1:12" ht="15" thickTop="1" x14ac:dyDescent="0.35">
      <c r="A48" s="801"/>
      <c r="B48" s="739"/>
      <c r="C48" s="739"/>
      <c r="D48" s="739"/>
      <c r="E48" s="739"/>
      <c r="F48" s="739"/>
      <c r="G48" s="739"/>
      <c r="H48" s="739"/>
      <c r="I48" s="739"/>
      <c r="J48" s="774"/>
      <c r="K48" s="774"/>
      <c r="L48" s="774"/>
    </row>
    <row r="49" spans="1:12" x14ac:dyDescent="0.35">
      <c r="A49" s="801"/>
      <c r="B49" s="726" t="s">
        <v>1551</v>
      </c>
      <c r="C49" s="739"/>
      <c r="D49" s="739"/>
      <c r="E49" s="739"/>
      <c r="F49" s="739"/>
      <c r="G49" s="739"/>
      <c r="H49" s="739"/>
      <c r="I49" s="739"/>
      <c r="J49" s="774"/>
      <c r="K49" s="774"/>
      <c r="L49" s="774"/>
    </row>
    <row r="50" spans="1:12" ht="15.5" x14ac:dyDescent="0.45">
      <c r="A50" s="801"/>
      <c r="B50" s="767" t="s">
        <v>1552</v>
      </c>
      <c r="C50" s="739"/>
      <c r="D50" s="739"/>
      <c r="E50" s="739"/>
      <c r="F50" s="739"/>
      <c r="G50" s="739"/>
      <c r="H50" s="739"/>
      <c r="I50" s="739"/>
      <c r="J50" s="774"/>
      <c r="K50" s="774"/>
      <c r="L50" s="774"/>
    </row>
    <row r="51" spans="1:12" x14ac:dyDescent="0.35">
      <c r="A51" s="801"/>
      <c r="B51" s="767" t="s">
        <v>1553</v>
      </c>
      <c r="C51" s="739"/>
      <c r="D51" s="739"/>
      <c r="E51" s="739"/>
      <c r="F51" s="739"/>
      <c r="G51" s="739"/>
      <c r="H51" s="739"/>
      <c r="I51" s="739"/>
      <c r="J51" s="774"/>
      <c r="K51" s="774"/>
      <c r="L51" s="774"/>
    </row>
    <row r="52" spans="1:12" x14ac:dyDescent="0.35">
      <c r="A52" s="801"/>
      <c r="B52" s="726" t="s">
        <v>1505</v>
      </c>
      <c r="C52" s="765"/>
      <c r="D52" s="739"/>
      <c r="E52" s="739"/>
      <c r="F52" s="739"/>
      <c r="G52" s="739"/>
      <c r="H52" s="739"/>
      <c r="I52" s="739"/>
      <c r="J52" s="774"/>
      <c r="K52" s="774"/>
      <c r="L52" s="774"/>
    </row>
    <row r="53" spans="1:12" x14ac:dyDescent="0.35">
      <c r="A53" s="801"/>
      <c r="B53" s="837" t="s">
        <v>1506</v>
      </c>
      <c r="C53" s="766"/>
      <c r="D53" s="766"/>
      <c r="E53" s="766"/>
      <c r="F53" s="739"/>
      <c r="G53" s="739"/>
      <c r="H53" s="739"/>
      <c r="I53" s="739"/>
      <c r="J53" s="774"/>
      <c r="K53" s="774"/>
      <c r="L53" s="774"/>
    </row>
    <row r="54" spans="1:12" x14ac:dyDescent="0.35">
      <c r="A54" s="801"/>
      <c r="B54" s="837" t="s">
        <v>1557</v>
      </c>
      <c r="C54" s="766"/>
      <c r="D54" s="766"/>
      <c r="E54" s="766"/>
      <c r="F54" s="739"/>
      <c r="G54" s="739"/>
      <c r="H54" s="739"/>
      <c r="I54" s="739"/>
      <c r="J54" s="774"/>
      <c r="K54" s="774"/>
      <c r="L54"/>
    </row>
    <row r="55" spans="1:12" x14ac:dyDescent="0.35">
      <c r="A55" s="801"/>
      <c r="B55" s="837" t="s">
        <v>1508</v>
      </c>
      <c r="C55" s="739"/>
      <c r="D55" s="739"/>
      <c r="E55" s="739"/>
      <c r="F55" s="766"/>
      <c r="G55" s="766"/>
      <c r="H55" s="739"/>
      <c r="I55" s="739"/>
      <c r="J55" s="774"/>
      <c r="K55" s="774"/>
      <c r="L55" s="774"/>
    </row>
    <row r="56" spans="1:12" x14ac:dyDescent="0.35">
      <c r="A56" s="766"/>
      <c r="B56" s="837" t="s">
        <v>1509</v>
      </c>
      <c r="C56" s="766"/>
      <c r="D56" s="766"/>
      <c r="E56" s="766"/>
      <c r="F56" s="766"/>
      <c r="G56" s="766"/>
      <c r="H56" s="766"/>
      <c r="I56" s="766"/>
      <c r="J56" s="774"/>
      <c r="K56" s="774"/>
      <c r="L56" s="774"/>
    </row>
    <row r="57" spans="1:12" x14ac:dyDescent="0.35">
      <c r="A57" s="766"/>
      <c r="B57" s="837" t="s">
        <v>1510</v>
      </c>
      <c r="C57" s="766"/>
      <c r="D57" s="766"/>
      <c r="E57" s="766"/>
      <c r="F57" s="766"/>
      <c r="G57" s="766"/>
      <c r="H57" s="766"/>
      <c r="I57" s="766"/>
      <c r="J57" s="774"/>
      <c r="K57" s="774"/>
      <c r="L57" s="774"/>
    </row>
    <row r="58" spans="1:12" x14ac:dyDescent="0.35">
      <c r="A58" s="766"/>
      <c r="B58" s="837" t="s">
        <v>1511</v>
      </c>
      <c r="C58" s="766"/>
      <c r="D58" s="766"/>
      <c r="E58" s="766"/>
      <c r="F58" s="766"/>
      <c r="G58" s="766"/>
      <c r="H58" s="766"/>
      <c r="I58" s="766"/>
      <c r="J58" s="774"/>
      <c r="K58" s="774"/>
      <c r="L58" s="774"/>
    </row>
    <row r="59" spans="1:12" x14ac:dyDescent="0.35">
      <c r="A59" s="766"/>
      <c r="B59" s="837" t="s">
        <v>1512</v>
      </c>
      <c r="C59" s="766"/>
      <c r="D59" s="766"/>
      <c r="E59" s="766"/>
      <c r="F59" s="766"/>
      <c r="G59" s="766"/>
      <c r="H59" s="766"/>
      <c r="I59" s="766"/>
      <c r="J59" s="774"/>
      <c r="K59" s="774"/>
      <c r="L59" s="774"/>
    </row>
    <row r="60" spans="1:12" x14ac:dyDescent="0.35">
      <c r="A60" s="766"/>
      <c r="B60" s="837" t="s">
        <v>1513</v>
      </c>
      <c r="C60" s="774"/>
      <c r="D60" s="774"/>
      <c r="E60" s="774"/>
      <c r="F60" s="766"/>
      <c r="G60" s="766"/>
      <c r="H60" s="766"/>
      <c r="I60" s="766"/>
      <c r="J60" s="774"/>
      <c r="K60" s="774"/>
      <c r="L60" s="774"/>
    </row>
    <row r="61" spans="1:12" x14ac:dyDescent="0.35">
      <c r="A61" s="766"/>
      <c r="B61" s="837" t="s">
        <v>1514</v>
      </c>
      <c r="C61" s="766"/>
      <c r="D61" s="766"/>
      <c r="E61" s="766"/>
      <c r="F61" s="766"/>
      <c r="G61" s="766"/>
      <c r="H61" s="766"/>
      <c r="I61" s="766"/>
      <c r="J61" s="774"/>
      <c r="K61" s="774"/>
      <c r="L61" s="774"/>
    </row>
  </sheetData>
  <mergeCells count="2">
    <mergeCell ref="B5:J5"/>
    <mergeCell ref="D13:I13"/>
  </mergeCells>
  <printOptions horizontalCentered="1"/>
  <pageMargins left="0.25" right="0.25" top="0.5" bottom="0.5" header="0.25" footer="0.25"/>
  <pageSetup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heetViews>
  <sheetFormatPr defaultColWidth="9.08984375" defaultRowHeight="15.5" x14ac:dyDescent="0.35"/>
  <cols>
    <col min="1" max="1" width="5.08984375" style="351" customWidth="1"/>
    <col min="2" max="2" width="12.54296875" style="5" customWidth="1"/>
    <col min="3" max="3" width="20" style="5" customWidth="1"/>
    <col min="4" max="7" width="21.54296875" style="5" customWidth="1"/>
    <col min="8" max="8" width="22.90625" style="5" bestFit="1" customWidth="1"/>
    <col min="9" max="13" width="21.54296875" style="5" customWidth="1"/>
    <col min="14" max="14" width="5.08984375" style="351" customWidth="1"/>
    <col min="15" max="15" width="13.54296875" style="5" customWidth="1"/>
    <col min="16" max="16" width="12.54296875" style="5" customWidth="1"/>
    <col min="17" max="16384" width="9.08984375" style="5"/>
  </cols>
  <sheetData>
    <row r="1" spans="1:14" x14ac:dyDescent="0.35">
      <c r="I1" s="287"/>
    </row>
    <row r="2" spans="1:14" x14ac:dyDescent="0.35">
      <c r="B2" s="1193" t="s">
        <v>0</v>
      </c>
      <c r="C2" s="1193"/>
      <c r="D2" s="1193"/>
      <c r="E2" s="1193"/>
      <c r="F2" s="1193"/>
      <c r="G2" s="1193"/>
      <c r="H2" s="1193"/>
      <c r="I2" s="1193"/>
      <c r="J2" s="1193"/>
      <c r="K2" s="1193"/>
      <c r="L2" s="1193"/>
      <c r="M2" s="1193"/>
      <c r="N2" s="498"/>
    </row>
    <row r="3" spans="1:14" x14ac:dyDescent="0.35">
      <c r="B3" s="1198" t="s">
        <v>1565</v>
      </c>
      <c r="C3" s="1198"/>
      <c r="D3" s="1198"/>
      <c r="E3" s="1198"/>
      <c r="F3" s="1198"/>
      <c r="G3" s="1198"/>
      <c r="H3" s="1198"/>
      <c r="I3" s="1198"/>
      <c r="J3" s="1198"/>
      <c r="K3" s="1198"/>
      <c r="L3" s="1198"/>
      <c r="M3" s="1198"/>
      <c r="N3" s="498"/>
    </row>
    <row r="4" spans="1:14" x14ac:dyDescent="0.35">
      <c r="B4" s="1198" t="s">
        <v>1566</v>
      </c>
      <c r="C4" s="1198"/>
      <c r="D4" s="1198"/>
      <c r="E4" s="1198"/>
      <c r="F4" s="1198"/>
      <c r="G4" s="1198"/>
      <c r="H4" s="1198"/>
      <c r="I4" s="1198"/>
      <c r="J4" s="1198"/>
      <c r="K4" s="1198"/>
      <c r="L4" s="1198"/>
      <c r="M4" s="1198"/>
      <c r="N4" s="498"/>
    </row>
    <row r="5" spans="1:14" x14ac:dyDescent="0.35">
      <c r="B5" s="1194" t="s">
        <v>5</v>
      </c>
      <c r="C5" s="1194"/>
      <c r="D5" s="1194"/>
      <c r="E5" s="1194"/>
      <c r="F5" s="1194"/>
      <c r="G5" s="1194"/>
      <c r="H5" s="1194"/>
      <c r="I5" s="1194"/>
      <c r="J5" s="1194"/>
      <c r="K5" s="1194"/>
      <c r="L5" s="1194"/>
      <c r="M5" s="1194"/>
      <c r="N5" s="498"/>
    </row>
    <row r="6" spans="1:14" x14ac:dyDescent="0.35">
      <c r="A6" s="498"/>
      <c r="B6" s="498"/>
      <c r="C6" s="498"/>
      <c r="D6" s="498"/>
      <c r="E6" s="498"/>
      <c r="F6" s="498"/>
      <c r="G6" s="498"/>
      <c r="H6" s="498"/>
      <c r="I6" s="498"/>
      <c r="J6" s="498"/>
      <c r="K6" s="498"/>
      <c r="L6" s="498"/>
      <c r="M6" s="498"/>
      <c r="N6" s="498"/>
    </row>
    <row r="7" spans="1:14" x14ac:dyDescent="0.35">
      <c r="A7" s="4" t="s">
        <v>6</v>
      </c>
      <c r="B7" s="350"/>
      <c r="E7" s="35"/>
      <c r="F7" s="262"/>
      <c r="G7" s="262"/>
      <c r="N7" s="4" t="s">
        <v>6</v>
      </c>
    </row>
    <row r="8" spans="1:14" x14ac:dyDescent="0.35">
      <c r="A8" s="4" t="s">
        <v>7</v>
      </c>
      <c r="B8" s="350"/>
      <c r="E8" s="35"/>
      <c r="F8" s="262"/>
      <c r="G8" s="262"/>
      <c r="N8" s="4" t="s">
        <v>7</v>
      </c>
    </row>
    <row r="9" spans="1:14" x14ac:dyDescent="0.35">
      <c r="A9" s="488"/>
      <c r="B9" s="350"/>
      <c r="E9" s="35"/>
      <c r="F9" s="876" t="s">
        <v>9</v>
      </c>
      <c r="G9" s="876"/>
      <c r="N9" s="488"/>
    </row>
    <row r="10" spans="1:14" ht="18" x14ac:dyDescent="0.35">
      <c r="A10" s="4">
        <v>1</v>
      </c>
      <c r="B10" s="35" t="s">
        <v>1567</v>
      </c>
      <c r="C10" s="31"/>
      <c r="E10" s="87">
        <f>'TO5 True-Up BK-1'!E93</f>
        <v>1005050.3453656847</v>
      </c>
      <c r="F10" s="35" t="s">
        <v>1568</v>
      </c>
      <c r="G10" s="35"/>
      <c r="H10" s="34"/>
      <c r="I10" s="34"/>
      <c r="N10" s="4">
        <f>A10</f>
        <v>1</v>
      </c>
    </row>
    <row r="11" spans="1:14" x14ac:dyDescent="0.35">
      <c r="A11" s="4">
        <f>A10+1</f>
        <v>2</v>
      </c>
      <c r="B11" s="5" t="s">
        <v>1569</v>
      </c>
      <c r="D11" s="233">
        <v>1.0274999999999999E-2</v>
      </c>
      <c r="E11" s="6">
        <f>E10*D11</f>
        <v>10326.892298632411</v>
      </c>
      <c r="F11" s="5" t="s">
        <v>1570</v>
      </c>
      <c r="H11" s="34"/>
      <c r="I11" s="503"/>
      <c r="J11" s="503"/>
      <c r="N11" s="4">
        <f>N10+1</f>
        <v>2</v>
      </c>
    </row>
    <row r="12" spans="1:14" ht="18.5" thickBot="1" x14ac:dyDescent="0.4">
      <c r="A12" s="4">
        <f t="shared" ref="A12:A35" si="0">A11+1</f>
        <v>3</v>
      </c>
      <c r="B12" s="5" t="s">
        <v>1571</v>
      </c>
      <c r="D12" s="233">
        <v>1.6100000000000001E-3</v>
      </c>
      <c r="E12" s="707">
        <f>E10*D12</f>
        <v>1618.1310560387526</v>
      </c>
      <c r="F12" s="504" t="s">
        <v>1572</v>
      </c>
      <c r="G12" s="504"/>
      <c r="H12" s="4"/>
      <c r="I12" s="503"/>
      <c r="J12" s="503"/>
      <c r="N12" s="4">
        <f t="shared" ref="N12:N35" si="1">N11+1</f>
        <v>3</v>
      </c>
    </row>
    <row r="13" spans="1:14" ht="16" thickTop="1" x14ac:dyDescent="0.35">
      <c r="A13" s="4">
        <f t="shared" si="0"/>
        <v>4</v>
      </c>
      <c r="B13" s="5" t="s">
        <v>1573</v>
      </c>
      <c r="E13" s="10">
        <f>E10+E11+E12</f>
        <v>1016995.3687203559</v>
      </c>
      <c r="F13" s="504" t="s">
        <v>593</v>
      </c>
      <c r="G13" s="504"/>
      <c r="H13" s="4"/>
      <c r="I13" s="503"/>
      <c r="J13" s="503"/>
      <c r="N13" s="4">
        <f t="shared" si="1"/>
        <v>4</v>
      </c>
    </row>
    <row r="14" spans="1:14" x14ac:dyDescent="0.35">
      <c r="A14" s="4">
        <f t="shared" si="0"/>
        <v>5</v>
      </c>
      <c r="E14" s="352"/>
      <c r="I14" s="503"/>
      <c r="J14" s="503"/>
      <c r="N14" s="4">
        <f t="shared" si="1"/>
        <v>5</v>
      </c>
    </row>
    <row r="15" spans="1:14" x14ac:dyDescent="0.35">
      <c r="A15" s="4">
        <f t="shared" si="0"/>
        <v>6</v>
      </c>
      <c r="C15" s="505" t="s">
        <v>1446</v>
      </c>
      <c r="D15" s="505" t="s">
        <v>1447</v>
      </c>
      <c r="E15" s="505" t="s">
        <v>1448</v>
      </c>
      <c r="F15" s="505" t="s">
        <v>1449</v>
      </c>
      <c r="G15" s="505" t="s">
        <v>1450</v>
      </c>
      <c r="H15" s="505" t="s">
        <v>1451</v>
      </c>
      <c r="I15" s="505" t="s">
        <v>1452</v>
      </c>
      <c r="J15" s="505" t="s">
        <v>1453</v>
      </c>
      <c r="K15" s="505" t="s">
        <v>1454</v>
      </c>
      <c r="L15" s="505" t="s">
        <v>1455</v>
      </c>
      <c r="M15" s="505" t="s">
        <v>1456</v>
      </c>
      <c r="N15" s="4">
        <f t="shared" si="1"/>
        <v>6</v>
      </c>
    </row>
    <row r="16" spans="1:14" x14ac:dyDescent="0.35">
      <c r="A16" s="4">
        <f t="shared" si="0"/>
        <v>7</v>
      </c>
      <c r="B16" s="352" t="s">
        <v>1574</v>
      </c>
      <c r="C16" s="4"/>
      <c r="D16" s="4" t="s">
        <v>1575</v>
      </c>
      <c r="E16" s="4"/>
      <c r="F16" s="4" t="s">
        <v>1576</v>
      </c>
      <c r="G16" s="4"/>
      <c r="H16" s="37" t="s">
        <v>1577</v>
      </c>
      <c r="I16" s="37" t="s">
        <v>1578</v>
      </c>
      <c r="J16" s="4"/>
      <c r="K16" s="4" t="s">
        <v>1579</v>
      </c>
      <c r="L16" s="4" t="s">
        <v>1580</v>
      </c>
      <c r="M16" s="37" t="s">
        <v>1581</v>
      </c>
      <c r="N16" s="4">
        <f t="shared" si="1"/>
        <v>7</v>
      </c>
    </row>
    <row r="17" spans="1:21" x14ac:dyDescent="0.35">
      <c r="A17" s="4">
        <f t="shared" si="0"/>
        <v>8</v>
      </c>
      <c r="B17" s="352"/>
      <c r="C17" s="4"/>
      <c r="D17" s="4"/>
      <c r="E17" s="4"/>
      <c r="F17" s="4"/>
      <c r="G17" s="4"/>
      <c r="H17" s="37"/>
      <c r="I17" s="37"/>
      <c r="J17" s="4"/>
      <c r="K17" s="4"/>
      <c r="L17" s="4"/>
      <c r="M17" s="37"/>
      <c r="N17" s="4">
        <f t="shared" si="1"/>
        <v>8</v>
      </c>
    </row>
    <row r="18" spans="1:21" x14ac:dyDescent="0.35">
      <c r="A18" s="4">
        <f t="shared" si="0"/>
        <v>9</v>
      </c>
      <c r="C18" s="505"/>
      <c r="H18" s="498"/>
      <c r="K18" s="226" t="s">
        <v>1582</v>
      </c>
      <c r="M18" s="226" t="s">
        <v>1582</v>
      </c>
      <c r="N18" s="4">
        <f t="shared" si="1"/>
        <v>9</v>
      </c>
    </row>
    <row r="19" spans="1:21" x14ac:dyDescent="0.35">
      <c r="A19" s="4">
        <f t="shared" si="0"/>
        <v>10</v>
      </c>
      <c r="C19" s="505"/>
      <c r="F19" s="498"/>
      <c r="G19" s="498"/>
      <c r="H19" s="226"/>
      <c r="I19" s="226" t="s">
        <v>1583</v>
      </c>
      <c r="J19" s="226"/>
      <c r="K19" s="226" t="s">
        <v>1584</v>
      </c>
      <c r="M19" s="226" t="s">
        <v>1584</v>
      </c>
      <c r="N19" s="4">
        <f t="shared" si="1"/>
        <v>10</v>
      </c>
    </row>
    <row r="20" spans="1:21" x14ac:dyDescent="0.35">
      <c r="A20" s="4">
        <f t="shared" si="0"/>
        <v>11</v>
      </c>
      <c r="C20" s="226"/>
      <c r="D20" s="226" t="s">
        <v>1583</v>
      </c>
      <c r="E20" s="226" t="s">
        <v>1583</v>
      </c>
      <c r="F20" s="226" t="s">
        <v>1585</v>
      </c>
      <c r="G20" s="226"/>
      <c r="H20" s="226" t="s">
        <v>1586</v>
      </c>
      <c r="I20" s="226" t="s">
        <v>1584</v>
      </c>
      <c r="J20" s="226" t="s">
        <v>1583</v>
      </c>
      <c r="K20" s="226" t="s">
        <v>1587</v>
      </c>
      <c r="M20" s="226" t="s">
        <v>1587</v>
      </c>
      <c r="N20" s="4">
        <f t="shared" si="1"/>
        <v>11</v>
      </c>
    </row>
    <row r="21" spans="1:21" x14ac:dyDescent="0.35">
      <c r="A21" s="4">
        <f t="shared" si="0"/>
        <v>12</v>
      </c>
      <c r="C21" s="226"/>
      <c r="D21" s="226" t="s">
        <v>1588</v>
      </c>
      <c r="E21" s="226" t="s">
        <v>1588</v>
      </c>
      <c r="F21" s="226" t="s">
        <v>1588</v>
      </c>
      <c r="G21" s="226" t="s">
        <v>1589</v>
      </c>
      <c r="H21" s="226" t="s">
        <v>1588</v>
      </c>
      <c r="I21" s="226" t="s">
        <v>1587</v>
      </c>
      <c r="J21" s="226" t="s">
        <v>1590</v>
      </c>
      <c r="K21" s="226" t="s">
        <v>1591</v>
      </c>
      <c r="L21" s="226"/>
      <c r="M21" s="226" t="s">
        <v>1591</v>
      </c>
      <c r="N21" s="4">
        <f t="shared" si="1"/>
        <v>12</v>
      </c>
    </row>
    <row r="22" spans="1:21" ht="18" x14ac:dyDescent="0.35">
      <c r="A22" s="4">
        <f t="shared" si="0"/>
        <v>13</v>
      </c>
      <c r="B22" s="262" t="s">
        <v>368</v>
      </c>
      <c r="C22" s="262" t="s">
        <v>1592</v>
      </c>
      <c r="D22" s="262" t="s">
        <v>1593</v>
      </c>
      <c r="E22" s="262" t="s">
        <v>1594</v>
      </c>
      <c r="F22" s="262" t="s">
        <v>1595</v>
      </c>
      <c r="G22" s="262" t="s">
        <v>1596</v>
      </c>
      <c r="H22" s="262" t="s">
        <v>1597</v>
      </c>
      <c r="I22" s="262" t="s">
        <v>1591</v>
      </c>
      <c r="J22" s="262" t="s">
        <v>1598</v>
      </c>
      <c r="K22" s="262" t="s">
        <v>1599</v>
      </c>
      <c r="L22" s="517" t="s">
        <v>1590</v>
      </c>
      <c r="M22" s="262" t="s">
        <v>1600</v>
      </c>
      <c r="N22" s="4">
        <f t="shared" si="1"/>
        <v>13</v>
      </c>
      <c r="P22"/>
      <c r="Q22"/>
      <c r="R22"/>
      <c r="S22"/>
      <c r="T22"/>
      <c r="U22"/>
    </row>
    <row r="23" spans="1:21" x14ac:dyDescent="0.35">
      <c r="A23" s="4">
        <f t="shared" si="0"/>
        <v>14</v>
      </c>
      <c r="B23" s="35" t="s">
        <v>1601</v>
      </c>
      <c r="C23" s="506" t="str">
        <f>RIGHT(B4,4)</f>
        <v>2022</v>
      </c>
      <c r="D23" s="149">
        <f t="shared" ref="D23:D34" si="2">$E$13/12</f>
        <v>84749.614060029664</v>
      </c>
      <c r="E23" s="918">
        <v>87634.991999999998</v>
      </c>
      <c r="F23" s="150">
        <f t="shared" ref="F23:F34" si="3">$F$35/12</f>
        <v>-4619.4973333333337</v>
      </c>
      <c r="G23" s="150">
        <f>$G$35/12</f>
        <v>273.85466666666667</v>
      </c>
      <c r="H23" s="10">
        <f>SUM(E23:G23)</f>
        <v>83289.349333333332</v>
      </c>
      <c r="I23" s="150">
        <f>D23-H23</f>
        <v>1460.2647266963322</v>
      </c>
      <c r="J23" s="151">
        <v>2.8E-3</v>
      </c>
      <c r="K23" s="152">
        <f>I23</f>
        <v>1460.2647266963322</v>
      </c>
      <c r="L23" s="149">
        <f>(I23/2)*J23</f>
        <v>2.0443706173748653</v>
      </c>
      <c r="M23" s="149">
        <f t="shared" ref="M23:M34" si="4">K23+L23</f>
        <v>1462.3090973137071</v>
      </c>
      <c r="N23" s="4">
        <f t="shared" si="1"/>
        <v>14</v>
      </c>
      <c r="O23" s="123"/>
      <c r="P23" s="263"/>
    </row>
    <row r="24" spans="1:21" x14ac:dyDescent="0.35">
      <c r="A24" s="4">
        <f t="shared" si="0"/>
        <v>15</v>
      </c>
      <c r="B24" s="35" t="s">
        <v>1602</v>
      </c>
      <c r="C24" s="506" t="str">
        <f>C23</f>
        <v>2022</v>
      </c>
      <c r="D24" s="153">
        <f t="shared" si="2"/>
        <v>84749.614060029664</v>
      </c>
      <c r="E24" s="918">
        <v>76923.703999999998</v>
      </c>
      <c r="F24" s="123">
        <f t="shared" si="3"/>
        <v>-4619.4973333333337</v>
      </c>
      <c r="G24" s="123">
        <f>$G$35/12</f>
        <v>273.85466666666667</v>
      </c>
      <c r="H24" s="8">
        <f>SUM(E24:G24)</f>
        <v>72578.061333333331</v>
      </c>
      <c r="I24" s="123">
        <f t="shared" ref="I24:I34" si="5">D24-H24</f>
        <v>12171.552726696333</v>
      </c>
      <c r="J24" s="151">
        <v>2.5000000000000001E-3</v>
      </c>
      <c r="K24" s="154">
        <f>M23+I24</f>
        <v>13633.86182401004</v>
      </c>
      <c r="L24" s="153">
        <f t="shared" ref="L24:L34" si="6">(M23+K24)/2*J24</f>
        <v>18.870213651654687</v>
      </c>
      <c r="M24" s="153">
        <f t="shared" si="4"/>
        <v>13652.732037661695</v>
      </c>
      <c r="N24" s="4">
        <f t="shared" si="1"/>
        <v>15</v>
      </c>
      <c r="O24" s="162"/>
    </row>
    <row r="25" spans="1:21" x14ac:dyDescent="0.35">
      <c r="A25" s="4">
        <f t="shared" si="0"/>
        <v>16</v>
      </c>
      <c r="B25" s="35" t="s">
        <v>1603</v>
      </c>
      <c r="C25" s="506" t="str">
        <f>C23</f>
        <v>2022</v>
      </c>
      <c r="D25" s="153">
        <f t="shared" si="2"/>
        <v>84749.614060029664</v>
      </c>
      <c r="E25" s="918">
        <v>96862.107000000004</v>
      </c>
      <c r="F25" s="123">
        <f t="shared" si="3"/>
        <v>-4619.4973333333337</v>
      </c>
      <c r="G25" s="123">
        <f t="shared" ref="G25:G34" si="7">$G$35/12</f>
        <v>273.85466666666667</v>
      </c>
      <c r="H25" s="8">
        <f t="shared" ref="H25:H33" si="8">SUM(E25:G25)</f>
        <v>92516.464333333337</v>
      </c>
      <c r="I25" s="123">
        <f t="shared" si="5"/>
        <v>-7766.850273303673</v>
      </c>
      <c r="J25" s="151">
        <v>2.8E-3</v>
      </c>
      <c r="K25" s="154">
        <f>M24+I25</f>
        <v>5885.8817643580223</v>
      </c>
      <c r="L25" s="153">
        <f>(M24+K25)/2*J25</f>
        <v>27.354059322827606</v>
      </c>
      <c r="M25" s="153">
        <f t="shared" si="4"/>
        <v>5913.2358236808495</v>
      </c>
      <c r="N25" s="4">
        <f t="shared" si="1"/>
        <v>16</v>
      </c>
      <c r="O25" s="162"/>
    </row>
    <row r="26" spans="1:21" x14ac:dyDescent="0.35">
      <c r="A26" s="4">
        <f t="shared" si="0"/>
        <v>17</v>
      </c>
      <c r="B26" s="35" t="s">
        <v>1604</v>
      </c>
      <c r="C26" s="506" t="str">
        <f>C23</f>
        <v>2022</v>
      </c>
      <c r="D26" s="153">
        <f t="shared" si="2"/>
        <v>84749.614060029664</v>
      </c>
      <c r="E26" s="918">
        <v>75849.5</v>
      </c>
      <c r="F26" s="123">
        <f t="shared" si="3"/>
        <v>-4619.4973333333337</v>
      </c>
      <c r="G26" s="123">
        <f t="shared" si="7"/>
        <v>273.85466666666667</v>
      </c>
      <c r="H26" s="8">
        <f t="shared" si="8"/>
        <v>71503.857333333333</v>
      </c>
      <c r="I26" s="123">
        <f>D26-H26</f>
        <v>13245.756726696331</v>
      </c>
      <c r="J26" s="151">
        <v>2.7000000000000001E-3</v>
      </c>
      <c r="K26" s="154">
        <f>M25+I26</f>
        <v>19158.992550377181</v>
      </c>
      <c r="L26" s="153">
        <f>(M25+K26)/2*J26</f>
        <v>33.847508304978348</v>
      </c>
      <c r="M26" s="153">
        <f t="shared" si="4"/>
        <v>19192.840058682159</v>
      </c>
      <c r="N26" s="4">
        <f t="shared" si="1"/>
        <v>17</v>
      </c>
      <c r="O26" s="162"/>
      <c r="Q26" s="507"/>
    </row>
    <row r="27" spans="1:21" x14ac:dyDescent="0.35">
      <c r="A27" s="4">
        <f t="shared" si="0"/>
        <v>18</v>
      </c>
      <c r="B27" s="35" t="s">
        <v>1605</v>
      </c>
      <c r="C27" s="506" t="str">
        <f>C23</f>
        <v>2022</v>
      </c>
      <c r="D27" s="153">
        <f t="shared" si="2"/>
        <v>84749.614060029664</v>
      </c>
      <c r="E27" s="918">
        <v>77802.19</v>
      </c>
      <c r="F27" s="123">
        <f t="shared" si="3"/>
        <v>-4619.4973333333337</v>
      </c>
      <c r="G27" s="123">
        <f t="shared" si="7"/>
        <v>273.85466666666667</v>
      </c>
      <c r="H27" s="8">
        <f t="shared" si="8"/>
        <v>73456.547333333336</v>
      </c>
      <c r="I27" s="123">
        <f t="shared" si="5"/>
        <v>11293.066726696328</v>
      </c>
      <c r="J27" s="151">
        <v>2.8E-3</v>
      </c>
      <c r="K27" s="154">
        <f t="shared" ref="K27:K34" si="9">M26+I27</f>
        <v>30485.906785378487</v>
      </c>
      <c r="L27" s="153">
        <f t="shared" si="6"/>
        <v>69.550245581684905</v>
      </c>
      <c r="M27" s="153">
        <f t="shared" si="4"/>
        <v>30555.457030960173</v>
      </c>
      <c r="N27" s="4">
        <f t="shared" si="1"/>
        <v>18</v>
      </c>
      <c r="O27" s="162"/>
    </row>
    <row r="28" spans="1:21" x14ac:dyDescent="0.35">
      <c r="A28" s="4">
        <f t="shared" si="0"/>
        <v>19</v>
      </c>
      <c r="B28" s="35" t="s">
        <v>1606</v>
      </c>
      <c r="C28" s="506" t="str">
        <f>C23</f>
        <v>2022</v>
      </c>
      <c r="D28" s="153">
        <f t="shared" si="2"/>
        <v>84749.614060029664</v>
      </c>
      <c r="E28" s="918">
        <v>92181.395999999993</v>
      </c>
      <c r="F28" s="123">
        <f t="shared" si="3"/>
        <v>-4619.4973333333337</v>
      </c>
      <c r="G28" s="123">
        <f t="shared" si="7"/>
        <v>273.85466666666667</v>
      </c>
      <c r="H28" s="8">
        <f t="shared" si="8"/>
        <v>87835.753333333327</v>
      </c>
      <c r="I28" s="123">
        <f t="shared" si="5"/>
        <v>-3086.1392733036628</v>
      </c>
      <c r="J28" s="151">
        <v>2.7000000000000001E-3</v>
      </c>
      <c r="K28" s="154">
        <f t="shared" si="9"/>
        <v>27469.31775765651</v>
      </c>
      <c r="L28" s="153">
        <f>(M27+K28)/2*J28</f>
        <v>78.333445964632531</v>
      </c>
      <c r="M28" s="153">
        <f t="shared" si="4"/>
        <v>27547.651203621142</v>
      </c>
      <c r="N28" s="4">
        <f t="shared" si="1"/>
        <v>19</v>
      </c>
      <c r="O28" s="162"/>
    </row>
    <row r="29" spans="1:21" x14ac:dyDescent="0.35">
      <c r="A29" s="4">
        <f t="shared" si="0"/>
        <v>20</v>
      </c>
      <c r="B29" s="35" t="s">
        <v>1607</v>
      </c>
      <c r="C29" s="506" t="str">
        <f>C23</f>
        <v>2022</v>
      </c>
      <c r="D29" s="153">
        <f t="shared" si="2"/>
        <v>84749.614060029664</v>
      </c>
      <c r="E29" s="918">
        <v>99527.188999999998</v>
      </c>
      <c r="F29" s="123">
        <f t="shared" si="3"/>
        <v>-4619.4973333333337</v>
      </c>
      <c r="G29" s="123">
        <f t="shared" si="7"/>
        <v>273.85466666666667</v>
      </c>
      <c r="H29" s="8">
        <f t="shared" si="8"/>
        <v>95181.546333333332</v>
      </c>
      <c r="I29" s="123">
        <f t="shared" si="5"/>
        <v>-10431.932273303668</v>
      </c>
      <c r="J29" s="151">
        <v>3.0999999999999999E-3</v>
      </c>
      <c r="K29" s="154">
        <f t="shared" si="9"/>
        <v>17115.718930317475</v>
      </c>
      <c r="L29" s="153">
        <f t="shared" si="6"/>
        <v>69.228223707604855</v>
      </c>
      <c r="M29" s="153">
        <f t="shared" si="4"/>
        <v>17184.947154025078</v>
      </c>
      <c r="N29" s="4">
        <f t="shared" si="1"/>
        <v>20</v>
      </c>
      <c r="O29" s="162"/>
    </row>
    <row r="30" spans="1:21" x14ac:dyDescent="0.35">
      <c r="A30" s="4">
        <f t="shared" si="0"/>
        <v>21</v>
      </c>
      <c r="B30" s="35" t="s">
        <v>1608</v>
      </c>
      <c r="C30" s="506" t="str">
        <f>C23</f>
        <v>2022</v>
      </c>
      <c r="D30" s="153">
        <f t="shared" si="2"/>
        <v>84749.614060029664</v>
      </c>
      <c r="E30" s="918">
        <v>122052.924</v>
      </c>
      <c r="F30" s="123">
        <f t="shared" si="3"/>
        <v>-4619.4973333333337</v>
      </c>
      <c r="G30" s="123">
        <f t="shared" si="7"/>
        <v>273.85466666666667</v>
      </c>
      <c r="H30" s="8">
        <f t="shared" si="8"/>
        <v>117707.28133333333</v>
      </c>
      <c r="I30" s="123">
        <f t="shared" si="5"/>
        <v>-32957.667273303668</v>
      </c>
      <c r="J30" s="151">
        <v>3.0999999999999999E-3</v>
      </c>
      <c r="K30" s="154">
        <f t="shared" si="9"/>
        <v>-15772.720119278591</v>
      </c>
      <c r="L30" s="153">
        <f t="shared" si="6"/>
        <v>2.1889519038570553</v>
      </c>
      <c r="M30" s="153">
        <f t="shared" si="4"/>
        <v>-15770.531167374733</v>
      </c>
      <c r="N30" s="4">
        <f t="shared" si="1"/>
        <v>21</v>
      </c>
      <c r="O30" s="162"/>
    </row>
    <row r="31" spans="1:21" x14ac:dyDescent="0.35">
      <c r="A31" s="4">
        <f t="shared" si="0"/>
        <v>22</v>
      </c>
      <c r="B31" s="35" t="s">
        <v>1609</v>
      </c>
      <c r="C31" s="506" t="str">
        <f>C23</f>
        <v>2022</v>
      </c>
      <c r="D31" s="153">
        <f t="shared" si="2"/>
        <v>84749.614060029664</v>
      </c>
      <c r="E31" s="918">
        <v>129477.768</v>
      </c>
      <c r="F31" s="123">
        <f t="shared" si="3"/>
        <v>-4619.4973333333337</v>
      </c>
      <c r="G31" s="123">
        <f t="shared" si="7"/>
        <v>273.85466666666667</v>
      </c>
      <c r="H31" s="8">
        <f t="shared" si="8"/>
        <v>125132.12533333333</v>
      </c>
      <c r="I31" s="123">
        <f t="shared" si="5"/>
        <v>-40382.511273303666</v>
      </c>
      <c r="J31" s="151">
        <v>3.0000000000000001E-3</v>
      </c>
      <c r="K31" s="154">
        <f t="shared" si="9"/>
        <v>-56153.0424406784</v>
      </c>
      <c r="L31" s="153">
        <f t="shared" si="6"/>
        <v>-107.88536041207971</v>
      </c>
      <c r="M31" s="153">
        <f t="shared" si="4"/>
        <v>-56260.927801090482</v>
      </c>
      <c r="N31" s="4">
        <f t="shared" si="1"/>
        <v>22</v>
      </c>
      <c r="O31" s="162"/>
    </row>
    <row r="32" spans="1:21" x14ac:dyDescent="0.35">
      <c r="A32" s="4">
        <f t="shared" si="0"/>
        <v>23</v>
      </c>
      <c r="B32" s="35" t="s">
        <v>1610</v>
      </c>
      <c r="C32" s="506" t="str">
        <f>C23</f>
        <v>2022</v>
      </c>
      <c r="D32" s="153">
        <f t="shared" si="2"/>
        <v>84749.614060029664</v>
      </c>
      <c r="E32" s="918">
        <v>113432.50900000001</v>
      </c>
      <c r="F32" s="123">
        <f t="shared" si="3"/>
        <v>-4619.4973333333337</v>
      </c>
      <c r="G32" s="123">
        <f t="shared" si="7"/>
        <v>273.85466666666667</v>
      </c>
      <c r="H32" s="8">
        <f t="shared" si="8"/>
        <v>109086.86633333334</v>
      </c>
      <c r="I32" s="123">
        <f t="shared" si="5"/>
        <v>-24337.252273303675</v>
      </c>
      <c r="J32" s="151">
        <v>4.1999999999999997E-3</v>
      </c>
      <c r="K32" s="154">
        <f t="shared" si="9"/>
        <v>-80598.180074394157</v>
      </c>
      <c r="L32" s="153">
        <f t="shared" si="6"/>
        <v>-287.40412653851769</v>
      </c>
      <c r="M32" s="153">
        <f t="shared" si="4"/>
        <v>-80885.584200932673</v>
      </c>
      <c r="N32" s="4">
        <f t="shared" si="1"/>
        <v>23</v>
      </c>
      <c r="O32" s="162"/>
    </row>
    <row r="33" spans="1:15" x14ac:dyDescent="0.35">
      <c r="A33" s="4">
        <f t="shared" si="0"/>
        <v>24</v>
      </c>
      <c r="B33" s="35" t="s">
        <v>1611</v>
      </c>
      <c r="C33" s="506" t="str">
        <f>C23</f>
        <v>2022</v>
      </c>
      <c r="D33" s="153">
        <f t="shared" si="2"/>
        <v>84749.614060029664</v>
      </c>
      <c r="E33" s="918">
        <v>91487.875</v>
      </c>
      <c r="F33" s="123">
        <f t="shared" si="3"/>
        <v>-4619.4973333333337</v>
      </c>
      <c r="G33" s="123">
        <f t="shared" si="7"/>
        <v>273.85466666666667</v>
      </c>
      <c r="H33" s="8">
        <f t="shared" si="8"/>
        <v>87142.232333333333</v>
      </c>
      <c r="I33" s="123">
        <f t="shared" si="5"/>
        <v>-2392.6182733036694</v>
      </c>
      <c r="J33" s="151">
        <v>4.0000000000000001E-3</v>
      </c>
      <c r="K33" s="154">
        <f t="shared" si="9"/>
        <v>-83278.202474236343</v>
      </c>
      <c r="L33" s="8">
        <f t="shared" si="6"/>
        <v>-328.32757335033801</v>
      </c>
      <c r="M33" s="8">
        <f t="shared" si="4"/>
        <v>-83606.530047586682</v>
      </c>
      <c r="N33" s="4">
        <f t="shared" si="1"/>
        <v>24</v>
      </c>
      <c r="O33" s="162"/>
    </row>
    <row r="34" spans="1:15" x14ac:dyDescent="0.35">
      <c r="A34" s="4">
        <f t="shared" si="0"/>
        <v>25</v>
      </c>
      <c r="B34" s="1126" t="s">
        <v>1612</v>
      </c>
      <c r="C34" s="1127" t="str">
        <f>C23</f>
        <v>2022</v>
      </c>
      <c r="D34" s="1128">
        <f t="shared" si="2"/>
        <v>84749.614060029664</v>
      </c>
      <c r="E34" s="918">
        <v>86742.789000000004</v>
      </c>
      <c r="F34" s="1129">
        <f t="shared" si="3"/>
        <v>-4619.4973333333337</v>
      </c>
      <c r="G34" s="1129">
        <f t="shared" si="7"/>
        <v>273.85466666666667</v>
      </c>
      <c r="H34" s="972">
        <f>SUM(E34:G34)</f>
        <v>82397.146333333338</v>
      </c>
      <c r="I34" s="1129">
        <f t="shared" si="5"/>
        <v>2352.4677266963263</v>
      </c>
      <c r="J34" s="1096">
        <v>4.1999999999999997E-3</v>
      </c>
      <c r="K34" s="1130">
        <f t="shared" si="9"/>
        <v>-81254.062320890356</v>
      </c>
      <c r="L34" s="972">
        <f t="shared" si="6"/>
        <v>-346.20724397380172</v>
      </c>
      <c r="M34" s="972">
        <f t="shared" si="4"/>
        <v>-81600.269564864153</v>
      </c>
      <c r="N34" s="4">
        <f t="shared" si="1"/>
        <v>25</v>
      </c>
      <c r="O34" s="162"/>
    </row>
    <row r="35" spans="1:15" ht="16" thickBot="1" x14ac:dyDescent="0.4">
      <c r="A35" s="4">
        <f t="shared" si="0"/>
        <v>26</v>
      </c>
      <c r="D35" s="155">
        <f>SUM(D23:D34)</f>
        <v>1016995.3687203558</v>
      </c>
      <c r="E35" s="155">
        <f>SUM(E23:E34)</f>
        <v>1149974.9430000002</v>
      </c>
      <c r="F35" s="156">
        <f>-50790.496-4643.472</f>
        <v>-55433.968000000001</v>
      </c>
      <c r="G35" s="156">
        <v>3286.2559999999999</v>
      </c>
      <c r="H35" s="155">
        <f>SUM(H23:H34)</f>
        <v>1097827.2310000001</v>
      </c>
      <c r="I35" s="155">
        <f>SUM(I23:I34)</f>
        <v>-80831.862279644032</v>
      </c>
      <c r="J35" s="157"/>
      <c r="K35" s="158"/>
      <c r="L35" s="100">
        <f>SUM(L23:L34)</f>
        <v>-768.40728522012228</v>
      </c>
      <c r="M35" s="708"/>
      <c r="N35" s="4">
        <f t="shared" si="1"/>
        <v>26</v>
      </c>
    </row>
    <row r="36" spans="1:15" ht="16" thickTop="1" x14ac:dyDescent="0.35">
      <c r="D36" s="170"/>
      <c r="E36" s="170"/>
      <c r="F36" s="942"/>
      <c r="G36" s="170"/>
      <c r="H36" s="942"/>
      <c r="I36" s="942"/>
      <c r="J36" s="170"/>
      <c r="K36" s="170"/>
      <c r="L36" s="709"/>
      <c r="M36" s="709"/>
    </row>
    <row r="37" spans="1:15" x14ac:dyDescent="0.35">
      <c r="B37" s="39"/>
      <c r="F37" s="508"/>
      <c r="G37" s="508"/>
    </row>
    <row r="38" spans="1:15" ht="18" x14ac:dyDescent="0.35">
      <c r="A38" s="261">
        <v>1</v>
      </c>
      <c r="B38" s="5" t="s">
        <v>1613</v>
      </c>
      <c r="F38" s="508"/>
      <c r="G38" s="508"/>
    </row>
    <row r="39" spans="1:15" ht="18" x14ac:dyDescent="0.35">
      <c r="A39" s="261">
        <v>2</v>
      </c>
      <c r="B39" s="5" t="s">
        <v>1614</v>
      </c>
    </row>
    <row r="40" spans="1:15" ht="18" x14ac:dyDescent="0.35">
      <c r="A40" s="261">
        <v>3</v>
      </c>
      <c r="B40" s="5" t="s">
        <v>1615</v>
      </c>
    </row>
    <row r="41" spans="1:15" ht="18" x14ac:dyDescent="0.35">
      <c r="A41" s="261">
        <v>4</v>
      </c>
      <c r="B41" s="5" t="s">
        <v>1616</v>
      </c>
    </row>
    <row r="42" spans="1:15" ht="18" x14ac:dyDescent="0.35">
      <c r="A42" s="261"/>
      <c r="B42" s="5" t="s">
        <v>1617</v>
      </c>
    </row>
    <row r="43" spans="1:15" ht="18" x14ac:dyDescent="0.35">
      <c r="A43" s="261">
        <v>5</v>
      </c>
      <c r="B43" s="5" t="s">
        <v>1618</v>
      </c>
      <c r="C43" s="452"/>
    </row>
    <row r="44" spans="1:15" ht="18" x14ac:dyDescent="0.35">
      <c r="A44" s="261">
        <v>6</v>
      </c>
      <c r="B44" s="5" t="s">
        <v>1619</v>
      </c>
    </row>
    <row r="45" spans="1:15" ht="18" x14ac:dyDescent="0.35">
      <c r="A45" s="261">
        <v>7</v>
      </c>
      <c r="B45" s="5" t="s">
        <v>1620</v>
      </c>
    </row>
    <row r="46" spans="1:15" ht="18" x14ac:dyDescent="0.35">
      <c r="A46" s="261">
        <v>8</v>
      </c>
      <c r="B46" s="5" t="s">
        <v>1621</v>
      </c>
    </row>
    <row r="47" spans="1:15" x14ac:dyDescent="0.35">
      <c r="B47" s="5" t="s">
        <v>1622</v>
      </c>
    </row>
    <row r="48" spans="1:15" x14ac:dyDescent="0.35">
      <c r="B48" s="5" t="s">
        <v>1623</v>
      </c>
    </row>
    <row r="49" spans="2:2" x14ac:dyDescent="0.35">
      <c r="B49" s="5" t="s">
        <v>1624</v>
      </c>
    </row>
  </sheetData>
  <mergeCells count="4">
    <mergeCell ref="B5:M5"/>
    <mergeCell ref="B2:M2"/>
    <mergeCell ref="B3:M3"/>
    <mergeCell ref="B4:M4"/>
  </mergeCells>
  <printOptions horizontalCentered="1"/>
  <pageMargins left="0.5" right="0.5" top="0.5" bottom="0.5" header="0.25" footer="0.25"/>
  <pageSetup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195"/>
  <sheetViews>
    <sheetView zoomScale="80" zoomScaleNormal="80" workbookViewId="0"/>
  </sheetViews>
  <sheetFormatPr defaultColWidth="9.08984375" defaultRowHeight="15.5" x14ac:dyDescent="0.35"/>
  <cols>
    <col min="1" max="1" width="5.08984375" style="4" customWidth="1"/>
    <col min="2" max="2" width="78.453125" style="34" customWidth="1"/>
    <col min="3" max="3" width="10.453125" style="34" customWidth="1"/>
    <col min="4" max="4" width="1.54296875" style="34" customWidth="1"/>
    <col min="5" max="5" width="16.90625" style="34" customWidth="1"/>
    <col min="6" max="6" width="1.54296875" style="34" customWidth="1"/>
    <col min="7" max="7" width="51.453125" style="34" customWidth="1"/>
    <col min="8" max="8" width="5.08984375" style="4" customWidth="1"/>
    <col min="9" max="9" width="31.54296875" style="34" customWidth="1"/>
    <col min="10" max="10" width="10.90625" style="34" customWidth="1"/>
    <col min="11" max="16384" width="9.08984375" style="34"/>
  </cols>
  <sheetData>
    <row r="2" spans="1:10" x14ac:dyDescent="0.35">
      <c r="B2" s="1171" t="s">
        <v>0</v>
      </c>
      <c r="C2" s="1172"/>
      <c r="D2" s="1172"/>
      <c r="E2" s="1172"/>
      <c r="F2" s="1172"/>
      <c r="G2" s="1172"/>
      <c r="J2" s="287"/>
    </row>
    <row r="3" spans="1:10" x14ac:dyDescent="0.35">
      <c r="A3" s="4" t="s">
        <v>1</v>
      </c>
      <c r="B3" s="1171" t="s">
        <v>2</v>
      </c>
      <c r="C3" s="1172"/>
      <c r="D3" s="1172"/>
      <c r="E3" s="1172"/>
      <c r="F3" s="1172"/>
      <c r="G3" s="1172"/>
      <c r="J3" s="268"/>
    </row>
    <row r="4" spans="1:10" ht="18" x14ac:dyDescent="0.35">
      <c r="B4" s="1171" t="s">
        <v>3</v>
      </c>
      <c r="C4" s="1173"/>
      <c r="D4" s="1173"/>
      <c r="E4" s="1173"/>
      <c r="F4" s="1173"/>
      <c r="G4" s="1173"/>
      <c r="J4" s="268"/>
    </row>
    <row r="5" spans="1:10" x14ac:dyDescent="0.35">
      <c r="B5" s="1174" t="s">
        <v>4</v>
      </c>
      <c r="C5" s="1174"/>
      <c r="D5" s="1174"/>
      <c r="E5" s="1174"/>
      <c r="F5" s="1174"/>
      <c r="G5" s="1174"/>
      <c r="J5" s="268"/>
    </row>
    <row r="6" spans="1:10" x14ac:dyDescent="0.35">
      <c r="B6" s="1175" t="s">
        <v>5</v>
      </c>
      <c r="C6" s="1172"/>
      <c r="D6" s="1172"/>
      <c r="E6" s="1172"/>
      <c r="F6" s="1172"/>
      <c r="G6" s="1172"/>
      <c r="J6" s="268"/>
    </row>
    <row r="7" spans="1:10" x14ac:dyDescent="0.35">
      <c r="B7" s="272"/>
      <c r="C7" s="1"/>
      <c r="D7" s="1"/>
      <c r="E7" s="1"/>
      <c r="F7" s="1"/>
      <c r="G7" s="1"/>
      <c r="J7" s="268"/>
    </row>
    <row r="8" spans="1:10" x14ac:dyDescent="0.35">
      <c r="A8" s="4" t="s">
        <v>6</v>
      </c>
      <c r="E8" s="27"/>
      <c r="G8" s="4"/>
      <c r="H8" s="4" t="s">
        <v>6</v>
      </c>
      <c r="J8" s="268"/>
    </row>
    <row r="9" spans="1:10" x14ac:dyDescent="0.35">
      <c r="A9" s="4" t="s">
        <v>7</v>
      </c>
      <c r="B9" s="1" t="s">
        <v>1</v>
      </c>
      <c r="E9" s="965" t="s">
        <v>1625</v>
      </c>
      <c r="G9" s="876" t="s">
        <v>9</v>
      </c>
      <c r="H9" s="4" t="s">
        <v>7</v>
      </c>
    </row>
    <row r="10" spans="1:10" x14ac:dyDescent="0.35">
      <c r="B10" s="256" t="s">
        <v>10</v>
      </c>
      <c r="C10" s="521"/>
      <c r="D10" s="521"/>
      <c r="E10" s="27"/>
      <c r="G10" s="4"/>
    </row>
    <row r="11" spans="1:10" x14ac:dyDescent="0.35">
      <c r="A11" s="4">
        <f t="shared" ref="A11:A86" si="0">A10+1</f>
        <v>1</v>
      </c>
      <c r="B11" s="35" t="s">
        <v>11</v>
      </c>
      <c r="C11" s="267"/>
      <c r="D11" s="267"/>
      <c r="E11" s="7">
        <f>'Stmt AH'!E19</f>
        <v>104977.4005</v>
      </c>
      <c r="G11" s="4" t="s">
        <v>12</v>
      </c>
      <c r="H11" s="4">
        <f>H10+1</f>
        <v>1</v>
      </c>
      <c r="I11" s="4"/>
    </row>
    <row r="12" spans="1:10" x14ac:dyDescent="0.35">
      <c r="A12" s="4">
        <f t="shared" si="0"/>
        <v>2</v>
      </c>
      <c r="B12" s="35" t="s">
        <v>1</v>
      </c>
      <c r="C12" s="267"/>
      <c r="D12" s="267"/>
      <c r="E12" s="8" t="s">
        <v>1</v>
      </c>
      <c r="G12" s="4"/>
      <c r="H12" s="4">
        <f>H11+1</f>
        <v>2</v>
      </c>
      <c r="I12" s="4"/>
    </row>
    <row r="13" spans="1:10" x14ac:dyDescent="0.35">
      <c r="A13" s="4">
        <f t="shared" si="0"/>
        <v>3</v>
      </c>
      <c r="B13" s="35" t="s">
        <v>13</v>
      </c>
      <c r="C13" s="267"/>
      <c r="D13" s="267"/>
      <c r="E13" s="9">
        <f>'Stmt AH'!E41</f>
        <v>99478.28999756636</v>
      </c>
      <c r="F13" s="1"/>
      <c r="G13" s="4" t="s">
        <v>14</v>
      </c>
      <c r="H13" s="4">
        <f>H12+1</f>
        <v>3</v>
      </c>
      <c r="I13" s="4"/>
    </row>
    <row r="14" spans="1:10" x14ac:dyDescent="0.35">
      <c r="A14" s="4">
        <f t="shared" si="0"/>
        <v>4</v>
      </c>
      <c r="B14" s="35"/>
      <c r="C14" s="267"/>
      <c r="D14" s="267"/>
      <c r="E14" s="8"/>
      <c r="F14" s="1"/>
      <c r="G14" s="4"/>
      <c r="H14" s="4">
        <f t="shared" ref="H14:H86" si="1">H13+1</f>
        <v>4</v>
      </c>
      <c r="I14" s="4"/>
    </row>
    <row r="15" spans="1:10" x14ac:dyDescent="0.35">
      <c r="A15" s="4">
        <f t="shared" si="0"/>
        <v>5</v>
      </c>
      <c r="B15" s="35" t="s">
        <v>15</v>
      </c>
      <c r="C15" s="267"/>
      <c r="D15" s="267"/>
      <c r="E15" s="868">
        <f>-'Stmt AH'!E26</f>
        <v>0</v>
      </c>
      <c r="G15" s="4" t="s">
        <v>16</v>
      </c>
      <c r="H15" s="4">
        <f t="shared" si="1"/>
        <v>5</v>
      </c>
      <c r="I15" s="4"/>
    </row>
    <row r="16" spans="1:10" x14ac:dyDescent="0.35">
      <c r="A16" s="4">
        <f t="shared" si="0"/>
        <v>6</v>
      </c>
      <c r="B16" s="35" t="s">
        <v>17</v>
      </c>
      <c r="C16" s="267"/>
      <c r="D16" s="267"/>
      <c r="E16" s="10">
        <f>E11+E13+E15</f>
        <v>204455.69049756636</v>
      </c>
      <c r="F16" s="1"/>
      <c r="G16" s="4" t="s">
        <v>18</v>
      </c>
      <c r="H16" s="4">
        <f t="shared" si="1"/>
        <v>6</v>
      </c>
      <c r="I16" s="4"/>
    </row>
    <row r="17" spans="1:10" x14ac:dyDescent="0.35">
      <c r="A17" s="4">
        <f t="shared" si="0"/>
        <v>7</v>
      </c>
      <c r="E17" s="6"/>
      <c r="G17" s="4"/>
      <c r="H17" s="4">
        <f t="shared" si="1"/>
        <v>7</v>
      </c>
      <c r="I17" s="4"/>
    </row>
    <row r="18" spans="1:10" x14ac:dyDescent="0.35">
      <c r="A18" s="4">
        <f t="shared" si="0"/>
        <v>8</v>
      </c>
      <c r="B18" s="34" t="s">
        <v>19</v>
      </c>
      <c r="C18" s="267"/>
      <c r="D18" s="267"/>
      <c r="E18" s="7">
        <f>'Stmt AJ'!E27</f>
        <v>256281.36446838771</v>
      </c>
      <c r="F18" s="74"/>
      <c r="G18" s="4" t="s">
        <v>20</v>
      </c>
      <c r="H18" s="4">
        <f t="shared" si="1"/>
        <v>8</v>
      </c>
      <c r="I18" s="4"/>
    </row>
    <row r="19" spans="1:10" x14ac:dyDescent="0.35">
      <c r="A19" s="4">
        <f t="shared" si="0"/>
        <v>9</v>
      </c>
      <c r="E19" s="11"/>
      <c r="G19" s="4"/>
      <c r="H19" s="4">
        <f t="shared" si="1"/>
        <v>9</v>
      </c>
    </row>
    <row r="20" spans="1:10" ht="18" x14ac:dyDescent="0.35">
      <c r="A20" s="4">
        <f t="shared" si="0"/>
        <v>10</v>
      </c>
      <c r="B20" s="864" t="s">
        <v>21</v>
      </c>
      <c r="E20" s="12">
        <f>'Stmt AJ'!E33</f>
        <v>0</v>
      </c>
      <c r="G20" s="4" t="s">
        <v>22</v>
      </c>
      <c r="H20" s="4">
        <f t="shared" si="1"/>
        <v>10</v>
      </c>
      <c r="I20" s="4"/>
    </row>
    <row r="21" spans="1:10" x14ac:dyDescent="0.35">
      <c r="A21" s="4">
        <f t="shared" si="0"/>
        <v>11</v>
      </c>
      <c r="E21" s="11"/>
      <c r="G21" s="4"/>
      <c r="H21" s="4">
        <f t="shared" si="1"/>
        <v>11</v>
      </c>
      <c r="I21" s="4"/>
    </row>
    <row r="22" spans="1:10" x14ac:dyDescent="0.35">
      <c r="A22" s="4">
        <f t="shared" si="0"/>
        <v>12</v>
      </c>
      <c r="B22" s="34" t="s">
        <v>23</v>
      </c>
      <c r="C22" s="267"/>
      <c r="D22" s="267"/>
      <c r="E22" s="9">
        <f>'Stmt AK'!E23</f>
        <v>66270.772936426758</v>
      </c>
      <c r="F22" s="1"/>
      <c r="G22" s="4" t="s">
        <v>24</v>
      </c>
      <c r="H22" s="4">
        <f t="shared" si="1"/>
        <v>12</v>
      </c>
      <c r="I22" s="4"/>
    </row>
    <row r="23" spans="1:10" x14ac:dyDescent="0.35">
      <c r="A23" s="4">
        <f t="shared" si="0"/>
        <v>13</v>
      </c>
      <c r="B23" s="35"/>
      <c r="C23" s="267"/>
      <c r="D23" s="267"/>
      <c r="E23" s="8"/>
      <c r="G23" s="4"/>
      <c r="H23" s="4">
        <f t="shared" si="1"/>
        <v>13</v>
      </c>
      <c r="I23" s="4"/>
    </row>
    <row r="24" spans="1:10" x14ac:dyDescent="0.35">
      <c r="A24" s="4">
        <f t="shared" si="0"/>
        <v>14</v>
      </c>
      <c r="B24" s="34" t="s">
        <v>25</v>
      </c>
      <c r="C24" s="267"/>
      <c r="D24" s="267"/>
      <c r="E24" s="868">
        <f>'Stmt AK'!E30</f>
        <v>3323.5953616761703</v>
      </c>
      <c r="F24" s="1"/>
      <c r="G24" s="4" t="s">
        <v>26</v>
      </c>
      <c r="H24" s="4">
        <f t="shared" si="1"/>
        <v>14</v>
      </c>
      <c r="I24" s="4"/>
    </row>
    <row r="25" spans="1:10" x14ac:dyDescent="0.35">
      <c r="A25" s="4">
        <f t="shared" si="0"/>
        <v>15</v>
      </c>
      <c r="B25" s="35" t="s">
        <v>27</v>
      </c>
      <c r="C25" s="267"/>
      <c r="D25" s="267"/>
      <c r="E25" s="10">
        <f>SUM(E16:E24)</f>
        <v>530331.42326405703</v>
      </c>
      <c r="F25" s="1"/>
      <c r="G25" s="865" t="s">
        <v>28</v>
      </c>
      <c r="H25" s="4">
        <f t="shared" si="1"/>
        <v>15</v>
      </c>
      <c r="I25" s="4"/>
    </row>
    <row r="26" spans="1:10" x14ac:dyDescent="0.35">
      <c r="A26" s="4">
        <f t="shared" si="0"/>
        <v>16</v>
      </c>
      <c r="B26" s="35"/>
      <c r="C26" s="267"/>
      <c r="D26" s="267"/>
      <c r="E26" s="13"/>
      <c r="G26" s="4"/>
      <c r="H26" s="4">
        <f t="shared" si="1"/>
        <v>16</v>
      </c>
      <c r="I26" s="4"/>
    </row>
    <row r="27" spans="1:10" ht="17.5" x14ac:dyDescent="0.35">
      <c r="A27" s="4">
        <f t="shared" si="0"/>
        <v>17</v>
      </c>
      <c r="B27" s="866" t="s">
        <v>29</v>
      </c>
      <c r="C27" s="267"/>
      <c r="D27" s="8"/>
      <c r="E27" s="14">
        <f>'True-Up Stmt AV'!G148</f>
        <v>9.213497969351514E-2</v>
      </c>
      <c r="F27" s="1"/>
      <c r="G27" s="865" t="s">
        <v>1626</v>
      </c>
      <c r="H27" s="4">
        <f t="shared" si="1"/>
        <v>17</v>
      </c>
      <c r="I27" s="4"/>
    </row>
    <row r="28" spans="1:10" x14ac:dyDescent="0.35">
      <c r="A28" s="4">
        <f t="shared" si="0"/>
        <v>18</v>
      </c>
      <c r="B28" s="866" t="s">
        <v>31</v>
      </c>
      <c r="C28" s="267"/>
      <c r="D28" s="267"/>
      <c r="E28" s="870">
        <f>E136</f>
        <v>5035629.0185127473</v>
      </c>
      <c r="F28" s="1"/>
      <c r="G28" s="865" t="s">
        <v>32</v>
      </c>
      <c r="H28" s="4">
        <f t="shared" si="1"/>
        <v>18</v>
      </c>
      <c r="I28" s="940"/>
    </row>
    <row r="29" spans="1:10" x14ac:dyDescent="0.35">
      <c r="A29" s="4">
        <f t="shared" si="0"/>
        <v>19</v>
      </c>
      <c r="B29" s="864" t="s">
        <v>33</v>
      </c>
      <c r="E29" s="966">
        <f>E28*E27</f>
        <v>463957.57736474753</v>
      </c>
      <c r="F29" s="1"/>
      <c r="G29" s="865" t="s">
        <v>34</v>
      </c>
      <c r="H29" s="4">
        <f t="shared" si="1"/>
        <v>19</v>
      </c>
      <c r="I29" s="47"/>
      <c r="J29" s="38"/>
    </row>
    <row r="30" spans="1:10" x14ac:dyDescent="0.35">
      <c r="A30" s="4">
        <f t="shared" si="0"/>
        <v>20</v>
      </c>
      <c r="B30" s="864"/>
      <c r="E30" s="10"/>
      <c r="F30" s="1"/>
      <c r="G30" s="865"/>
      <c r="H30" s="4">
        <f t="shared" si="1"/>
        <v>20</v>
      </c>
      <c r="I30" s="47"/>
      <c r="J30" s="38"/>
    </row>
    <row r="31" spans="1:10" ht="17.5" x14ac:dyDescent="0.35">
      <c r="A31" s="4">
        <f t="shared" si="0"/>
        <v>21</v>
      </c>
      <c r="B31" s="866" t="s">
        <v>35</v>
      </c>
      <c r="E31" s="916">
        <f>'True-Up Stmt AV'!G182</f>
        <v>3.7378308604841285E-3</v>
      </c>
      <c r="F31" s="1"/>
      <c r="G31" s="865" t="s">
        <v>1627</v>
      </c>
      <c r="H31" s="4">
        <f t="shared" si="1"/>
        <v>21</v>
      </c>
      <c r="I31" s="47"/>
      <c r="J31" s="38"/>
    </row>
    <row r="32" spans="1:10" x14ac:dyDescent="0.35">
      <c r="A32" s="4">
        <f t="shared" si="0"/>
        <v>22</v>
      </c>
      <c r="B32" s="866" t="s">
        <v>31</v>
      </c>
      <c r="E32" s="870">
        <f>E136-E119</f>
        <v>5035629.0185127473</v>
      </c>
      <c r="F32" s="1"/>
      <c r="G32" s="865" t="s">
        <v>37</v>
      </c>
      <c r="H32" s="4">
        <f t="shared" si="1"/>
        <v>22</v>
      </c>
      <c r="I32" s="47"/>
      <c r="J32" s="38"/>
    </row>
    <row r="33" spans="1:10" x14ac:dyDescent="0.35">
      <c r="A33" s="4">
        <f t="shared" si="0"/>
        <v>23</v>
      </c>
      <c r="B33" s="864" t="s">
        <v>38</v>
      </c>
      <c r="E33" s="10">
        <f>E31*E32</f>
        <v>18822.329547346351</v>
      </c>
      <c r="F33" s="1"/>
      <c r="G33" s="865" t="s">
        <v>39</v>
      </c>
      <c r="H33" s="4">
        <f t="shared" si="1"/>
        <v>23</v>
      </c>
      <c r="I33" s="47"/>
      <c r="J33" s="38"/>
    </row>
    <row r="34" spans="1:10" x14ac:dyDescent="0.35">
      <c r="A34" s="4">
        <f t="shared" si="0"/>
        <v>24</v>
      </c>
      <c r="B34" s="864"/>
      <c r="E34" s="10"/>
      <c r="F34" s="1"/>
      <c r="G34" s="4"/>
      <c r="H34" s="4">
        <f t="shared" si="1"/>
        <v>24</v>
      </c>
      <c r="I34" s="47"/>
      <c r="J34" s="38"/>
    </row>
    <row r="35" spans="1:10" x14ac:dyDescent="0.35">
      <c r="A35" s="4">
        <f t="shared" si="0"/>
        <v>25</v>
      </c>
      <c r="B35" s="864" t="s">
        <v>40</v>
      </c>
      <c r="E35" s="25">
        <f>'Stmt AQ'!E13</f>
        <v>1304.0991895338727</v>
      </c>
      <c r="G35" s="865" t="s">
        <v>41</v>
      </c>
      <c r="H35" s="4">
        <f t="shared" si="1"/>
        <v>25</v>
      </c>
      <c r="I35" s="4"/>
    </row>
    <row r="36" spans="1:10" x14ac:dyDescent="0.35">
      <c r="A36" s="4">
        <f t="shared" si="0"/>
        <v>26</v>
      </c>
      <c r="B36" s="864" t="s">
        <v>42</v>
      </c>
      <c r="E36" s="25">
        <f>'Stmt AU'!E23</f>
        <v>-9365.0840000000007</v>
      </c>
      <c r="G36" s="865" t="s">
        <v>43</v>
      </c>
      <c r="H36" s="4">
        <f t="shared" si="1"/>
        <v>26</v>
      </c>
      <c r="I36" s="4"/>
    </row>
    <row r="37" spans="1:10" x14ac:dyDescent="0.35">
      <c r="A37" s="4">
        <f t="shared" si="0"/>
        <v>27</v>
      </c>
      <c r="B37" s="864" t="s">
        <v>44</v>
      </c>
      <c r="E37" s="9">
        <f>'Stmt Misc.'!E10</f>
        <v>0</v>
      </c>
      <c r="F37" s="1"/>
      <c r="G37" s="865" t="s">
        <v>45</v>
      </c>
      <c r="H37" s="4">
        <f t="shared" si="1"/>
        <v>27</v>
      </c>
      <c r="I37" s="4"/>
    </row>
    <row r="38" spans="1:10" x14ac:dyDescent="0.35">
      <c r="A38" s="4">
        <f t="shared" si="0"/>
        <v>28</v>
      </c>
      <c r="B38" s="867" t="s">
        <v>46</v>
      </c>
      <c r="E38" s="868">
        <f>'Stmt AU'!E25</f>
        <v>0</v>
      </c>
      <c r="G38" s="865" t="s">
        <v>47</v>
      </c>
      <c r="H38" s="4">
        <f t="shared" si="1"/>
        <v>28</v>
      </c>
      <c r="I38" s="4"/>
    </row>
    <row r="39" spans="1:10" x14ac:dyDescent="0.35">
      <c r="A39" s="4">
        <f t="shared" si="0"/>
        <v>29</v>
      </c>
      <c r="E39" s="11" t="s">
        <v>1</v>
      </c>
      <c r="G39" s="4"/>
      <c r="H39" s="4">
        <f t="shared" si="1"/>
        <v>29</v>
      </c>
    </row>
    <row r="40" spans="1:10" ht="16" thickBot="1" x14ac:dyDescent="0.4">
      <c r="A40" s="4">
        <f t="shared" si="0"/>
        <v>30</v>
      </c>
      <c r="B40" s="34" t="s">
        <v>1628</v>
      </c>
      <c r="C40" s="267"/>
      <c r="D40" s="267"/>
      <c r="E40" s="15">
        <f>E25+E29+E33+SUM(E35:E38)</f>
        <v>1005050.3453656847</v>
      </c>
      <c r="F40" s="1"/>
      <c r="G40" s="865" t="s">
        <v>49</v>
      </c>
      <c r="H40" s="4">
        <f t="shared" si="1"/>
        <v>30</v>
      </c>
      <c r="I40" s="47"/>
    </row>
    <row r="41" spans="1:10" ht="16" thickTop="1" x14ac:dyDescent="0.35">
      <c r="C41" s="267"/>
      <c r="D41" s="267"/>
      <c r="E41" s="16"/>
      <c r="F41" s="1"/>
      <c r="G41" s="4"/>
      <c r="I41" s="940"/>
    </row>
    <row r="42" spans="1:10" x14ac:dyDescent="0.35">
      <c r="C42" s="267"/>
      <c r="D42" s="267"/>
      <c r="E42" s="16"/>
      <c r="F42" s="1"/>
      <c r="G42" s="4"/>
      <c r="I42" s="940"/>
    </row>
    <row r="43" spans="1:10" ht="18" x14ac:dyDescent="0.35">
      <c r="A43" s="261">
        <v>1</v>
      </c>
      <c r="B43" s="34" t="s">
        <v>50</v>
      </c>
      <c r="C43" s="267"/>
      <c r="D43" s="267"/>
      <c r="E43" s="16"/>
      <c r="F43" s="1"/>
      <c r="G43" s="4"/>
      <c r="I43" s="940"/>
    </row>
    <row r="44" spans="1:10" ht="18" x14ac:dyDescent="0.35">
      <c r="A44" s="261"/>
      <c r="C44" s="267"/>
      <c r="D44" s="267"/>
      <c r="E44" s="16"/>
      <c r="F44" s="1"/>
      <c r="G44" s="4"/>
      <c r="I44" s="940"/>
    </row>
    <row r="45" spans="1:10" x14ac:dyDescent="0.35">
      <c r="C45" s="267"/>
      <c r="D45" s="267"/>
      <c r="E45" s="16"/>
      <c r="F45" s="1"/>
      <c r="G45" s="4"/>
      <c r="I45" s="47"/>
    </row>
    <row r="46" spans="1:10" x14ac:dyDescent="0.35">
      <c r="B46" s="1208" t="s">
        <v>0</v>
      </c>
      <c r="C46" s="1209"/>
      <c r="D46" s="1209"/>
      <c r="E46" s="1209"/>
      <c r="F46" s="1209"/>
      <c r="G46" s="1209"/>
      <c r="I46" s="4"/>
    </row>
    <row r="47" spans="1:10" x14ac:dyDescent="0.35">
      <c r="B47" s="1208" t="s">
        <v>2</v>
      </c>
      <c r="C47" s="1209"/>
      <c r="D47" s="1209"/>
      <c r="E47" s="1209"/>
      <c r="F47" s="1209"/>
      <c r="G47" s="1209"/>
      <c r="I47" s="4"/>
    </row>
    <row r="48" spans="1:10" ht="18" x14ac:dyDescent="0.35">
      <c r="B48" s="1208" t="s">
        <v>3</v>
      </c>
      <c r="C48" s="1210"/>
      <c r="D48" s="1210"/>
      <c r="E48" s="1210"/>
      <c r="F48" s="1210"/>
      <c r="G48" s="1210"/>
      <c r="I48" s="4"/>
    </row>
    <row r="49" spans="1:9" x14ac:dyDescent="0.35">
      <c r="B49" s="1211" t="str">
        <f>B5</f>
        <v>For the Base Period &amp; True-Up Period Ending December 31, 2022</v>
      </c>
      <c r="C49" s="1212"/>
      <c r="D49" s="1212"/>
      <c r="E49" s="1212"/>
      <c r="F49" s="1212"/>
      <c r="G49" s="1212"/>
      <c r="I49" s="4"/>
    </row>
    <row r="50" spans="1:9" x14ac:dyDescent="0.35">
      <c r="B50" s="1213" t="s">
        <v>5</v>
      </c>
      <c r="C50" s="1209"/>
      <c r="D50" s="1209"/>
      <c r="E50" s="1209"/>
      <c r="F50" s="1209"/>
      <c r="G50" s="1209"/>
      <c r="I50" s="4"/>
    </row>
    <row r="51" spans="1:9" x14ac:dyDescent="0.35">
      <c r="C51" s="267"/>
      <c r="D51" s="267"/>
      <c r="E51" s="16"/>
      <c r="F51" s="1"/>
      <c r="G51" s="4"/>
      <c r="I51" s="4"/>
    </row>
    <row r="52" spans="1:9" x14ac:dyDescent="0.35">
      <c r="A52" s="865" t="s">
        <v>6</v>
      </c>
      <c r="C52" s="267"/>
      <c r="D52" s="267"/>
      <c r="E52" s="16"/>
      <c r="F52" s="1"/>
      <c r="G52" s="4"/>
      <c r="H52" s="865" t="s">
        <v>6</v>
      </c>
      <c r="I52" s="4"/>
    </row>
    <row r="53" spans="1:9" x14ac:dyDescent="0.35">
      <c r="A53" s="865" t="s">
        <v>7</v>
      </c>
      <c r="C53" s="267"/>
      <c r="D53" s="267"/>
      <c r="E53" s="16"/>
      <c r="F53" s="1"/>
      <c r="G53" s="4"/>
      <c r="H53" s="865" t="s">
        <v>7</v>
      </c>
      <c r="I53" s="4"/>
    </row>
    <row r="54" spans="1:9" ht="18" x14ac:dyDescent="0.35">
      <c r="B54" s="869" t="s">
        <v>51</v>
      </c>
      <c r="E54" s="4"/>
      <c r="G54" s="4"/>
      <c r="I54" s="4"/>
    </row>
    <row r="55" spans="1:9" x14ac:dyDescent="0.35">
      <c r="A55" s="4">
        <f t="shared" si="0"/>
        <v>1</v>
      </c>
      <c r="B55" s="35" t="s">
        <v>52</v>
      </c>
      <c r="C55" s="267"/>
      <c r="D55" s="267"/>
      <c r="E55" s="17">
        <f>'Stmt AJ'!E29</f>
        <v>0</v>
      </c>
      <c r="G55" s="4" t="s">
        <v>53</v>
      </c>
      <c r="H55" s="4">
        <f t="shared" si="1"/>
        <v>1</v>
      </c>
      <c r="I55" s="4"/>
    </row>
    <row r="56" spans="1:9" x14ac:dyDescent="0.35">
      <c r="A56" s="4">
        <f t="shared" si="0"/>
        <v>2</v>
      </c>
      <c r="B56" s="35"/>
      <c r="C56" s="267"/>
      <c r="D56" s="267"/>
      <c r="E56" s="16"/>
      <c r="G56" s="4"/>
      <c r="H56" s="4">
        <f t="shared" si="1"/>
        <v>2</v>
      </c>
      <c r="I56" s="4"/>
    </row>
    <row r="57" spans="1:9" ht="18" x14ac:dyDescent="0.35">
      <c r="A57" s="4">
        <f t="shared" si="0"/>
        <v>3</v>
      </c>
      <c r="B57" s="866" t="s">
        <v>54</v>
      </c>
      <c r="C57" s="267"/>
      <c r="D57" s="267"/>
      <c r="E57" s="14">
        <f>'True-Up Stmt AV'!G225</f>
        <v>1.6900735952303427E-2</v>
      </c>
      <c r="F57" s="276"/>
      <c r="G57" s="865" t="s">
        <v>1629</v>
      </c>
      <c r="H57" s="4">
        <f t="shared" si="1"/>
        <v>3</v>
      </c>
      <c r="I57" s="4"/>
    </row>
    <row r="58" spans="1:9" x14ac:dyDescent="0.35">
      <c r="A58" s="4">
        <f t="shared" si="0"/>
        <v>4</v>
      </c>
      <c r="B58" s="864" t="s">
        <v>56</v>
      </c>
      <c r="C58" s="267"/>
      <c r="D58" s="267"/>
      <c r="E58" s="870">
        <f>E141</f>
        <v>0</v>
      </c>
      <c r="G58" s="865" t="s">
        <v>57</v>
      </c>
      <c r="H58" s="4">
        <f t="shared" si="1"/>
        <v>4</v>
      </c>
      <c r="I58" s="4"/>
    </row>
    <row r="59" spans="1:9" x14ac:dyDescent="0.35">
      <c r="A59" s="4">
        <f t="shared" si="0"/>
        <v>5</v>
      </c>
      <c r="B59" s="864" t="s">
        <v>58</v>
      </c>
      <c r="E59" s="966">
        <f>E58*E57</f>
        <v>0</v>
      </c>
      <c r="G59" s="865" t="s">
        <v>59</v>
      </c>
      <c r="H59" s="4">
        <f t="shared" si="1"/>
        <v>5</v>
      </c>
      <c r="I59" s="4"/>
    </row>
    <row r="60" spans="1:9" x14ac:dyDescent="0.35">
      <c r="A60" s="4">
        <f t="shared" si="0"/>
        <v>6</v>
      </c>
      <c r="B60" s="864"/>
      <c r="E60" s="10"/>
      <c r="G60" s="865"/>
      <c r="H60" s="4">
        <f t="shared" si="1"/>
        <v>6</v>
      </c>
      <c r="I60" s="4"/>
    </row>
    <row r="61" spans="1:9" ht="17.5" x14ac:dyDescent="0.35">
      <c r="A61" s="4">
        <f t="shared" si="0"/>
        <v>7</v>
      </c>
      <c r="B61" s="866" t="s">
        <v>35</v>
      </c>
      <c r="E61" s="916">
        <f>IFERROR('True-Up Stmt AV'!G259,0)</f>
        <v>0</v>
      </c>
      <c r="G61" s="865" t="s">
        <v>1630</v>
      </c>
      <c r="H61" s="4">
        <f t="shared" si="1"/>
        <v>7</v>
      </c>
      <c r="I61" s="4"/>
    </row>
    <row r="62" spans="1:9" x14ac:dyDescent="0.35">
      <c r="A62" s="4">
        <f t="shared" si="0"/>
        <v>8</v>
      </c>
      <c r="B62" s="864" t="s">
        <v>56</v>
      </c>
      <c r="E62" s="870">
        <f>E141</f>
        <v>0</v>
      </c>
      <c r="G62" s="865" t="s">
        <v>57</v>
      </c>
      <c r="H62" s="4">
        <f t="shared" si="1"/>
        <v>8</v>
      </c>
      <c r="I62" s="4"/>
    </row>
    <row r="63" spans="1:9" x14ac:dyDescent="0.35">
      <c r="A63" s="4">
        <f t="shared" si="0"/>
        <v>9</v>
      </c>
      <c r="B63" s="864" t="s">
        <v>38</v>
      </c>
      <c r="E63" s="10">
        <f>E61*E62</f>
        <v>0</v>
      </c>
      <c r="G63" s="865" t="s">
        <v>61</v>
      </c>
      <c r="H63" s="4">
        <f t="shared" si="1"/>
        <v>9</v>
      </c>
      <c r="I63" s="4"/>
    </row>
    <row r="64" spans="1:9" x14ac:dyDescent="0.35">
      <c r="A64" s="4">
        <f t="shared" si="0"/>
        <v>10</v>
      </c>
      <c r="E64" s="10"/>
      <c r="G64" s="865"/>
      <c r="H64" s="4">
        <f t="shared" si="1"/>
        <v>10</v>
      </c>
      <c r="I64" s="4"/>
    </row>
    <row r="65" spans="1:9" ht="16" thickBot="1" x14ac:dyDescent="0.4">
      <c r="A65" s="4">
        <f t="shared" si="0"/>
        <v>11</v>
      </c>
      <c r="B65" s="864" t="s">
        <v>62</v>
      </c>
      <c r="E65" s="18">
        <f>E55+E59+E63</f>
        <v>0</v>
      </c>
      <c r="G65" s="865" t="s">
        <v>63</v>
      </c>
      <c r="H65" s="4">
        <f t="shared" si="1"/>
        <v>11</v>
      </c>
      <c r="I65" s="4"/>
    </row>
    <row r="66" spans="1:9" ht="16" thickTop="1" x14ac:dyDescent="0.35">
      <c r="A66" s="4">
        <f t="shared" si="0"/>
        <v>12</v>
      </c>
      <c r="E66" s="10"/>
      <c r="G66" s="4"/>
      <c r="H66" s="4">
        <f t="shared" si="1"/>
        <v>12</v>
      </c>
      <c r="I66" s="4"/>
    </row>
    <row r="67" spans="1:9" ht="18" x14ac:dyDescent="0.35">
      <c r="A67" s="4">
        <f t="shared" si="0"/>
        <v>13</v>
      </c>
      <c r="B67" s="871" t="s">
        <v>64</v>
      </c>
      <c r="E67" s="10"/>
      <c r="G67" s="4"/>
      <c r="H67" s="4">
        <f t="shared" si="1"/>
        <v>13</v>
      </c>
      <c r="I67" s="4"/>
    </row>
    <row r="68" spans="1:9" x14ac:dyDescent="0.35">
      <c r="A68" s="4">
        <f t="shared" si="0"/>
        <v>14</v>
      </c>
      <c r="B68" s="35" t="s">
        <v>65</v>
      </c>
      <c r="E68" s="7">
        <f>'Stmt AJ'!E31</f>
        <v>0</v>
      </c>
      <c r="G68" s="4" t="s">
        <v>66</v>
      </c>
      <c r="H68" s="4">
        <f t="shared" si="1"/>
        <v>14</v>
      </c>
      <c r="I68" s="4"/>
    </row>
    <row r="69" spans="1:9" x14ac:dyDescent="0.35">
      <c r="A69" s="4">
        <f t="shared" si="0"/>
        <v>15</v>
      </c>
      <c r="B69" s="35"/>
      <c r="E69" s="19"/>
      <c r="G69" s="4"/>
      <c r="H69" s="4">
        <f t="shared" si="1"/>
        <v>15</v>
      </c>
      <c r="I69" s="4"/>
    </row>
    <row r="70" spans="1:9" x14ac:dyDescent="0.35">
      <c r="A70" s="4">
        <f t="shared" si="0"/>
        <v>16</v>
      </c>
      <c r="B70" s="866" t="s">
        <v>67</v>
      </c>
      <c r="E70" s="7">
        <f>E146</f>
        <v>0</v>
      </c>
      <c r="G70" s="865" t="s">
        <v>68</v>
      </c>
      <c r="H70" s="4">
        <f t="shared" si="1"/>
        <v>16</v>
      </c>
      <c r="I70" s="4"/>
    </row>
    <row r="71" spans="1:9" ht="17.5" x14ac:dyDescent="0.35">
      <c r="A71" s="4">
        <f t="shared" si="0"/>
        <v>17</v>
      </c>
      <c r="B71" s="866" t="s">
        <v>29</v>
      </c>
      <c r="C71" s="267"/>
      <c r="D71" s="8"/>
      <c r="E71" s="914">
        <f>'True-Up Stmt AV'!G148</f>
        <v>9.213497969351514E-2</v>
      </c>
      <c r="F71" s="1"/>
      <c r="G71" s="865" t="s">
        <v>1626</v>
      </c>
      <c r="H71" s="4">
        <f t="shared" si="1"/>
        <v>17</v>
      </c>
      <c r="I71" s="4"/>
    </row>
    <row r="72" spans="1:9" x14ac:dyDescent="0.35">
      <c r="A72" s="4">
        <f t="shared" si="0"/>
        <v>18</v>
      </c>
      <c r="B72" s="864" t="s">
        <v>69</v>
      </c>
      <c r="E72" s="966">
        <f>E70*E71</f>
        <v>0</v>
      </c>
      <c r="G72" s="865" t="s">
        <v>70</v>
      </c>
      <c r="H72" s="4">
        <f t="shared" si="1"/>
        <v>18</v>
      </c>
      <c r="I72" s="4"/>
    </row>
    <row r="73" spans="1:9" x14ac:dyDescent="0.35">
      <c r="A73" s="4">
        <f t="shared" si="0"/>
        <v>19</v>
      </c>
      <c r="B73" s="864"/>
      <c r="E73" s="10"/>
      <c r="G73" s="865"/>
      <c r="H73" s="4">
        <f t="shared" si="1"/>
        <v>19</v>
      </c>
      <c r="I73" s="4"/>
    </row>
    <row r="74" spans="1:9" x14ac:dyDescent="0.35">
      <c r="A74" s="4">
        <f t="shared" si="0"/>
        <v>20</v>
      </c>
      <c r="B74" s="866" t="s">
        <v>67</v>
      </c>
      <c r="E74" s="7">
        <f>E146</f>
        <v>0</v>
      </c>
      <c r="G74" s="865" t="s">
        <v>68</v>
      </c>
      <c r="H74" s="4">
        <f t="shared" si="1"/>
        <v>20</v>
      </c>
      <c r="I74" s="4"/>
    </row>
    <row r="75" spans="1:9" ht="17.5" x14ac:dyDescent="0.35">
      <c r="A75" s="4">
        <f t="shared" si="0"/>
        <v>21</v>
      </c>
      <c r="B75" s="866" t="s">
        <v>35</v>
      </c>
      <c r="E75" s="872">
        <v>0</v>
      </c>
      <c r="G75" s="865" t="s">
        <v>71</v>
      </c>
      <c r="H75" s="4">
        <f t="shared" si="1"/>
        <v>21</v>
      </c>
      <c r="I75" s="4"/>
    </row>
    <row r="76" spans="1:9" x14ac:dyDescent="0.35">
      <c r="A76" s="4">
        <f t="shared" si="0"/>
        <v>22</v>
      </c>
      <c r="B76" s="864" t="s">
        <v>72</v>
      </c>
      <c r="E76" s="10">
        <f>E74*E75</f>
        <v>0</v>
      </c>
      <c r="G76" s="865" t="s">
        <v>73</v>
      </c>
      <c r="H76" s="4">
        <f t="shared" si="1"/>
        <v>22</v>
      </c>
      <c r="I76" s="4"/>
    </row>
    <row r="77" spans="1:9" x14ac:dyDescent="0.35">
      <c r="A77" s="4">
        <f t="shared" si="0"/>
        <v>23</v>
      </c>
      <c r="E77" s="10"/>
      <c r="G77" s="865"/>
      <c r="H77" s="4">
        <f t="shared" si="1"/>
        <v>23</v>
      </c>
      <c r="I77" s="4"/>
    </row>
    <row r="78" spans="1:9" ht="16" thickBot="1" x14ac:dyDescent="0.4">
      <c r="A78" s="4">
        <f t="shared" si="0"/>
        <v>24</v>
      </c>
      <c r="B78" s="864" t="s">
        <v>74</v>
      </c>
      <c r="E78" s="18">
        <f>E68+E72+E76</f>
        <v>0</v>
      </c>
      <c r="G78" s="865" t="s">
        <v>75</v>
      </c>
      <c r="H78" s="4">
        <f t="shared" si="1"/>
        <v>24</v>
      </c>
      <c r="I78" s="4"/>
    </row>
    <row r="79" spans="1:9" ht="16" thickTop="1" x14ac:dyDescent="0.35">
      <c r="A79" s="4">
        <f t="shared" si="0"/>
        <v>25</v>
      </c>
      <c r="E79" s="10"/>
      <c r="G79" s="4"/>
      <c r="H79" s="4">
        <f t="shared" si="1"/>
        <v>25</v>
      </c>
      <c r="I79" s="4"/>
    </row>
    <row r="80" spans="1:9" ht="18" x14ac:dyDescent="0.35">
      <c r="A80" s="4">
        <f t="shared" si="0"/>
        <v>26</v>
      </c>
      <c r="B80" s="871" t="s">
        <v>76</v>
      </c>
      <c r="C80" s="267"/>
      <c r="D80" s="267"/>
      <c r="E80" s="16"/>
      <c r="G80" s="4"/>
      <c r="H80" s="4">
        <f t="shared" si="1"/>
        <v>26</v>
      </c>
      <c r="I80" s="4"/>
    </row>
    <row r="81" spans="1:9" x14ac:dyDescent="0.35">
      <c r="A81" s="4">
        <f t="shared" si="0"/>
        <v>27</v>
      </c>
      <c r="B81" s="864" t="s">
        <v>77</v>
      </c>
      <c r="C81" s="267"/>
      <c r="D81" s="267"/>
      <c r="E81" s="17">
        <f>E148</f>
        <v>0</v>
      </c>
      <c r="G81" s="865" t="s">
        <v>78</v>
      </c>
      <c r="H81" s="4">
        <f t="shared" si="1"/>
        <v>27</v>
      </c>
      <c r="I81" s="4"/>
    </row>
    <row r="82" spans="1:9" ht="17.5" x14ac:dyDescent="0.35">
      <c r="A82" s="4">
        <f t="shared" si="0"/>
        <v>28</v>
      </c>
      <c r="B82" s="866" t="s">
        <v>29</v>
      </c>
      <c r="C82" s="267"/>
      <c r="D82" s="267"/>
      <c r="E82" s="20">
        <f>'True-Up Stmt AV'!G148</f>
        <v>9.213497969351514E-2</v>
      </c>
      <c r="F82" s="1"/>
      <c r="G82" s="865" t="s">
        <v>1626</v>
      </c>
      <c r="H82" s="4">
        <f t="shared" si="1"/>
        <v>28</v>
      </c>
      <c r="I82" s="4"/>
    </row>
    <row r="83" spans="1:9" x14ac:dyDescent="0.35">
      <c r="A83" s="4">
        <f t="shared" si="0"/>
        <v>29</v>
      </c>
      <c r="B83" s="864" t="s">
        <v>79</v>
      </c>
      <c r="C83" s="267"/>
      <c r="D83" s="267"/>
      <c r="E83" s="966">
        <f>E81*E82</f>
        <v>0</v>
      </c>
      <c r="G83" s="865" t="s">
        <v>80</v>
      </c>
      <c r="H83" s="4">
        <f t="shared" si="1"/>
        <v>29</v>
      </c>
      <c r="I83" s="4"/>
    </row>
    <row r="84" spans="1:9" x14ac:dyDescent="0.35">
      <c r="A84" s="4">
        <f t="shared" si="0"/>
        <v>30</v>
      </c>
      <c r="B84" s="864"/>
      <c r="C84" s="267"/>
      <c r="D84" s="267"/>
      <c r="E84" s="10"/>
      <c r="G84" s="865"/>
      <c r="H84" s="4">
        <f t="shared" si="1"/>
        <v>30</v>
      </c>
      <c r="I84" s="4"/>
    </row>
    <row r="85" spans="1:9" x14ac:dyDescent="0.35">
      <c r="A85" s="4">
        <f t="shared" si="0"/>
        <v>31</v>
      </c>
      <c r="B85" s="864" t="s">
        <v>77</v>
      </c>
      <c r="E85" s="7">
        <f>E148</f>
        <v>0</v>
      </c>
      <c r="G85" s="865" t="s">
        <v>78</v>
      </c>
      <c r="H85" s="4">
        <f t="shared" si="1"/>
        <v>31</v>
      </c>
      <c r="I85" s="4"/>
    </row>
    <row r="86" spans="1:9" ht="17.5" x14ac:dyDescent="0.35">
      <c r="A86" s="4">
        <f t="shared" si="0"/>
        <v>32</v>
      </c>
      <c r="B86" s="866" t="s">
        <v>35</v>
      </c>
      <c r="E86" s="917">
        <f>'True-Up Stmt AV'!G182</f>
        <v>3.7378308604841285E-3</v>
      </c>
      <c r="G86" s="865" t="s">
        <v>1627</v>
      </c>
      <c r="H86" s="4">
        <f t="shared" si="1"/>
        <v>32</v>
      </c>
      <c r="I86" s="4"/>
    </row>
    <row r="87" spans="1:9" x14ac:dyDescent="0.35">
      <c r="A87" s="4">
        <f t="shared" ref="A87:A93" si="2">A86+1</f>
        <v>33</v>
      </c>
      <c r="B87" s="864" t="s">
        <v>81</v>
      </c>
      <c r="E87" s="10">
        <f>E85*E86</f>
        <v>0</v>
      </c>
      <c r="G87" s="865" t="s">
        <v>82</v>
      </c>
      <c r="H87" s="4">
        <f t="shared" ref="H87:H93" si="3">H86+1</f>
        <v>33</v>
      </c>
      <c r="I87" s="4"/>
    </row>
    <row r="88" spans="1:9" x14ac:dyDescent="0.35">
      <c r="A88" s="4">
        <f t="shared" si="2"/>
        <v>34</v>
      </c>
      <c r="B88" s="864"/>
      <c r="E88" s="10"/>
      <c r="G88" s="865"/>
      <c r="H88" s="4">
        <f t="shared" si="3"/>
        <v>34</v>
      </c>
      <c r="I88" s="4"/>
    </row>
    <row r="89" spans="1:9" ht="16" thickBot="1" x14ac:dyDescent="0.4">
      <c r="A89" s="4">
        <f t="shared" si="2"/>
        <v>35</v>
      </c>
      <c r="B89" s="864" t="s">
        <v>83</v>
      </c>
      <c r="E89" s="18">
        <f>E83+E87</f>
        <v>0</v>
      </c>
      <c r="G89" s="865" t="s">
        <v>84</v>
      </c>
      <c r="H89" s="4">
        <f t="shared" si="3"/>
        <v>35</v>
      </c>
      <c r="I89" s="4"/>
    </row>
    <row r="90" spans="1:9" ht="16" thickTop="1" x14ac:dyDescent="0.35">
      <c r="A90" s="4">
        <f t="shared" si="2"/>
        <v>36</v>
      </c>
      <c r="B90" s="864"/>
      <c r="E90" s="10"/>
      <c r="G90" s="865"/>
      <c r="H90" s="4">
        <f t="shared" si="3"/>
        <v>36</v>
      </c>
      <c r="I90" s="4"/>
    </row>
    <row r="91" spans="1:9" ht="18" thickBot="1" x14ac:dyDescent="0.4">
      <c r="A91" s="4">
        <f t="shared" si="2"/>
        <v>37</v>
      </c>
      <c r="B91" s="864" t="s">
        <v>85</v>
      </c>
      <c r="C91" s="267"/>
      <c r="D91" s="267"/>
      <c r="E91" s="15">
        <f>E65+E78+E89</f>
        <v>0</v>
      </c>
      <c r="G91" s="865" t="s">
        <v>86</v>
      </c>
      <c r="H91" s="4">
        <f t="shared" si="3"/>
        <v>37</v>
      </c>
      <c r="I91" s="4"/>
    </row>
    <row r="92" spans="1:9" ht="16" thickTop="1" x14ac:dyDescent="0.35">
      <c r="A92" s="4">
        <f t="shared" si="2"/>
        <v>38</v>
      </c>
      <c r="B92" s="864"/>
      <c r="C92" s="267"/>
      <c r="D92" s="267"/>
      <c r="E92" s="16"/>
      <c r="G92" s="865"/>
      <c r="H92" s="4">
        <f t="shared" si="3"/>
        <v>38</v>
      </c>
      <c r="I92" s="4"/>
    </row>
    <row r="93" spans="1:9" ht="24.75" customHeight="1" thickBot="1" x14ac:dyDescent="0.4">
      <c r="A93" s="4">
        <f t="shared" si="2"/>
        <v>39</v>
      </c>
      <c r="B93" s="36" t="s">
        <v>87</v>
      </c>
      <c r="C93" s="267"/>
      <c r="D93" s="267"/>
      <c r="E93" s="15">
        <f>E40+E91</f>
        <v>1005050.3453656847</v>
      </c>
      <c r="F93" s="1"/>
      <c r="G93" s="865" t="s">
        <v>88</v>
      </c>
      <c r="H93" s="4">
        <f t="shared" si="3"/>
        <v>39</v>
      </c>
      <c r="I93" s="4"/>
    </row>
    <row r="94" spans="1:9" ht="16" thickTop="1" x14ac:dyDescent="0.35">
      <c r="B94" s="36"/>
      <c r="C94" s="267"/>
      <c r="D94" s="267"/>
      <c r="E94" s="16"/>
      <c r="F94" s="74"/>
      <c r="G94" s="4"/>
    </row>
    <row r="95" spans="1:9" x14ac:dyDescent="0.35">
      <c r="B95" s="36"/>
      <c r="C95" s="267"/>
      <c r="D95" s="267"/>
      <c r="E95" s="16"/>
      <c r="F95" s="74"/>
      <c r="G95" s="4"/>
    </row>
    <row r="96" spans="1:9" ht="18" x14ac:dyDescent="0.35">
      <c r="A96" s="873">
        <v>1</v>
      </c>
      <c r="B96" s="864" t="s">
        <v>50</v>
      </c>
      <c r="C96" s="267"/>
      <c r="D96" s="267"/>
      <c r="E96" s="21"/>
      <c r="F96" s="74"/>
      <c r="G96" s="4"/>
    </row>
    <row r="97" spans="1:8" ht="18" x14ac:dyDescent="0.35">
      <c r="A97" s="873">
        <v>2</v>
      </c>
      <c r="B97" s="864" t="s">
        <v>89</v>
      </c>
      <c r="C97" s="267"/>
      <c r="D97" s="267"/>
      <c r="E97" s="21"/>
      <c r="F97" s="74"/>
      <c r="G97" s="4"/>
    </row>
    <row r="98" spans="1:8" ht="18" x14ac:dyDescent="0.35">
      <c r="A98" s="873">
        <v>3</v>
      </c>
      <c r="B98" s="864" t="s">
        <v>90</v>
      </c>
      <c r="C98" s="267"/>
      <c r="D98" s="267"/>
      <c r="E98" s="21"/>
      <c r="F98" s="74"/>
      <c r="G98" s="4"/>
    </row>
    <row r="99" spans="1:8" x14ac:dyDescent="0.35">
      <c r="B99" s="1"/>
      <c r="C99" s="267"/>
      <c r="D99" s="267"/>
      <c r="E99" s="16"/>
      <c r="G99" s="4"/>
    </row>
    <row r="100" spans="1:8" x14ac:dyDescent="0.35">
      <c r="C100" s="267"/>
      <c r="D100" s="267"/>
      <c r="E100" s="16"/>
      <c r="G100" s="4"/>
    </row>
    <row r="101" spans="1:8" x14ac:dyDescent="0.35">
      <c r="B101" s="1171" t="s">
        <v>0</v>
      </c>
      <c r="C101" s="1172"/>
      <c r="D101" s="1172"/>
      <c r="E101" s="1172"/>
      <c r="F101" s="1172"/>
      <c r="G101" s="1172"/>
    </row>
    <row r="102" spans="1:8" x14ac:dyDescent="0.35">
      <c r="B102" s="1171" t="s">
        <v>2</v>
      </c>
      <c r="C102" s="1172"/>
      <c r="D102" s="1172"/>
      <c r="E102" s="1172"/>
      <c r="F102" s="1172"/>
      <c r="G102" s="1172"/>
    </row>
    <row r="103" spans="1:8" ht="18" x14ac:dyDescent="0.35">
      <c r="A103" s="4" t="s">
        <v>1</v>
      </c>
      <c r="B103" s="1171" t="s">
        <v>3</v>
      </c>
      <c r="C103" s="1173"/>
      <c r="D103" s="1173"/>
      <c r="E103" s="1173"/>
      <c r="F103" s="1173"/>
      <c r="G103" s="1173"/>
      <c r="H103" s="4" t="s">
        <v>1</v>
      </c>
    </row>
    <row r="104" spans="1:8" x14ac:dyDescent="0.35">
      <c r="B104" s="1176" t="str">
        <f>B5</f>
        <v>For the Base Period &amp; True-Up Period Ending December 31, 2022</v>
      </c>
      <c r="C104" s="1177"/>
      <c r="D104" s="1177"/>
      <c r="E104" s="1177"/>
      <c r="F104" s="1177"/>
      <c r="G104" s="1177"/>
    </row>
    <row r="105" spans="1:8" x14ac:dyDescent="0.35">
      <c r="B105" s="1175" t="s">
        <v>5</v>
      </c>
      <c r="C105" s="1172"/>
      <c r="D105" s="1172"/>
      <c r="E105" s="1172"/>
      <c r="F105" s="1172"/>
      <c r="G105" s="1172"/>
    </row>
    <row r="106" spans="1:8" x14ac:dyDescent="0.35">
      <c r="B106" s="272"/>
      <c r="C106" s="1"/>
      <c r="D106" s="1"/>
      <c r="E106" s="1"/>
      <c r="F106" s="1"/>
      <c r="G106" s="1"/>
    </row>
    <row r="107" spans="1:8" x14ac:dyDescent="0.35">
      <c r="A107" s="4" t="s">
        <v>6</v>
      </c>
      <c r="E107" s="27"/>
      <c r="G107" s="4"/>
      <c r="H107" s="4" t="s">
        <v>6</v>
      </c>
    </row>
    <row r="108" spans="1:8" x14ac:dyDescent="0.35">
      <c r="A108" s="4" t="s">
        <v>7</v>
      </c>
      <c r="B108" s="1" t="s">
        <v>1</v>
      </c>
      <c r="E108" s="965" t="s">
        <v>8</v>
      </c>
      <c r="G108" s="876" t="s">
        <v>9</v>
      </c>
      <c r="H108" s="4" t="s">
        <v>7</v>
      </c>
    </row>
    <row r="109" spans="1:8" x14ac:dyDescent="0.35">
      <c r="B109" s="256" t="s">
        <v>91</v>
      </c>
      <c r="C109" s="270"/>
      <c r="D109" s="270"/>
      <c r="E109" s="270"/>
      <c r="G109" s="4"/>
    </row>
    <row r="110" spans="1:8" x14ac:dyDescent="0.35">
      <c r="A110" s="4">
        <v>1</v>
      </c>
      <c r="B110" s="258" t="s">
        <v>92</v>
      </c>
      <c r="C110" s="270"/>
      <c r="D110" s="270"/>
      <c r="E110" s="270"/>
      <c r="G110" s="4"/>
      <c r="H110" s="4">
        <f>A110</f>
        <v>1</v>
      </c>
    </row>
    <row r="111" spans="1:8" x14ac:dyDescent="0.35">
      <c r="A111" s="4">
        <f t="shared" ref="A111:A148" si="4">A110+1</f>
        <v>2</v>
      </c>
      <c r="B111" s="35" t="s">
        <v>93</v>
      </c>
      <c r="C111" s="270"/>
      <c r="D111" s="270"/>
      <c r="E111" s="22">
        <f>E179</f>
        <v>5742870.3885823078</v>
      </c>
      <c r="F111" s="74"/>
      <c r="G111" s="4" t="s">
        <v>94</v>
      </c>
      <c r="H111" s="4">
        <f>H110+1</f>
        <v>2</v>
      </c>
    </row>
    <row r="112" spans="1:8" x14ac:dyDescent="0.35">
      <c r="A112" s="4">
        <f t="shared" si="4"/>
        <v>3</v>
      </c>
      <c r="B112" s="35" t="s">
        <v>95</v>
      </c>
      <c r="C112" s="270"/>
      <c r="D112" s="270"/>
      <c r="E112" s="23">
        <f>E180</f>
        <v>6027.5670815509511</v>
      </c>
      <c r="F112" s="74"/>
      <c r="G112" s="4" t="s">
        <v>96</v>
      </c>
      <c r="H112" s="4">
        <f>H111+1</f>
        <v>3</v>
      </c>
    </row>
    <row r="113" spans="1:10" x14ac:dyDescent="0.35">
      <c r="A113" s="4">
        <f t="shared" si="4"/>
        <v>4</v>
      </c>
      <c r="B113" s="35" t="s">
        <v>97</v>
      </c>
      <c r="C113" s="270"/>
      <c r="D113" s="270"/>
      <c r="E113" s="23">
        <f>E181</f>
        <v>62222.482626642326</v>
      </c>
      <c r="G113" s="4" t="s">
        <v>98</v>
      </c>
      <c r="H113" s="4">
        <f>H112+1</f>
        <v>4</v>
      </c>
    </row>
    <row r="114" spans="1:10" x14ac:dyDescent="0.35">
      <c r="A114" s="4">
        <f t="shared" si="4"/>
        <v>5</v>
      </c>
      <c r="B114" s="35" t="s">
        <v>99</v>
      </c>
      <c r="C114" s="270"/>
      <c r="D114" s="270"/>
      <c r="E114" s="969">
        <f>E182</f>
        <v>175604.14782214613</v>
      </c>
      <c r="G114" s="4" t="s">
        <v>100</v>
      </c>
      <c r="H114" s="4">
        <f>H113+1</f>
        <v>5</v>
      </c>
    </row>
    <row r="115" spans="1:10" x14ac:dyDescent="0.35">
      <c r="A115" s="4">
        <f t="shared" si="4"/>
        <v>6</v>
      </c>
      <c r="B115" s="35" t="s">
        <v>101</v>
      </c>
      <c r="C115" s="4"/>
      <c r="D115" s="4"/>
      <c r="E115" s="966">
        <f>SUM(E111:E114)</f>
        <v>5986724.5861126473</v>
      </c>
      <c r="F115" s="74"/>
      <c r="G115" s="4" t="s">
        <v>102</v>
      </c>
      <c r="H115" s="4">
        <f t="shared" ref="H115:H148" si="5">H114+1</f>
        <v>6</v>
      </c>
    </row>
    <row r="116" spans="1:10" x14ac:dyDescent="0.35">
      <c r="A116" s="4">
        <f t="shared" si="4"/>
        <v>7</v>
      </c>
      <c r="C116" s="4"/>
      <c r="D116" s="4"/>
      <c r="E116" s="11"/>
      <c r="G116" s="4"/>
      <c r="H116" s="4">
        <f t="shared" si="5"/>
        <v>7</v>
      </c>
    </row>
    <row r="117" spans="1:10" x14ac:dyDescent="0.35">
      <c r="A117" s="4">
        <f t="shared" si="4"/>
        <v>8</v>
      </c>
      <c r="B117" s="258" t="s">
        <v>103</v>
      </c>
      <c r="C117" s="4"/>
      <c r="D117" s="4"/>
      <c r="E117" s="11"/>
      <c r="G117" s="4"/>
      <c r="H117" s="4">
        <f t="shared" si="5"/>
        <v>8</v>
      </c>
    </row>
    <row r="118" spans="1:10" x14ac:dyDescent="0.35">
      <c r="A118" s="4">
        <f t="shared" si="4"/>
        <v>9</v>
      </c>
      <c r="B118" s="35" t="s">
        <v>104</v>
      </c>
      <c r="C118" s="4"/>
      <c r="D118" s="4"/>
      <c r="E118" s="24">
        <f>'Stmt AG'!E11</f>
        <v>0</v>
      </c>
      <c r="F118" s="74"/>
      <c r="G118" s="4" t="s">
        <v>105</v>
      </c>
      <c r="H118" s="4">
        <f t="shared" si="5"/>
        <v>9</v>
      </c>
      <c r="I118" s="263"/>
    </row>
    <row r="119" spans="1:10" x14ac:dyDescent="0.35">
      <c r="A119" s="4">
        <f t="shared" si="4"/>
        <v>10</v>
      </c>
      <c r="B119" s="35" t="s">
        <v>106</v>
      </c>
      <c r="C119" s="4"/>
      <c r="D119" s="4"/>
      <c r="E119" s="25">
        <f>'Stmt Misc.'!E12</f>
        <v>0</v>
      </c>
      <c r="G119" s="4" t="s">
        <v>107</v>
      </c>
      <c r="H119" s="4">
        <f t="shared" si="5"/>
        <v>10</v>
      </c>
    </row>
    <row r="120" spans="1:10" x14ac:dyDescent="0.35">
      <c r="A120" s="4">
        <f t="shared" si="4"/>
        <v>11</v>
      </c>
      <c r="B120" s="35" t="s">
        <v>108</v>
      </c>
      <c r="C120" s="4"/>
      <c r="D120" s="4"/>
      <c r="E120" s="970">
        <f>SUM(E118:E119)</f>
        <v>0</v>
      </c>
      <c r="F120" s="74"/>
      <c r="G120" s="4" t="s">
        <v>109</v>
      </c>
      <c r="H120" s="4">
        <f t="shared" si="5"/>
        <v>11</v>
      </c>
    </row>
    <row r="121" spans="1:10" x14ac:dyDescent="0.35">
      <c r="A121" s="4">
        <f t="shared" si="4"/>
        <v>12</v>
      </c>
      <c r="B121" s="35"/>
      <c r="C121" s="4"/>
      <c r="D121" s="4"/>
      <c r="E121" s="16"/>
      <c r="G121" s="4"/>
      <c r="H121" s="4">
        <f t="shared" si="5"/>
        <v>12</v>
      </c>
    </row>
    <row r="122" spans="1:10" x14ac:dyDescent="0.35">
      <c r="A122" s="4">
        <f t="shared" si="4"/>
        <v>13</v>
      </c>
      <c r="B122" s="258" t="s">
        <v>110</v>
      </c>
      <c r="E122" s="11"/>
      <c r="G122" s="4"/>
      <c r="H122" s="4">
        <f t="shared" si="5"/>
        <v>13</v>
      </c>
    </row>
    <row r="123" spans="1:10" ht="18" x14ac:dyDescent="0.35">
      <c r="A123" s="4">
        <f t="shared" si="4"/>
        <v>14</v>
      </c>
      <c r="B123" s="34" t="s">
        <v>111</v>
      </c>
      <c r="C123" s="4"/>
      <c r="D123" s="4"/>
      <c r="E123" s="7">
        <f>'TO5 Stmt AF Proration'!I25</f>
        <v>-1057373.4597231816</v>
      </c>
      <c r="G123" s="4" t="s">
        <v>1631</v>
      </c>
      <c r="H123" s="4">
        <f t="shared" si="5"/>
        <v>14</v>
      </c>
      <c r="I123" s="263"/>
    </row>
    <row r="124" spans="1:10" x14ac:dyDescent="0.35">
      <c r="A124" s="4">
        <f t="shared" si="4"/>
        <v>15</v>
      </c>
      <c r="B124" s="34" t="s">
        <v>113</v>
      </c>
      <c r="C124" s="4"/>
      <c r="D124" s="4"/>
      <c r="E124" s="9">
        <f>'Stmt AF'!I21</f>
        <v>0</v>
      </c>
      <c r="G124" s="4" t="s">
        <v>114</v>
      </c>
      <c r="H124" s="4">
        <f t="shared" si="5"/>
        <v>15</v>
      </c>
      <c r="I124" s="587"/>
    </row>
    <row r="125" spans="1:10" x14ac:dyDescent="0.35">
      <c r="A125" s="4">
        <f t="shared" si="4"/>
        <v>16</v>
      </c>
      <c r="B125" s="35" t="s">
        <v>115</v>
      </c>
      <c r="C125" s="4"/>
      <c r="D125" s="4"/>
      <c r="E125" s="966">
        <f>SUM(E123:E124)</f>
        <v>-1057373.4597231816</v>
      </c>
      <c r="G125" s="4" t="s">
        <v>116</v>
      </c>
      <c r="H125" s="4">
        <f t="shared" si="5"/>
        <v>16</v>
      </c>
      <c r="I125" s="38"/>
      <c r="J125" s="38"/>
    </row>
    <row r="126" spans="1:10" x14ac:dyDescent="0.35">
      <c r="A126" s="4">
        <f t="shared" si="4"/>
        <v>17</v>
      </c>
      <c r="C126" s="4"/>
      <c r="D126" s="4"/>
      <c r="E126" s="8"/>
      <c r="G126" s="4"/>
      <c r="H126" s="4">
        <f t="shared" si="5"/>
        <v>17</v>
      </c>
      <c r="J126" s="621"/>
    </row>
    <row r="127" spans="1:10" x14ac:dyDescent="0.35">
      <c r="A127" s="4">
        <f t="shared" si="4"/>
        <v>18</v>
      </c>
      <c r="B127" s="258" t="s">
        <v>117</v>
      </c>
      <c r="C127" s="4"/>
      <c r="D127" s="4"/>
      <c r="E127" s="8"/>
      <c r="G127" s="4"/>
      <c r="H127" s="4">
        <f t="shared" si="5"/>
        <v>18</v>
      </c>
      <c r="J127" s="706"/>
    </row>
    <row r="128" spans="1:10" x14ac:dyDescent="0.35">
      <c r="A128" s="4">
        <f t="shared" si="4"/>
        <v>19</v>
      </c>
      <c r="B128" s="35" t="s">
        <v>118</v>
      </c>
      <c r="C128" s="4"/>
      <c r="D128" s="4"/>
      <c r="E128" s="22">
        <f>'Stmt AL'!G15</f>
        <v>46789.030824354108</v>
      </c>
      <c r="F128" s="74"/>
      <c r="G128" s="4" t="s">
        <v>119</v>
      </c>
      <c r="H128" s="4">
        <f t="shared" si="5"/>
        <v>19</v>
      </c>
    </row>
    <row r="129" spans="1:9" x14ac:dyDescent="0.35">
      <c r="A129" s="4">
        <f t="shared" si="4"/>
        <v>20</v>
      </c>
      <c r="B129" s="35" t="s">
        <v>120</v>
      </c>
      <c r="C129" s="4"/>
      <c r="D129" s="4"/>
      <c r="E129" s="23">
        <f>'Stmt AL'!G19</f>
        <v>44866.127949034191</v>
      </c>
      <c r="F129" s="74"/>
      <c r="G129" s="4" t="s">
        <v>121</v>
      </c>
      <c r="H129" s="4">
        <f t="shared" si="5"/>
        <v>20</v>
      </c>
    </row>
    <row r="130" spans="1:9" x14ac:dyDescent="0.35">
      <c r="A130" s="4">
        <f t="shared" si="4"/>
        <v>21</v>
      </c>
      <c r="B130" s="35" t="s">
        <v>122</v>
      </c>
      <c r="C130" s="4"/>
      <c r="D130" s="4"/>
      <c r="E130" s="969">
        <f>'Stmt AL'!E29</f>
        <v>25556.961312195795</v>
      </c>
      <c r="F130" s="1"/>
      <c r="G130" s="4" t="s">
        <v>123</v>
      </c>
      <c r="H130" s="4">
        <f t="shared" si="5"/>
        <v>21</v>
      </c>
    </row>
    <row r="131" spans="1:9" x14ac:dyDescent="0.35">
      <c r="A131" s="4">
        <f t="shared" si="4"/>
        <v>22</v>
      </c>
      <c r="B131" s="35" t="s">
        <v>124</v>
      </c>
      <c r="E131" s="966">
        <f>SUM(E128:E130)</f>
        <v>117212.1200855841</v>
      </c>
      <c r="F131" s="1"/>
      <c r="G131" s="4" t="s">
        <v>125</v>
      </c>
      <c r="H131" s="4">
        <f t="shared" si="5"/>
        <v>22</v>
      </c>
    </row>
    <row r="132" spans="1:9" x14ac:dyDescent="0.35">
      <c r="A132" s="4">
        <f t="shared" si="4"/>
        <v>23</v>
      </c>
      <c r="B132" s="35"/>
      <c r="E132" s="11"/>
      <c r="G132" s="4"/>
      <c r="H132" s="4">
        <f t="shared" si="5"/>
        <v>23</v>
      </c>
    </row>
    <row r="133" spans="1:9" x14ac:dyDescent="0.35">
      <c r="A133" s="4">
        <f t="shared" si="4"/>
        <v>24</v>
      </c>
      <c r="B133" s="866" t="s">
        <v>126</v>
      </c>
      <c r="E133" s="874">
        <f>'Stmt Misc.'!E14</f>
        <v>0</v>
      </c>
      <c r="G133" s="865" t="s">
        <v>127</v>
      </c>
      <c r="H133" s="4">
        <f t="shared" si="5"/>
        <v>24</v>
      </c>
    </row>
    <row r="134" spans="1:9" x14ac:dyDescent="0.35">
      <c r="A134" s="4">
        <f t="shared" si="4"/>
        <v>25</v>
      </c>
      <c r="B134" s="866" t="s">
        <v>128</v>
      </c>
      <c r="E134" s="1131">
        <f>'Stmt Misc.'!E16</f>
        <v>-10934.227962302526</v>
      </c>
      <c r="G134" s="865" t="s">
        <v>129</v>
      </c>
      <c r="H134" s="4">
        <f t="shared" si="5"/>
        <v>25</v>
      </c>
    </row>
    <row r="135" spans="1:9" x14ac:dyDescent="0.35">
      <c r="A135" s="4">
        <f t="shared" si="4"/>
        <v>26</v>
      </c>
      <c r="B135" s="35"/>
      <c r="E135" s="11"/>
      <c r="G135" s="4"/>
      <c r="H135" s="4">
        <f t="shared" si="5"/>
        <v>26</v>
      </c>
      <c r="I135" s="38"/>
    </row>
    <row r="136" spans="1:9" ht="16" thickBot="1" x14ac:dyDescent="0.4">
      <c r="A136" s="4">
        <f t="shared" si="4"/>
        <v>27</v>
      </c>
      <c r="B136" s="35" t="s">
        <v>1632</v>
      </c>
      <c r="E136" s="26">
        <f>E134+E131+E125+E120+E115</f>
        <v>5035629.0185127473</v>
      </c>
      <c r="F136" s="1"/>
      <c r="G136" s="865" t="s">
        <v>131</v>
      </c>
      <c r="H136" s="4">
        <f t="shared" si="5"/>
        <v>27</v>
      </c>
      <c r="I136" s="922"/>
    </row>
    <row r="137" spans="1:9" ht="16" thickTop="1" x14ac:dyDescent="0.35">
      <c r="A137" s="4">
        <f t="shared" si="4"/>
        <v>28</v>
      </c>
      <c r="B137" s="35"/>
      <c r="E137" s="10"/>
      <c r="G137" s="4"/>
      <c r="H137" s="4">
        <f t="shared" si="5"/>
        <v>28</v>
      </c>
    </row>
    <row r="138" spans="1:9" ht="18" x14ac:dyDescent="0.35">
      <c r="A138" s="4">
        <f t="shared" si="4"/>
        <v>29</v>
      </c>
      <c r="B138" s="256" t="s">
        <v>132</v>
      </c>
      <c r="E138" s="10"/>
      <c r="G138" s="4"/>
      <c r="H138" s="4">
        <f t="shared" si="5"/>
        <v>29</v>
      </c>
    </row>
    <row r="139" spans="1:9" x14ac:dyDescent="0.35">
      <c r="A139" s="4">
        <f t="shared" si="4"/>
        <v>30</v>
      </c>
      <c r="B139" s="35" t="s">
        <v>133</v>
      </c>
      <c r="E139" s="7">
        <f>E188</f>
        <v>0</v>
      </c>
      <c r="G139" s="865" t="s">
        <v>134</v>
      </c>
      <c r="H139" s="4">
        <f t="shared" si="5"/>
        <v>30</v>
      </c>
    </row>
    <row r="140" spans="1:9" x14ac:dyDescent="0.35">
      <c r="A140" s="4">
        <f t="shared" si="4"/>
        <v>31</v>
      </c>
      <c r="B140" s="35" t="s">
        <v>135</v>
      </c>
      <c r="E140" s="9">
        <f>'Stmt AF'!I19</f>
        <v>0</v>
      </c>
      <c r="G140" s="865" t="s">
        <v>136</v>
      </c>
      <c r="H140" s="4">
        <f t="shared" si="5"/>
        <v>31</v>
      </c>
      <c r="I140" s="263"/>
    </row>
    <row r="141" spans="1:9" x14ac:dyDescent="0.35">
      <c r="A141" s="4">
        <f t="shared" si="4"/>
        <v>32</v>
      </c>
      <c r="B141" s="34" t="s">
        <v>137</v>
      </c>
      <c r="E141" s="966">
        <f>SUM(E139:E140)</f>
        <v>0</v>
      </c>
      <c r="G141" s="865" t="s">
        <v>138</v>
      </c>
      <c r="H141" s="4">
        <f t="shared" si="5"/>
        <v>32</v>
      </c>
    </row>
    <row r="142" spans="1:9" x14ac:dyDescent="0.35">
      <c r="A142" s="4">
        <f t="shared" si="4"/>
        <v>33</v>
      </c>
      <c r="B142" s="35"/>
      <c r="E142" s="10"/>
      <c r="G142" s="4"/>
      <c r="H142" s="4">
        <f t="shared" si="5"/>
        <v>33</v>
      </c>
    </row>
    <row r="143" spans="1:9" ht="18" x14ac:dyDescent="0.35">
      <c r="A143" s="4">
        <f t="shared" si="4"/>
        <v>34</v>
      </c>
      <c r="B143" s="256" t="s">
        <v>139</v>
      </c>
      <c r="E143" s="10"/>
      <c r="G143" s="4"/>
      <c r="H143" s="4">
        <f t="shared" si="5"/>
        <v>34</v>
      </c>
    </row>
    <row r="144" spans="1:9" x14ac:dyDescent="0.35">
      <c r="A144" s="4">
        <f t="shared" si="4"/>
        <v>35</v>
      </c>
      <c r="B144" s="35" t="s">
        <v>140</v>
      </c>
      <c r="E144" s="7">
        <f>'Stmt Misc.'!E18</f>
        <v>0</v>
      </c>
      <c r="G144" s="865" t="s">
        <v>141</v>
      </c>
      <c r="H144" s="4">
        <f t="shared" si="5"/>
        <v>35</v>
      </c>
    </row>
    <row r="145" spans="1:9" x14ac:dyDescent="0.35">
      <c r="A145" s="4">
        <f t="shared" si="4"/>
        <v>36</v>
      </c>
      <c r="B145" s="34" t="s">
        <v>142</v>
      </c>
      <c r="E145" s="868">
        <f>'Stmt AF'!I23</f>
        <v>0</v>
      </c>
      <c r="G145" s="865" t="s">
        <v>143</v>
      </c>
      <c r="H145" s="4">
        <f t="shared" si="5"/>
        <v>36</v>
      </c>
      <c r="I145" s="263"/>
    </row>
    <row r="146" spans="1:9" x14ac:dyDescent="0.35">
      <c r="A146" s="4">
        <f t="shared" si="4"/>
        <v>37</v>
      </c>
      <c r="B146" s="34" t="s">
        <v>144</v>
      </c>
      <c r="E146" s="966">
        <f>SUM(E144:E145)</f>
        <v>0</v>
      </c>
      <c r="G146" s="865" t="s">
        <v>145</v>
      </c>
      <c r="H146" s="4">
        <f t="shared" si="5"/>
        <v>37</v>
      </c>
    </row>
    <row r="147" spans="1:9" x14ac:dyDescent="0.35">
      <c r="A147" s="4">
        <f t="shared" si="4"/>
        <v>38</v>
      </c>
      <c r="B147" s="35"/>
      <c r="E147" s="10"/>
      <c r="G147" s="4"/>
      <c r="H147" s="4">
        <f t="shared" si="5"/>
        <v>38</v>
      </c>
    </row>
    <row r="148" spans="1:9" ht="18" x14ac:dyDescent="0.35">
      <c r="A148" s="4">
        <f t="shared" si="4"/>
        <v>39</v>
      </c>
      <c r="B148" s="256" t="s">
        <v>146</v>
      </c>
      <c r="E148" s="7">
        <f>'Stmt AM'!E11</f>
        <v>0</v>
      </c>
      <c r="G148" s="4" t="s">
        <v>147</v>
      </c>
      <c r="H148" s="4">
        <f t="shared" si="5"/>
        <v>39</v>
      </c>
    </row>
    <row r="149" spans="1:9" x14ac:dyDescent="0.35">
      <c r="B149" s="35"/>
      <c r="E149" s="10"/>
      <c r="G149" s="4"/>
    </row>
    <row r="150" spans="1:9" x14ac:dyDescent="0.35">
      <c r="B150" s="35"/>
      <c r="E150" s="10"/>
      <c r="G150" s="4"/>
    </row>
    <row r="151" spans="1:9" ht="18" x14ac:dyDescent="0.35">
      <c r="A151" s="261">
        <v>1</v>
      </c>
      <c r="B151" s="35" t="s">
        <v>148</v>
      </c>
      <c r="E151" s="10"/>
      <c r="G151" s="4"/>
    </row>
    <row r="152" spans="1:9" ht="18" x14ac:dyDescent="0.35">
      <c r="A152" s="261">
        <v>2</v>
      </c>
      <c r="B152" s="34" t="s">
        <v>89</v>
      </c>
      <c r="E152" s="10"/>
      <c r="G152" s="4"/>
    </row>
    <row r="153" spans="1:9" x14ac:dyDescent="0.35">
      <c r="B153" s="1"/>
      <c r="E153" s="10"/>
      <c r="G153" s="4"/>
    </row>
    <row r="154" spans="1:9" x14ac:dyDescent="0.35">
      <c r="B154" s="1"/>
      <c r="E154" s="10"/>
      <c r="G154" s="4"/>
    </row>
    <row r="155" spans="1:9" x14ac:dyDescent="0.35">
      <c r="B155" s="1171" t="s">
        <v>0</v>
      </c>
      <c r="C155" s="1172"/>
      <c r="D155" s="1172"/>
      <c r="E155" s="1172"/>
      <c r="F155" s="1172"/>
      <c r="G155" s="1172"/>
    </row>
    <row r="156" spans="1:9" x14ac:dyDescent="0.35">
      <c r="A156" s="4" t="s">
        <v>1</v>
      </c>
      <c r="B156" s="1171" t="s">
        <v>2</v>
      </c>
      <c r="C156" s="1172"/>
      <c r="D156" s="1172"/>
      <c r="E156" s="1172"/>
      <c r="F156" s="1172"/>
      <c r="G156" s="1172"/>
    </row>
    <row r="157" spans="1:9" ht="18" x14ac:dyDescent="0.35">
      <c r="B157" s="1171" t="s">
        <v>3</v>
      </c>
      <c r="C157" s="1173"/>
      <c r="D157" s="1173"/>
      <c r="E157" s="1173"/>
      <c r="F157" s="1173"/>
      <c r="G157" s="1173"/>
    </row>
    <row r="158" spans="1:9" x14ac:dyDescent="0.35">
      <c r="B158" s="1176" t="str">
        <f>B5</f>
        <v>For the Base Period &amp; True-Up Period Ending December 31, 2022</v>
      </c>
      <c r="C158" s="1177"/>
      <c r="D158" s="1177"/>
      <c r="E158" s="1177"/>
      <c r="F158" s="1177"/>
      <c r="G158" s="1177"/>
    </row>
    <row r="159" spans="1:9" x14ac:dyDescent="0.35">
      <c r="B159" s="1175" t="s">
        <v>5</v>
      </c>
      <c r="C159" s="1172"/>
      <c r="D159" s="1172"/>
      <c r="E159" s="1172"/>
      <c r="F159" s="1172"/>
      <c r="G159" s="1172"/>
    </row>
    <row r="160" spans="1:9" x14ac:dyDescent="0.35">
      <c r="B160" s="37"/>
    </row>
    <row r="161" spans="1:10" x14ac:dyDescent="0.35">
      <c r="A161" s="4" t="s">
        <v>6</v>
      </c>
      <c r="E161" s="27"/>
      <c r="G161" s="4"/>
      <c r="H161" s="4" t="s">
        <v>6</v>
      </c>
    </row>
    <row r="162" spans="1:10" x14ac:dyDescent="0.35">
      <c r="A162" s="4" t="s">
        <v>7</v>
      </c>
      <c r="B162" s="1" t="s">
        <v>1</v>
      </c>
      <c r="E162" s="965" t="s">
        <v>8</v>
      </c>
      <c r="G162" s="876" t="s">
        <v>9</v>
      </c>
      <c r="H162" s="4" t="s">
        <v>7</v>
      </c>
    </row>
    <row r="163" spans="1:10" x14ac:dyDescent="0.35">
      <c r="B163" s="256" t="s">
        <v>149</v>
      </c>
      <c r="E163" s="27"/>
      <c r="G163" s="4"/>
    </row>
    <row r="164" spans="1:10" x14ac:dyDescent="0.35">
      <c r="A164" s="4">
        <v>1</v>
      </c>
      <c r="B164" s="258" t="s">
        <v>150</v>
      </c>
      <c r="E164" s="27"/>
      <c r="G164" s="4"/>
      <c r="H164" s="4">
        <f>A164</f>
        <v>1</v>
      </c>
    </row>
    <row r="165" spans="1:10" x14ac:dyDescent="0.35">
      <c r="A165" s="4">
        <f t="shared" ref="A165:A188" si="6">A164+1</f>
        <v>2</v>
      </c>
      <c r="B165" s="35" t="s">
        <v>93</v>
      </c>
      <c r="E165" s="7">
        <f>'Stmt AD'!I21</f>
        <v>7476381.1074746149</v>
      </c>
      <c r="F165" s="74"/>
      <c r="G165" s="4" t="s">
        <v>151</v>
      </c>
      <c r="H165" s="4">
        <f t="shared" ref="H165:H188" si="7">H164+1</f>
        <v>2</v>
      </c>
      <c r="I165" s="260"/>
    </row>
    <row r="166" spans="1:10" x14ac:dyDescent="0.35">
      <c r="A166" s="4">
        <f t="shared" si="6"/>
        <v>3</v>
      </c>
      <c r="B166" s="35" t="s">
        <v>152</v>
      </c>
      <c r="E166" s="9">
        <f>'Stmt AD'!I37</f>
        <v>30189.464512731291</v>
      </c>
      <c r="F166" s="74"/>
      <c r="G166" s="4" t="s">
        <v>153</v>
      </c>
      <c r="H166" s="4">
        <f t="shared" si="7"/>
        <v>3</v>
      </c>
      <c r="I166" s="260"/>
    </row>
    <row r="167" spans="1:10" x14ac:dyDescent="0.35">
      <c r="A167" s="4">
        <f t="shared" si="6"/>
        <v>4</v>
      </c>
      <c r="B167" s="35" t="s">
        <v>97</v>
      </c>
      <c r="E167" s="9">
        <f>'Stmt AD'!I39</f>
        <v>108045.72119347638</v>
      </c>
      <c r="F167" s="1"/>
      <c r="G167" s="4" t="s">
        <v>154</v>
      </c>
      <c r="H167" s="4">
        <f t="shared" si="7"/>
        <v>4</v>
      </c>
      <c r="I167" s="260"/>
      <c r="J167" s="50"/>
    </row>
    <row r="168" spans="1:10" x14ac:dyDescent="0.35">
      <c r="A168" s="4">
        <f t="shared" si="6"/>
        <v>5</v>
      </c>
      <c r="B168" s="35" t="s">
        <v>99</v>
      </c>
      <c r="C168" s="4"/>
      <c r="D168" s="4"/>
      <c r="E168" s="868">
        <f>'Stmt AD'!I41</f>
        <v>303088.79978315468</v>
      </c>
      <c r="F168" s="1"/>
      <c r="G168" s="4" t="s">
        <v>155</v>
      </c>
      <c r="H168" s="4">
        <f t="shared" si="7"/>
        <v>5</v>
      </c>
    </row>
    <row r="169" spans="1:10" x14ac:dyDescent="0.35">
      <c r="A169" s="4">
        <f t="shared" si="6"/>
        <v>6</v>
      </c>
      <c r="B169" s="35" t="s">
        <v>156</v>
      </c>
      <c r="E169" s="966">
        <f>SUM(E165:E168)</f>
        <v>7917705.0929639768</v>
      </c>
      <c r="F169" s="74"/>
      <c r="G169" s="4" t="s">
        <v>102</v>
      </c>
      <c r="H169" s="4">
        <f t="shared" si="7"/>
        <v>6</v>
      </c>
      <c r="I169" s="260"/>
    </row>
    <row r="170" spans="1:10" x14ac:dyDescent="0.35">
      <c r="A170" s="4">
        <f t="shared" si="6"/>
        <v>7</v>
      </c>
      <c r="C170" s="4"/>
      <c r="D170" s="4"/>
      <c r="E170" s="27"/>
      <c r="G170" s="4"/>
      <c r="H170" s="4">
        <f t="shared" si="7"/>
        <v>7</v>
      </c>
    </row>
    <row r="171" spans="1:10" x14ac:dyDescent="0.35">
      <c r="A171" s="4">
        <f t="shared" si="6"/>
        <v>8</v>
      </c>
      <c r="B171" s="259" t="s">
        <v>157</v>
      </c>
      <c r="E171" s="27"/>
      <c r="G171" s="4"/>
      <c r="H171" s="4">
        <f t="shared" si="7"/>
        <v>8</v>
      </c>
    </row>
    <row r="172" spans="1:10" x14ac:dyDescent="0.35">
      <c r="A172" s="4">
        <f t="shared" si="6"/>
        <v>9</v>
      </c>
      <c r="B172" s="34" t="s">
        <v>158</v>
      </c>
      <c r="E172" s="7">
        <f>'Stmt AE'!I11</f>
        <v>1733510.7188923075</v>
      </c>
      <c r="F172" s="74"/>
      <c r="G172" s="4" t="s">
        <v>159</v>
      </c>
      <c r="H172" s="4">
        <f t="shared" si="7"/>
        <v>9</v>
      </c>
    </row>
    <row r="173" spans="1:10" x14ac:dyDescent="0.35">
      <c r="A173" s="4">
        <f t="shared" si="6"/>
        <v>10</v>
      </c>
      <c r="B173" s="34" t="s">
        <v>160</v>
      </c>
      <c r="E173" s="9">
        <f>'Stmt AE'!I21</f>
        <v>24161.897431180339</v>
      </c>
      <c r="F173" s="74"/>
      <c r="G173" s="4" t="s">
        <v>161</v>
      </c>
      <c r="H173" s="4">
        <f t="shared" si="7"/>
        <v>10</v>
      </c>
    </row>
    <row r="174" spans="1:10" x14ac:dyDescent="0.35">
      <c r="A174" s="4">
        <f t="shared" si="6"/>
        <v>11</v>
      </c>
      <c r="B174" s="34" t="s">
        <v>162</v>
      </c>
      <c r="E174" s="9">
        <f>'Stmt AE'!I23</f>
        <v>45823.23856683405</v>
      </c>
      <c r="F174" s="1"/>
      <c r="G174" s="4" t="s">
        <v>163</v>
      </c>
      <c r="H174" s="4">
        <f t="shared" si="7"/>
        <v>11</v>
      </c>
    </row>
    <row r="175" spans="1:10" x14ac:dyDescent="0.35">
      <c r="A175" s="4">
        <f t="shared" si="6"/>
        <v>12</v>
      </c>
      <c r="B175" s="34" t="s">
        <v>164</v>
      </c>
      <c r="E175" s="868">
        <f>'Stmt AE'!I25</f>
        <v>127484.65196100857</v>
      </c>
      <c r="F175" s="1"/>
      <c r="G175" s="4" t="s">
        <v>165</v>
      </c>
      <c r="H175" s="4">
        <f t="shared" si="7"/>
        <v>12</v>
      </c>
    </row>
    <row r="176" spans="1:10" x14ac:dyDescent="0.35">
      <c r="A176" s="4">
        <f t="shared" si="6"/>
        <v>13</v>
      </c>
      <c r="B176" s="260" t="s">
        <v>166</v>
      </c>
      <c r="C176" s="260"/>
      <c r="D176" s="260"/>
      <c r="E176" s="971">
        <f>SUM(E172:E175)</f>
        <v>1930980.5068513304</v>
      </c>
      <c r="F176" s="74"/>
      <c r="G176" s="4" t="s">
        <v>167</v>
      </c>
      <c r="H176" s="4">
        <f t="shared" si="7"/>
        <v>13</v>
      </c>
    </row>
    <row r="177" spans="1:8" x14ac:dyDescent="0.35">
      <c r="A177" s="4">
        <f t="shared" si="6"/>
        <v>14</v>
      </c>
      <c r="B177" s="260"/>
      <c r="C177" s="260"/>
      <c r="D177" s="260"/>
      <c r="E177" s="8"/>
      <c r="G177" s="4"/>
      <c r="H177" s="4">
        <f t="shared" si="7"/>
        <v>14</v>
      </c>
    </row>
    <row r="178" spans="1:8" x14ac:dyDescent="0.35">
      <c r="A178" s="4">
        <f t="shared" si="6"/>
        <v>15</v>
      </c>
      <c r="B178" s="258" t="s">
        <v>92</v>
      </c>
      <c r="C178" s="260"/>
      <c r="D178" s="260"/>
      <c r="E178" s="8"/>
      <c r="G178" s="4"/>
      <c r="H178" s="4">
        <f t="shared" si="7"/>
        <v>15</v>
      </c>
    </row>
    <row r="179" spans="1:8" x14ac:dyDescent="0.35">
      <c r="A179" s="4">
        <f t="shared" si="6"/>
        <v>16</v>
      </c>
      <c r="B179" s="35" t="s">
        <v>93</v>
      </c>
      <c r="E179" s="10">
        <f>+E165-E172</f>
        <v>5742870.3885823078</v>
      </c>
      <c r="F179" s="74"/>
      <c r="G179" s="4" t="s">
        <v>168</v>
      </c>
      <c r="H179" s="4">
        <f t="shared" si="7"/>
        <v>16</v>
      </c>
    </row>
    <row r="180" spans="1:8" x14ac:dyDescent="0.35">
      <c r="A180" s="4">
        <f t="shared" si="6"/>
        <v>17</v>
      </c>
      <c r="B180" s="35" t="s">
        <v>95</v>
      </c>
      <c r="E180" s="8">
        <f>+E166-E173</f>
        <v>6027.5670815509511</v>
      </c>
      <c r="F180" s="74"/>
      <c r="G180" s="4" t="s">
        <v>169</v>
      </c>
      <c r="H180" s="4">
        <f t="shared" si="7"/>
        <v>17</v>
      </c>
    </row>
    <row r="181" spans="1:8" x14ac:dyDescent="0.35">
      <c r="A181" s="4">
        <f t="shared" si="6"/>
        <v>18</v>
      </c>
      <c r="B181" s="35" t="s">
        <v>97</v>
      </c>
      <c r="E181" s="8">
        <f>+E167-E174</f>
        <v>62222.482626642326</v>
      </c>
      <c r="G181" s="4" t="s">
        <v>170</v>
      </c>
      <c r="H181" s="4">
        <f t="shared" si="7"/>
        <v>18</v>
      </c>
    </row>
    <row r="182" spans="1:8" x14ac:dyDescent="0.35">
      <c r="A182" s="4">
        <f t="shared" si="6"/>
        <v>19</v>
      </c>
      <c r="B182" s="35" t="s">
        <v>99</v>
      </c>
      <c r="E182" s="972">
        <f>+E168-E175</f>
        <v>175604.14782214613</v>
      </c>
      <c r="G182" s="4" t="s">
        <v>171</v>
      </c>
      <c r="H182" s="4">
        <f t="shared" si="7"/>
        <v>19</v>
      </c>
    </row>
    <row r="183" spans="1:8" ht="16" thickBot="1" x14ac:dyDescent="0.4">
      <c r="A183" s="4">
        <f t="shared" si="6"/>
        <v>20</v>
      </c>
      <c r="B183" s="34" t="s">
        <v>101</v>
      </c>
      <c r="E183" s="18">
        <f>SUM(E179:E182)</f>
        <v>5986724.5861126473</v>
      </c>
      <c r="F183" s="74"/>
      <c r="G183" s="4" t="s">
        <v>172</v>
      </c>
      <c r="H183" s="4">
        <f t="shared" si="7"/>
        <v>20</v>
      </c>
    </row>
    <row r="184" spans="1:8" ht="16" thickTop="1" x14ac:dyDescent="0.35">
      <c r="A184" s="4">
        <f t="shared" si="6"/>
        <v>21</v>
      </c>
      <c r="E184" s="10"/>
      <c r="G184" s="4"/>
      <c r="H184" s="4">
        <f t="shared" si="7"/>
        <v>21</v>
      </c>
    </row>
    <row r="185" spans="1:8" ht="18" x14ac:dyDescent="0.35">
      <c r="A185" s="4">
        <f t="shared" si="6"/>
        <v>22</v>
      </c>
      <c r="B185" s="256" t="s">
        <v>1633</v>
      </c>
      <c r="E185" s="10"/>
      <c r="G185" s="4"/>
      <c r="H185" s="4">
        <f t="shared" si="7"/>
        <v>22</v>
      </c>
    </row>
    <row r="186" spans="1:8" x14ac:dyDescent="0.35">
      <c r="A186" s="4">
        <f t="shared" si="6"/>
        <v>23</v>
      </c>
      <c r="B186" s="35" t="s">
        <v>174</v>
      </c>
      <c r="E186" s="7">
        <f>'Stmt AD'!I23</f>
        <v>0</v>
      </c>
      <c r="G186" s="4" t="s">
        <v>175</v>
      </c>
      <c r="H186" s="4">
        <f t="shared" si="7"/>
        <v>23</v>
      </c>
    </row>
    <row r="187" spans="1:8" x14ac:dyDescent="0.35">
      <c r="A187" s="4">
        <f t="shared" si="6"/>
        <v>24</v>
      </c>
      <c r="B187" s="34" t="s">
        <v>176</v>
      </c>
      <c r="E187" s="868">
        <f>'Stmt AE'!I29</f>
        <v>0</v>
      </c>
      <c r="G187" s="4" t="s">
        <v>177</v>
      </c>
      <c r="H187" s="4">
        <f t="shared" si="7"/>
        <v>24</v>
      </c>
    </row>
    <row r="188" spans="1:8" ht="16" thickBot="1" x14ac:dyDescent="0.4">
      <c r="A188" s="4">
        <f t="shared" si="6"/>
        <v>25</v>
      </c>
      <c r="B188" s="35" t="s">
        <v>178</v>
      </c>
      <c r="E188" s="26">
        <f>E186-E187</f>
        <v>0</v>
      </c>
      <c r="G188" s="4" t="s">
        <v>179</v>
      </c>
      <c r="H188" s="4">
        <f t="shared" si="7"/>
        <v>25</v>
      </c>
    </row>
    <row r="189" spans="1:8" ht="16" thickTop="1" x14ac:dyDescent="0.35">
      <c r="B189" s="35"/>
      <c r="E189" s="10"/>
      <c r="G189" s="4"/>
    </row>
    <row r="190" spans="1:8" x14ac:dyDescent="0.35">
      <c r="B190" s="35"/>
      <c r="E190" s="10"/>
      <c r="G190" s="4"/>
    </row>
    <row r="191" spans="1:8" ht="18" x14ac:dyDescent="0.35">
      <c r="A191" s="261">
        <v>1</v>
      </c>
      <c r="B191" s="34" t="s">
        <v>1634</v>
      </c>
      <c r="E191" s="10"/>
      <c r="G191" s="4"/>
    </row>
    <row r="192" spans="1:8" x14ac:dyDescent="0.35">
      <c r="E192" s="10"/>
      <c r="G192" s="4"/>
    </row>
    <row r="193" spans="1:9" x14ac:dyDescent="0.35">
      <c r="E193" s="10"/>
      <c r="G193" s="4"/>
    </row>
    <row r="194" spans="1:9" x14ac:dyDescent="0.35">
      <c r="A194" s="74"/>
      <c r="E194" s="10"/>
      <c r="G194" s="4"/>
    </row>
    <row r="195" spans="1:9" x14ac:dyDescent="0.35">
      <c r="E195" s="10"/>
      <c r="G195" s="4"/>
      <c r="I195" s="38"/>
    </row>
  </sheetData>
  <mergeCells count="20">
    <mergeCell ref="B101:G101"/>
    <mergeCell ref="B2:G2"/>
    <mergeCell ref="B3:G3"/>
    <mergeCell ref="B4:G4"/>
    <mergeCell ref="B5:G5"/>
    <mergeCell ref="B6:G6"/>
    <mergeCell ref="B46:G46"/>
    <mergeCell ref="B47:G47"/>
    <mergeCell ref="B48:G48"/>
    <mergeCell ref="B49:G49"/>
    <mergeCell ref="B50:G50"/>
    <mergeCell ref="B157:G157"/>
    <mergeCell ref="B158:G158"/>
    <mergeCell ref="B159:G159"/>
    <mergeCell ref="B102:G102"/>
    <mergeCell ref="B103:G103"/>
    <mergeCell ref="B104:G104"/>
    <mergeCell ref="B105:G105"/>
    <mergeCell ref="B155:G155"/>
    <mergeCell ref="B156:G156"/>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zoomScale="80" zoomScaleNormal="80" workbookViewId="0"/>
  </sheetViews>
  <sheetFormatPr defaultRowHeight="15.5" x14ac:dyDescent="0.35"/>
  <cols>
    <col min="1" max="1" width="5.08984375" style="4" customWidth="1"/>
    <col min="2" max="2" width="46.90625" customWidth="1"/>
    <col min="3" max="3" width="16.453125" bestFit="1" customWidth="1"/>
    <col min="4" max="4" width="14.54296875" customWidth="1"/>
    <col min="5" max="5" width="15.54296875" bestFit="1" customWidth="1"/>
    <col min="6" max="6" width="17" bestFit="1" customWidth="1"/>
    <col min="7" max="7" width="17.453125" bestFit="1" customWidth="1"/>
    <col min="8" max="8" width="18.08984375" bestFit="1" customWidth="1"/>
    <col min="9" max="9" width="22" bestFit="1" customWidth="1"/>
    <col min="10" max="10" width="5.08984375" style="4" customWidth="1"/>
  </cols>
  <sheetData>
    <row r="2" spans="1:10" x14ac:dyDescent="0.35">
      <c r="B2" s="1171" t="s">
        <v>0</v>
      </c>
      <c r="C2" s="1171"/>
      <c r="D2" s="1171"/>
      <c r="E2" s="1171"/>
      <c r="F2" s="1171"/>
      <c r="G2" s="1171"/>
      <c r="H2" s="1171"/>
      <c r="I2" s="1171"/>
    </row>
    <row r="3" spans="1:10" x14ac:dyDescent="0.35">
      <c r="B3" s="1171" t="s">
        <v>1635</v>
      </c>
      <c r="C3" s="1171"/>
      <c r="D3" s="1171"/>
      <c r="E3" s="1171"/>
      <c r="F3" s="1171"/>
      <c r="G3" s="1171"/>
      <c r="H3" s="1171"/>
      <c r="I3" s="1171"/>
    </row>
    <row r="4" spans="1:10" x14ac:dyDescent="0.35">
      <c r="B4" s="1171" t="s">
        <v>515</v>
      </c>
      <c r="C4" s="1171"/>
      <c r="D4" s="1171"/>
      <c r="E4" s="1171"/>
      <c r="F4" s="1171"/>
      <c r="G4" s="1171"/>
      <c r="H4" s="1171"/>
      <c r="I4" s="1171"/>
    </row>
    <row r="5" spans="1:10" x14ac:dyDescent="0.35">
      <c r="B5" s="1198" t="s">
        <v>1566</v>
      </c>
      <c r="C5" s="1198"/>
      <c r="D5" s="1198"/>
      <c r="E5" s="1198"/>
      <c r="F5" s="1198"/>
      <c r="G5" s="1198"/>
      <c r="H5" s="1198"/>
      <c r="I5" s="1198"/>
    </row>
    <row r="6" spans="1:10" x14ac:dyDescent="0.35">
      <c r="B6" s="1175" t="s">
        <v>5</v>
      </c>
      <c r="C6" s="1175"/>
      <c r="D6" s="1175"/>
      <c r="E6" s="1175"/>
      <c r="F6" s="1175"/>
      <c r="G6" s="1175"/>
      <c r="H6" s="1175"/>
      <c r="I6" s="1175"/>
    </row>
    <row r="8" spans="1:10" x14ac:dyDescent="0.35">
      <c r="A8" s="4" t="s">
        <v>6</v>
      </c>
      <c r="B8" s="624" t="s">
        <v>1446</v>
      </c>
      <c r="C8" s="624" t="s">
        <v>1447</v>
      </c>
      <c r="D8" s="624" t="s">
        <v>1448</v>
      </c>
      <c r="E8" s="624" t="s">
        <v>1449</v>
      </c>
      <c r="F8" s="624" t="s">
        <v>1450</v>
      </c>
      <c r="G8" s="624" t="s">
        <v>1451</v>
      </c>
      <c r="H8" s="624" t="s">
        <v>1452</v>
      </c>
      <c r="I8" s="624" t="s">
        <v>1453</v>
      </c>
      <c r="J8" s="4" t="s">
        <v>6</v>
      </c>
    </row>
    <row r="9" spans="1:10" x14ac:dyDescent="0.35">
      <c r="A9" s="4" t="s">
        <v>7</v>
      </c>
      <c r="B9" s="625"/>
      <c r="C9" s="626"/>
      <c r="D9" s="626"/>
      <c r="E9" s="627"/>
      <c r="F9" s="627"/>
      <c r="G9" s="639" t="s">
        <v>1636</v>
      </c>
      <c r="H9" s="640" t="s">
        <v>1637</v>
      </c>
      <c r="I9" s="626"/>
      <c r="J9" s="4" t="s">
        <v>7</v>
      </c>
    </row>
    <row r="10" spans="1:10" x14ac:dyDescent="0.35">
      <c r="B10" s="625"/>
      <c r="C10" s="628"/>
      <c r="D10" s="628"/>
      <c r="E10" s="627"/>
      <c r="F10" s="627"/>
      <c r="G10" s="627"/>
      <c r="H10" s="629"/>
      <c r="I10" s="625"/>
    </row>
    <row r="11" spans="1:10" x14ac:dyDescent="0.35">
      <c r="B11" s="630"/>
      <c r="C11" s="626" t="s">
        <v>1638</v>
      </c>
      <c r="D11" s="626" t="s">
        <v>1639</v>
      </c>
      <c r="E11" s="626"/>
      <c r="F11" s="626" t="s">
        <v>1640</v>
      </c>
      <c r="G11" s="626" t="s">
        <v>1641</v>
      </c>
      <c r="H11" s="631" t="s">
        <v>1642</v>
      </c>
      <c r="I11" s="631" t="s">
        <v>1643</v>
      </c>
    </row>
    <row r="12" spans="1:10" ht="18.5" x14ac:dyDescent="0.35">
      <c r="B12" s="630" t="s">
        <v>1644</v>
      </c>
      <c r="C12" s="632" t="s">
        <v>1645</v>
      </c>
      <c r="D12" s="632" t="s">
        <v>1646</v>
      </c>
      <c r="E12" s="632" t="s">
        <v>1647</v>
      </c>
      <c r="F12" s="632" t="s">
        <v>1648</v>
      </c>
      <c r="G12" s="632" t="s">
        <v>1649</v>
      </c>
      <c r="H12" s="630" t="s">
        <v>1650</v>
      </c>
      <c r="I12" s="630" t="s">
        <v>1651</v>
      </c>
    </row>
    <row r="13" spans="1:10" x14ac:dyDescent="0.35">
      <c r="A13" s="4">
        <v>1</v>
      </c>
      <c r="B13" s="633" t="s">
        <v>1652</v>
      </c>
      <c r="C13" s="634"/>
      <c r="D13" s="148">
        <f>'Stmt AF'!E17</f>
        <v>-1016288.1163351906</v>
      </c>
      <c r="E13" s="627"/>
      <c r="F13" s="635">
        <f>SUM(E14:E25)</f>
        <v>365</v>
      </c>
      <c r="G13" s="636">
        <f xml:space="preserve"> 1</f>
        <v>1</v>
      </c>
      <c r="H13" s="637"/>
      <c r="I13" s="150">
        <f>+D13</f>
        <v>-1016288.1163351906</v>
      </c>
      <c r="J13" s="4">
        <v>1</v>
      </c>
    </row>
    <row r="14" spans="1:10" x14ac:dyDescent="0.35">
      <c r="A14" s="4">
        <f>A13+1</f>
        <v>2</v>
      </c>
      <c r="B14" s="633" t="s">
        <v>1601</v>
      </c>
      <c r="C14" s="148">
        <f>('Stmt AF'!$G$17-'Stmt AF'!$E$17)/12</f>
        <v>-7434.8786993637523</v>
      </c>
      <c r="D14" s="123">
        <f>D13+C14</f>
        <v>-1023722.9950345544</v>
      </c>
      <c r="E14" s="641">
        <v>31</v>
      </c>
      <c r="F14" s="642">
        <f t="shared" ref="F14:F25" si="0">+F13-E14</f>
        <v>334</v>
      </c>
      <c r="G14" s="636">
        <f>F14/F13</f>
        <v>0.91506849315068495</v>
      </c>
      <c r="H14" s="150">
        <f t="shared" ref="H14:H25" si="1">C14*G14</f>
        <v>-6803.4232481849131</v>
      </c>
      <c r="I14" s="123">
        <f t="shared" ref="I14:I25" si="2">I13+H14</f>
        <v>-1023091.5395833756</v>
      </c>
      <c r="J14" s="4">
        <f>J13+1</f>
        <v>2</v>
      </c>
    </row>
    <row r="15" spans="1:10" x14ac:dyDescent="0.35">
      <c r="A15" s="4">
        <f>A14+1</f>
        <v>3</v>
      </c>
      <c r="B15" s="633" t="s">
        <v>1602</v>
      </c>
      <c r="C15" s="875">
        <f>('Stmt AF'!$G$17-'Stmt AF'!$E$17)/12</f>
        <v>-7434.8786993637523</v>
      </c>
      <c r="D15" s="123">
        <f>D14+C15</f>
        <v>-1031157.8737339182</v>
      </c>
      <c r="E15" s="641">
        <v>28</v>
      </c>
      <c r="F15" s="642">
        <f t="shared" si="0"/>
        <v>306</v>
      </c>
      <c r="G15" s="636">
        <f>F15/F13</f>
        <v>0.83835616438356164</v>
      </c>
      <c r="H15" s="123">
        <f t="shared" si="1"/>
        <v>-6233.0763890556391</v>
      </c>
      <c r="I15" s="123">
        <f t="shared" si="2"/>
        <v>-1029324.6159724311</v>
      </c>
      <c r="J15" s="4">
        <f>J14+1</f>
        <v>3</v>
      </c>
    </row>
    <row r="16" spans="1:10" x14ac:dyDescent="0.35">
      <c r="A16" s="4">
        <f t="shared" ref="A16:A25" si="3">A15+1</f>
        <v>4</v>
      </c>
      <c r="B16" s="633" t="s">
        <v>1653</v>
      </c>
      <c r="C16" s="875">
        <f>('Stmt AF'!$G$17-'Stmt AF'!$E$17)/12</f>
        <v>-7434.8786993637523</v>
      </c>
      <c r="D16" s="123">
        <f>D15+C16</f>
        <v>-1038592.752433282</v>
      </c>
      <c r="E16" s="641">
        <v>31</v>
      </c>
      <c r="F16" s="642">
        <f t="shared" si="0"/>
        <v>275</v>
      </c>
      <c r="G16" s="636">
        <f>F16/F13</f>
        <v>0.75342465753424659</v>
      </c>
      <c r="H16" s="123">
        <f t="shared" si="1"/>
        <v>-5601.6209378767999</v>
      </c>
      <c r="I16" s="123">
        <f t="shared" si="2"/>
        <v>-1034926.2369103079</v>
      </c>
      <c r="J16" s="4">
        <f t="shared" ref="J16:J25" si="4">J15+1</f>
        <v>4</v>
      </c>
    </row>
    <row r="17" spans="1:10" x14ac:dyDescent="0.35">
      <c r="A17" s="4">
        <f t="shared" si="3"/>
        <v>5</v>
      </c>
      <c r="B17" s="633" t="s">
        <v>1654</v>
      </c>
      <c r="C17" s="875">
        <f>('Stmt AF'!$G$17-'Stmt AF'!$E$17)/12</f>
        <v>-7434.8786993637523</v>
      </c>
      <c r="D17" s="123">
        <f t="shared" ref="D17:D25" si="5">D16+C17</f>
        <v>-1046027.6311326458</v>
      </c>
      <c r="E17" s="641">
        <v>30</v>
      </c>
      <c r="F17" s="642">
        <f t="shared" si="0"/>
        <v>245</v>
      </c>
      <c r="G17" s="636">
        <f>F17/F13</f>
        <v>0.67123287671232879</v>
      </c>
      <c r="H17" s="123">
        <f t="shared" si="1"/>
        <v>-4990.5350173811494</v>
      </c>
      <c r="I17" s="123">
        <f t="shared" si="2"/>
        <v>-1039916.7719276891</v>
      </c>
      <c r="J17" s="4">
        <f t="shared" si="4"/>
        <v>5</v>
      </c>
    </row>
    <row r="18" spans="1:10" x14ac:dyDescent="0.35">
      <c r="A18" s="4">
        <f>A17+1</f>
        <v>6</v>
      </c>
      <c r="B18" s="633" t="s">
        <v>378</v>
      </c>
      <c r="C18" s="875">
        <f>('Stmt AF'!$G$17-'Stmt AF'!$E$17)/12</f>
        <v>-7434.8786993637523</v>
      </c>
      <c r="D18" s="123">
        <f t="shared" si="5"/>
        <v>-1053462.5098320094</v>
      </c>
      <c r="E18" s="641">
        <v>31</v>
      </c>
      <c r="F18" s="642">
        <f t="shared" si="0"/>
        <v>214</v>
      </c>
      <c r="G18" s="636">
        <f>F18/F13</f>
        <v>0.58630136986301373</v>
      </c>
      <c r="H18" s="123">
        <f t="shared" si="1"/>
        <v>-4359.0795662023102</v>
      </c>
      <c r="I18" s="123">
        <f t="shared" si="2"/>
        <v>-1044275.8514938914</v>
      </c>
      <c r="J18" s="4">
        <f>J17+1</f>
        <v>6</v>
      </c>
    </row>
    <row r="19" spans="1:10" x14ac:dyDescent="0.35">
      <c r="A19" s="4">
        <f t="shared" si="3"/>
        <v>7</v>
      </c>
      <c r="B19" s="633" t="s">
        <v>1655</v>
      </c>
      <c r="C19" s="875">
        <f>('Stmt AF'!$G$17-'Stmt AF'!$E$17)/12</f>
        <v>-7434.8786993637523</v>
      </c>
      <c r="D19" s="123">
        <f t="shared" si="5"/>
        <v>-1060897.3885313731</v>
      </c>
      <c r="E19" s="641">
        <v>30</v>
      </c>
      <c r="F19" s="642">
        <f t="shared" si="0"/>
        <v>184</v>
      </c>
      <c r="G19" s="636">
        <f>F19/F13</f>
        <v>0.50410958904109593</v>
      </c>
      <c r="H19" s="123">
        <f t="shared" si="1"/>
        <v>-3747.9936457066588</v>
      </c>
      <c r="I19" s="123">
        <f t="shared" si="2"/>
        <v>-1048023.8451395981</v>
      </c>
      <c r="J19" s="4">
        <f t="shared" si="4"/>
        <v>7</v>
      </c>
    </row>
    <row r="20" spans="1:10" x14ac:dyDescent="0.35">
      <c r="A20" s="4">
        <f t="shared" si="3"/>
        <v>8</v>
      </c>
      <c r="B20" s="633" t="s">
        <v>1656</v>
      </c>
      <c r="C20" s="875">
        <f>('Stmt AF'!$G$17-'Stmt AF'!$E$17)/12</f>
        <v>-7434.8786993637523</v>
      </c>
      <c r="D20" s="123">
        <f t="shared" si="5"/>
        <v>-1068332.2672307368</v>
      </c>
      <c r="E20" s="641">
        <v>31</v>
      </c>
      <c r="F20" s="642">
        <f t="shared" si="0"/>
        <v>153</v>
      </c>
      <c r="G20" s="636">
        <f>F20/F13</f>
        <v>0.41917808219178082</v>
      </c>
      <c r="H20" s="123">
        <f t="shared" si="1"/>
        <v>-3116.5381945278195</v>
      </c>
      <c r="I20" s="123">
        <f t="shared" si="2"/>
        <v>-1051140.3833341259</v>
      </c>
      <c r="J20" s="4">
        <f t="shared" si="4"/>
        <v>8</v>
      </c>
    </row>
    <row r="21" spans="1:10" x14ac:dyDescent="0.35">
      <c r="A21" s="4">
        <f t="shared" si="3"/>
        <v>9</v>
      </c>
      <c r="B21" s="633" t="s">
        <v>1657</v>
      </c>
      <c r="C21" s="875">
        <f>('Stmt AF'!$G$17-'Stmt AF'!$E$17)/12</f>
        <v>-7434.8786993637523</v>
      </c>
      <c r="D21" s="123">
        <f t="shared" si="5"/>
        <v>-1075767.1459301005</v>
      </c>
      <c r="E21" s="641">
        <v>31</v>
      </c>
      <c r="F21" s="642">
        <f t="shared" si="0"/>
        <v>122</v>
      </c>
      <c r="G21" s="636">
        <f>F21/F13</f>
        <v>0.33424657534246577</v>
      </c>
      <c r="H21" s="123">
        <f t="shared" si="1"/>
        <v>-2485.0827433489803</v>
      </c>
      <c r="I21" s="123">
        <f t="shared" si="2"/>
        <v>-1053625.4660774749</v>
      </c>
      <c r="J21" s="4">
        <f t="shared" si="4"/>
        <v>9</v>
      </c>
    </row>
    <row r="22" spans="1:10" x14ac:dyDescent="0.35">
      <c r="A22" s="4">
        <f t="shared" si="3"/>
        <v>10</v>
      </c>
      <c r="B22" s="633" t="s">
        <v>1658</v>
      </c>
      <c r="C22" s="875">
        <f>('Stmt AF'!$G$17-'Stmt AF'!$E$17)/12</f>
        <v>-7434.8786993637523</v>
      </c>
      <c r="D22" s="123">
        <f t="shared" si="5"/>
        <v>-1083202.0246294641</v>
      </c>
      <c r="E22" s="641">
        <v>30</v>
      </c>
      <c r="F22" s="642">
        <f t="shared" si="0"/>
        <v>92</v>
      </c>
      <c r="G22" s="636">
        <f>F22/F13</f>
        <v>0.25205479452054796</v>
      </c>
      <c r="H22" s="123">
        <f t="shared" si="1"/>
        <v>-1873.9968228533294</v>
      </c>
      <c r="I22" s="123">
        <f t="shared" si="2"/>
        <v>-1055499.4629003282</v>
      </c>
      <c r="J22" s="4">
        <f t="shared" si="4"/>
        <v>10</v>
      </c>
    </row>
    <row r="23" spans="1:10" x14ac:dyDescent="0.35">
      <c r="A23" s="4">
        <f t="shared" si="3"/>
        <v>11</v>
      </c>
      <c r="B23" s="633" t="s">
        <v>1659</v>
      </c>
      <c r="C23" s="875">
        <f>('Stmt AF'!$G$17-'Stmt AF'!$E$17)/12</f>
        <v>-7434.8786993637523</v>
      </c>
      <c r="D23" s="123">
        <f t="shared" si="5"/>
        <v>-1090636.9033288278</v>
      </c>
      <c r="E23" s="641">
        <v>31</v>
      </c>
      <c r="F23" s="642">
        <f t="shared" si="0"/>
        <v>61</v>
      </c>
      <c r="G23" s="636">
        <f>F23/F13</f>
        <v>0.16712328767123288</v>
      </c>
      <c r="H23" s="123">
        <f t="shared" si="1"/>
        <v>-1242.5413716744902</v>
      </c>
      <c r="I23" s="123">
        <f t="shared" si="2"/>
        <v>-1056742.0042720027</v>
      </c>
      <c r="J23" s="4">
        <f t="shared" si="4"/>
        <v>11</v>
      </c>
    </row>
    <row r="24" spans="1:10" x14ac:dyDescent="0.35">
      <c r="A24" s="4">
        <f t="shared" si="3"/>
        <v>12</v>
      </c>
      <c r="B24" s="633" t="s">
        <v>1660</v>
      </c>
      <c r="C24" s="875">
        <f>('Stmt AF'!$G$17-'Stmt AF'!$E$17)/12</f>
        <v>-7434.8786993637523</v>
      </c>
      <c r="D24" s="123">
        <f t="shared" si="5"/>
        <v>-1098071.7820281915</v>
      </c>
      <c r="E24" s="641">
        <v>30</v>
      </c>
      <c r="F24" s="642">
        <f t="shared" si="0"/>
        <v>31</v>
      </c>
      <c r="G24" s="636">
        <f>F24/F13</f>
        <v>8.4931506849315067E-2</v>
      </c>
      <c r="H24" s="123">
        <f t="shared" si="1"/>
        <v>-631.45545117883921</v>
      </c>
      <c r="I24" s="123">
        <f t="shared" si="2"/>
        <v>-1057373.4597231816</v>
      </c>
      <c r="J24" s="4">
        <f t="shared" si="4"/>
        <v>12</v>
      </c>
    </row>
    <row r="25" spans="1:10" x14ac:dyDescent="0.35">
      <c r="A25" s="4">
        <f t="shared" si="3"/>
        <v>13</v>
      </c>
      <c r="B25" s="633" t="s">
        <v>1661</v>
      </c>
      <c r="C25" s="875">
        <f>('Stmt AF'!$G$17-'Stmt AF'!$E$17)/12</f>
        <v>-7434.8786993637523</v>
      </c>
      <c r="D25" s="123">
        <f t="shared" si="5"/>
        <v>-1105506.6607275552</v>
      </c>
      <c r="E25" s="641">
        <v>31</v>
      </c>
      <c r="F25" s="642">
        <f t="shared" si="0"/>
        <v>0</v>
      </c>
      <c r="G25" s="636">
        <f>F25/F13</f>
        <v>0</v>
      </c>
      <c r="H25" s="123">
        <f t="shared" si="1"/>
        <v>0</v>
      </c>
      <c r="I25" s="150">
        <f t="shared" si="2"/>
        <v>-1057373.4597231816</v>
      </c>
      <c r="J25" s="4">
        <f t="shared" si="4"/>
        <v>13</v>
      </c>
    </row>
    <row r="26" spans="1:10" x14ac:dyDescent="0.35">
      <c r="B26" s="633" t="s">
        <v>1662</v>
      </c>
      <c r="C26" s="638"/>
      <c r="D26" s="148">
        <f>'Stmt AF'!G17</f>
        <v>-1105506.6607275556</v>
      </c>
      <c r="E26" s="638"/>
      <c r="F26" s="638"/>
      <c r="G26" s="638"/>
      <c r="H26" s="638"/>
      <c r="I26" s="638"/>
    </row>
    <row r="29" spans="1:10" ht="18" x14ac:dyDescent="0.35">
      <c r="A29" s="261">
        <v>1</v>
      </c>
      <c r="B29" s="5" t="s">
        <v>1663</v>
      </c>
    </row>
    <row r="30" spans="1:10" ht="18" x14ac:dyDescent="0.35">
      <c r="A30" s="261">
        <v>2</v>
      </c>
      <c r="B30" s="5" t="s">
        <v>1664</v>
      </c>
    </row>
    <row r="73" spans="1:10" ht="18" x14ac:dyDescent="0.35">
      <c r="A73" s="261"/>
      <c r="J73" s="261"/>
    </row>
    <row r="74" spans="1:10" ht="18" x14ac:dyDescent="0.35">
      <c r="A74" s="261"/>
      <c r="J74" s="261"/>
    </row>
    <row r="75" spans="1:10" ht="18" x14ac:dyDescent="0.35">
      <c r="A75" s="261"/>
      <c r="J75" s="261"/>
    </row>
    <row r="76" spans="1:10" ht="18" x14ac:dyDescent="0.35">
      <c r="A76" s="261"/>
      <c r="J76" s="261"/>
    </row>
    <row r="77" spans="1:10" ht="18" x14ac:dyDescent="0.35">
      <c r="A77" s="261"/>
      <c r="J77" s="261"/>
    </row>
    <row r="78" spans="1:10" ht="18" x14ac:dyDescent="0.35">
      <c r="A78" s="261"/>
      <c r="J78" s="261"/>
    </row>
    <row r="79" spans="1:10" ht="18" x14ac:dyDescent="0.35">
      <c r="A79" s="261"/>
      <c r="J79" s="261"/>
    </row>
    <row r="131" spans="1:10" ht="18" x14ac:dyDescent="0.35">
      <c r="A131" s="261"/>
      <c r="J131" s="261"/>
    </row>
    <row r="132" spans="1:10" ht="18" x14ac:dyDescent="0.35">
      <c r="A132" s="261"/>
      <c r="J132" s="261"/>
    </row>
    <row r="171" spans="1:10" ht="18" x14ac:dyDescent="0.35">
      <c r="A171" s="261"/>
      <c r="J171" s="261"/>
    </row>
    <row r="174" spans="1:10" ht="15" x14ac:dyDescent="0.35">
      <c r="A174" s="74"/>
      <c r="J174" s="74"/>
    </row>
  </sheetData>
  <mergeCells count="5">
    <mergeCell ref="B2:I2"/>
    <mergeCell ref="B4:I4"/>
    <mergeCell ref="B3:I3"/>
    <mergeCell ref="B6:I6"/>
    <mergeCell ref="B5:I5"/>
  </mergeCells>
  <pageMargins left="0.5" right="0.5" top="0.5" bottom="0.5" header="0.25" footer="0.25"/>
  <pageSetup orientation="landscape" horizontalDpi="1200" verticalDpi="1200" r:id="rId1"/>
  <headerFooter scaleWithDoc="0">
    <oddFooter>&amp;C&amp;"Times New Roman,Regular"&amp;10Stmt AF Proration</oddFooter>
  </headerFooter>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271"/>
  <sheetViews>
    <sheetView zoomScale="80" zoomScaleNormal="80" workbookViewId="0"/>
  </sheetViews>
  <sheetFormatPr defaultColWidth="8.90625" defaultRowHeight="15.5" x14ac:dyDescent="0.35"/>
  <cols>
    <col min="1" max="1" width="5.08984375" style="4" customWidth="1"/>
    <col min="2" max="2" width="55.453125" style="34" customWidth="1"/>
    <col min="3" max="5" width="15.54296875" style="34" customWidth="1"/>
    <col min="6" max="6" width="1.54296875" style="34" customWidth="1"/>
    <col min="7" max="7" width="16.90625" style="34" customWidth="1"/>
    <col min="8" max="8" width="1.54296875" style="34" customWidth="1"/>
    <col min="9" max="9" width="41.08984375" style="264" customWidth="1"/>
    <col min="10" max="10" width="5.08984375" style="34" customWidth="1"/>
    <col min="11" max="11" width="10.08984375" style="34" customWidth="1"/>
    <col min="12" max="12" width="15" style="34" customWidth="1"/>
    <col min="13" max="13" width="10.453125" style="34" customWidth="1"/>
    <col min="14" max="16384" width="8.90625" style="34"/>
  </cols>
  <sheetData>
    <row r="1" spans="1:12" x14ac:dyDescent="0.35">
      <c r="A1" s="226"/>
      <c r="G1" s="73"/>
      <c r="H1" s="73"/>
      <c r="I1" s="434"/>
      <c r="J1" s="4"/>
      <c r="L1" s="287"/>
    </row>
    <row r="2" spans="1:12" x14ac:dyDescent="0.35">
      <c r="B2" s="1171" t="s">
        <v>0</v>
      </c>
      <c r="C2" s="1171"/>
      <c r="D2" s="1171"/>
      <c r="E2" s="1171"/>
      <c r="F2" s="1171"/>
      <c r="G2" s="1171"/>
      <c r="H2" s="1171"/>
      <c r="I2" s="1171"/>
      <c r="J2" s="4"/>
    </row>
    <row r="3" spans="1:12" x14ac:dyDescent="0.35">
      <c r="B3" s="1171" t="s">
        <v>1665</v>
      </c>
      <c r="C3" s="1171"/>
      <c r="D3" s="1171"/>
      <c r="E3" s="1171"/>
      <c r="F3" s="1171"/>
      <c r="G3" s="1171"/>
      <c r="H3" s="1171"/>
      <c r="I3" s="1171"/>
      <c r="J3" s="4"/>
    </row>
    <row r="4" spans="1:12" x14ac:dyDescent="0.35">
      <c r="B4" s="1171" t="s">
        <v>1220</v>
      </c>
      <c r="C4" s="1171"/>
      <c r="D4" s="1171"/>
      <c r="E4" s="1171"/>
      <c r="F4" s="1171"/>
      <c r="G4" s="1171"/>
      <c r="H4" s="1171"/>
      <c r="I4" s="1171"/>
      <c r="J4" s="4"/>
    </row>
    <row r="5" spans="1:12" x14ac:dyDescent="0.35">
      <c r="B5" s="1176" t="str">
        <f>'Stmt AD'!B5</f>
        <v>Base Period &amp; True-Up Period 12 - Months Ending December 31, 2022</v>
      </c>
      <c r="C5" s="1176"/>
      <c r="D5" s="1176"/>
      <c r="E5" s="1176"/>
      <c r="F5" s="1176"/>
      <c r="G5" s="1176"/>
      <c r="H5" s="1176"/>
      <c r="I5" s="1176"/>
      <c r="J5" s="4"/>
    </row>
    <row r="6" spans="1:12" x14ac:dyDescent="0.35">
      <c r="B6" s="1175" t="s">
        <v>5</v>
      </c>
      <c r="C6" s="1172"/>
      <c r="D6" s="1172"/>
      <c r="E6" s="1172"/>
      <c r="F6" s="1172"/>
      <c r="G6" s="1172"/>
      <c r="H6" s="1172"/>
      <c r="I6" s="1172"/>
      <c r="J6" s="4"/>
    </row>
    <row r="7" spans="1:12" x14ac:dyDescent="0.35">
      <c r="B7" s="4"/>
      <c r="C7" s="4"/>
      <c r="D7" s="4"/>
      <c r="E7" s="4"/>
      <c r="F7" s="4"/>
      <c r="G7" s="4"/>
      <c r="H7" s="4"/>
      <c r="I7" s="95"/>
      <c r="J7" s="4"/>
    </row>
    <row r="8" spans="1:12" x14ac:dyDescent="0.35">
      <c r="A8" s="4" t="s">
        <v>6</v>
      </c>
      <c r="B8" s="226"/>
      <c r="C8" s="226"/>
      <c r="D8" s="226"/>
      <c r="E8" s="4" t="s">
        <v>317</v>
      </c>
      <c r="F8" s="226"/>
      <c r="G8" s="226"/>
      <c r="H8" s="226"/>
      <c r="I8" s="95"/>
      <c r="J8" s="4" t="s">
        <v>6</v>
      </c>
    </row>
    <row r="9" spans="1:12" x14ac:dyDescent="0.35">
      <c r="A9" s="4" t="s">
        <v>7</v>
      </c>
      <c r="B9" s="4"/>
      <c r="C9" s="4"/>
      <c r="D9" s="4"/>
      <c r="E9" s="876" t="s">
        <v>319</v>
      </c>
      <c r="F9" s="4"/>
      <c r="G9" s="877" t="s">
        <v>8</v>
      </c>
      <c r="H9" s="226"/>
      <c r="I9" s="878" t="s">
        <v>9</v>
      </c>
      <c r="J9" s="4" t="s">
        <v>7</v>
      </c>
    </row>
    <row r="10" spans="1:12" x14ac:dyDescent="0.35">
      <c r="B10" s="4"/>
      <c r="C10" s="4"/>
      <c r="D10" s="4"/>
      <c r="E10" s="4"/>
      <c r="F10" s="4"/>
      <c r="G10" s="4"/>
      <c r="H10" s="4"/>
      <c r="I10" s="95"/>
      <c r="J10" s="4"/>
      <c r="L10" s="287"/>
    </row>
    <row r="11" spans="1:12" x14ac:dyDescent="0.35">
      <c r="A11" s="4">
        <v>1</v>
      </c>
      <c r="B11" s="259" t="s">
        <v>1221</v>
      </c>
      <c r="H11" s="226"/>
      <c r="I11" s="95"/>
      <c r="J11" s="4">
        <f>A11</f>
        <v>1</v>
      </c>
      <c r="L11" s="287"/>
    </row>
    <row r="12" spans="1:12" x14ac:dyDescent="0.35">
      <c r="A12" s="4">
        <f>A11+1</f>
        <v>2</v>
      </c>
      <c r="B12" s="34" t="s">
        <v>1222</v>
      </c>
      <c r="E12" s="4" t="s">
        <v>1223</v>
      </c>
      <c r="F12" s="5"/>
      <c r="G12" s="43">
        <f>'Stmt AV'!G12</f>
        <v>7400000</v>
      </c>
      <c r="H12" s="226"/>
      <c r="I12" s="458"/>
      <c r="J12" s="4">
        <f>J11+1</f>
        <v>2</v>
      </c>
    </row>
    <row r="13" spans="1:12" x14ac:dyDescent="0.35">
      <c r="A13" s="4">
        <f t="shared" ref="A13:A52" si="0">A12+1</f>
        <v>3</v>
      </c>
      <c r="B13" s="34" t="s">
        <v>1224</v>
      </c>
      <c r="E13" s="4" t="s">
        <v>1225</v>
      </c>
      <c r="F13" s="5"/>
      <c r="G13" s="45">
        <f>'Stmt AV'!G13</f>
        <v>0</v>
      </c>
      <c r="H13" s="226"/>
      <c r="I13" s="458"/>
      <c r="J13" s="4">
        <f t="shared" ref="J13:J52" si="1">J12+1</f>
        <v>3</v>
      </c>
    </row>
    <row r="14" spans="1:12" x14ac:dyDescent="0.35">
      <c r="A14" s="4">
        <f t="shared" si="0"/>
        <v>4</v>
      </c>
      <c r="B14" s="34" t="s">
        <v>1226</v>
      </c>
      <c r="E14" s="4" t="s">
        <v>1227</v>
      </c>
      <c r="F14" s="5"/>
      <c r="G14" s="45">
        <f>'Stmt AV'!G14</f>
        <v>400000</v>
      </c>
      <c r="H14" s="226"/>
      <c r="I14" s="458"/>
      <c r="J14" s="4">
        <f t="shared" si="1"/>
        <v>4</v>
      </c>
    </row>
    <row r="15" spans="1:12" x14ac:dyDescent="0.35">
      <c r="A15" s="4">
        <f t="shared" si="0"/>
        <v>5</v>
      </c>
      <c r="B15" s="34" t="s">
        <v>1228</v>
      </c>
      <c r="E15" s="4" t="s">
        <v>1229</v>
      </c>
      <c r="F15" s="5"/>
      <c r="G15" s="45">
        <f>'Stmt AV'!G15</f>
        <v>0</v>
      </c>
      <c r="H15" s="226"/>
      <c r="I15" s="458"/>
      <c r="J15" s="4">
        <f t="shared" si="1"/>
        <v>5</v>
      </c>
    </row>
    <row r="16" spans="1:12" x14ac:dyDescent="0.35">
      <c r="A16" s="4">
        <f t="shared" si="0"/>
        <v>6</v>
      </c>
      <c r="B16" s="34" t="s">
        <v>1230</v>
      </c>
      <c r="E16" s="4" t="s">
        <v>1231</v>
      </c>
      <c r="F16" s="5"/>
      <c r="G16" s="963">
        <f>'Stmt AV'!G16</f>
        <v>-19901.434000000001</v>
      </c>
      <c r="H16" s="226"/>
      <c r="I16" s="458"/>
      <c r="J16" s="4">
        <f t="shared" si="1"/>
        <v>6</v>
      </c>
    </row>
    <row r="17" spans="1:10" x14ac:dyDescent="0.35">
      <c r="A17" s="4">
        <f t="shared" si="0"/>
        <v>7</v>
      </c>
      <c r="B17" s="34" t="s">
        <v>1666</v>
      </c>
      <c r="G17" s="1043">
        <f>SUM(G12:G16)</f>
        <v>7780098.5659999996</v>
      </c>
      <c r="H17" s="38"/>
      <c r="I17" s="95" t="s">
        <v>548</v>
      </c>
      <c r="J17" s="4">
        <f t="shared" si="1"/>
        <v>7</v>
      </c>
    </row>
    <row r="18" spans="1:10" x14ac:dyDescent="0.35">
      <c r="A18" s="4">
        <f t="shared" si="0"/>
        <v>8</v>
      </c>
      <c r="I18" s="95"/>
      <c r="J18" s="4">
        <f t="shared" si="1"/>
        <v>8</v>
      </c>
    </row>
    <row r="19" spans="1:10" x14ac:dyDescent="0.35">
      <c r="A19" s="4">
        <f t="shared" si="0"/>
        <v>9</v>
      </c>
      <c r="B19" s="259" t="s">
        <v>1233</v>
      </c>
      <c r="G19" s="6"/>
      <c r="H19" s="226"/>
      <c r="I19" s="95"/>
      <c r="J19" s="4">
        <f t="shared" si="1"/>
        <v>9</v>
      </c>
    </row>
    <row r="20" spans="1:10" x14ac:dyDescent="0.35">
      <c r="A20" s="4">
        <f t="shared" si="0"/>
        <v>10</v>
      </c>
      <c r="B20" s="34" t="s">
        <v>1234</v>
      </c>
      <c r="E20" s="4" t="s">
        <v>1235</v>
      </c>
      <c r="F20" s="5"/>
      <c r="G20" s="43">
        <f>'Stmt AV'!G20</f>
        <v>279208.77100000001</v>
      </c>
      <c r="H20" s="226"/>
      <c r="I20" s="476"/>
      <c r="J20" s="4">
        <f t="shared" si="1"/>
        <v>10</v>
      </c>
    </row>
    <row r="21" spans="1:10" x14ac:dyDescent="0.35">
      <c r="A21" s="4">
        <f t="shared" si="0"/>
        <v>11</v>
      </c>
      <c r="B21" s="34" t="s">
        <v>1236</v>
      </c>
      <c r="E21" s="4" t="s">
        <v>1237</v>
      </c>
      <c r="F21" s="5"/>
      <c r="G21" s="45">
        <f>'Stmt AV'!G21</f>
        <v>4856.66</v>
      </c>
      <c r="H21" s="226"/>
      <c r="I21" s="476"/>
      <c r="J21" s="4">
        <f t="shared" si="1"/>
        <v>11</v>
      </c>
    </row>
    <row r="22" spans="1:10" x14ac:dyDescent="0.35">
      <c r="A22" s="4">
        <f t="shared" si="0"/>
        <v>12</v>
      </c>
      <c r="B22" s="34" t="s">
        <v>1238</v>
      </c>
      <c r="E22" s="4" t="s">
        <v>1239</v>
      </c>
      <c r="F22" s="5"/>
      <c r="G22" s="45">
        <f>'Stmt AV'!G22</f>
        <v>771.90899999999999</v>
      </c>
      <c r="H22" s="226"/>
      <c r="I22" s="476"/>
      <c r="J22" s="4">
        <f t="shared" si="1"/>
        <v>12</v>
      </c>
    </row>
    <row r="23" spans="1:10" x14ac:dyDescent="0.35">
      <c r="A23" s="4">
        <f t="shared" si="0"/>
        <v>13</v>
      </c>
      <c r="B23" s="34" t="s">
        <v>1240</v>
      </c>
      <c r="E23" s="4" t="s">
        <v>1241</v>
      </c>
      <c r="F23" s="5"/>
      <c r="G23" s="45">
        <f>'Stmt AV'!G23</f>
        <v>0</v>
      </c>
      <c r="H23" s="226"/>
      <c r="I23" s="476"/>
      <c r="J23" s="4">
        <f t="shared" si="1"/>
        <v>13</v>
      </c>
    </row>
    <row r="24" spans="1:10" x14ac:dyDescent="0.35">
      <c r="A24" s="4">
        <f t="shared" si="0"/>
        <v>14</v>
      </c>
      <c r="B24" s="34" t="s">
        <v>1242</v>
      </c>
      <c r="E24" s="4" t="s">
        <v>1243</v>
      </c>
      <c r="F24" s="5"/>
      <c r="G24" s="963">
        <f>'Stmt AV'!G24</f>
        <v>0</v>
      </c>
      <c r="H24" s="226"/>
      <c r="I24" s="476"/>
      <c r="J24" s="4">
        <f t="shared" si="1"/>
        <v>14</v>
      </c>
    </row>
    <row r="25" spans="1:10" x14ac:dyDescent="0.35">
      <c r="A25" s="4">
        <f t="shared" si="0"/>
        <v>15</v>
      </c>
      <c r="B25" s="34" t="s">
        <v>1667</v>
      </c>
      <c r="G25" s="1119">
        <f>SUM(G20:G24)</f>
        <v>284837.33999999997</v>
      </c>
      <c r="H25" s="51"/>
      <c r="I25" s="95" t="s">
        <v>1245</v>
      </c>
      <c r="J25" s="4">
        <f t="shared" si="1"/>
        <v>15</v>
      </c>
    </row>
    <row r="26" spans="1:10" x14ac:dyDescent="0.35">
      <c r="A26" s="4">
        <f t="shared" si="0"/>
        <v>16</v>
      </c>
      <c r="I26" s="95"/>
      <c r="J26" s="4">
        <f t="shared" si="1"/>
        <v>16</v>
      </c>
    </row>
    <row r="27" spans="1:10" ht="16" thickBot="1" x14ac:dyDescent="0.4">
      <c r="A27" s="4">
        <f t="shared" si="0"/>
        <v>17</v>
      </c>
      <c r="B27" s="259" t="s">
        <v>1246</v>
      </c>
      <c r="G27" s="54">
        <f>G25/G17</f>
        <v>3.6611019459930061E-2</v>
      </c>
      <c r="H27" s="29"/>
      <c r="I27" s="95" t="s">
        <v>1247</v>
      </c>
      <c r="J27" s="4">
        <f t="shared" si="1"/>
        <v>17</v>
      </c>
    </row>
    <row r="28" spans="1:10" ht="16" thickTop="1" x14ac:dyDescent="0.35">
      <c r="A28" s="4">
        <f t="shared" si="0"/>
        <v>18</v>
      </c>
      <c r="I28" s="95"/>
      <c r="J28" s="4">
        <f t="shared" si="1"/>
        <v>18</v>
      </c>
    </row>
    <row r="29" spans="1:10" x14ac:dyDescent="0.35">
      <c r="A29" s="4">
        <f t="shared" si="0"/>
        <v>19</v>
      </c>
      <c r="B29" s="259" t="s">
        <v>1248</v>
      </c>
      <c r="I29" s="95"/>
      <c r="J29" s="4">
        <f t="shared" si="1"/>
        <v>19</v>
      </c>
    </row>
    <row r="30" spans="1:10" x14ac:dyDescent="0.35">
      <c r="A30" s="4">
        <f t="shared" si="0"/>
        <v>20</v>
      </c>
      <c r="B30" s="34" t="s">
        <v>1249</v>
      </c>
      <c r="E30" s="4" t="s">
        <v>1250</v>
      </c>
      <c r="F30" s="5"/>
      <c r="G30" s="43">
        <f>'Stmt AV'!G30</f>
        <v>0</v>
      </c>
      <c r="H30" s="226"/>
      <c r="I30" s="476"/>
      <c r="J30" s="4">
        <f t="shared" si="1"/>
        <v>20</v>
      </c>
    </row>
    <row r="31" spans="1:10" x14ac:dyDescent="0.35">
      <c r="A31" s="4">
        <f t="shared" si="0"/>
        <v>21</v>
      </c>
      <c r="B31" s="34" t="s">
        <v>1251</v>
      </c>
      <c r="E31" s="4" t="s">
        <v>1252</v>
      </c>
      <c r="F31" s="5"/>
      <c r="G31" s="43">
        <f>'Stmt AV'!G31</f>
        <v>0</v>
      </c>
      <c r="H31" s="226"/>
      <c r="I31" s="476"/>
      <c r="J31" s="4">
        <f t="shared" si="1"/>
        <v>21</v>
      </c>
    </row>
    <row r="32" spans="1:10" ht="16" thickBot="1" x14ac:dyDescent="0.4">
      <c r="A32" s="4">
        <f t="shared" si="0"/>
        <v>22</v>
      </c>
      <c r="B32" s="34" t="s">
        <v>1668</v>
      </c>
      <c r="G32" s="54">
        <f>IFERROR((G31/G30),0)</f>
        <v>0</v>
      </c>
      <c r="H32" s="29"/>
      <c r="I32" s="95" t="s">
        <v>1254</v>
      </c>
      <c r="J32" s="4">
        <f t="shared" si="1"/>
        <v>22</v>
      </c>
    </row>
    <row r="33" spans="1:16" ht="16" thickTop="1" x14ac:dyDescent="0.35">
      <c r="A33" s="4">
        <f t="shared" si="0"/>
        <v>23</v>
      </c>
      <c r="I33" s="95"/>
      <c r="J33" s="4">
        <f t="shared" si="1"/>
        <v>23</v>
      </c>
    </row>
    <row r="34" spans="1:16" x14ac:dyDescent="0.35">
      <c r="A34" s="4">
        <f t="shared" si="0"/>
        <v>24</v>
      </c>
      <c r="B34" s="259" t="s">
        <v>1255</v>
      </c>
      <c r="I34" s="95"/>
      <c r="J34" s="4">
        <f t="shared" si="1"/>
        <v>24</v>
      </c>
    </row>
    <row r="35" spans="1:16" x14ac:dyDescent="0.35">
      <c r="A35" s="4">
        <f t="shared" si="0"/>
        <v>25</v>
      </c>
      <c r="B35" s="34" t="s">
        <v>1256</v>
      </c>
      <c r="E35" s="4" t="s">
        <v>1257</v>
      </c>
      <c r="F35" s="5"/>
      <c r="G35" s="43">
        <f>'Stmt AV'!G35</f>
        <v>9066194.9820000008</v>
      </c>
      <c r="H35" s="226"/>
      <c r="I35" s="476"/>
      <c r="J35" s="4">
        <f t="shared" si="1"/>
        <v>25</v>
      </c>
    </row>
    <row r="36" spans="1:16" x14ac:dyDescent="0.35">
      <c r="A36" s="4">
        <f t="shared" si="0"/>
        <v>26</v>
      </c>
      <c r="B36" s="34" t="s">
        <v>1258</v>
      </c>
      <c r="E36" s="4" t="s">
        <v>1250</v>
      </c>
      <c r="G36" s="41">
        <f>G30</f>
        <v>0</v>
      </c>
      <c r="H36" s="41"/>
      <c r="I36" s="95" t="s">
        <v>1259</v>
      </c>
      <c r="J36" s="4">
        <f t="shared" si="1"/>
        <v>26</v>
      </c>
    </row>
    <row r="37" spans="1:16" x14ac:dyDescent="0.35">
      <c r="A37" s="4">
        <f t="shared" si="0"/>
        <v>27</v>
      </c>
      <c r="B37" s="34" t="s">
        <v>1260</v>
      </c>
      <c r="E37" s="4" t="s">
        <v>1261</v>
      </c>
      <c r="G37" s="45">
        <f>'Stmt AV'!G37</f>
        <v>0</v>
      </c>
      <c r="H37" s="226"/>
      <c r="I37" s="476"/>
      <c r="J37" s="4">
        <f t="shared" si="1"/>
        <v>27</v>
      </c>
    </row>
    <row r="38" spans="1:16" x14ac:dyDescent="0.35">
      <c r="A38" s="4">
        <f t="shared" si="0"/>
        <v>28</v>
      </c>
      <c r="B38" s="34" t="s">
        <v>1262</v>
      </c>
      <c r="E38" s="4" t="s">
        <v>1263</v>
      </c>
      <c r="G38" s="45">
        <f>'Stmt AV'!G38</f>
        <v>7252.9960000000001</v>
      </c>
      <c r="H38" s="226"/>
      <c r="I38" s="476"/>
      <c r="J38" s="4">
        <f t="shared" si="1"/>
        <v>28</v>
      </c>
    </row>
    <row r="39" spans="1:16" ht="16" thickBot="1" x14ac:dyDescent="0.4">
      <c r="A39" s="4">
        <f t="shared" si="0"/>
        <v>29</v>
      </c>
      <c r="B39" s="34" t="s">
        <v>1669</v>
      </c>
      <c r="G39" s="100">
        <f>SUM(G35:G38)</f>
        <v>9073447.9780000001</v>
      </c>
      <c r="H39" s="38"/>
      <c r="I39" s="95" t="s">
        <v>1265</v>
      </c>
      <c r="J39" s="4">
        <f t="shared" si="1"/>
        <v>29</v>
      </c>
    </row>
    <row r="40" spans="1:16" ht="16.5" thickTop="1" thickBot="1" x14ac:dyDescent="0.4">
      <c r="A40" s="889">
        <f t="shared" si="0"/>
        <v>30</v>
      </c>
      <c r="B40" s="891"/>
      <c r="C40" s="891"/>
      <c r="D40" s="891"/>
      <c r="E40" s="891"/>
      <c r="F40" s="891"/>
      <c r="G40" s="891"/>
      <c r="H40" s="891"/>
      <c r="I40" s="893"/>
      <c r="J40" s="889">
        <f t="shared" si="1"/>
        <v>30</v>
      </c>
    </row>
    <row r="41" spans="1:16" x14ac:dyDescent="0.35">
      <c r="A41" s="4">
        <f>A40+1</f>
        <v>31</v>
      </c>
      <c r="I41" s="95"/>
      <c r="J41" s="4">
        <f>J40+1</f>
        <v>31</v>
      </c>
    </row>
    <row r="42" spans="1:16" ht="16" thickBot="1" x14ac:dyDescent="0.4">
      <c r="A42" s="4">
        <f>A41+1</f>
        <v>32</v>
      </c>
      <c r="B42" s="259" t="s">
        <v>1670</v>
      </c>
      <c r="G42" s="139">
        <v>0.10100000000000001</v>
      </c>
      <c r="H42" s="226"/>
      <c r="I42" s="95" t="s">
        <v>1267</v>
      </c>
      <c r="J42" s="4">
        <f>J41+1</f>
        <v>32</v>
      </c>
      <c r="P42" s="287"/>
    </row>
    <row r="43" spans="1:16" ht="16" thickTop="1" x14ac:dyDescent="0.35">
      <c r="A43" s="4">
        <f t="shared" si="0"/>
        <v>33</v>
      </c>
      <c r="C43" s="37" t="s">
        <v>280</v>
      </c>
      <c r="D43" s="37" t="s">
        <v>281</v>
      </c>
      <c r="E43" s="37" t="s">
        <v>282</v>
      </c>
      <c r="F43" s="37"/>
      <c r="G43" s="37" t="s">
        <v>1268</v>
      </c>
      <c r="H43" s="37"/>
      <c r="I43" s="95"/>
      <c r="J43" s="4">
        <f t="shared" si="1"/>
        <v>33</v>
      </c>
    </row>
    <row r="44" spans="1:16" x14ac:dyDescent="0.35">
      <c r="A44" s="4">
        <f t="shared" si="0"/>
        <v>34</v>
      </c>
      <c r="D44" s="4" t="s">
        <v>1269</v>
      </c>
      <c r="E44" s="4" t="s">
        <v>1270</v>
      </c>
      <c r="F44" s="4"/>
      <c r="G44" s="4" t="s">
        <v>1271</v>
      </c>
      <c r="H44" s="4"/>
      <c r="I44" s="95"/>
      <c r="J44" s="4">
        <f t="shared" si="1"/>
        <v>34</v>
      </c>
    </row>
    <row r="45" spans="1:16" ht="18" x14ac:dyDescent="0.35">
      <c r="A45" s="4">
        <f t="shared" si="0"/>
        <v>35</v>
      </c>
      <c r="B45" s="259" t="s">
        <v>1272</v>
      </c>
      <c r="C45" s="876" t="s">
        <v>1273</v>
      </c>
      <c r="D45" s="876" t="s">
        <v>1274</v>
      </c>
      <c r="E45" s="876" t="s">
        <v>1275</v>
      </c>
      <c r="F45" s="876"/>
      <c r="G45" s="876" t="s">
        <v>1276</v>
      </c>
      <c r="H45" s="4"/>
      <c r="I45" s="95"/>
      <c r="J45" s="4">
        <f t="shared" si="1"/>
        <v>35</v>
      </c>
    </row>
    <row r="46" spans="1:16" x14ac:dyDescent="0.35">
      <c r="A46" s="4">
        <f t="shared" si="0"/>
        <v>36</v>
      </c>
      <c r="I46" s="95"/>
      <c r="J46" s="4">
        <f t="shared" si="1"/>
        <v>36</v>
      </c>
    </row>
    <row r="47" spans="1:16" x14ac:dyDescent="0.35">
      <c r="A47" s="4">
        <f t="shared" si="0"/>
        <v>37</v>
      </c>
      <c r="B47" s="34" t="s">
        <v>1277</v>
      </c>
      <c r="C47" s="38">
        <f>G17</f>
        <v>7780098.5659999996</v>
      </c>
      <c r="D47" s="29">
        <f>C47/C$50</f>
        <v>0.46162975523806166</v>
      </c>
      <c r="E47" s="29">
        <f>G27</f>
        <v>3.6611019459930061E-2</v>
      </c>
      <c r="G47" s="29">
        <f>D47*E47</f>
        <v>1.6900735952303427E-2</v>
      </c>
      <c r="H47" s="29"/>
      <c r="I47" s="95" t="s">
        <v>1278</v>
      </c>
      <c r="J47" s="4">
        <f t="shared" si="1"/>
        <v>37</v>
      </c>
    </row>
    <row r="48" spans="1:16" x14ac:dyDescent="0.35">
      <c r="A48" s="4">
        <f t="shared" si="0"/>
        <v>38</v>
      </c>
      <c r="B48" s="34" t="s">
        <v>1279</v>
      </c>
      <c r="C48" s="6">
        <f>G30</f>
        <v>0</v>
      </c>
      <c r="D48" s="29">
        <f>C48/C$50</f>
        <v>0</v>
      </c>
      <c r="E48" s="29">
        <f>G32</f>
        <v>0</v>
      </c>
      <c r="G48" s="29">
        <f>D48*E48</f>
        <v>0</v>
      </c>
      <c r="H48" s="29"/>
      <c r="I48" s="95" t="s">
        <v>1280</v>
      </c>
      <c r="J48" s="4">
        <f t="shared" si="1"/>
        <v>38</v>
      </c>
    </row>
    <row r="49" spans="1:10" x14ac:dyDescent="0.35">
      <c r="A49" s="4">
        <f t="shared" si="0"/>
        <v>39</v>
      </c>
      <c r="B49" s="34" t="s">
        <v>1281</v>
      </c>
      <c r="C49" s="6">
        <f>G39</f>
        <v>9073447.9780000001</v>
      </c>
      <c r="D49" s="1121">
        <f>C49/C$50</f>
        <v>0.5383702447619384</v>
      </c>
      <c r="E49" s="50">
        <f>G42</f>
        <v>0.10100000000000001</v>
      </c>
      <c r="G49" s="1121">
        <f>D49*E49</f>
        <v>5.4375394720955782E-2</v>
      </c>
      <c r="H49" s="29"/>
      <c r="I49" s="95" t="s">
        <v>1282</v>
      </c>
      <c r="J49" s="4">
        <f t="shared" si="1"/>
        <v>39</v>
      </c>
    </row>
    <row r="50" spans="1:10" ht="16" thickBot="1" x14ac:dyDescent="0.4">
      <c r="A50" s="4">
        <f t="shared" si="0"/>
        <v>40</v>
      </c>
      <c r="B50" s="34" t="s">
        <v>1671</v>
      </c>
      <c r="C50" s="100">
        <f>SUM(C47:C49)</f>
        <v>16853546.544</v>
      </c>
      <c r="D50" s="54">
        <f>SUM(D47:D49)</f>
        <v>1</v>
      </c>
      <c r="G50" s="54">
        <f>SUM(G47:G49)</f>
        <v>7.1276130673259205E-2</v>
      </c>
      <c r="H50" s="29"/>
      <c r="I50" s="95" t="s">
        <v>1284</v>
      </c>
      <c r="J50" s="4">
        <f t="shared" si="1"/>
        <v>40</v>
      </c>
    </row>
    <row r="51" spans="1:10" ht="16" thickTop="1" x14ac:dyDescent="0.35">
      <c r="A51" s="4">
        <f t="shared" si="0"/>
        <v>41</v>
      </c>
      <c r="I51" s="95"/>
      <c r="J51" s="4">
        <f t="shared" si="1"/>
        <v>41</v>
      </c>
    </row>
    <row r="52" spans="1:10" ht="16" thickBot="1" x14ac:dyDescent="0.4">
      <c r="A52" s="4">
        <f t="shared" si="0"/>
        <v>42</v>
      </c>
      <c r="B52" s="259" t="s">
        <v>1285</v>
      </c>
      <c r="G52" s="54">
        <f>G48+G49</f>
        <v>5.4375394720955782E-2</v>
      </c>
      <c r="H52" s="29"/>
      <c r="I52" s="95" t="s">
        <v>1286</v>
      </c>
      <c r="J52" s="4">
        <f t="shared" si="1"/>
        <v>42</v>
      </c>
    </row>
    <row r="53" spans="1:10" ht="16.5" thickTop="1" thickBot="1" x14ac:dyDescent="0.4">
      <c r="A53" s="889">
        <f>A52+1</f>
        <v>43</v>
      </c>
      <c r="B53" s="891"/>
      <c r="C53" s="891"/>
      <c r="D53" s="891"/>
      <c r="E53" s="891"/>
      <c r="F53" s="891"/>
      <c r="G53" s="891"/>
      <c r="H53" s="891"/>
      <c r="I53" s="893"/>
      <c r="J53" s="889">
        <f>J52+1</f>
        <v>43</v>
      </c>
    </row>
    <row r="54" spans="1:10" x14ac:dyDescent="0.35">
      <c r="A54" s="4">
        <f>A53+1</f>
        <v>44</v>
      </c>
      <c r="I54" s="95"/>
      <c r="J54" s="4">
        <f>J53+1</f>
        <v>44</v>
      </c>
    </row>
    <row r="55" spans="1:10" ht="18.5" thickBot="1" x14ac:dyDescent="0.4">
      <c r="A55" s="4">
        <f t="shared" ref="A55:A65" si="2">A54+1</f>
        <v>45</v>
      </c>
      <c r="B55" s="259" t="s">
        <v>1672</v>
      </c>
      <c r="G55" s="139">
        <v>5.0000000000000001E-3</v>
      </c>
      <c r="H55" s="226"/>
      <c r="I55" s="434" t="s">
        <v>1267</v>
      </c>
      <c r="J55" s="4">
        <f t="shared" ref="J55:J65" si="3">J54+1</f>
        <v>45</v>
      </c>
    </row>
    <row r="56" spans="1:10" ht="16" thickTop="1" x14ac:dyDescent="0.35">
      <c r="A56" s="4">
        <f t="shared" si="2"/>
        <v>46</v>
      </c>
      <c r="C56" s="37" t="s">
        <v>280</v>
      </c>
      <c r="D56" s="37" t="s">
        <v>281</v>
      </c>
      <c r="E56" s="37" t="s">
        <v>282</v>
      </c>
      <c r="F56" s="37"/>
      <c r="G56" s="37" t="s">
        <v>1268</v>
      </c>
      <c r="H56" s="37"/>
      <c r="I56" s="95"/>
      <c r="J56" s="4">
        <f t="shared" si="3"/>
        <v>46</v>
      </c>
    </row>
    <row r="57" spans="1:10" x14ac:dyDescent="0.35">
      <c r="A57" s="4">
        <f t="shared" si="2"/>
        <v>47</v>
      </c>
      <c r="D57" s="4" t="s">
        <v>1269</v>
      </c>
      <c r="E57" s="4" t="s">
        <v>1270</v>
      </c>
      <c r="F57" s="4"/>
      <c r="G57" s="4" t="s">
        <v>1271</v>
      </c>
      <c r="H57" s="4"/>
      <c r="I57" s="95"/>
      <c r="J57" s="4">
        <f t="shared" si="3"/>
        <v>47</v>
      </c>
    </row>
    <row r="58" spans="1:10" ht="18" x14ac:dyDescent="0.35">
      <c r="A58" s="4">
        <f t="shared" si="2"/>
        <v>48</v>
      </c>
      <c r="B58" s="259" t="s">
        <v>1272</v>
      </c>
      <c r="C58" s="876" t="s">
        <v>1273</v>
      </c>
      <c r="D58" s="876" t="s">
        <v>1274</v>
      </c>
      <c r="E58" s="876" t="s">
        <v>1275</v>
      </c>
      <c r="F58" s="876"/>
      <c r="G58" s="876" t="s">
        <v>1276</v>
      </c>
      <c r="H58" s="4"/>
      <c r="I58" s="95"/>
      <c r="J58" s="4">
        <f t="shared" si="3"/>
        <v>48</v>
      </c>
    </row>
    <row r="59" spans="1:10" x14ac:dyDescent="0.35">
      <c r="A59" s="4">
        <f t="shared" si="2"/>
        <v>49</v>
      </c>
      <c r="I59" s="95"/>
      <c r="J59" s="4">
        <f t="shared" si="3"/>
        <v>49</v>
      </c>
    </row>
    <row r="60" spans="1:10" x14ac:dyDescent="0.35">
      <c r="A60" s="4">
        <f t="shared" si="2"/>
        <v>50</v>
      </c>
      <c r="B60" s="34" t="s">
        <v>1277</v>
      </c>
      <c r="C60" s="38">
        <f>G17</f>
        <v>7780098.5659999996</v>
      </c>
      <c r="D60" s="29">
        <f>C60/C$50</f>
        <v>0.46162975523806166</v>
      </c>
      <c r="E60" s="645">
        <v>0</v>
      </c>
      <c r="G60" s="29">
        <f>D60*E60</f>
        <v>0</v>
      </c>
      <c r="H60" s="29"/>
      <c r="I60" s="95" t="s">
        <v>1288</v>
      </c>
      <c r="J60" s="4">
        <f t="shared" si="3"/>
        <v>50</v>
      </c>
    </row>
    <row r="61" spans="1:10" x14ac:dyDescent="0.35">
      <c r="A61" s="4">
        <f t="shared" si="2"/>
        <v>51</v>
      </c>
      <c r="B61" s="34" t="s">
        <v>1279</v>
      </c>
      <c r="C61" s="6">
        <f>G30</f>
        <v>0</v>
      </c>
      <c r="D61" s="29">
        <f>C61/C$50</f>
        <v>0</v>
      </c>
      <c r="E61" s="645">
        <v>0</v>
      </c>
      <c r="G61" s="29">
        <f>D61*E61</f>
        <v>0</v>
      </c>
      <c r="H61" s="29"/>
      <c r="I61" s="95" t="s">
        <v>1288</v>
      </c>
      <c r="J61" s="4">
        <f t="shared" si="3"/>
        <v>51</v>
      </c>
    </row>
    <row r="62" spans="1:10" x14ac:dyDescent="0.35">
      <c r="A62" s="4">
        <f t="shared" si="2"/>
        <v>52</v>
      </c>
      <c r="B62" s="34" t="s">
        <v>1281</v>
      </c>
      <c r="C62" s="6">
        <f>G39</f>
        <v>9073447.9780000001</v>
      </c>
      <c r="D62" s="1121">
        <f>C62/C$50</f>
        <v>0.5383702447619384</v>
      </c>
      <c r="E62" s="50">
        <f>G55</f>
        <v>5.0000000000000001E-3</v>
      </c>
      <c r="G62" s="1121">
        <f>D62*E62</f>
        <v>2.691851223809692E-3</v>
      </c>
      <c r="H62" s="29"/>
      <c r="I62" s="95" t="s">
        <v>1289</v>
      </c>
      <c r="J62" s="4">
        <f t="shared" si="3"/>
        <v>52</v>
      </c>
    </row>
    <row r="63" spans="1:10" ht="16" thickBot="1" x14ac:dyDescent="0.4">
      <c r="A63" s="4">
        <f t="shared" si="2"/>
        <v>53</v>
      </c>
      <c r="B63" s="34" t="s">
        <v>1671</v>
      </c>
      <c r="C63" s="100">
        <f>SUM(C60:C62)</f>
        <v>16853546.544</v>
      </c>
      <c r="D63" s="54">
        <f>SUM(D60:D62)</f>
        <v>1</v>
      </c>
      <c r="G63" s="54">
        <f>SUM(G60:G62)</f>
        <v>2.691851223809692E-3</v>
      </c>
      <c r="H63" s="29"/>
      <c r="I63" s="95" t="s">
        <v>1290</v>
      </c>
      <c r="J63" s="4">
        <f t="shared" si="3"/>
        <v>53</v>
      </c>
    </row>
    <row r="64" spans="1:10" ht="16" thickTop="1" x14ac:dyDescent="0.35">
      <c r="A64" s="4">
        <f t="shared" si="2"/>
        <v>54</v>
      </c>
      <c r="I64" s="95"/>
      <c r="J64" s="4">
        <f t="shared" si="3"/>
        <v>54</v>
      </c>
    </row>
    <row r="65" spans="1:10" ht="16" thickBot="1" x14ac:dyDescent="0.4">
      <c r="A65" s="4">
        <f t="shared" si="2"/>
        <v>55</v>
      </c>
      <c r="B65" s="259" t="s">
        <v>1301</v>
      </c>
      <c r="G65" s="54">
        <f>G61+G62</f>
        <v>2.691851223809692E-3</v>
      </c>
      <c r="H65" s="29"/>
      <c r="I65" s="95" t="s">
        <v>1292</v>
      </c>
      <c r="J65" s="4">
        <f t="shared" si="3"/>
        <v>55</v>
      </c>
    </row>
    <row r="66" spans="1:10" ht="16" thickTop="1" x14ac:dyDescent="0.35">
      <c r="B66" s="259"/>
      <c r="G66" s="477"/>
      <c r="H66" s="477"/>
      <c r="I66" s="95"/>
      <c r="J66" s="4"/>
    </row>
    <row r="67" spans="1:10" ht="18" x14ac:dyDescent="0.35">
      <c r="A67" s="276">
        <v>1</v>
      </c>
      <c r="B67" s="34" t="s">
        <v>1293</v>
      </c>
      <c r="G67" s="73"/>
      <c r="H67" s="73"/>
      <c r="J67" s="4" t="s">
        <v>1</v>
      </c>
    </row>
    <row r="68" spans="1:10" ht="18" x14ac:dyDescent="0.35">
      <c r="A68" s="276"/>
      <c r="G68" s="73"/>
      <c r="H68" s="73"/>
      <c r="J68" s="4"/>
    </row>
    <row r="69" spans="1:10" ht="18" x14ac:dyDescent="0.35">
      <c r="A69" s="276"/>
      <c r="G69" s="73"/>
      <c r="H69" s="73"/>
      <c r="J69" s="4"/>
    </row>
    <row r="70" spans="1:10" x14ac:dyDescent="0.35">
      <c r="B70" s="1171" t="s">
        <v>0</v>
      </c>
      <c r="C70" s="1171"/>
      <c r="D70" s="1171"/>
      <c r="E70" s="1171"/>
      <c r="F70" s="1171"/>
      <c r="G70" s="1171"/>
      <c r="H70" s="1171"/>
      <c r="I70" s="1171"/>
      <c r="J70" s="4"/>
    </row>
    <row r="71" spans="1:10" x14ac:dyDescent="0.35">
      <c r="B71" s="1171" t="s">
        <v>1219</v>
      </c>
      <c r="C71" s="1171"/>
      <c r="D71" s="1171"/>
      <c r="E71" s="1171"/>
      <c r="F71" s="1171"/>
      <c r="G71" s="1171"/>
      <c r="H71" s="1171"/>
      <c r="I71" s="1171"/>
      <c r="J71" s="4"/>
    </row>
    <row r="72" spans="1:10" x14ac:dyDescent="0.35">
      <c r="B72" s="1171" t="s">
        <v>1220</v>
      </c>
      <c r="C72" s="1171"/>
      <c r="D72" s="1171"/>
      <c r="E72" s="1171"/>
      <c r="F72" s="1171"/>
      <c r="G72" s="1171"/>
      <c r="H72" s="1171"/>
      <c r="I72" s="1171"/>
      <c r="J72" s="4"/>
    </row>
    <row r="73" spans="1:10" x14ac:dyDescent="0.35">
      <c r="B73" s="1176" t="str">
        <f>B5</f>
        <v>Base Period &amp; True-Up Period 12 - Months Ending December 31, 2022</v>
      </c>
      <c r="C73" s="1176"/>
      <c r="D73" s="1176"/>
      <c r="E73" s="1176"/>
      <c r="F73" s="1176"/>
      <c r="G73" s="1176"/>
      <c r="H73" s="1176"/>
      <c r="I73" s="1176"/>
      <c r="J73" s="4"/>
    </row>
    <row r="74" spans="1:10" x14ac:dyDescent="0.35">
      <c r="B74" s="1175" t="s">
        <v>5</v>
      </c>
      <c r="C74" s="1172"/>
      <c r="D74" s="1172"/>
      <c r="E74" s="1172"/>
      <c r="F74" s="1172"/>
      <c r="G74" s="1172"/>
      <c r="H74" s="1172"/>
      <c r="I74" s="1172"/>
      <c r="J74" s="4"/>
    </row>
    <row r="75" spans="1:10" x14ac:dyDescent="0.35">
      <c r="B75" s="4"/>
      <c r="C75" s="4"/>
      <c r="D75" s="4"/>
      <c r="E75" s="4"/>
      <c r="F75" s="4"/>
      <c r="G75" s="4"/>
      <c r="H75" s="4"/>
      <c r="I75" s="95"/>
      <c r="J75" s="4"/>
    </row>
    <row r="76" spans="1:10" x14ac:dyDescent="0.35">
      <c r="A76" s="4" t="s">
        <v>6</v>
      </c>
      <c r="B76" s="226"/>
      <c r="C76" s="226"/>
      <c r="D76" s="226"/>
      <c r="E76" s="4" t="s">
        <v>317</v>
      </c>
      <c r="F76" s="226"/>
      <c r="G76" s="226"/>
      <c r="H76" s="226"/>
      <c r="I76" s="95"/>
      <c r="J76" s="4" t="s">
        <v>6</v>
      </c>
    </row>
    <row r="77" spans="1:10" x14ac:dyDescent="0.35">
      <c r="A77" s="4" t="s">
        <v>7</v>
      </c>
      <c r="B77" s="4"/>
      <c r="C77" s="4"/>
      <c r="D77" s="4"/>
      <c r="E77" s="876" t="s">
        <v>319</v>
      </c>
      <c r="F77" s="4"/>
      <c r="G77" s="877" t="s">
        <v>8</v>
      </c>
      <c r="H77" s="226"/>
      <c r="I77" s="878" t="s">
        <v>9</v>
      </c>
      <c r="J77" s="4" t="s">
        <v>7</v>
      </c>
    </row>
    <row r="78" spans="1:10" x14ac:dyDescent="0.35">
      <c r="I78" s="95"/>
      <c r="J78" s="4"/>
    </row>
    <row r="79" spans="1:10" ht="18.5" thickBot="1" x14ac:dyDescent="0.4">
      <c r="A79" s="4">
        <v>1</v>
      </c>
      <c r="B79" s="259" t="s">
        <v>1294</v>
      </c>
      <c r="G79" s="879">
        <v>0</v>
      </c>
      <c r="H79" s="226"/>
      <c r="I79" s="434"/>
      <c r="J79" s="4">
        <f>A79</f>
        <v>1</v>
      </c>
    </row>
    <row r="80" spans="1:10" ht="16" thickTop="1" x14ac:dyDescent="0.35">
      <c r="A80" s="4">
        <f t="shared" ref="A80:A102" si="4">A79+1</f>
        <v>2</v>
      </c>
      <c r="C80" s="37" t="s">
        <v>280</v>
      </c>
      <c r="D80" s="37" t="s">
        <v>281</v>
      </c>
      <c r="E80" s="37" t="s">
        <v>282</v>
      </c>
      <c r="F80" s="37"/>
      <c r="G80" s="37" t="s">
        <v>1268</v>
      </c>
      <c r="H80" s="37"/>
      <c r="I80" s="95"/>
      <c r="J80" s="4">
        <f t="shared" ref="J80:J102" si="5">J79+1</f>
        <v>2</v>
      </c>
    </row>
    <row r="81" spans="1:10" x14ac:dyDescent="0.35">
      <c r="A81" s="4">
        <f t="shared" si="4"/>
        <v>3</v>
      </c>
      <c r="D81" s="4" t="s">
        <v>1269</v>
      </c>
      <c r="E81" s="4" t="s">
        <v>1270</v>
      </c>
      <c r="F81" s="4"/>
      <c r="G81" s="4" t="s">
        <v>1271</v>
      </c>
      <c r="H81" s="4"/>
      <c r="I81" s="95"/>
      <c r="J81" s="4">
        <f t="shared" si="5"/>
        <v>3</v>
      </c>
    </row>
    <row r="82" spans="1:10" ht="18" x14ac:dyDescent="0.35">
      <c r="A82" s="4">
        <f t="shared" si="4"/>
        <v>4</v>
      </c>
      <c r="B82" s="259" t="s">
        <v>1295</v>
      </c>
      <c r="C82" s="876" t="s">
        <v>1296</v>
      </c>
      <c r="D82" s="876" t="s">
        <v>1274</v>
      </c>
      <c r="E82" s="876" t="s">
        <v>1275</v>
      </c>
      <c r="F82" s="876"/>
      <c r="G82" s="876" t="s">
        <v>1276</v>
      </c>
      <c r="H82" s="4"/>
      <c r="I82" s="95"/>
      <c r="J82" s="4">
        <f t="shared" si="5"/>
        <v>4</v>
      </c>
    </row>
    <row r="83" spans="1:10" x14ac:dyDescent="0.35">
      <c r="A83" s="4">
        <f t="shared" si="4"/>
        <v>5</v>
      </c>
      <c r="I83" s="95"/>
      <c r="J83" s="4">
        <f t="shared" si="5"/>
        <v>5</v>
      </c>
    </row>
    <row r="84" spans="1:10" x14ac:dyDescent="0.35">
      <c r="A84" s="4">
        <f t="shared" si="4"/>
        <v>6</v>
      </c>
      <c r="B84" s="34" t="s">
        <v>1277</v>
      </c>
      <c r="C84" s="880">
        <f>G17</f>
        <v>7780098.5659999996</v>
      </c>
      <c r="D84" s="881">
        <f>C84/C$87</f>
        <v>0.46162975523806166</v>
      </c>
      <c r="E84" s="29">
        <f>G27</f>
        <v>3.6611019459930061E-2</v>
      </c>
      <c r="G84" s="882">
        <f>D84*E84</f>
        <v>1.6900735952303427E-2</v>
      </c>
      <c r="H84" s="882"/>
      <c r="I84" s="95" t="s">
        <v>1297</v>
      </c>
      <c r="J84" s="4">
        <f t="shared" si="5"/>
        <v>6</v>
      </c>
    </row>
    <row r="85" spans="1:10" x14ac:dyDescent="0.35">
      <c r="A85" s="4">
        <f t="shared" si="4"/>
        <v>7</v>
      </c>
      <c r="B85" s="34" t="s">
        <v>1279</v>
      </c>
      <c r="C85" s="883">
        <f>G30</f>
        <v>0</v>
      </c>
      <c r="D85" s="881">
        <f>C85/C$87</f>
        <v>0</v>
      </c>
      <c r="E85" s="29">
        <f>G32</f>
        <v>0</v>
      </c>
      <c r="G85" s="882">
        <f>D85*E85</f>
        <v>0</v>
      </c>
      <c r="H85" s="882"/>
      <c r="I85" s="95" t="s">
        <v>1298</v>
      </c>
      <c r="J85" s="4">
        <f t="shared" si="5"/>
        <v>7</v>
      </c>
    </row>
    <row r="86" spans="1:10" x14ac:dyDescent="0.35">
      <c r="A86" s="4">
        <f t="shared" si="4"/>
        <v>8</v>
      </c>
      <c r="B86" s="34" t="s">
        <v>1281</v>
      </c>
      <c r="C86" s="883">
        <f>G39</f>
        <v>9073447.9780000001</v>
      </c>
      <c r="D86" s="884">
        <f>C86/C$87</f>
        <v>0.5383702447619384</v>
      </c>
      <c r="E86" s="50">
        <f>G79</f>
        <v>0</v>
      </c>
      <c r="G86" s="885">
        <f>D86*E86</f>
        <v>0</v>
      </c>
      <c r="H86" s="886"/>
      <c r="I86" s="95" t="s">
        <v>1299</v>
      </c>
      <c r="J86" s="4">
        <f t="shared" si="5"/>
        <v>8</v>
      </c>
    </row>
    <row r="87" spans="1:10" ht="16" thickBot="1" x14ac:dyDescent="0.4">
      <c r="A87" s="4">
        <f t="shared" si="4"/>
        <v>9</v>
      </c>
      <c r="B87" s="34" t="s">
        <v>1283</v>
      </c>
      <c r="C87" s="100">
        <f>SUM(C84:C86)</f>
        <v>16853546.544</v>
      </c>
      <c r="D87" s="887">
        <f>SUM(D83:D86)</f>
        <v>1</v>
      </c>
      <c r="G87" s="888">
        <f>SUM(G84:G86)</f>
        <v>1.6900735952303427E-2</v>
      </c>
      <c r="H87" s="886"/>
      <c r="I87" s="95" t="s">
        <v>1300</v>
      </c>
      <c r="J87" s="4">
        <f t="shared" si="5"/>
        <v>9</v>
      </c>
    </row>
    <row r="88" spans="1:10" ht="16" thickTop="1" x14ac:dyDescent="0.35">
      <c r="A88" s="4">
        <f t="shared" si="4"/>
        <v>10</v>
      </c>
      <c r="I88" s="95"/>
      <c r="J88" s="4">
        <f t="shared" si="5"/>
        <v>10</v>
      </c>
    </row>
    <row r="89" spans="1:10" ht="16" thickBot="1" x14ac:dyDescent="0.4">
      <c r="A89" s="4">
        <f t="shared" si="4"/>
        <v>11</v>
      </c>
      <c r="B89" s="259" t="s">
        <v>1301</v>
      </c>
      <c r="G89" s="888">
        <f>G85+G86</f>
        <v>0</v>
      </c>
      <c r="H89" s="886"/>
      <c r="I89" s="95" t="s">
        <v>1302</v>
      </c>
      <c r="J89" s="4">
        <f t="shared" si="5"/>
        <v>11</v>
      </c>
    </row>
    <row r="90" spans="1:10" ht="16.5" thickTop="1" thickBot="1" x14ac:dyDescent="0.4">
      <c r="A90" s="889">
        <f t="shared" si="4"/>
        <v>12</v>
      </c>
      <c r="B90" s="890"/>
      <c r="C90" s="891"/>
      <c r="D90" s="891"/>
      <c r="E90" s="891"/>
      <c r="F90" s="891"/>
      <c r="G90" s="892"/>
      <c r="H90" s="892"/>
      <c r="I90" s="893"/>
      <c r="J90" s="889">
        <f t="shared" si="5"/>
        <v>12</v>
      </c>
    </row>
    <row r="91" spans="1:10" x14ac:dyDescent="0.35">
      <c r="A91" s="4">
        <f t="shared" si="4"/>
        <v>13</v>
      </c>
      <c r="I91" s="95"/>
      <c r="J91" s="4">
        <f t="shared" si="5"/>
        <v>13</v>
      </c>
    </row>
    <row r="92" spans="1:10" ht="16" thickBot="1" x14ac:dyDescent="0.4">
      <c r="A92" s="4">
        <f t="shared" si="4"/>
        <v>14</v>
      </c>
      <c r="B92" s="259" t="s">
        <v>1287</v>
      </c>
      <c r="G92" s="879">
        <v>0</v>
      </c>
      <c r="I92" s="95" t="s">
        <v>1303</v>
      </c>
      <c r="J92" s="4">
        <f t="shared" si="5"/>
        <v>14</v>
      </c>
    </row>
    <row r="93" spans="1:10" ht="16" thickTop="1" x14ac:dyDescent="0.35">
      <c r="A93" s="4">
        <f t="shared" si="4"/>
        <v>15</v>
      </c>
      <c r="C93" s="37" t="s">
        <v>280</v>
      </c>
      <c r="D93" s="37" t="s">
        <v>281</v>
      </c>
      <c r="E93" s="37" t="s">
        <v>282</v>
      </c>
      <c r="F93" s="37"/>
      <c r="G93" s="37" t="s">
        <v>1268</v>
      </c>
      <c r="I93" s="95"/>
      <c r="J93" s="4">
        <f t="shared" si="5"/>
        <v>15</v>
      </c>
    </row>
    <row r="94" spans="1:10" x14ac:dyDescent="0.35">
      <c r="A94" s="4">
        <f t="shared" si="4"/>
        <v>16</v>
      </c>
      <c r="D94" s="4" t="s">
        <v>1269</v>
      </c>
      <c r="E94" s="4" t="s">
        <v>1270</v>
      </c>
      <c r="F94" s="4"/>
      <c r="G94" s="4" t="s">
        <v>1271</v>
      </c>
      <c r="I94" s="95"/>
      <c r="J94" s="4">
        <f t="shared" si="5"/>
        <v>16</v>
      </c>
    </row>
    <row r="95" spans="1:10" ht="18" x14ac:dyDescent="0.35">
      <c r="A95" s="4">
        <f t="shared" si="4"/>
        <v>17</v>
      </c>
      <c r="B95" s="259" t="s">
        <v>1272</v>
      </c>
      <c r="C95" s="876" t="s">
        <v>1296</v>
      </c>
      <c r="D95" s="876" t="s">
        <v>1274</v>
      </c>
      <c r="E95" s="876" t="s">
        <v>1275</v>
      </c>
      <c r="F95" s="876"/>
      <c r="G95" s="876" t="s">
        <v>1276</v>
      </c>
      <c r="I95" s="95"/>
      <c r="J95" s="4">
        <f t="shared" si="5"/>
        <v>17</v>
      </c>
    </row>
    <row r="96" spans="1:10" x14ac:dyDescent="0.35">
      <c r="A96" s="4">
        <f t="shared" si="4"/>
        <v>18</v>
      </c>
      <c r="I96" s="95"/>
      <c r="J96" s="4">
        <f t="shared" si="5"/>
        <v>18</v>
      </c>
    </row>
    <row r="97" spans="1:10" x14ac:dyDescent="0.35">
      <c r="A97" s="4">
        <f t="shared" si="4"/>
        <v>19</v>
      </c>
      <c r="B97" s="34" t="s">
        <v>1277</v>
      </c>
      <c r="C97" s="880">
        <f>G17</f>
        <v>7780098.5659999996</v>
      </c>
      <c r="D97" s="881">
        <f>C97/C$100</f>
        <v>0.46162975523806166</v>
      </c>
      <c r="E97" s="645">
        <v>0</v>
      </c>
      <c r="G97" s="882">
        <f>D97*E97</f>
        <v>0</v>
      </c>
      <c r="I97" s="95" t="s">
        <v>1288</v>
      </c>
      <c r="J97" s="4">
        <f t="shared" si="5"/>
        <v>19</v>
      </c>
    </row>
    <row r="98" spans="1:10" x14ac:dyDescent="0.35">
      <c r="A98" s="4">
        <f t="shared" si="4"/>
        <v>20</v>
      </c>
      <c r="B98" s="34" t="s">
        <v>1279</v>
      </c>
      <c r="C98" s="883">
        <f>G30</f>
        <v>0</v>
      </c>
      <c r="D98" s="881">
        <f>C98/C$100</f>
        <v>0</v>
      </c>
      <c r="E98" s="645">
        <v>0</v>
      </c>
      <c r="G98" s="882">
        <f>D98*E98</f>
        <v>0</v>
      </c>
      <c r="I98" s="95" t="s">
        <v>1288</v>
      </c>
      <c r="J98" s="4">
        <f t="shared" si="5"/>
        <v>20</v>
      </c>
    </row>
    <row r="99" spans="1:10" x14ac:dyDescent="0.35">
      <c r="A99" s="4">
        <f t="shared" si="4"/>
        <v>21</v>
      </c>
      <c r="B99" s="34" t="s">
        <v>1281</v>
      </c>
      <c r="C99" s="883">
        <f>G39</f>
        <v>9073447.9780000001</v>
      </c>
      <c r="D99" s="884">
        <f>C99/C$100</f>
        <v>0.5383702447619384</v>
      </c>
      <c r="E99" s="50">
        <f>G92</f>
        <v>0</v>
      </c>
      <c r="G99" s="885">
        <f>D99*E99</f>
        <v>0</v>
      </c>
      <c r="I99" s="95" t="s">
        <v>1304</v>
      </c>
      <c r="J99" s="4">
        <f t="shared" si="5"/>
        <v>21</v>
      </c>
    </row>
    <row r="100" spans="1:10" ht="16" thickBot="1" x14ac:dyDescent="0.4">
      <c r="A100" s="4">
        <f t="shared" si="4"/>
        <v>22</v>
      </c>
      <c r="B100" s="34" t="s">
        <v>1283</v>
      </c>
      <c r="C100" s="100">
        <f>SUM(C97:C99)</f>
        <v>16853546.544</v>
      </c>
      <c r="D100" s="887">
        <f>SUM(D97:D99)</f>
        <v>1</v>
      </c>
      <c r="G100" s="888">
        <f>SUM(G97:G99)</f>
        <v>0</v>
      </c>
      <c r="I100" s="95" t="s">
        <v>125</v>
      </c>
      <c r="J100" s="4">
        <f t="shared" si="5"/>
        <v>22</v>
      </c>
    </row>
    <row r="101" spans="1:10" ht="16" thickTop="1" x14ac:dyDescent="0.35">
      <c r="A101" s="4">
        <f t="shared" si="4"/>
        <v>23</v>
      </c>
      <c r="I101" s="95"/>
      <c r="J101" s="4">
        <f t="shared" si="5"/>
        <v>23</v>
      </c>
    </row>
    <row r="102" spans="1:10" ht="16" thickBot="1" x14ac:dyDescent="0.4">
      <c r="A102" s="4">
        <f t="shared" si="4"/>
        <v>24</v>
      </c>
      <c r="B102" s="259" t="s">
        <v>1291</v>
      </c>
      <c r="G102" s="887">
        <f>G99</f>
        <v>0</v>
      </c>
      <c r="I102" s="95" t="s">
        <v>1305</v>
      </c>
      <c r="J102" s="4">
        <f t="shared" si="5"/>
        <v>24</v>
      </c>
    </row>
    <row r="103" spans="1:10" ht="16" thickTop="1" x14ac:dyDescent="0.35">
      <c r="B103" s="259"/>
      <c r="G103" s="894"/>
      <c r="I103" s="95"/>
      <c r="J103" s="4"/>
    </row>
    <row r="104" spans="1:10" ht="18" x14ac:dyDescent="0.35">
      <c r="A104" s="276">
        <v>1</v>
      </c>
      <c r="B104" s="34" t="s">
        <v>1306</v>
      </c>
      <c r="G104" s="894"/>
      <c r="I104" s="95"/>
      <c r="J104" s="4"/>
    </row>
    <row r="105" spans="1:10" ht="18" x14ac:dyDescent="0.35">
      <c r="A105" s="276">
        <v>2</v>
      </c>
      <c r="B105" s="34" t="s">
        <v>1293</v>
      </c>
      <c r="G105" s="73"/>
      <c r="H105" s="73"/>
      <c r="J105" s="4" t="s">
        <v>1</v>
      </c>
    </row>
    <row r="106" spans="1:10" ht="18" x14ac:dyDescent="0.35">
      <c r="A106" s="276"/>
      <c r="G106" s="73"/>
      <c r="H106" s="73"/>
      <c r="J106" s="4"/>
    </row>
    <row r="107" spans="1:10" ht="18" x14ac:dyDescent="0.35">
      <c r="A107" s="276"/>
      <c r="G107" s="73"/>
      <c r="H107" s="73"/>
      <c r="J107" s="4"/>
    </row>
    <row r="108" spans="1:10" x14ac:dyDescent="0.35">
      <c r="B108" s="1171" t="s">
        <v>1673</v>
      </c>
      <c r="C108" s="1171"/>
      <c r="D108" s="1171"/>
      <c r="E108" s="1171"/>
      <c r="F108" s="1171"/>
      <c r="G108" s="1171"/>
      <c r="H108" s="1171"/>
      <c r="I108" s="1171"/>
      <c r="J108" s="4"/>
    </row>
    <row r="109" spans="1:10" x14ac:dyDescent="0.35">
      <c r="B109" s="1171" t="s">
        <v>1219</v>
      </c>
      <c r="C109" s="1171"/>
      <c r="D109" s="1171"/>
      <c r="E109" s="1171"/>
      <c r="F109" s="1171"/>
      <c r="G109" s="1171"/>
      <c r="H109" s="1171"/>
      <c r="I109" s="1171"/>
      <c r="J109" s="4"/>
    </row>
    <row r="110" spans="1:10" x14ac:dyDescent="0.35">
      <c r="B110" s="1171" t="s">
        <v>1220</v>
      </c>
      <c r="C110" s="1171"/>
      <c r="D110" s="1171"/>
      <c r="E110" s="1171"/>
      <c r="F110" s="1171"/>
      <c r="G110" s="1171"/>
      <c r="H110" s="1171"/>
      <c r="I110" s="1171"/>
      <c r="J110" s="4"/>
    </row>
    <row r="111" spans="1:10" x14ac:dyDescent="0.35">
      <c r="B111" s="1176" t="str">
        <f>B5</f>
        <v>Base Period &amp; True-Up Period 12 - Months Ending December 31, 2022</v>
      </c>
      <c r="C111" s="1176"/>
      <c r="D111" s="1176"/>
      <c r="E111" s="1176"/>
      <c r="F111" s="1176"/>
      <c r="G111" s="1176"/>
      <c r="H111" s="1176"/>
      <c r="I111" s="1176"/>
      <c r="J111" s="4"/>
    </row>
    <row r="112" spans="1:10" x14ac:dyDescent="0.35">
      <c r="B112" s="1175" t="s">
        <v>5</v>
      </c>
      <c r="C112" s="1172"/>
      <c r="D112" s="1172"/>
      <c r="E112" s="1172"/>
      <c r="F112" s="1172"/>
      <c r="G112" s="1172"/>
      <c r="H112" s="1172"/>
      <c r="I112" s="1172"/>
      <c r="J112" s="4"/>
    </row>
    <row r="113" spans="1:13" x14ac:dyDescent="0.35">
      <c r="B113" s="4"/>
      <c r="C113" s="4"/>
      <c r="D113" s="4"/>
      <c r="E113" s="4"/>
      <c r="F113" s="4"/>
      <c r="G113" s="4"/>
      <c r="H113" s="4"/>
      <c r="I113" s="95"/>
      <c r="J113" s="4"/>
    </row>
    <row r="114" spans="1:13" x14ac:dyDescent="0.35">
      <c r="A114" s="4" t="s">
        <v>6</v>
      </c>
      <c r="B114" s="226"/>
      <c r="C114" s="226"/>
      <c r="D114" s="226"/>
      <c r="E114" s="226"/>
      <c r="F114" s="226"/>
      <c r="G114" s="226"/>
      <c r="H114" s="226"/>
      <c r="I114" s="95"/>
      <c r="J114" s="4" t="s">
        <v>6</v>
      </c>
    </row>
    <row r="115" spans="1:13" x14ac:dyDescent="0.35">
      <c r="A115" s="4" t="s">
        <v>7</v>
      </c>
      <c r="B115" s="4"/>
      <c r="C115" s="4"/>
      <c r="D115" s="4"/>
      <c r="E115" s="4"/>
      <c r="F115" s="4"/>
      <c r="G115" s="876" t="s">
        <v>8</v>
      </c>
      <c r="H115" s="226"/>
      <c r="I115" s="878" t="s">
        <v>9</v>
      </c>
      <c r="J115" s="4" t="s">
        <v>7</v>
      </c>
    </row>
    <row r="116" spans="1:13" x14ac:dyDescent="0.35">
      <c r="G116" s="4"/>
      <c r="H116" s="4"/>
      <c r="I116" s="95"/>
      <c r="J116" s="4"/>
    </row>
    <row r="117" spans="1:13" ht="17.5" x14ac:dyDescent="0.35">
      <c r="A117" s="4">
        <v>1</v>
      </c>
      <c r="B117" s="259" t="s">
        <v>1307</v>
      </c>
      <c r="E117" s="226"/>
      <c r="F117" s="226"/>
      <c r="G117" s="44"/>
      <c r="H117" s="44"/>
      <c r="I117" s="95"/>
      <c r="J117" s="4">
        <f>A117</f>
        <v>1</v>
      </c>
    </row>
    <row r="118" spans="1:13" x14ac:dyDescent="0.35">
      <c r="A118" s="4">
        <f>A117+1</f>
        <v>2</v>
      </c>
      <c r="B118" s="36"/>
      <c r="E118" s="226"/>
      <c r="F118" s="226"/>
      <c r="G118" s="44"/>
      <c r="H118" s="44"/>
      <c r="I118" s="95"/>
      <c r="J118" s="4">
        <f>J117+1</f>
        <v>2</v>
      </c>
    </row>
    <row r="119" spans="1:13" x14ac:dyDescent="0.35">
      <c r="A119" s="4">
        <f>A105+1</f>
        <v>3</v>
      </c>
      <c r="B119" s="259" t="s">
        <v>1674</v>
      </c>
      <c r="E119" s="226"/>
      <c r="F119" s="226"/>
      <c r="G119" s="44"/>
      <c r="H119" s="44"/>
      <c r="I119" s="95"/>
      <c r="J119" s="4">
        <f t="shared" ref="J119:J121" si="6">J118+1</f>
        <v>3</v>
      </c>
    </row>
    <row r="120" spans="1:13" x14ac:dyDescent="0.35">
      <c r="A120" s="4">
        <f>A119+1</f>
        <v>4</v>
      </c>
      <c r="B120" s="226"/>
      <c r="C120" s="226"/>
      <c r="D120" s="226"/>
      <c r="E120" s="226"/>
      <c r="F120" s="226"/>
      <c r="G120" s="44"/>
      <c r="H120" s="44"/>
      <c r="I120" s="95"/>
      <c r="J120" s="4">
        <f t="shared" si="6"/>
        <v>4</v>
      </c>
    </row>
    <row r="121" spans="1:13" x14ac:dyDescent="0.35">
      <c r="A121" s="4">
        <f t="shared" ref="A121:A182" si="7">A120+1</f>
        <v>5</v>
      </c>
      <c r="B121" s="35" t="s">
        <v>1309</v>
      </c>
      <c r="C121" s="226"/>
      <c r="D121" s="226"/>
      <c r="E121" s="226"/>
      <c r="F121" s="226"/>
      <c r="G121" s="44"/>
      <c r="H121" s="44"/>
      <c r="I121" s="478"/>
      <c r="J121" s="4">
        <f t="shared" si="6"/>
        <v>5</v>
      </c>
    </row>
    <row r="122" spans="1:13" x14ac:dyDescent="0.35">
      <c r="A122" s="4">
        <f t="shared" si="7"/>
        <v>6</v>
      </c>
      <c r="B122" s="34" t="s">
        <v>1310</v>
      </c>
      <c r="D122" s="226"/>
      <c r="E122" s="226"/>
      <c r="F122" s="226"/>
      <c r="G122" s="140">
        <f>G52</f>
        <v>5.4375394720955782E-2</v>
      </c>
      <c r="H122" s="226"/>
      <c r="I122" s="95" t="s">
        <v>1311</v>
      </c>
      <c r="J122" s="4">
        <f t="shared" ref="J122:J182" si="8">J121+1</f>
        <v>6</v>
      </c>
      <c r="K122" s="4"/>
      <c r="L122" s="4"/>
    </row>
    <row r="123" spans="1:13" ht="15.75" customHeight="1" x14ac:dyDescent="0.35">
      <c r="A123" s="4">
        <f t="shared" si="7"/>
        <v>7</v>
      </c>
      <c r="B123" s="34" t="s">
        <v>1675</v>
      </c>
      <c r="D123" s="226"/>
      <c r="E123" s="226"/>
      <c r="F123" s="226"/>
      <c r="G123" s="24">
        <f>-('Stmt AR'!E11+'Stmt AR'!E17)</f>
        <v>3759.0100778383921</v>
      </c>
      <c r="H123" s="226"/>
      <c r="I123" s="95" t="s">
        <v>1313</v>
      </c>
      <c r="J123" s="4">
        <f t="shared" si="8"/>
        <v>7</v>
      </c>
      <c r="K123" s="4"/>
      <c r="L123" s="4"/>
    </row>
    <row r="124" spans="1:13" x14ac:dyDescent="0.35">
      <c r="A124" s="4">
        <f t="shared" si="7"/>
        <v>8</v>
      </c>
      <c r="B124" s="34" t="s">
        <v>1314</v>
      </c>
      <c r="D124" s="226"/>
      <c r="E124" s="226"/>
      <c r="F124" s="226"/>
      <c r="G124" s="115">
        <f>'Stmt AV'!G124</f>
        <v>9934.6749924400028</v>
      </c>
      <c r="H124" s="226"/>
      <c r="I124" s="434" t="s">
        <v>1315</v>
      </c>
      <c r="J124" s="4">
        <f t="shared" si="8"/>
        <v>8</v>
      </c>
      <c r="K124" s="4"/>
      <c r="L124" s="226"/>
    </row>
    <row r="125" spans="1:13" x14ac:dyDescent="0.35">
      <c r="A125" s="4">
        <f t="shared" si="7"/>
        <v>9</v>
      </c>
      <c r="B125" s="34" t="s">
        <v>1316</v>
      </c>
      <c r="D125" s="226"/>
      <c r="E125" s="522"/>
      <c r="F125" s="226"/>
      <c r="G125" s="7">
        <f>'TO5 True-Up BK-1'!E136</f>
        <v>5035629.0185127473</v>
      </c>
      <c r="H125" s="226"/>
      <c r="I125" s="95" t="s">
        <v>1676</v>
      </c>
      <c r="J125" s="4">
        <f t="shared" si="8"/>
        <v>9</v>
      </c>
      <c r="K125" s="4"/>
      <c r="L125" s="4"/>
    </row>
    <row r="126" spans="1:13" x14ac:dyDescent="0.35">
      <c r="A126" s="4">
        <f t="shared" si="7"/>
        <v>10</v>
      </c>
      <c r="B126" s="34" t="s">
        <v>1677</v>
      </c>
      <c r="D126" s="50"/>
      <c r="E126" s="226"/>
      <c r="F126" s="226"/>
      <c r="G126" s="1132">
        <v>0.21</v>
      </c>
      <c r="H126" s="226"/>
      <c r="I126" s="95" t="s">
        <v>1320</v>
      </c>
      <c r="J126" s="4">
        <f t="shared" si="8"/>
        <v>10</v>
      </c>
      <c r="K126" s="4"/>
      <c r="L126" s="4"/>
      <c r="M126" s="262"/>
    </row>
    <row r="127" spans="1:13" x14ac:dyDescent="0.35">
      <c r="A127" s="4">
        <f t="shared" si="7"/>
        <v>11</v>
      </c>
      <c r="G127" s="4"/>
      <c r="H127" s="4"/>
      <c r="J127" s="4">
        <f t="shared" si="8"/>
        <v>11</v>
      </c>
      <c r="K127" s="4"/>
      <c r="L127" s="4"/>
    </row>
    <row r="128" spans="1:13" x14ac:dyDescent="0.35">
      <c r="A128" s="4">
        <f t="shared" si="7"/>
        <v>12</v>
      </c>
      <c r="B128" s="34" t="s">
        <v>1321</v>
      </c>
      <c r="D128" s="226"/>
      <c r="E128" s="226"/>
      <c r="F128" s="226"/>
      <c r="G128" s="28">
        <f>(((G122)+(G124/G125))*G126-(G123/G125))/(1-G126)</f>
        <v>1.4033739576202535E-2</v>
      </c>
      <c r="H128" s="28"/>
      <c r="I128" s="95" t="s">
        <v>1322</v>
      </c>
      <c r="J128" s="4">
        <f t="shared" si="8"/>
        <v>12</v>
      </c>
      <c r="K128" s="4"/>
      <c r="L128" s="4"/>
      <c r="M128" s="480"/>
    </row>
    <row r="129" spans="1:14" x14ac:dyDescent="0.35">
      <c r="A129" s="4">
        <f t="shared" si="7"/>
        <v>13</v>
      </c>
      <c r="B129" s="257" t="s">
        <v>1323</v>
      </c>
      <c r="G129" s="4"/>
      <c r="H129" s="4"/>
      <c r="J129" s="4">
        <f t="shared" si="8"/>
        <v>13</v>
      </c>
    </row>
    <row r="130" spans="1:14" x14ac:dyDescent="0.35">
      <c r="A130" s="4">
        <f t="shared" si="7"/>
        <v>14</v>
      </c>
      <c r="G130" s="4"/>
      <c r="H130" s="4"/>
      <c r="J130" s="4">
        <f t="shared" si="8"/>
        <v>14</v>
      </c>
    </row>
    <row r="131" spans="1:14" x14ac:dyDescent="0.35">
      <c r="A131" s="4">
        <f t="shared" si="7"/>
        <v>15</v>
      </c>
      <c r="B131" s="259" t="s">
        <v>1324</v>
      </c>
      <c r="C131" s="226"/>
      <c r="D131" s="226"/>
      <c r="E131" s="226"/>
      <c r="F131" s="226"/>
      <c r="G131" s="141"/>
      <c r="H131" s="141"/>
      <c r="I131" s="481"/>
      <c r="J131" s="4">
        <f t="shared" si="8"/>
        <v>15</v>
      </c>
      <c r="L131" s="482"/>
    </row>
    <row r="132" spans="1:14" x14ac:dyDescent="0.35">
      <c r="A132" s="4">
        <f t="shared" si="7"/>
        <v>16</v>
      </c>
      <c r="B132" s="350"/>
      <c r="C132" s="226"/>
      <c r="D132" s="226"/>
      <c r="E132" s="226"/>
      <c r="F132" s="226"/>
      <c r="G132" s="141"/>
      <c r="H132" s="141"/>
      <c r="I132" s="483"/>
      <c r="J132" s="4">
        <f t="shared" si="8"/>
        <v>16</v>
      </c>
      <c r="L132" s="226"/>
    </row>
    <row r="133" spans="1:14" x14ac:dyDescent="0.35">
      <c r="A133" s="4">
        <f t="shared" si="7"/>
        <v>17</v>
      </c>
      <c r="B133" s="35" t="s">
        <v>1309</v>
      </c>
      <c r="C133" s="226"/>
      <c r="D133" s="226"/>
      <c r="E133" s="226"/>
      <c r="F133" s="226"/>
      <c r="G133" s="141"/>
      <c r="H133" s="141"/>
      <c r="I133" s="483"/>
      <c r="J133" s="4">
        <f t="shared" si="8"/>
        <v>17</v>
      </c>
      <c r="L133" s="226"/>
    </row>
    <row r="134" spans="1:14" x14ac:dyDescent="0.35">
      <c r="A134" s="4">
        <f t="shared" si="7"/>
        <v>18</v>
      </c>
      <c r="B134" s="34" t="s">
        <v>1310</v>
      </c>
      <c r="D134" s="226"/>
      <c r="E134" s="226"/>
      <c r="F134" s="226"/>
      <c r="G134" s="29">
        <f>G122</f>
        <v>5.4375394720955782E-2</v>
      </c>
      <c r="H134" s="29"/>
      <c r="I134" s="95" t="s">
        <v>1325</v>
      </c>
      <c r="J134" s="4">
        <f t="shared" si="8"/>
        <v>18</v>
      </c>
      <c r="L134" s="4"/>
      <c r="N134" s="263"/>
    </row>
    <row r="135" spans="1:14" x14ac:dyDescent="0.35">
      <c r="A135" s="4">
        <f t="shared" si="7"/>
        <v>19</v>
      </c>
      <c r="B135" s="34" t="s">
        <v>1326</v>
      </c>
      <c r="D135" s="226"/>
      <c r="E135" s="226"/>
      <c r="F135" s="226"/>
      <c r="G135" s="941">
        <f>-'Stmt AT'!E19</f>
        <v>0</v>
      </c>
      <c r="H135" s="29"/>
      <c r="I135" s="95" t="s">
        <v>1327</v>
      </c>
      <c r="J135" s="4">
        <f t="shared" si="8"/>
        <v>19</v>
      </c>
      <c r="L135" s="4"/>
      <c r="N135" s="263"/>
    </row>
    <row r="136" spans="1:14" x14ac:dyDescent="0.35">
      <c r="A136" s="4">
        <f t="shared" si="7"/>
        <v>20</v>
      </c>
      <c r="B136" s="34" t="s">
        <v>1314</v>
      </c>
      <c r="D136" s="226"/>
      <c r="E136" s="226"/>
      <c r="F136" s="226"/>
      <c r="G136" s="47">
        <f>G124</f>
        <v>9934.6749924400028</v>
      </c>
      <c r="H136" s="47"/>
      <c r="I136" s="95" t="s">
        <v>1328</v>
      </c>
      <c r="J136" s="4">
        <f t="shared" si="8"/>
        <v>20</v>
      </c>
      <c r="L136" s="4"/>
    </row>
    <row r="137" spans="1:14" x14ac:dyDescent="0.35">
      <c r="A137" s="4">
        <f t="shared" si="7"/>
        <v>21</v>
      </c>
      <c r="B137" s="34" t="s">
        <v>1316</v>
      </c>
      <c r="D137" s="226"/>
      <c r="E137" s="226"/>
      <c r="F137" s="226"/>
      <c r="G137" s="10">
        <f>G125</f>
        <v>5035629.0185127473</v>
      </c>
      <c r="H137" s="10"/>
      <c r="I137" s="95" t="s">
        <v>1329</v>
      </c>
      <c r="J137" s="4">
        <f t="shared" si="8"/>
        <v>21</v>
      </c>
      <c r="L137" s="4"/>
      <c r="N137" s="263"/>
    </row>
    <row r="138" spans="1:14" x14ac:dyDescent="0.35">
      <c r="A138" s="4">
        <f t="shared" si="7"/>
        <v>22</v>
      </c>
      <c r="B138" s="34" t="s">
        <v>1330</v>
      </c>
      <c r="D138" s="226"/>
      <c r="E138" s="226"/>
      <c r="F138" s="226"/>
      <c r="G138" s="28">
        <f>G128</f>
        <v>1.4033739576202535E-2</v>
      </c>
      <c r="H138" s="28"/>
      <c r="I138" s="95" t="s">
        <v>1331</v>
      </c>
      <c r="J138" s="4">
        <f t="shared" si="8"/>
        <v>22</v>
      </c>
      <c r="K138" s="4"/>
      <c r="L138" s="4"/>
      <c r="M138" s="4"/>
    </row>
    <row r="139" spans="1:14" x14ac:dyDescent="0.35">
      <c r="A139" s="4">
        <f t="shared" si="7"/>
        <v>23</v>
      </c>
      <c r="B139" s="34" t="s">
        <v>1332</v>
      </c>
      <c r="D139" s="226"/>
      <c r="E139" s="226"/>
      <c r="F139" s="226"/>
      <c r="G139" s="1123" t="s">
        <v>1333</v>
      </c>
      <c r="H139" s="226"/>
      <c r="I139" s="95" t="s">
        <v>1334</v>
      </c>
      <c r="J139" s="4">
        <f t="shared" si="8"/>
        <v>23</v>
      </c>
      <c r="K139" s="4"/>
      <c r="L139" s="4"/>
      <c r="M139" s="4"/>
    </row>
    <row r="140" spans="1:14" x14ac:dyDescent="0.35">
      <c r="A140" s="4">
        <f t="shared" si="7"/>
        <v>24</v>
      </c>
      <c r="B140" s="1"/>
      <c r="D140" s="226"/>
      <c r="E140" s="226"/>
      <c r="F140" s="226"/>
      <c r="G140" s="142"/>
      <c r="H140" s="142"/>
      <c r="I140" s="483"/>
      <c r="J140" s="4">
        <f t="shared" si="8"/>
        <v>24</v>
      </c>
      <c r="K140" s="4"/>
      <c r="L140" s="4"/>
      <c r="M140" s="4"/>
    </row>
    <row r="141" spans="1:14" x14ac:dyDescent="0.35">
      <c r="A141" s="4">
        <f t="shared" si="7"/>
        <v>25</v>
      </c>
      <c r="B141" s="34" t="s">
        <v>1335</v>
      </c>
      <c r="C141" s="4"/>
      <c r="D141" s="4"/>
      <c r="E141" s="226"/>
      <c r="F141" s="226"/>
      <c r="G141" s="1124">
        <f>(((G134)+(G136/G137)+G128)*G139-(G135/G137))/(1-G139)</f>
        <v>6.8251094440534071E-3</v>
      </c>
      <c r="H141" s="28"/>
      <c r="I141" s="95" t="s">
        <v>1336</v>
      </c>
      <c r="J141" s="4">
        <f t="shared" si="8"/>
        <v>25</v>
      </c>
      <c r="K141" s="4"/>
      <c r="L141" s="4"/>
      <c r="M141" s="4"/>
    </row>
    <row r="142" spans="1:14" x14ac:dyDescent="0.35">
      <c r="A142" s="4">
        <f t="shared" si="7"/>
        <v>26</v>
      </c>
      <c r="B142" s="257" t="s">
        <v>1678</v>
      </c>
      <c r="G142" s="4"/>
      <c r="H142" s="4"/>
      <c r="I142" s="95"/>
      <c r="J142" s="4">
        <f t="shared" si="8"/>
        <v>26</v>
      </c>
      <c r="K142" s="4"/>
      <c r="L142" s="4"/>
      <c r="M142" s="4"/>
    </row>
    <row r="143" spans="1:14" x14ac:dyDescent="0.35">
      <c r="A143" s="4">
        <f t="shared" si="7"/>
        <v>27</v>
      </c>
      <c r="G143" s="4"/>
      <c r="H143" s="4"/>
      <c r="I143" s="95"/>
      <c r="J143" s="4">
        <f t="shared" si="8"/>
        <v>27</v>
      </c>
      <c r="K143" s="4"/>
      <c r="L143" s="4"/>
      <c r="M143" s="4"/>
    </row>
    <row r="144" spans="1:14" x14ac:dyDescent="0.35">
      <c r="A144" s="4">
        <f t="shared" si="7"/>
        <v>28</v>
      </c>
      <c r="B144" s="259" t="s">
        <v>1338</v>
      </c>
      <c r="G144" s="28">
        <f>G141+G128</f>
        <v>2.0858849020255942E-2</v>
      </c>
      <c r="H144" s="28"/>
      <c r="I144" s="95" t="s">
        <v>1339</v>
      </c>
      <c r="J144" s="4">
        <f t="shared" si="8"/>
        <v>28</v>
      </c>
      <c r="K144" s="4"/>
      <c r="L144" s="4"/>
      <c r="M144" s="4"/>
    </row>
    <row r="145" spans="1:13" x14ac:dyDescent="0.35">
      <c r="A145" s="4">
        <f t="shared" si="7"/>
        <v>29</v>
      </c>
      <c r="G145" s="4"/>
      <c r="H145" s="4"/>
      <c r="I145" s="95"/>
      <c r="J145" s="4">
        <f t="shared" si="8"/>
        <v>29</v>
      </c>
      <c r="L145" s="4"/>
    </row>
    <row r="146" spans="1:13" x14ac:dyDescent="0.35">
      <c r="A146" s="4">
        <f t="shared" si="7"/>
        <v>30</v>
      </c>
      <c r="B146" s="259" t="s">
        <v>1340</v>
      </c>
      <c r="G146" s="914">
        <f>G50</f>
        <v>7.1276130673259205E-2</v>
      </c>
      <c r="H146" s="226"/>
      <c r="I146" s="95" t="s">
        <v>1341</v>
      </c>
      <c r="J146" s="4">
        <f t="shared" si="8"/>
        <v>30</v>
      </c>
      <c r="K146" s="263"/>
      <c r="L146" s="4"/>
    </row>
    <row r="147" spans="1:13" x14ac:dyDescent="0.35">
      <c r="A147" s="4">
        <f t="shared" si="7"/>
        <v>31</v>
      </c>
      <c r="G147" s="29"/>
      <c r="H147" s="29"/>
      <c r="I147" s="95"/>
      <c r="J147" s="4">
        <f t="shared" si="8"/>
        <v>31</v>
      </c>
      <c r="L147" s="4"/>
    </row>
    <row r="148" spans="1:13" ht="18" thickBot="1" x14ac:dyDescent="0.4">
      <c r="A148" s="4">
        <f t="shared" si="7"/>
        <v>32</v>
      </c>
      <c r="B148" s="259" t="s">
        <v>1342</v>
      </c>
      <c r="G148" s="143">
        <f>G144+G146</f>
        <v>9.213497969351514E-2</v>
      </c>
      <c r="H148" s="28"/>
      <c r="I148" s="95" t="s">
        <v>1343</v>
      </c>
      <c r="J148" s="4">
        <f t="shared" si="8"/>
        <v>32</v>
      </c>
      <c r="K148" s="263"/>
      <c r="L148" s="484"/>
      <c r="M148" s="480"/>
    </row>
    <row r="149" spans="1:13" ht="16.5" thickTop="1" thickBot="1" x14ac:dyDescent="0.4">
      <c r="A149" s="889">
        <f t="shared" si="7"/>
        <v>33</v>
      </c>
      <c r="B149" s="891"/>
      <c r="C149" s="891"/>
      <c r="D149" s="891"/>
      <c r="E149" s="891"/>
      <c r="F149" s="891"/>
      <c r="G149" s="889"/>
      <c r="H149" s="889"/>
      <c r="I149" s="893"/>
      <c r="J149" s="889">
        <f t="shared" si="8"/>
        <v>33</v>
      </c>
      <c r="K149" s="263"/>
      <c r="L149" s="484"/>
      <c r="M149" s="480"/>
    </row>
    <row r="150" spans="1:13" x14ac:dyDescent="0.35">
      <c r="A150" s="4">
        <f t="shared" si="7"/>
        <v>34</v>
      </c>
      <c r="G150" s="4"/>
      <c r="H150" s="4"/>
      <c r="I150" s="95"/>
      <c r="J150" s="4">
        <f t="shared" si="8"/>
        <v>34</v>
      </c>
      <c r="K150" s="263"/>
      <c r="L150" s="484"/>
      <c r="M150" s="480"/>
    </row>
    <row r="151" spans="1:13" ht="17.5" x14ac:dyDescent="0.35">
      <c r="A151" s="4">
        <f t="shared" si="7"/>
        <v>35</v>
      </c>
      <c r="B151" s="259" t="s">
        <v>1344</v>
      </c>
      <c r="E151" s="226"/>
      <c r="F151" s="226"/>
      <c r="G151" s="44"/>
      <c r="H151" s="44"/>
      <c r="I151" s="95"/>
      <c r="J151" s="4">
        <f t="shared" si="8"/>
        <v>35</v>
      </c>
      <c r="K151" s="263"/>
      <c r="L151" s="484"/>
      <c r="M151" s="480"/>
    </row>
    <row r="152" spans="1:13" x14ac:dyDescent="0.35">
      <c r="A152" s="4">
        <f t="shared" si="7"/>
        <v>36</v>
      </c>
      <c r="B152" s="36"/>
      <c r="E152" s="226"/>
      <c r="F152" s="226"/>
      <c r="G152" s="44"/>
      <c r="H152" s="44"/>
      <c r="I152" s="95"/>
      <c r="J152" s="4">
        <f t="shared" si="8"/>
        <v>36</v>
      </c>
      <c r="K152" s="263"/>
      <c r="L152" s="484"/>
      <c r="M152" s="480"/>
    </row>
    <row r="153" spans="1:13" x14ac:dyDescent="0.35">
      <c r="A153" s="4">
        <f t="shared" si="7"/>
        <v>37</v>
      </c>
      <c r="B153" s="259" t="s">
        <v>1308</v>
      </c>
      <c r="E153" s="226"/>
      <c r="F153" s="226"/>
      <c r="G153" s="44"/>
      <c r="H153" s="44"/>
      <c r="I153" s="95"/>
      <c r="J153" s="4">
        <f t="shared" si="8"/>
        <v>37</v>
      </c>
      <c r="K153" s="263"/>
      <c r="L153" s="484"/>
      <c r="M153" s="480"/>
    </row>
    <row r="154" spans="1:13" x14ac:dyDescent="0.35">
      <c r="A154" s="4">
        <f t="shared" si="7"/>
        <v>38</v>
      </c>
      <c r="B154" s="226"/>
      <c r="C154" s="226"/>
      <c r="D154" s="226"/>
      <c r="E154" s="226"/>
      <c r="F154" s="226"/>
      <c r="G154" s="44"/>
      <c r="H154" s="44"/>
      <c r="I154" s="95"/>
      <c r="J154" s="4">
        <f t="shared" si="8"/>
        <v>38</v>
      </c>
      <c r="K154" s="263"/>
      <c r="L154" s="484"/>
      <c r="M154" s="480"/>
    </row>
    <row r="155" spans="1:13" x14ac:dyDescent="0.35">
      <c r="A155" s="4">
        <f t="shared" si="7"/>
        <v>39</v>
      </c>
      <c r="B155" s="35" t="s">
        <v>1309</v>
      </c>
      <c r="C155" s="226"/>
      <c r="D155" s="226"/>
      <c r="E155" s="226"/>
      <c r="F155" s="226"/>
      <c r="G155" s="44"/>
      <c r="H155" s="44"/>
      <c r="I155" s="478"/>
      <c r="J155" s="4">
        <f t="shared" si="8"/>
        <v>39</v>
      </c>
      <c r="K155" s="263"/>
      <c r="L155" s="484"/>
      <c r="M155" s="480"/>
    </row>
    <row r="156" spans="1:13" x14ac:dyDescent="0.35">
      <c r="A156" s="4">
        <f t="shared" si="7"/>
        <v>40</v>
      </c>
      <c r="B156" s="34" t="s">
        <v>1345</v>
      </c>
      <c r="D156" s="226"/>
      <c r="E156" s="226"/>
      <c r="F156" s="226"/>
      <c r="G156" s="895">
        <f>G65</f>
        <v>2.691851223809692E-3</v>
      </c>
      <c r="H156" s="226"/>
      <c r="I156" s="95" t="s">
        <v>1346</v>
      </c>
      <c r="J156" s="4">
        <f t="shared" si="8"/>
        <v>40</v>
      </c>
      <c r="K156" s="263"/>
      <c r="L156" s="484"/>
      <c r="M156" s="480"/>
    </row>
    <row r="157" spans="1:13" x14ac:dyDescent="0.35">
      <c r="A157" s="4">
        <f t="shared" si="7"/>
        <v>41</v>
      </c>
      <c r="B157" s="34" t="s">
        <v>1312</v>
      </c>
      <c r="D157" s="226"/>
      <c r="E157" s="226"/>
      <c r="F157" s="226"/>
      <c r="G157" s="896">
        <v>0</v>
      </c>
      <c r="H157" s="226"/>
      <c r="I157" s="95" t="s">
        <v>1288</v>
      </c>
      <c r="J157" s="4">
        <f t="shared" si="8"/>
        <v>41</v>
      </c>
      <c r="K157" s="263"/>
      <c r="L157" s="484"/>
      <c r="M157" s="480"/>
    </row>
    <row r="158" spans="1:13" x14ac:dyDescent="0.35">
      <c r="A158" s="4">
        <f t="shared" si="7"/>
        <v>42</v>
      </c>
      <c r="B158" s="34" t="s">
        <v>1314</v>
      </c>
      <c r="D158" s="226"/>
      <c r="E158" s="226"/>
      <c r="F158" s="226"/>
      <c r="G158" s="896">
        <v>0</v>
      </c>
      <c r="H158" s="226"/>
      <c r="I158" s="95" t="s">
        <v>1288</v>
      </c>
      <c r="J158" s="4">
        <f t="shared" si="8"/>
        <v>42</v>
      </c>
      <c r="K158" s="263"/>
      <c r="L158" s="484"/>
      <c r="M158" s="480"/>
    </row>
    <row r="159" spans="1:13" x14ac:dyDescent="0.35">
      <c r="A159" s="4">
        <f t="shared" si="7"/>
        <v>43</v>
      </c>
      <c r="B159" s="34" t="s">
        <v>1316</v>
      </c>
      <c r="D159" s="226"/>
      <c r="E159" s="479"/>
      <c r="F159" s="226"/>
      <c r="G159" s="897">
        <f>'TO5 True-Up BK-1'!E136</f>
        <v>5035629.0185127473</v>
      </c>
      <c r="H159" s="226"/>
      <c r="I159" s="95" t="s">
        <v>1676</v>
      </c>
      <c r="J159" s="4">
        <f t="shared" si="8"/>
        <v>43</v>
      </c>
      <c r="K159" s="263"/>
      <c r="L159" s="484"/>
      <c r="M159" s="480"/>
    </row>
    <row r="160" spans="1:13" x14ac:dyDescent="0.35">
      <c r="A160" s="4">
        <f t="shared" si="7"/>
        <v>44</v>
      </c>
      <c r="B160" s="34" t="s">
        <v>1318</v>
      </c>
      <c r="D160" s="898"/>
      <c r="E160" s="226"/>
      <c r="F160" s="226"/>
      <c r="G160" s="899" t="s">
        <v>1319</v>
      </c>
      <c r="H160" s="226"/>
      <c r="I160" s="95" t="s">
        <v>1320</v>
      </c>
      <c r="J160" s="4">
        <f t="shared" si="8"/>
        <v>44</v>
      </c>
      <c r="K160" s="263"/>
      <c r="L160" s="484"/>
      <c r="M160" s="480"/>
    </row>
    <row r="161" spans="1:13" x14ac:dyDescent="0.35">
      <c r="A161" s="4">
        <f t="shared" si="7"/>
        <v>45</v>
      </c>
      <c r="G161" s="4"/>
      <c r="H161" s="4"/>
      <c r="J161" s="4">
        <f t="shared" si="8"/>
        <v>45</v>
      </c>
      <c r="K161" s="263"/>
      <c r="L161" s="484"/>
      <c r="M161" s="480"/>
    </row>
    <row r="162" spans="1:13" x14ac:dyDescent="0.35">
      <c r="A162" s="4">
        <f t="shared" si="7"/>
        <v>46</v>
      </c>
      <c r="B162" s="34" t="s">
        <v>1321</v>
      </c>
      <c r="D162" s="226"/>
      <c r="E162" s="226"/>
      <c r="F162" s="226"/>
      <c r="G162" s="900">
        <f>(((G156)+(G158/G159))*G160-(G157/G159))/(1-G160)</f>
        <v>7.1555538860763955E-4</v>
      </c>
      <c r="H162" s="900"/>
      <c r="I162" s="95" t="s">
        <v>1322</v>
      </c>
      <c r="J162" s="4">
        <f t="shared" si="8"/>
        <v>46</v>
      </c>
      <c r="K162" s="263"/>
      <c r="L162" s="484"/>
      <c r="M162" s="480"/>
    </row>
    <row r="163" spans="1:13" x14ac:dyDescent="0.35">
      <c r="A163" s="4">
        <f t="shared" si="7"/>
        <v>47</v>
      </c>
      <c r="B163" s="257" t="s">
        <v>1323</v>
      </c>
      <c r="G163" s="4"/>
      <c r="H163" s="4"/>
      <c r="J163" s="4">
        <f t="shared" si="8"/>
        <v>47</v>
      </c>
      <c r="K163" s="263"/>
      <c r="L163" s="484"/>
      <c r="M163" s="480"/>
    </row>
    <row r="164" spans="1:13" x14ac:dyDescent="0.35">
      <c r="A164" s="4">
        <f t="shared" si="7"/>
        <v>48</v>
      </c>
      <c r="G164" s="4"/>
      <c r="H164" s="4"/>
      <c r="J164" s="4">
        <f t="shared" si="8"/>
        <v>48</v>
      </c>
      <c r="K164" s="263"/>
      <c r="L164" s="484"/>
      <c r="M164" s="480"/>
    </row>
    <row r="165" spans="1:13" x14ac:dyDescent="0.35">
      <c r="A165" s="4">
        <f t="shared" si="7"/>
        <v>49</v>
      </c>
      <c r="B165" s="259" t="s">
        <v>1324</v>
      </c>
      <c r="C165" s="226"/>
      <c r="D165" s="226"/>
      <c r="E165" s="226"/>
      <c r="F165" s="226"/>
      <c r="G165" s="141"/>
      <c r="H165" s="141"/>
      <c r="I165" s="481"/>
      <c r="J165" s="4">
        <f t="shared" si="8"/>
        <v>49</v>
      </c>
      <c r="K165" s="263"/>
      <c r="L165" s="484"/>
      <c r="M165" s="480"/>
    </row>
    <row r="166" spans="1:13" x14ac:dyDescent="0.35">
      <c r="A166" s="4">
        <f t="shared" si="7"/>
        <v>50</v>
      </c>
      <c r="B166" s="350"/>
      <c r="C166" s="226"/>
      <c r="D166" s="226"/>
      <c r="E166" s="226"/>
      <c r="F166" s="226"/>
      <c r="G166" s="141"/>
      <c r="H166" s="141"/>
      <c r="I166" s="483"/>
      <c r="J166" s="4">
        <f t="shared" si="8"/>
        <v>50</v>
      </c>
      <c r="K166" s="263"/>
      <c r="L166" s="484"/>
      <c r="M166" s="480"/>
    </row>
    <row r="167" spans="1:13" x14ac:dyDescent="0.35">
      <c r="A167" s="4">
        <f t="shared" si="7"/>
        <v>51</v>
      </c>
      <c r="B167" s="35" t="s">
        <v>1309</v>
      </c>
      <c r="C167" s="226"/>
      <c r="D167" s="226"/>
      <c r="E167" s="226"/>
      <c r="F167" s="226"/>
      <c r="G167" s="141"/>
      <c r="H167" s="141"/>
      <c r="I167" s="483"/>
      <c r="J167" s="4">
        <f t="shared" si="8"/>
        <v>51</v>
      </c>
      <c r="K167" s="263"/>
      <c r="L167" s="484"/>
      <c r="M167" s="480"/>
    </row>
    <row r="168" spans="1:13" x14ac:dyDescent="0.35">
      <c r="A168" s="4">
        <f t="shared" si="7"/>
        <v>52</v>
      </c>
      <c r="B168" s="34" t="s">
        <v>1345</v>
      </c>
      <c r="D168" s="226"/>
      <c r="E168" s="226"/>
      <c r="F168" s="226"/>
      <c r="G168" s="881">
        <f>G156</f>
        <v>2.691851223809692E-3</v>
      </c>
      <c r="H168" s="881"/>
      <c r="I168" s="95" t="s">
        <v>1347</v>
      </c>
      <c r="J168" s="4">
        <f t="shared" si="8"/>
        <v>52</v>
      </c>
      <c r="K168" s="263"/>
      <c r="L168" s="484"/>
      <c r="M168" s="480"/>
    </row>
    <row r="169" spans="1:13" x14ac:dyDescent="0.35">
      <c r="A169" s="4">
        <f t="shared" si="7"/>
        <v>53</v>
      </c>
      <c r="B169" s="34" t="s">
        <v>1326</v>
      </c>
      <c r="D169" s="226"/>
      <c r="E169" s="226"/>
      <c r="F169" s="226"/>
      <c r="G169" s="144">
        <v>0</v>
      </c>
      <c r="H169" s="881"/>
      <c r="I169" s="95" t="s">
        <v>1288</v>
      </c>
      <c r="J169" s="4">
        <f t="shared" si="8"/>
        <v>53</v>
      </c>
      <c r="K169" s="263"/>
      <c r="L169" s="484"/>
      <c r="M169" s="480"/>
    </row>
    <row r="170" spans="1:13" x14ac:dyDescent="0.35">
      <c r="A170" s="4">
        <f t="shared" si="7"/>
        <v>54</v>
      </c>
      <c r="B170" s="34" t="s">
        <v>1314</v>
      </c>
      <c r="D170" s="226"/>
      <c r="E170" s="226"/>
      <c r="F170" s="226"/>
      <c r="G170" s="901">
        <f>G158</f>
        <v>0</v>
      </c>
      <c r="H170" s="901"/>
      <c r="I170" s="95" t="s">
        <v>1348</v>
      </c>
      <c r="J170" s="4">
        <f t="shared" si="8"/>
        <v>54</v>
      </c>
      <c r="K170" s="263"/>
      <c r="L170" s="484"/>
      <c r="M170" s="480"/>
    </row>
    <row r="171" spans="1:13" x14ac:dyDescent="0.35">
      <c r="A171" s="4">
        <f t="shared" si="7"/>
        <v>55</v>
      </c>
      <c r="B171" s="34" t="s">
        <v>1316</v>
      </c>
      <c r="D171" s="226"/>
      <c r="E171" s="226"/>
      <c r="F171" s="226"/>
      <c r="G171" s="902">
        <f>G159</f>
        <v>5035629.0185127473</v>
      </c>
      <c r="H171" s="902"/>
      <c r="I171" s="95" t="s">
        <v>1349</v>
      </c>
      <c r="J171" s="4">
        <f t="shared" si="8"/>
        <v>55</v>
      </c>
      <c r="K171" s="263"/>
      <c r="L171" s="484"/>
      <c r="M171" s="480"/>
    </row>
    <row r="172" spans="1:13" x14ac:dyDescent="0.35">
      <c r="A172" s="4">
        <f t="shared" si="7"/>
        <v>56</v>
      </c>
      <c r="B172" s="34" t="s">
        <v>1330</v>
      </c>
      <c r="D172" s="226"/>
      <c r="E172" s="226"/>
      <c r="F172" s="226"/>
      <c r="G172" s="903">
        <f>G162</f>
        <v>7.1555538860763955E-4</v>
      </c>
      <c r="H172" s="903"/>
      <c r="I172" s="95" t="s">
        <v>1350</v>
      </c>
      <c r="J172" s="4">
        <f t="shared" si="8"/>
        <v>56</v>
      </c>
      <c r="K172" s="263"/>
      <c r="L172" s="484"/>
      <c r="M172" s="480"/>
    </row>
    <row r="173" spans="1:13" x14ac:dyDescent="0.35">
      <c r="A173" s="4">
        <f t="shared" si="7"/>
        <v>57</v>
      </c>
      <c r="B173" s="34" t="s">
        <v>1332</v>
      </c>
      <c r="D173" s="226"/>
      <c r="E173" s="226"/>
      <c r="F173" s="226"/>
      <c r="G173" s="899" t="s">
        <v>1333</v>
      </c>
      <c r="H173" s="226"/>
      <c r="I173" s="95" t="s">
        <v>1334</v>
      </c>
      <c r="J173" s="4">
        <f t="shared" si="8"/>
        <v>57</v>
      </c>
      <c r="K173" s="263"/>
      <c r="L173" s="484"/>
      <c r="M173" s="480"/>
    </row>
    <row r="174" spans="1:13" x14ac:dyDescent="0.35">
      <c r="A174" s="4">
        <f t="shared" si="7"/>
        <v>58</v>
      </c>
      <c r="B174" s="1"/>
      <c r="D174" s="226"/>
      <c r="E174" s="226"/>
      <c r="F174" s="226"/>
      <c r="G174" s="904"/>
      <c r="H174" s="904"/>
      <c r="I174" s="483"/>
      <c r="J174" s="4">
        <f t="shared" si="8"/>
        <v>58</v>
      </c>
      <c r="K174" s="263"/>
      <c r="L174" s="484"/>
      <c r="M174" s="480"/>
    </row>
    <row r="175" spans="1:13" x14ac:dyDescent="0.35">
      <c r="A175" s="4">
        <f t="shared" si="7"/>
        <v>59</v>
      </c>
      <c r="B175" s="34" t="s">
        <v>1335</v>
      </c>
      <c r="C175" s="4"/>
      <c r="D175" s="4"/>
      <c r="E175" s="226"/>
      <c r="F175" s="226"/>
      <c r="G175" s="905">
        <f>(((G168)+(G170/G171)+G162)*G173-(G169/G171))/(1-G173)</f>
        <v>3.3042424806679698E-4</v>
      </c>
      <c r="H175" s="906"/>
      <c r="I175" s="95" t="s">
        <v>1336</v>
      </c>
      <c r="J175" s="4">
        <f t="shared" si="8"/>
        <v>59</v>
      </c>
      <c r="K175" s="263"/>
      <c r="L175" s="484"/>
      <c r="M175" s="480"/>
    </row>
    <row r="176" spans="1:13" x14ac:dyDescent="0.35">
      <c r="A176" s="4">
        <f t="shared" si="7"/>
        <v>60</v>
      </c>
      <c r="B176" s="257" t="s">
        <v>1678</v>
      </c>
      <c r="G176" s="4"/>
      <c r="H176" s="4"/>
      <c r="I176" s="95"/>
      <c r="J176" s="4">
        <f t="shared" si="8"/>
        <v>60</v>
      </c>
      <c r="K176" s="263"/>
      <c r="L176" s="484"/>
      <c r="M176" s="480"/>
    </row>
    <row r="177" spans="1:13" x14ac:dyDescent="0.35">
      <c r="A177" s="4">
        <f t="shared" si="7"/>
        <v>61</v>
      </c>
      <c r="G177" s="4"/>
      <c r="H177" s="4"/>
      <c r="I177" s="95"/>
      <c r="J177" s="4">
        <f t="shared" si="8"/>
        <v>61</v>
      </c>
      <c r="K177" s="263"/>
      <c r="L177" s="484"/>
      <c r="M177" s="480"/>
    </row>
    <row r="178" spans="1:13" x14ac:dyDescent="0.35">
      <c r="A178" s="4">
        <f t="shared" si="7"/>
        <v>62</v>
      </c>
      <c r="B178" s="259" t="s">
        <v>1338</v>
      </c>
      <c r="G178" s="900">
        <f>G175+G162</f>
        <v>1.0459796366744365E-3</v>
      </c>
      <c r="H178" s="900"/>
      <c r="I178" s="95" t="s">
        <v>1351</v>
      </c>
      <c r="J178" s="4">
        <f t="shared" si="8"/>
        <v>62</v>
      </c>
      <c r="K178" s="263"/>
      <c r="L178" s="484"/>
      <c r="M178" s="480"/>
    </row>
    <row r="179" spans="1:13" x14ac:dyDescent="0.35">
      <c r="A179" s="4">
        <f t="shared" si="7"/>
        <v>63</v>
      </c>
      <c r="G179" s="4"/>
      <c r="H179" s="4"/>
      <c r="I179" s="95"/>
      <c r="J179" s="4">
        <f t="shared" si="8"/>
        <v>63</v>
      </c>
      <c r="K179" s="263"/>
      <c r="L179" s="484"/>
      <c r="M179" s="480"/>
    </row>
    <row r="180" spans="1:13" x14ac:dyDescent="0.35">
      <c r="A180" s="4">
        <f t="shared" si="7"/>
        <v>64</v>
      </c>
      <c r="B180" s="259" t="s">
        <v>1352</v>
      </c>
      <c r="G180" s="907">
        <f>G63</f>
        <v>2.691851223809692E-3</v>
      </c>
      <c r="H180" s="226"/>
      <c r="I180" s="95" t="s">
        <v>1353</v>
      </c>
      <c r="J180" s="4">
        <f t="shared" si="8"/>
        <v>64</v>
      </c>
      <c r="K180" s="263"/>
      <c r="L180" s="484"/>
      <c r="M180" s="480"/>
    </row>
    <row r="181" spans="1:13" x14ac:dyDescent="0.35">
      <c r="A181" s="4">
        <f t="shared" si="7"/>
        <v>65</v>
      </c>
      <c r="G181" s="881"/>
      <c r="H181" s="881"/>
      <c r="I181" s="95"/>
      <c r="J181" s="4">
        <f t="shared" si="8"/>
        <v>65</v>
      </c>
      <c r="K181" s="263"/>
      <c r="L181" s="484"/>
      <c r="M181" s="480"/>
    </row>
    <row r="182" spans="1:13" ht="18" thickBot="1" x14ac:dyDescent="0.4">
      <c r="A182" s="4">
        <f t="shared" si="7"/>
        <v>66</v>
      </c>
      <c r="B182" s="259" t="s">
        <v>1354</v>
      </c>
      <c r="G182" s="908">
        <f>G178+G180</f>
        <v>3.7378308604841285E-3</v>
      </c>
      <c r="H182" s="906"/>
      <c r="I182" s="95" t="s">
        <v>1355</v>
      </c>
      <c r="J182" s="4">
        <f t="shared" si="8"/>
        <v>66</v>
      </c>
      <c r="K182" s="263"/>
      <c r="L182" s="484"/>
      <c r="M182" s="480"/>
    </row>
    <row r="183" spans="1:13" ht="16" thickTop="1" x14ac:dyDescent="0.35">
      <c r="B183" s="259"/>
      <c r="G183" s="28"/>
      <c r="H183" s="28"/>
      <c r="I183" s="95"/>
      <c r="J183" s="4"/>
      <c r="K183" s="263"/>
      <c r="L183" s="484"/>
      <c r="M183" s="480"/>
    </row>
    <row r="184" spans="1:13" x14ac:dyDescent="0.35">
      <c r="A184" s="74"/>
      <c r="B184" s="1"/>
      <c r="C184" s="486"/>
      <c r="D184" s="486"/>
      <c r="E184" s="486"/>
      <c r="F184" s="486"/>
      <c r="G184" s="77"/>
      <c r="H184" s="77"/>
      <c r="I184" s="487"/>
      <c r="J184" s="4"/>
    </row>
    <row r="185" spans="1:13" x14ac:dyDescent="0.35">
      <c r="B185" s="1171" t="s">
        <v>1673</v>
      </c>
      <c r="C185" s="1171"/>
      <c r="D185" s="1171"/>
      <c r="E185" s="1171"/>
      <c r="F185" s="1171"/>
      <c r="G185" s="1171"/>
      <c r="H185" s="1171"/>
      <c r="I185" s="1171"/>
      <c r="J185" s="4"/>
    </row>
    <row r="186" spans="1:13" x14ac:dyDescent="0.35">
      <c r="B186" s="1171" t="s">
        <v>1219</v>
      </c>
      <c r="C186" s="1171"/>
      <c r="D186" s="1171"/>
      <c r="E186" s="1171"/>
      <c r="F186" s="1171"/>
      <c r="G186" s="1171"/>
      <c r="H186" s="1171"/>
      <c r="I186" s="1171"/>
      <c r="J186" s="4"/>
    </row>
    <row r="187" spans="1:13" x14ac:dyDescent="0.35">
      <c r="B187" s="1171" t="s">
        <v>1220</v>
      </c>
      <c r="C187" s="1171"/>
      <c r="D187" s="1171"/>
      <c r="E187" s="1171"/>
      <c r="F187" s="1171"/>
      <c r="G187" s="1171"/>
      <c r="H187" s="1171"/>
      <c r="I187" s="1171"/>
      <c r="J187" s="4"/>
    </row>
    <row r="188" spans="1:13" x14ac:dyDescent="0.35">
      <c r="B188" s="1176" t="str">
        <f>B5</f>
        <v>Base Period &amp; True-Up Period 12 - Months Ending December 31, 2022</v>
      </c>
      <c r="C188" s="1176"/>
      <c r="D188" s="1176"/>
      <c r="E188" s="1176"/>
      <c r="F188" s="1176"/>
      <c r="G188" s="1176"/>
      <c r="H188" s="1176"/>
      <c r="I188" s="1176"/>
      <c r="J188" s="4"/>
    </row>
    <row r="189" spans="1:13" x14ac:dyDescent="0.35">
      <c r="B189" s="1175" t="s">
        <v>5</v>
      </c>
      <c r="C189" s="1172"/>
      <c r="D189" s="1172"/>
      <c r="E189" s="1172"/>
      <c r="F189" s="1172"/>
      <c r="G189" s="1172"/>
      <c r="H189" s="1172"/>
      <c r="I189" s="1172"/>
      <c r="J189" s="4"/>
    </row>
    <row r="190" spans="1:13" x14ac:dyDescent="0.35">
      <c r="B190" s="4"/>
      <c r="C190" s="4"/>
      <c r="D190" s="4"/>
      <c r="E190" s="4"/>
      <c r="F190" s="4"/>
      <c r="G190" s="226"/>
      <c r="H190" s="226"/>
      <c r="I190" s="95"/>
      <c r="J190" s="4"/>
    </row>
    <row r="191" spans="1:13" x14ac:dyDescent="0.35">
      <c r="A191" s="4" t="s">
        <v>6</v>
      </c>
      <c r="B191" s="226"/>
      <c r="C191" s="226"/>
      <c r="D191" s="226"/>
      <c r="E191" s="226"/>
      <c r="F191" s="226"/>
      <c r="G191" s="226"/>
      <c r="H191" s="226"/>
      <c r="I191" s="95"/>
      <c r="J191" s="4" t="s">
        <v>6</v>
      </c>
    </row>
    <row r="192" spans="1:13" x14ac:dyDescent="0.35">
      <c r="A192" s="4" t="s">
        <v>7</v>
      </c>
      <c r="B192" s="4"/>
      <c r="C192" s="4"/>
      <c r="D192" s="4"/>
      <c r="E192" s="4"/>
      <c r="F192" s="4"/>
      <c r="G192" s="876" t="s">
        <v>8</v>
      </c>
      <c r="H192" s="226"/>
      <c r="I192" s="878" t="s">
        <v>9</v>
      </c>
      <c r="J192" s="4" t="s">
        <v>7</v>
      </c>
    </row>
    <row r="193" spans="1:10" x14ac:dyDescent="0.35">
      <c r="G193" s="4"/>
      <c r="H193" s="4"/>
      <c r="I193" s="95"/>
      <c r="J193" s="4"/>
    </row>
    <row r="194" spans="1:10" ht="18" x14ac:dyDescent="0.35">
      <c r="A194" s="4">
        <v>1</v>
      </c>
      <c r="B194" s="259" t="s">
        <v>1356</v>
      </c>
      <c r="E194" s="226"/>
      <c r="F194" s="226"/>
      <c r="G194" s="44"/>
      <c r="H194" s="44"/>
      <c r="I194" s="95"/>
      <c r="J194" s="4">
        <f>A194</f>
        <v>1</v>
      </c>
    </row>
    <row r="195" spans="1:10" x14ac:dyDescent="0.35">
      <c r="A195" s="4">
        <f>A194+1</f>
        <v>2</v>
      </c>
      <c r="B195" s="36"/>
      <c r="E195" s="226"/>
      <c r="F195" s="226"/>
      <c r="G195" s="44"/>
      <c r="H195" s="44"/>
      <c r="I195" s="95"/>
      <c r="J195" s="4">
        <f>J194+1</f>
        <v>2</v>
      </c>
    </row>
    <row r="196" spans="1:10" x14ac:dyDescent="0.35">
      <c r="A196" s="4">
        <f>A195+1</f>
        <v>3</v>
      </c>
      <c r="B196" s="259" t="s">
        <v>1674</v>
      </c>
      <c r="E196" s="226"/>
      <c r="F196" s="226"/>
      <c r="G196" s="44"/>
      <c r="H196" s="44"/>
      <c r="I196" s="95"/>
      <c r="J196" s="4">
        <f>J195+1</f>
        <v>3</v>
      </c>
    </row>
    <row r="197" spans="1:10" x14ac:dyDescent="0.35">
      <c r="A197" s="4">
        <f>A196+1</f>
        <v>4</v>
      </c>
      <c r="B197" s="226"/>
      <c r="C197" s="226"/>
      <c r="D197" s="226"/>
      <c r="E197" s="226"/>
      <c r="F197" s="226"/>
      <c r="G197" s="44"/>
      <c r="H197" s="44"/>
      <c r="I197" s="95"/>
      <c r="J197" s="4">
        <f>J196+1</f>
        <v>4</v>
      </c>
    </row>
    <row r="198" spans="1:10" x14ac:dyDescent="0.35">
      <c r="A198" s="4">
        <f t="shared" ref="A198:A259" si="9">A197+1</f>
        <v>5</v>
      </c>
      <c r="B198" s="35" t="s">
        <v>1309</v>
      </c>
      <c r="C198" s="226"/>
      <c r="D198" s="226"/>
      <c r="E198" s="226"/>
      <c r="F198" s="226"/>
      <c r="G198" s="44"/>
      <c r="H198" s="44"/>
      <c r="I198" s="478"/>
      <c r="J198" s="4">
        <f t="shared" ref="J198:J259" si="10">J197+1</f>
        <v>5</v>
      </c>
    </row>
    <row r="199" spans="1:10" x14ac:dyDescent="0.35">
      <c r="A199" s="4">
        <f t="shared" si="9"/>
        <v>6</v>
      </c>
      <c r="B199" s="34" t="s">
        <v>1310</v>
      </c>
      <c r="D199" s="226"/>
      <c r="E199" s="226"/>
      <c r="F199" s="226"/>
      <c r="G199" s="140">
        <f>G89</f>
        <v>0</v>
      </c>
      <c r="H199" s="226"/>
      <c r="I199" s="95" t="s">
        <v>1357</v>
      </c>
      <c r="J199" s="4">
        <f t="shared" si="10"/>
        <v>6</v>
      </c>
    </row>
    <row r="200" spans="1:10" x14ac:dyDescent="0.35">
      <c r="A200" s="4">
        <f t="shared" si="9"/>
        <v>7</v>
      </c>
      <c r="B200" s="34" t="s">
        <v>1312</v>
      </c>
      <c r="D200" s="226"/>
      <c r="E200" s="226"/>
      <c r="F200" s="226"/>
      <c r="G200" s="144">
        <v>0</v>
      </c>
      <c r="H200" s="226"/>
      <c r="I200" s="95" t="s">
        <v>1358</v>
      </c>
      <c r="J200" s="4">
        <f t="shared" si="10"/>
        <v>7</v>
      </c>
    </row>
    <row r="201" spans="1:10" x14ac:dyDescent="0.35">
      <c r="A201" s="4">
        <f t="shared" si="9"/>
        <v>8</v>
      </c>
      <c r="B201" s="34" t="s">
        <v>1314</v>
      </c>
      <c r="D201" s="226"/>
      <c r="E201" s="226"/>
      <c r="F201" s="226"/>
      <c r="G201" s="115">
        <v>0</v>
      </c>
      <c r="H201" s="226"/>
      <c r="I201" s="434"/>
      <c r="J201" s="4">
        <f t="shared" si="10"/>
        <v>8</v>
      </c>
    </row>
    <row r="202" spans="1:10" x14ac:dyDescent="0.35">
      <c r="A202" s="4">
        <f t="shared" si="9"/>
        <v>9</v>
      </c>
      <c r="B202" s="34" t="s">
        <v>1359</v>
      </c>
      <c r="D202" s="226"/>
      <c r="E202" s="226"/>
      <c r="F202" s="226"/>
      <c r="G202" s="24">
        <f>'TO5 True-Up BK-1'!E141</f>
        <v>0</v>
      </c>
      <c r="H202" s="226"/>
      <c r="I202" s="95" t="s">
        <v>1679</v>
      </c>
      <c r="J202" s="4">
        <f t="shared" si="10"/>
        <v>9</v>
      </c>
    </row>
    <row r="203" spans="1:10" x14ac:dyDescent="0.35">
      <c r="A203" s="4">
        <f t="shared" si="9"/>
        <v>10</v>
      </c>
      <c r="B203" s="34" t="s">
        <v>1318</v>
      </c>
      <c r="D203" s="226"/>
      <c r="E203" s="226"/>
      <c r="F203" s="226"/>
      <c r="G203" s="1125">
        <f>G126</f>
        <v>0.21</v>
      </c>
      <c r="H203" s="226"/>
      <c r="I203" s="95" t="s">
        <v>1361</v>
      </c>
      <c r="J203" s="4">
        <f t="shared" si="10"/>
        <v>10</v>
      </c>
    </row>
    <row r="204" spans="1:10" x14ac:dyDescent="0.35">
      <c r="A204" s="4">
        <f t="shared" si="9"/>
        <v>11</v>
      </c>
      <c r="G204" s="4"/>
      <c r="H204" s="4"/>
      <c r="J204" s="4">
        <f t="shared" si="10"/>
        <v>11</v>
      </c>
    </row>
    <row r="205" spans="1:10" x14ac:dyDescent="0.35">
      <c r="A205" s="4">
        <f t="shared" si="9"/>
        <v>12</v>
      </c>
      <c r="B205" s="34" t="s">
        <v>1362</v>
      </c>
      <c r="D205" s="226"/>
      <c r="E205" s="226"/>
      <c r="F205" s="226"/>
      <c r="G205" s="28">
        <f>IFERROR((((G199)+(G201/G202))*G203-(G200/G202))/(1-G203),0)</f>
        <v>0</v>
      </c>
      <c r="H205" s="28"/>
      <c r="I205" s="95" t="s">
        <v>1363</v>
      </c>
      <c r="J205" s="4">
        <f t="shared" si="10"/>
        <v>12</v>
      </c>
    </row>
    <row r="206" spans="1:10" x14ac:dyDescent="0.35">
      <c r="A206" s="4">
        <f t="shared" si="9"/>
        <v>13</v>
      </c>
      <c r="B206" s="257" t="s">
        <v>1323</v>
      </c>
      <c r="G206" s="29"/>
      <c r="H206" s="29"/>
      <c r="J206" s="4">
        <f t="shared" si="10"/>
        <v>13</v>
      </c>
    </row>
    <row r="207" spans="1:10" x14ac:dyDescent="0.35">
      <c r="A207" s="4">
        <f t="shared" si="9"/>
        <v>14</v>
      </c>
      <c r="G207" s="4"/>
      <c r="H207" s="4"/>
      <c r="J207" s="4">
        <f t="shared" si="10"/>
        <v>14</v>
      </c>
    </row>
    <row r="208" spans="1:10" x14ac:dyDescent="0.35">
      <c r="A208" s="4">
        <f t="shared" si="9"/>
        <v>15</v>
      </c>
      <c r="B208" s="259" t="s">
        <v>1324</v>
      </c>
      <c r="C208" s="226"/>
      <c r="D208" s="226"/>
      <c r="E208" s="226"/>
      <c r="F208" s="226"/>
      <c r="G208" s="141"/>
      <c r="H208" s="141"/>
      <c r="I208" s="481"/>
      <c r="J208" s="4">
        <f t="shared" si="10"/>
        <v>15</v>
      </c>
    </row>
    <row r="209" spans="1:10" x14ac:dyDescent="0.35">
      <c r="A209" s="4">
        <f t="shared" si="9"/>
        <v>16</v>
      </c>
      <c r="B209" s="350"/>
      <c r="C209" s="226"/>
      <c r="D209" s="226"/>
      <c r="E209" s="226"/>
      <c r="F209" s="226"/>
      <c r="G209" s="141"/>
      <c r="H209" s="141"/>
      <c r="I209" s="478"/>
      <c r="J209" s="4">
        <f t="shared" si="10"/>
        <v>16</v>
      </c>
    </row>
    <row r="210" spans="1:10" x14ac:dyDescent="0.35">
      <c r="A210" s="4">
        <f t="shared" si="9"/>
        <v>17</v>
      </c>
      <c r="B210" s="35" t="s">
        <v>1309</v>
      </c>
      <c r="C210" s="226"/>
      <c r="D210" s="226"/>
      <c r="E210" s="226"/>
      <c r="F210" s="226"/>
      <c r="G210" s="141"/>
      <c r="H210" s="141"/>
      <c r="I210" s="478"/>
      <c r="J210" s="4">
        <f t="shared" si="10"/>
        <v>17</v>
      </c>
    </row>
    <row r="211" spans="1:10" x14ac:dyDescent="0.35">
      <c r="A211" s="4">
        <f t="shared" si="9"/>
        <v>18</v>
      </c>
      <c r="B211" s="34" t="s">
        <v>1310</v>
      </c>
      <c r="D211" s="226"/>
      <c r="E211" s="226"/>
      <c r="F211" s="226"/>
      <c r="G211" s="29">
        <f>G199</f>
        <v>0</v>
      </c>
      <c r="H211" s="29"/>
      <c r="I211" s="95" t="s">
        <v>1325</v>
      </c>
      <c r="J211" s="4">
        <f t="shared" si="10"/>
        <v>18</v>
      </c>
    </row>
    <row r="212" spans="1:10" x14ac:dyDescent="0.35">
      <c r="A212" s="4">
        <f t="shared" si="9"/>
        <v>19</v>
      </c>
      <c r="B212" s="34" t="s">
        <v>1326</v>
      </c>
      <c r="D212" s="226"/>
      <c r="E212" s="226"/>
      <c r="F212" s="226"/>
      <c r="G212" s="144">
        <v>0</v>
      </c>
      <c r="H212" s="29"/>
      <c r="I212" s="95" t="s">
        <v>1358</v>
      </c>
      <c r="J212" s="4">
        <f t="shared" si="10"/>
        <v>19</v>
      </c>
    </row>
    <row r="213" spans="1:10" x14ac:dyDescent="0.35">
      <c r="A213" s="4">
        <f t="shared" si="9"/>
        <v>20</v>
      </c>
      <c r="B213" s="34" t="s">
        <v>1314</v>
      </c>
      <c r="D213" s="226"/>
      <c r="E213" s="226"/>
      <c r="F213" s="226"/>
      <c r="G213" s="47">
        <f>G201</f>
        <v>0</v>
      </c>
      <c r="H213" s="47"/>
      <c r="I213" s="95" t="s">
        <v>1328</v>
      </c>
      <c r="J213" s="4">
        <f t="shared" si="10"/>
        <v>20</v>
      </c>
    </row>
    <row r="214" spans="1:10" x14ac:dyDescent="0.35">
      <c r="A214" s="4">
        <f t="shared" si="9"/>
        <v>21</v>
      </c>
      <c r="B214" s="34" t="s">
        <v>1359</v>
      </c>
      <c r="D214" s="226"/>
      <c r="E214" s="226"/>
      <c r="F214" s="226"/>
      <c r="G214" s="47">
        <f>G202</f>
        <v>0</v>
      </c>
      <c r="H214" s="47"/>
      <c r="I214" s="95" t="s">
        <v>1329</v>
      </c>
      <c r="J214" s="4">
        <f t="shared" si="10"/>
        <v>21</v>
      </c>
    </row>
    <row r="215" spans="1:10" x14ac:dyDescent="0.35">
      <c r="A215" s="4">
        <f t="shared" si="9"/>
        <v>22</v>
      </c>
      <c r="B215" s="34" t="s">
        <v>1330</v>
      </c>
      <c r="D215" s="226"/>
      <c r="E215" s="226"/>
      <c r="F215" s="226"/>
      <c r="G215" s="28">
        <f>G205</f>
        <v>0</v>
      </c>
      <c r="H215" s="28"/>
      <c r="I215" s="95" t="s">
        <v>1331</v>
      </c>
      <c r="J215" s="4">
        <f t="shared" si="10"/>
        <v>22</v>
      </c>
    </row>
    <row r="216" spans="1:10" x14ac:dyDescent="0.35">
      <c r="A216" s="4">
        <f t="shared" si="9"/>
        <v>23</v>
      </c>
      <c r="B216" s="34" t="s">
        <v>1332</v>
      </c>
      <c r="D216" s="226"/>
      <c r="E216" s="226"/>
      <c r="F216" s="226"/>
      <c r="G216" s="986" t="str">
        <f>G139</f>
        <v>8.84%</v>
      </c>
      <c r="H216" s="226"/>
      <c r="I216" s="95" t="s">
        <v>1364</v>
      </c>
      <c r="J216" s="4">
        <f t="shared" si="10"/>
        <v>23</v>
      </c>
    </row>
    <row r="217" spans="1:10" x14ac:dyDescent="0.35">
      <c r="A217" s="4">
        <f t="shared" si="9"/>
        <v>24</v>
      </c>
      <c r="B217" s="1"/>
      <c r="D217" s="226"/>
      <c r="E217" s="226"/>
      <c r="F217" s="226"/>
      <c r="G217" s="142"/>
      <c r="H217" s="142"/>
      <c r="I217" s="483"/>
      <c r="J217" s="4">
        <f t="shared" si="10"/>
        <v>24</v>
      </c>
    </row>
    <row r="218" spans="1:10" x14ac:dyDescent="0.35">
      <c r="A218" s="4">
        <f t="shared" si="9"/>
        <v>25</v>
      </c>
      <c r="B218" s="34" t="s">
        <v>1335</v>
      </c>
      <c r="C218" s="4"/>
      <c r="D218" s="4"/>
      <c r="E218" s="226"/>
      <c r="F218" s="226"/>
      <c r="G218" s="1124">
        <f>IFERROR((((G211)+(G213/G214)+G205)*G216-(G212/G214))/(1-G216),0)</f>
        <v>0</v>
      </c>
      <c r="H218" s="28"/>
      <c r="I218" s="95" t="s">
        <v>1336</v>
      </c>
      <c r="J218" s="4">
        <f t="shared" si="10"/>
        <v>25</v>
      </c>
    </row>
    <row r="219" spans="1:10" x14ac:dyDescent="0.35">
      <c r="A219" s="4">
        <f t="shared" si="9"/>
        <v>26</v>
      </c>
      <c r="B219" s="257" t="s">
        <v>1678</v>
      </c>
      <c r="G219" s="4"/>
      <c r="H219" s="4"/>
      <c r="I219" s="95"/>
      <c r="J219" s="4">
        <f t="shared" si="10"/>
        <v>26</v>
      </c>
    </row>
    <row r="220" spans="1:10" x14ac:dyDescent="0.35">
      <c r="A220" s="4">
        <f t="shared" si="9"/>
        <v>27</v>
      </c>
      <c r="G220" s="4"/>
      <c r="H220" s="4"/>
      <c r="I220" s="95"/>
      <c r="J220" s="4">
        <f t="shared" si="10"/>
        <v>27</v>
      </c>
    </row>
    <row r="221" spans="1:10" x14ac:dyDescent="0.35">
      <c r="A221" s="4">
        <f t="shared" si="9"/>
        <v>28</v>
      </c>
      <c r="B221" s="259" t="s">
        <v>1338</v>
      </c>
      <c r="G221" s="28">
        <f>G218+G205</f>
        <v>0</v>
      </c>
      <c r="H221" s="28"/>
      <c r="I221" s="95" t="s">
        <v>1339</v>
      </c>
      <c r="J221" s="4">
        <f t="shared" si="10"/>
        <v>28</v>
      </c>
    </row>
    <row r="222" spans="1:10" x14ac:dyDescent="0.35">
      <c r="A222" s="4">
        <f t="shared" si="9"/>
        <v>29</v>
      </c>
      <c r="G222" s="4"/>
      <c r="H222" s="4"/>
      <c r="I222" s="95"/>
      <c r="J222" s="4">
        <f t="shared" si="10"/>
        <v>29</v>
      </c>
    </row>
    <row r="223" spans="1:10" x14ac:dyDescent="0.35">
      <c r="A223" s="4">
        <f t="shared" si="9"/>
        <v>30</v>
      </c>
      <c r="B223" s="259" t="s">
        <v>1365</v>
      </c>
      <c r="G223" s="914">
        <f>G87</f>
        <v>1.6900735952303427E-2</v>
      </c>
      <c r="H223" s="226"/>
      <c r="I223" s="95" t="s">
        <v>1366</v>
      </c>
      <c r="J223" s="4">
        <f t="shared" si="10"/>
        <v>30</v>
      </c>
    </row>
    <row r="224" spans="1:10" x14ac:dyDescent="0.35">
      <c r="A224" s="4">
        <f t="shared" si="9"/>
        <v>31</v>
      </c>
      <c r="G224" s="4"/>
      <c r="H224" s="4"/>
      <c r="I224" s="95"/>
      <c r="J224" s="4">
        <f t="shared" si="10"/>
        <v>31</v>
      </c>
    </row>
    <row r="225" spans="1:11" ht="18" thickBot="1" x14ac:dyDescent="0.4">
      <c r="A225" s="4">
        <f t="shared" si="9"/>
        <v>32</v>
      </c>
      <c r="B225" s="259" t="s">
        <v>1367</v>
      </c>
      <c r="G225" s="143">
        <f>G221+G223</f>
        <v>1.6900735952303427E-2</v>
      </c>
      <c r="H225" s="28"/>
      <c r="I225" s="95" t="s">
        <v>1343</v>
      </c>
      <c r="J225" s="4">
        <f t="shared" si="10"/>
        <v>32</v>
      </c>
    </row>
    <row r="226" spans="1:11" ht="16.5" thickTop="1" thickBot="1" x14ac:dyDescent="0.4">
      <c r="A226" s="889">
        <f t="shared" si="9"/>
        <v>33</v>
      </c>
      <c r="B226" s="890"/>
      <c r="C226" s="891"/>
      <c r="D226" s="891"/>
      <c r="E226" s="891"/>
      <c r="F226" s="891"/>
      <c r="G226" s="909"/>
      <c r="H226" s="909"/>
      <c r="I226" s="893"/>
      <c r="J226" s="889">
        <f t="shared" si="10"/>
        <v>33</v>
      </c>
      <c r="K226" s="263"/>
    </row>
    <row r="227" spans="1:11" x14ac:dyDescent="0.35">
      <c r="A227" s="4">
        <f t="shared" si="9"/>
        <v>34</v>
      </c>
      <c r="B227" s="259"/>
      <c r="G227" s="28"/>
      <c r="H227" s="28"/>
      <c r="I227" s="95"/>
      <c r="J227" s="4">
        <f t="shared" si="10"/>
        <v>34</v>
      </c>
      <c r="K227" s="263"/>
    </row>
    <row r="228" spans="1:11" ht="17.5" x14ac:dyDescent="0.35">
      <c r="A228" s="4">
        <f t="shared" si="9"/>
        <v>35</v>
      </c>
      <c r="B228" s="259" t="s">
        <v>1344</v>
      </c>
      <c r="E228" s="226"/>
      <c r="F228" s="226"/>
      <c r="G228" s="44"/>
      <c r="H228" s="44"/>
      <c r="I228" s="95"/>
      <c r="J228" s="4">
        <f t="shared" si="10"/>
        <v>35</v>
      </c>
      <c r="K228" s="263"/>
    </row>
    <row r="229" spans="1:11" x14ac:dyDescent="0.35">
      <c r="A229" s="4">
        <f t="shared" si="9"/>
        <v>36</v>
      </c>
      <c r="B229" s="36"/>
      <c r="E229" s="226"/>
      <c r="F229" s="226"/>
      <c r="G229" s="44"/>
      <c r="H229" s="44"/>
      <c r="I229" s="95"/>
      <c r="J229" s="4">
        <f t="shared" si="10"/>
        <v>36</v>
      </c>
      <c r="K229" s="263"/>
    </row>
    <row r="230" spans="1:11" x14ac:dyDescent="0.35">
      <c r="A230" s="4">
        <f t="shared" si="9"/>
        <v>37</v>
      </c>
      <c r="B230" s="259" t="s">
        <v>1308</v>
      </c>
      <c r="E230" s="226"/>
      <c r="F230" s="226"/>
      <c r="G230" s="44"/>
      <c r="H230" s="44"/>
      <c r="I230" s="95"/>
      <c r="J230" s="4">
        <f t="shared" si="10"/>
        <v>37</v>
      </c>
      <c r="K230" s="263"/>
    </row>
    <row r="231" spans="1:11" x14ac:dyDescent="0.35">
      <c r="A231" s="4">
        <f t="shared" si="9"/>
        <v>38</v>
      </c>
      <c r="B231" s="226"/>
      <c r="C231" s="226"/>
      <c r="D231" s="226"/>
      <c r="E231" s="226"/>
      <c r="F231" s="226"/>
      <c r="G231" s="44"/>
      <c r="H231" s="44"/>
      <c r="I231" s="95"/>
      <c r="J231" s="4">
        <f t="shared" si="10"/>
        <v>38</v>
      </c>
      <c r="K231" s="263"/>
    </row>
    <row r="232" spans="1:11" x14ac:dyDescent="0.35">
      <c r="A232" s="4">
        <f t="shared" si="9"/>
        <v>39</v>
      </c>
      <c r="B232" s="35" t="s">
        <v>1309</v>
      </c>
      <c r="C232" s="226"/>
      <c r="D232" s="226"/>
      <c r="E232" s="226"/>
      <c r="F232" s="226"/>
      <c r="G232" s="44"/>
      <c r="H232" s="44"/>
      <c r="I232" s="478"/>
      <c r="J232" s="4">
        <f t="shared" si="10"/>
        <v>39</v>
      </c>
      <c r="K232" s="263"/>
    </row>
    <row r="233" spans="1:11" x14ac:dyDescent="0.35">
      <c r="A233" s="4">
        <f t="shared" si="9"/>
        <v>40</v>
      </c>
      <c r="B233" s="34" t="s">
        <v>1345</v>
      </c>
      <c r="D233" s="226"/>
      <c r="E233" s="226"/>
      <c r="F233" s="226"/>
      <c r="G233" s="895">
        <f>G102</f>
        <v>0</v>
      </c>
      <c r="H233" s="226"/>
      <c r="I233" s="95" t="s">
        <v>1368</v>
      </c>
      <c r="J233" s="4">
        <f t="shared" si="10"/>
        <v>40</v>
      </c>
      <c r="K233" s="263"/>
    </row>
    <row r="234" spans="1:11" x14ac:dyDescent="0.35">
      <c r="A234" s="4">
        <f t="shared" si="9"/>
        <v>41</v>
      </c>
      <c r="B234" s="34" t="s">
        <v>1312</v>
      </c>
      <c r="D234" s="226"/>
      <c r="E234" s="226"/>
      <c r="F234" s="226"/>
      <c r="G234" s="896">
        <v>0</v>
      </c>
      <c r="H234" s="226"/>
      <c r="I234" s="95" t="s">
        <v>1358</v>
      </c>
      <c r="J234" s="4">
        <f t="shared" si="10"/>
        <v>41</v>
      </c>
      <c r="K234" s="263"/>
    </row>
    <row r="235" spans="1:11" x14ac:dyDescent="0.35">
      <c r="A235" s="4">
        <f t="shared" si="9"/>
        <v>42</v>
      </c>
      <c r="B235" s="34" t="s">
        <v>1314</v>
      </c>
      <c r="D235" s="226"/>
      <c r="E235" s="226"/>
      <c r="F235" s="226"/>
      <c r="G235" s="910">
        <v>0</v>
      </c>
      <c r="H235" s="226"/>
      <c r="I235" s="434"/>
      <c r="J235" s="4">
        <f t="shared" si="10"/>
        <v>42</v>
      </c>
      <c r="K235" s="263"/>
    </row>
    <row r="236" spans="1:11" x14ac:dyDescent="0.35">
      <c r="A236" s="4">
        <f t="shared" si="9"/>
        <v>43</v>
      </c>
      <c r="B236" s="34" t="s">
        <v>1359</v>
      </c>
      <c r="D236" s="226"/>
      <c r="E236" s="226"/>
      <c r="F236" s="226"/>
      <c r="G236" s="911">
        <f>'TO5 True-Up BK-1'!E141</f>
        <v>0</v>
      </c>
      <c r="H236" s="226"/>
      <c r="I236" s="95" t="s">
        <v>1679</v>
      </c>
      <c r="J236" s="4">
        <f t="shared" si="10"/>
        <v>43</v>
      </c>
      <c r="K236" s="263"/>
    </row>
    <row r="237" spans="1:11" x14ac:dyDescent="0.35">
      <c r="A237" s="4">
        <f t="shared" si="9"/>
        <v>44</v>
      </c>
      <c r="B237" s="34" t="s">
        <v>1318</v>
      </c>
      <c r="D237" s="226"/>
      <c r="E237" s="226"/>
      <c r="F237" s="226"/>
      <c r="G237" s="912" t="str">
        <f>G160</f>
        <v>21%</v>
      </c>
      <c r="H237" s="226"/>
      <c r="I237" s="95" t="s">
        <v>1369</v>
      </c>
      <c r="J237" s="4">
        <f t="shared" si="10"/>
        <v>44</v>
      </c>
      <c r="K237" s="263"/>
    </row>
    <row r="238" spans="1:11" x14ac:dyDescent="0.35">
      <c r="A238" s="4">
        <f t="shared" si="9"/>
        <v>45</v>
      </c>
      <c r="G238" s="4"/>
      <c r="H238" s="4"/>
      <c r="J238" s="4">
        <f t="shared" si="10"/>
        <v>45</v>
      </c>
      <c r="K238" s="263"/>
    </row>
    <row r="239" spans="1:11" x14ac:dyDescent="0.35">
      <c r="A239" s="4">
        <f t="shared" si="9"/>
        <v>46</v>
      </c>
      <c r="B239" s="34" t="s">
        <v>1321</v>
      </c>
      <c r="D239" s="226"/>
      <c r="E239" s="226"/>
      <c r="F239" s="226"/>
      <c r="G239" s="900">
        <f>IFERROR((((G233)+(G235/G236))*G237-(G234/G236))/(1-G237),0)</f>
        <v>0</v>
      </c>
      <c r="H239" s="900"/>
      <c r="I239" s="95" t="s">
        <v>1363</v>
      </c>
      <c r="J239" s="4">
        <f t="shared" si="10"/>
        <v>46</v>
      </c>
      <c r="K239" s="263"/>
    </row>
    <row r="240" spans="1:11" x14ac:dyDescent="0.35">
      <c r="A240" s="4">
        <f t="shared" si="9"/>
        <v>47</v>
      </c>
      <c r="B240" s="257" t="s">
        <v>1323</v>
      </c>
      <c r="D240" s="257"/>
      <c r="G240" s="894"/>
      <c r="H240" s="894"/>
      <c r="J240" s="4">
        <f t="shared" si="10"/>
        <v>47</v>
      </c>
      <c r="K240" s="263"/>
    </row>
    <row r="241" spans="1:11" x14ac:dyDescent="0.35">
      <c r="A241" s="4">
        <f t="shared" si="9"/>
        <v>48</v>
      </c>
      <c r="G241" s="4"/>
      <c r="H241" s="4"/>
      <c r="J241" s="4">
        <f t="shared" si="10"/>
        <v>48</v>
      </c>
      <c r="K241" s="263"/>
    </row>
    <row r="242" spans="1:11" x14ac:dyDescent="0.35">
      <c r="A242" s="4">
        <f t="shared" si="9"/>
        <v>49</v>
      </c>
      <c r="B242" s="259" t="s">
        <v>1324</v>
      </c>
      <c r="C242" s="226"/>
      <c r="D242" s="226"/>
      <c r="E242" s="226"/>
      <c r="F242" s="226"/>
      <c r="G242" s="141"/>
      <c r="H242" s="141"/>
      <c r="I242" s="481"/>
      <c r="J242" s="4">
        <f t="shared" si="10"/>
        <v>49</v>
      </c>
      <c r="K242" s="263"/>
    </row>
    <row r="243" spans="1:11" x14ac:dyDescent="0.35">
      <c r="A243" s="4">
        <f t="shared" si="9"/>
        <v>50</v>
      </c>
      <c r="B243" s="350"/>
      <c r="C243" s="226"/>
      <c r="D243" s="226"/>
      <c r="E243" s="226"/>
      <c r="F243" s="226"/>
      <c r="G243" s="141"/>
      <c r="H243" s="141"/>
      <c r="I243" s="478"/>
      <c r="J243" s="4">
        <f t="shared" si="10"/>
        <v>50</v>
      </c>
      <c r="K243" s="263"/>
    </row>
    <row r="244" spans="1:11" x14ac:dyDescent="0.35">
      <c r="A244" s="4">
        <f t="shared" si="9"/>
        <v>51</v>
      </c>
      <c r="B244" s="35" t="s">
        <v>1309</v>
      </c>
      <c r="C244" s="226"/>
      <c r="D244" s="226"/>
      <c r="E244" s="226"/>
      <c r="F244" s="226"/>
      <c r="G244" s="141"/>
      <c r="H244" s="141"/>
      <c r="I244" s="478"/>
      <c r="J244" s="4">
        <f t="shared" si="10"/>
        <v>51</v>
      </c>
      <c r="K244" s="263"/>
    </row>
    <row r="245" spans="1:11" x14ac:dyDescent="0.35">
      <c r="A245" s="4">
        <f t="shared" si="9"/>
        <v>52</v>
      </c>
      <c r="B245" s="34" t="s">
        <v>1345</v>
      </c>
      <c r="D245" s="226"/>
      <c r="E245" s="226"/>
      <c r="F245" s="226"/>
      <c r="G245" s="881">
        <f>G233</f>
        <v>0</v>
      </c>
      <c r="H245" s="881"/>
      <c r="I245" s="95" t="s">
        <v>1347</v>
      </c>
      <c r="J245" s="4">
        <f t="shared" si="10"/>
        <v>52</v>
      </c>
      <c r="K245" s="263"/>
    </row>
    <row r="246" spans="1:11" x14ac:dyDescent="0.35">
      <c r="A246" s="4">
        <f t="shared" si="9"/>
        <v>53</v>
      </c>
      <c r="B246" s="34" t="s">
        <v>1326</v>
      </c>
      <c r="D246" s="226"/>
      <c r="E246" s="226"/>
      <c r="F246" s="226"/>
      <c r="G246" s="144">
        <v>0</v>
      </c>
      <c r="H246" s="29"/>
      <c r="I246" s="95" t="s">
        <v>1358</v>
      </c>
      <c r="J246" s="4">
        <f t="shared" si="10"/>
        <v>53</v>
      </c>
      <c r="K246" s="263"/>
    </row>
    <row r="247" spans="1:11" x14ac:dyDescent="0.35">
      <c r="A247" s="4">
        <f t="shared" si="9"/>
        <v>54</v>
      </c>
      <c r="B247" s="34" t="s">
        <v>1314</v>
      </c>
      <c r="D247" s="226"/>
      <c r="E247" s="226"/>
      <c r="F247" s="226"/>
      <c r="G247" s="901">
        <f>G235</f>
        <v>0</v>
      </c>
      <c r="H247" s="901"/>
      <c r="I247" s="95" t="s">
        <v>1348</v>
      </c>
      <c r="J247" s="4">
        <f t="shared" si="10"/>
        <v>54</v>
      </c>
      <c r="K247" s="263"/>
    </row>
    <row r="248" spans="1:11" x14ac:dyDescent="0.35">
      <c r="A248" s="4">
        <f t="shared" si="9"/>
        <v>55</v>
      </c>
      <c r="B248" s="34" t="s">
        <v>1359</v>
      </c>
      <c r="D248" s="226"/>
      <c r="E248" s="226"/>
      <c r="F248" s="226"/>
      <c r="G248" s="901">
        <f>G236</f>
        <v>0</v>
      </c>
      <c r="H248" s="901"/>
      <c r="I248" s="95" t="s">
        <v>1349</v>
      </c>
      <c r="J248" s="4">
        <f t="shared" si="10"/>
        <v>55</v>
      </c>
      <c r="K248" s="263"/>
    </row>
    <row r="249" spans="1:11" x14ac:dyDescent="0.35">
      <c r="A249" s="4">
        <f t="shared" si="9"/>
        <v>56</v>
      </c>
      <c r="B249" s="34" t="s">
        <v>1330</v>
      </c>
      <c r="D249" s="226"/>
      <c r="E249" s="226"/>
      <c r="F249" s="226"/>
      <c r="G249" s="903">
        <f>G239</f>
        <v>0</v>
      </c>
      <c r="H249" s="903"/>
      <c r="I249" s="95" t="s">
        <v>1350</v>
      </c>
      <c r="J249" s="4">
        <f t="shared" si="10"/>
        <v>56</v>
      </c>
      <c r="K249" s="263"/>
    </row>
    <row r="250" spans="1:11" x14ac:dyDescent="0.35">
      <c r="A250" s="4">
        <f t="shared" si="9"/>
        <v>57</v>
      </c>
      <c r="B250" s="34" t="s">
        <v>1332</v>
      </c>
      <c r="D250" s="226"/>
      <c r="E250" s="226"/>
      <c r="F250" s="226"/>
      <c r="G250" s="913" t="str">
        <f>G173</f>
        <v>8.84%</v>
      </c>
      <c r="H250" s="226"/>
      <c r="I250" s="95" t="s">
        <v>1370</v>
      </c>
      <c r="J250" s="4">
        <f t="shared" si="10"/>
        <v>57</v>
      </c>
      <c r="K250" s="263"/>
    </row>
    <row r="251" spans="1:11" x14ac:dyDescent="0.35">
      <c r="A251" s="4">
        <f t="shared" si="9"/>
        <v>58</v>
      </c>
      <c r="B251" s="1"/>
      <c r="D251" s="226"/>
      <c r="E251" s="226"/>
      <c r="F251" s="226"/>
      <c r="G251" s="904"/>
      <c r="H251" s="904"/>
      <c r="I251" s="483"/>
      <c r="J251" s="4">
        <f t="shared" si="10"/>
        <v>58</v>
      </c>
      <c r="K251" s="263"/>
    </row>
    <row r="252" spans="1:11" x14ac:dyDescent="0.35">
      <c r="A252" s="4">
        <f t="shared" si="9"/>
        <v>59</v>
      </c>
      <c r="B252" s="34" t="s">
        <v>1335</v>
      </c>
      <c r="C252" s="4"/>
      <c r="D252" s="4"/>
      <c r="E252" s="226"/>
      <c r="F252" s="226"/>
      <c r="G252" s="905">
        <f>IFERROR((((G245)+(G247/G248)+G239)*G250-(G246/G248))/(1-G250),0)</f>
        <v>0</v>
      </c>
      <c r="H252" s="906"/>
      <c r="I252" s="95" t="s">
        <v>1336</v>
      </c>
      <c r="J252" s="4">
        <f t="shared" si="10"/>
        <v>59</v>
      </c>
      <c r="K252" s="263"/>
    </row>
    <row r="253" spans="1:11" x14ac:dyDescent="0.35">
      <c r="A253" s="4">
        <f t="shared" si="9"/>
        <v>60</v>
      </c>
      <c r="B253" s="257" t="s">
        <v>1678</v>
      </c>
      <c r="D253" s="257"/>
      <c r="G253" s="4"/>
      <c r="H253" s="4"/>
      <c r="I253" s="95"/>
      <c r="J253" s="4">
        <f t="shared" si="10"/>
        <v>60</v>
      </c>
      <c r="K253" s="263"/>
    </row>
    <row r="254" spans="1:11" x14ac:dyDescent="0.35">
      <c r="A254" s="4">
        <f t="shared" si="9"/>
        <v>61</v>
      </c>
      <c r="G254" s="4"/>
      <c r="H254" s="4"/>
      <c r="I254" s="95"/>
      <c r="J254" s="4">
        <f t="shared" si="10"/>
        <v>61</v>
      </c>
      <c r="K254" s="263"/>
    </row>
    <row r="255" spans="1:11" x14ac:dyDescent="0.35">
      <c r="A255" s="4">
        <f t="shared" si="9"/>
        <v>62</v>
      </c>
      <c r="B255" s="259" t="s">
        <v>1338</v>
      </c>
      <c r="G255" s="900">
        <f>G252+G239</f>
        <v>0</v>
      </c>
      <c r="H255" s="900"/>
      <c r="I255" s="95" t="s">
        <v>1351</v>
      </c>
      <c r="J255" s="4">
        <f t="shared" si="10"/>
        <v>62</v>
      </c>
      <c r="K255" s="263"/>
    </row>
    <row r="256" spans="1:11" x14ac:dyDescent="0.35">
      <c r="A256" s="4">
        <f t="shared" si="9"/>
        <v>63</v>
      </c>
      <c r="G256" s="4"/>
      <c r="H256" s="4"/>
      <c r="I256" s="95"/>
      <c r="J256" s="4">
        <f t="shared" si="10"/>
        <v>63</v>
      </c>
      <c r="K256" s="263"/>
    </row>
    <row r="257" spans="1:11" x14ac:dyDescent="0.35">
      <c r="A257" s="4">
        <f t="shared" si="9"/>
        <v>64</v>
      </c>
      <c r="B257" s="259" t="s">
        <v>1352</v>
      </c>
      <c r="G257" s="914">
        <f>G100</f>
        <v>0</v>
      </c>
      <c r="H257" s="226"/>
      <c r="I257" s="95" t="s">
        <v>1371</v>
      </c>
      <c r="J257" s="4">
        <f t="shared" si="10"/>
        <v>64</v>
      </c>
      <c r="K257" s="263"/>
    </row>
    <row r="258" spans="1:11" x14ac:dyDescent="0.35">
      <c r="A258" s="4">
        <f t="shared" si="9"/>
        <v>65</v>
      </c>
      <c r="G258" s="4"/>
      <c r="H258" s="4"/>
      <c r="I258" s="95"/>
      <c r="J258" s="4">
        <f t="shared" si="10"/>
        <v>65</v>
      </c>
      <c r="K258" s="263"/>
    </row>
    <row r="259" spans="1:11" ht="18" thickBot="1" x14ac:dyDescent="0.4">
      <c r="A259" s="4">
        <f t="shared" si="9"/>
        <v>66</v>
      </c>
      <c r="B259" s="259" t="s">
        <v>1354</v>
      </c>
      <c r="G259" s="143">
        <f>G255+G257</f>
        <v>0</v>
      </c>
      <c r="H259" s="28"/>
      <c r="I259" s="95" t="s">
        <v>1355</v>
      </c>
      <c r="J259" s="4">
        <f t="shared" si="10"/>
        <v>66</v>
      </c>
      <c r="K259" s="263"/>
    </row>
    <row r="260" spans="1:11" ht="16" thickTop="1" x14ac:dyDescent="0.35">
      <c r="K260" s="263"/>
    </row>
    <row r="261" spans="1:11" ht="18" x14ac:dyDescent="0.35">
      <c r="A261" s="276">
        <v>1</v>
      </c>
      <c r="B261" s="34" t="s">
        <v>1372</v>
      </c>
      <c r="K261" s="263"/>
    </row>
    <row r="262" spans="1:11" x14ac:dyDescent="0.35">
      <c r="K262" s="263"/>
    </row>
    <row r="263" spans="1:11" x14ac:dyDescent="0.35">
      <c r="K263" s="263"/>
    </row>
    <row r="264" spans="1:11" x14ac:dyDescent="0.35">
      <c r="K264" s="263"/>
    </row>
    <row r="265" spans="1:11" x14ac:dyDescent="0.35">
      <c r="K265" s="263"/>
    </row>
    <row r="266" spans="1:11" x14ac:dyDescent="0.35">
      <c r="K266" s="263"/>
    </row>
    <row r="267" spans="1:11" x14ac:dyDescent="0.35">
      <c r="K267" s="263"/>
    </row>
    <row r="268" spans="1:11" x14ac:dyDescent="0.35">
      <c r="K268" s="263"/>
    </row>
    <row r="269" spans="1:11" x14ac:dyDescent="0.35">
      <c r="K269" s="263"/>
    </row>
    <row r="271" spans="1:11" ht="18" x14ac:dyDescent="0.35">
      <c r="A271" s="276"/>
    </row>
  </sheetData>
  <mergeCells count="20">
    <mergeCell ref="B112:I112"/>
    <mergeCell ref="B108:I108"/>
    <mergeCell ref="B109:I109"/>
    <mergeCell ref="B110:I110"/>
    <mergeCell ref="B111:I111"/>
    <mergeCell ref="B2:I2"/>
    <mergeCell ref="B3:I3"/>
    <mergeCell ref="B4:I4"/>
    <mergeCell ref="B5:I5"/>
    <mergeCell ref="B6:I6"/>
    <mergeCell ref="B70:I70"/>
    <mergeCell ref="B71:I71"/>
    <mergeCell ref="B72:I72"/>
    <mergeCell ref="B73:I73"/>
    <mergeCell ref="B74:I74"/>
    <mergeCell ref="B187:I187"/>
    <mergeCell ref="B188:I188"/>
    <mergeCell ref="B189:I189"/>
    <mergeCell ref="B185:I185"/>
    <mergeCell ref="B186:I186"/>
  </mergeCells>
  <printOptions horizontalCentered="1"/>
  <pageMargins left="0.5" right="0.5" top="0.5" bottom="0.5" header="0.25" footer="0.25"/>
  <pageSetup fitToHeight="0" orientation="portrait" r:id="rId1"/>
  <headerFooter scaleWithDoc="0">
    <oddFooter xml:space="preserve">&amp;C&amp;"Times New Roman,Regular"&amp;10&amp;A
Page &amp;P of &amp;N
</oddFooter>
    <evenFooter>&amp;C&amp;"Times New Roman,Regular"&amp;10TO4 AV2</evenFooter>
    <firstFooter>&amp;C&amp;"Times New Roman,Regular"&amp;10TO4 AV1</firstFooter>
  </headerFooter>
  <rowBreaks count="3" manualBreakCount="3">
    <brk id="68" max="16383" man="1"/>
    <brk id="106" max="16383" man="1"/>
    <brk id="183" max="16383" man="1"/>
  </rowBreaks>
  <customProperties>
    <customPr name="_pios_id" r:id="rId2"/>
  </customProperties>
  <ignoredErrors>
    <ignoredError sqref="G12:G16 G20:G24 G30:G31 G35:G38" unlockedFormula="1"/>
  </ignoredErrors>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08984375" defaultRowHeight="15.5" x14ac:dyDescent="0.35"/>
  <cols>
    <col min="1" max="1" width="5.08984375" style="351" customWidth="1"/>
    <col min="2" max="3" width="19.54296875" style="5" customWidth="1"/>
    <col min="4" max="5" width="20.90625" style="5" customWidth="1"/>
    <col min="6" max="6" width="35.54296875" style="5" customWidth="1"/>
    <col min="7" max="7" width="20.90625" style="5" customWidth="1"/>
    <col min="8" max="8" width="35.08984375" style="5" customWidth="1"/>
    <col min="9" max="9" width="5.08984375" style="351" customWidth="1"/>
    <col min="10" max="10" width="8.90625" style="5" customWidth="1"/>
    <col min="11" max="11" width="9" style="5" customWidth="1"/>
    <col min="12" max="12" width="14" style="5" customWidth="1"/>
    <col min="13" max="13" width="13.08984375" style="5" customWidth="1"/>
    <col min="14" max="14" width="12.90625" style="5" customWidth="1"/>
    <col min="15" max="15" width="13.54296875" style="5" customWidth="1"/>
    <col min="16" max="16" width="12.54296875" style="5" customWidth="1"/>
    <col min="17" max="16384" width="9.08984375" style="5"/>
  </cols>
  <sheetData>
    <row r="1" spans="1:13" x14ac:dyDescent="0.35">
      <c r="M1" s="170"/>
    </row>
    <row r="2" spans="1:13" x14ac:dyDescent="0.35">
      <c r="B2" s="1171" t="s">
        <v>0</v>
      </c>
      <c r="C2" s="1171"/>
      <c r="D2" s="1171"/>
      <c r="E2" s="1171"/>
      <c r="F2" s="1171"/>
      <c r="G2" s="1171"/>
      <c r="H2" s="1171"/>
      <c r="I2" s="226"/>
      <c r="J2" s="226"/>
      <c r="M2" s="170"/>
    </row>
    <row r="3" spans="1:13" x14ac:dyDescent="0.35">
      <c r="B3" s="1174" t="s">
        <v>1680</v>
      </c>
      <c r="C3" s="1174"/>
      <c r="D3" s="1174"/>
      <c r="E3" s="1174"/>
      <c r="F3" s="1174"/>
      <c r="G3" s="1174"/>
      <c r="H3" s="1174"/>
      <c r="I3" s="226"/>
      <c r="J3" s="226"/>
      <c r="M3" s="170"/>
    </row>
    <row r="4" spans="1:13" x14ac:dyDescent="0.35">
      <c r="B4" s="1176" t="str">
        <f>'True-Up'!B4</f>
        <v>For 12-Month True-Up Period January 1, 2022 Through December 31, 2022</v>
      </c>
      <c r="C4" s="1176"/>
      <c r="D4" s="1176"/>
      <c r="E4" s="1176"/>
      <c r="F4" s="1176"/>
      <c r="G4" s="1176"/>
      <c r="H4" s="1176"/>
      <c r="I4" s="226"/>
      <c r="J4" s="226"/>
      <c r="M4" s="170"/>
    </row>
    <row r="5" spans="1:13" x14ac:dyDescent="0.35">
      <c r="B5" s="1175" t="s">
        <v>5</v>
      </c>
      <c r="C5" s="1175"/>
      <c r="D5" s="1175"/>
      <c r="E5" s="1175"/>
      <c r="F5" s="1175"/>
      <c r="G5" s="1175"/>
      <c r="H5" s="1175"/>
      <c r="I5" s="226"/>
      <c r="J5" s="226"/>
    </row>
    <row r="6" spans="1:13" x14ac:dyDescent="0.35">
      <c r="A6" s="226"/>
      <c r="B6" s="226"/>
      <c r="C6" s="226"/>
      <c r="D6" s="226"/>
      <c r="E6" s="226"/>
      <c r="F6" s="226"/>
      <c r="G6" s="226"/>
      <c r="H6" s="226"/>
      <c r="I6" s="226"/>
      <c r="J6" s="226"/>
    </row>
    <row r="7" spans="1:13" x14ac:dyDescent="0.35">
      <c r="A7" s="4" t="s">
        <v>6</v>
      </c>
      <c r="B7" s="226"/>
      <c r="C7" s="226"/>
      <c r="D7" s="226"/>
      <c r="E7" s="226"/>
      <c r="F7" s="226"/>
      <c r="G7" s="226"/>
      <c r="H7" s="226"/>
      <c r="I7" s="4" t="s">
        <v>6</v>
      </c>
      <c r="J7" s="226"/>
    </row>
    <row r="8" spans="1:13" x14ac:dyDescent="0.35">
      <c r="A8" s="4" t="s">
        <v>7</v>
      </c>
      <c r="E8" s="503"/>
      <c r="I8" s="4" t="s">
        <v>7</v>
      </c>
      <c r="J8" s="488"/>
    </row>
    <row r="9" spans="1:13" x14ac:dyDescent="0.35">
      <c r="A9" s="488"/>
      <c r="E9" s="503"/>
      <c r="I9" s="488"/>
      <c r="J9" s="488"/>
    </row>
    <row r="10" spans="1:13" x14ac:dyDescent="0.35">
      <c r="A10" s="351">
        <v>1</v>
      </c>
      <c r="C10" s="505" t="s">
        <v>1446</v>
      </c>
      <c r="D10" s="505" t="s">
        <v>1447</v>
      </c>
      <c r="E10" s="505" t="s">
        <v>1448</v>
      </c>
      <c r="F10" s="505" t="s">
        <v>1449</v>
      </c>
      <c r="G10" s="505" t="s">
        <v>1450</v>
      </c>
      <c r="H10" s="505" t="s">
        <v>1451</v>
      </c>
      <c r="I10" s="351">
        <f>A10</f>
        <v>1</v>
      </c>
      <c r="J10" s="351"/>
    </row>
    <row r="11" spans="1:13" x14ac:dyDescent="0.35">
      <c r="A11" s="351">
        <f>A10+1</f>
        <v>2</v>
      </c>
      <c r="B11" s="352" t="s">
        <v>1574</v>
      </c>
      <c r="C11" s="505"/>
      <c r="D11" s="4"/>
      <c r="E11" s="4" t="s">
        <v>1681</v>
      </c>
      <c r="F11" s="4" t="s">
        <v>1682</v>
      </c>
      <c r="G11" s="37" t="s">
        <v>1683</v>
      </c>
      <c r="H11" s="37" t="s">
        <v>1684</v>
      </c>
      <c r="I11" s="351">
        <f>I10+1</f>
        <v>2</v>
      </c>
      <c r="J11" s="351"/>
    </row>
    <row r="12" spans="1:13" x14ac:dyDescent="0.35">
      <c r="A12" s="351">
        <f t="shared" ref="A12:A28" si="0">A11+1</f>
        <v>3</v>
      </c>
      <c r="C12" s="505"/>
      <c r="D12" s="505"/>
      <c r="E12" s="505"/>
      <c r="F12" s="226"/>
      <c r="G12" s="505"/>
      <c r="H12" s="505"/>
      <c r="I12" s="351">
        <f t="shared" ref="I12:I28" si="1">I11+1</f>
        <v>3</v>
      </c>
      <c r="J12" s="351"/>
    </row>
    <row r="13" spans="1:13" x14ac:dyDescent="0.35">
      <c r="A13" s="351">
        <f t="shared" si="0"/>
        <v>4</v>
      </c>
      <c r="C13" s="226"/>
      <c r="D13" s="226" t="s">
        <v>1685</v>
      </c>
      <c r="E13" s="226" t="s">
        <v>1583</v>
      </c>
      <c r="F13" s="226" t="s">
        <v>1686</v>
      </c>
      <c r="H13" s="226" t="s">
        <v>1686</v>
      </c>
      <c r="I13" s="351">
        <f t="shared" si="1"/>
        <v>4</v>
      </c>
      <c r="J13" s="351"/>
    </row>
    <row r="14" spans="1:13" x14ac:dyDescent="0.35">
      <c r="A14" s="351">
        <f t="shared" si="0"/>
        <v>5</v>
      </c>
      <c r="C14" s="226"/>
      <c r="D14" s="226" t="s">
        <v>1687</v>
      </c>
      <c r="E14" s="226" t="s">
        <v>1590</v>
      </c>
      <c r="F14" s="226" t="s">
        <v>1688</v>
      </c>
      <c r="G14" s="226"/>
      <c r="H14" s="226" t="s">
        <v>1688</v>
      </c>
      <c r="I14" s="351">
        <f t="shared" si="1"/>
        <v>5</v>
      </c>
      <c r="J14" s="351"/>
    </row>
    <row r="15" spans="1:13" ht="18" x14ac:dyDescent="0.35">
      <c r="A15" s="351">
        <f t="shared" si="0"/>
        <v>6</v>
      </c>
      <c r="B15" s="262" t="s">
        <v>368</v>
      </c>
      <c r="C15" s="262" t="s">
        <v>1592</v>
      </c>
      <c r="D15" s="262" t="s">
        <v>1689</v>
      </c>
      <c r="E15" s="262" t="s">
        <v>875</v>
      </c>
      <c r="F15" s="262" t="s">
        <v>1599</v>
      </c>
      <c r="G15" s="517" t="s">
        <v>1590</v>
      </c>
      <c r="H15" s="262" t="s">
        <v>1600</v>
      </c>
      <c r="I15" s="351">
        <f t="shared" si="1"/>
        <v>6</v>
      </c>
      <c r="J15" s="351"/>
    </row>
    <row r="16" spans="1:13" x14ac:dyDescent="0.35">
      <c r="A16" s="351">
        <f t="shared" si="0"/>
        <v>7</v>
      </c>
      <c r="B16" s="35" t="s">
        <v>1601</v>
      </c>
      <c r="C16" s="506" t="str">
        <f>'True-Up'!C23</f>
        <v>2022</v>
      </c>
      <c r="D16" s="159">
        <v>77465.882169009143</v>
      </c>
      <c r="E16" s="160">
        <f>'True-Up'!J23</f>
        <v>2.8E-3</v>
      </c>
      <c r="F16" s="149">
        <f>D16</f>
        <v>77465.882169009143</v>
      </c>
      <c r="G16" s="149">
        <f>((F16))*E16</f>
        <v>216.90447007322561</v>
      </c>
      <c r="H16" s="149">
        <f t="shared" ref="H16:H27" si="2">F16+G16</f>
        <v>77682.786639082362</v>
      </c>
      <c r="I16" s="351">
        <f t="shared" si="1"/>
        <v>7</v>
      </c>
      <c r="J16" s="351"/>
    </row>
    <row r="17" spans="1:10" x14ac:dyDescent="0.35">
      <c r="A17" s="351">
        <f t="shared" si="0"/>
        <v>8</v>
      </c>
      <c r="B17" s="35" t="s">
        <v>1602</v>
      </c>
      <c r="C17" s="506" t="str">
        <f>$C$16</f>
        <v>2022</v>
      </c>
      <c r="D17" s="161"/>
      <c r="E17" s="160">
        <f>'True-Up'!J24</f>
        <v>2.5000000000000001E-3</v>
      </c>
      <c r="F17" s="153">
        <f>H16</f>
        <v>77682.786639082362</v>
      </c>
      <c r="G17" s="153">
        <f t="shared" ref="G17:G27" si="3">((H16+F17)/2)*E17</f>
        <v>194.2069665977059</v>
      </c>
      <c r="H17" s="153">
        <f t="shared" si="2"/>
        <v>77876.993605680065</v>
      </c>
      <c r="I17" s="351">
        <f t="shared" si="1"/>
        <v>8</v>
      </c>
      <c r="J17" s="351"/>
    </row>
    <row r="18" spans="1:10" x14ac:dyDescent="0.35">
      <c r="A18" s="351">
        <f t="shared" si="0"/>
        <v>9</v>
      </c>
      <c r="B18" s="35" t="s">
        <v>1653</v>
      </c>
      <c r="C18" s="506" t="str">
        <f t="shared" ref="C18:C27" si="4">$C$16</f>
        <v>2022</v>
      </c>
      <c r="D18" s="161"/>
      <c r="E18" s="160">
        <f>'True-Up'!J25</f>
        <v>2.8E-3</v>
      </c>
      <c r="F18" s="153">
        <f>H17</f>
        <v>77876.993605680065</v>
      </c>
      <c r="G18" s="153">
        <f t="shared" si="3"/>
        <v>218.05558209590419</v>
      </c>
      <c r="H18" s="153">
        <f t="shared" si="2"/>
        <v>78095.049187775963</v>
      </c>
      <c r="I18" s="351">
        <f t="shared" si="1"/>
        <v>9</v>
      </c>
      <c r="J18" s="351"/>
    </row>
    <row r="19" spans="1:10" x14ac:dyDescent="0.35">
      <c r="A19" s="351">
        <f t="shared" si="0"/>
        <v>10</v>
      </c>
      <c r="B19" s="35" t="s">
        <v>1654</v>
      </c>
      <c r="C19" s="506" t="str">
        <f t="shared" si="4"/>
        <v>2022</v>
      </c>
      <c r="D19" s="161"/>
      <c r="E19" s="160">
        <f>'True-Up'!J26</f>
        <v>2.7000000000000001E-3</v>
      </c>
      <c r="F19" s="153">
        <f t="shared" ref="F19:F27" si="5">H18</f>
        <v>78095.049187775963</v>
      </c>
      <c r="G19" s="153">
        <f t="shared" si="3"/>
        <v>210.85663280699512</v>
      </c>
      <c r="H19" s="153">
        <f t="shared" si="2"/>
        <v>78305.905820582964</v>
      </c>
      <c r="I19" s="351">
        <f t="shared" si="1"/>
        <v>10</v>
      </c>
      <c r="J19" s="351"/>
    </row>
    <row r="20" spans="1:10" x14ac:dyDescent="0.35">
      <c r="A20" s="351">
        <f t="shared" si="0"/>
        <v>11</v>
      </c>
      <c r="B20" s="35" t="s">
        <v>378</v>
      </c>
      <c r="C20" s="506" t="str">
        <f t="shared" si="4"/>
        <v>2022</v>
      </c>
      <c r="D20" s="161"/>
      <c r="E20" s="160">
        <f>'True-Up'!J27</f>
        <v>2.8E-3</v>
      </c>
      <c r="F20" s="153">
        <f t="shared" si="5"/>
        <v>78305.905820582964</v>
      </c>
      <c r="G20" s="153">
        <f t="shared" si="3"/>
        <v>219.25653629763229</v>
      </c>
      <c r="H20" s="153">
        <f t="shared" si="2"/>
        <v>78525.162356880595</v>
      </c>
      <c r="I20" s="351">
        <f t="shared" si="1"/>
        <v>11</v>
      </c>
      <c r="J20" s="351"/>
    </row>
    <row r="21" spans="1:10" x14ac:dyDescent="0.35">
      <c r="A21" s="351">
        <f t="shared" si="0"/>
        <v>12</v>
      </c>
      <c r="B21" s="35" t="s">
        <v>1690</v>
      </c>
      <c r="C21" s="506" t="str">
        <f t="shared" si="4"/>
        <v>2022</v>
      </c>
      <c r="D21" s="161"/>
      <c r="E21" s="160">
        <f>'True-Up'!J28</f>
        <v>2.7000000000000001E-3</v>
      </c>
      <c r="F21" s="153">
        <f t="shared" si="5"/>
        <v>78525.162356880595</v>
      </c>
      <c r="G21" s="153">
        <f t="shared" si="3"/>
        <v>212.01793836357763</v>
      </c>
      <c r="H21" s="153">
        <f t="shared" si="2"/>
        <v>78737.180295244179</v>
      </c>
      <c r="I21" s="351">
        <f t="shared" si="1"/>
        <v>12</v>
      </c>
      <c r="J21" s="351"/>
    </row>
    <row r="22" spans="1:10" x14ac:dyDescent="0.35">
      <c r="A22" s="351">
        <f t="shared" si="0"/>
        <v>13</v>
      </c>
      <c r="B22" s="35" t="s">
        <v>1656</v>
      </c>
      <c r="C22" s="506" t="str">
        <f t="shared" si="4"/>
        <v>2022</v>
      </c>
      <c r="D22" s="161"/>
      <c r="E22" s="160">
        <f>'True-Up'!J29</f>
        <v>3.0999999999999999E-3</v>
      </c>
      <c r="F22" s="153">
        <f t="shared" si="5"/>
        <v>78737.180295244179</v>
      </c>
      <c r="G22" s="153">
        <f t="shared" si="3"/>
        <v>244.08525891525696</v>
      </c>
      <c r="H22" s="153">
        <f t="shared" si="2"/>
        <v>78981.265554159443</v>
      </c>
      <c r="I22" s="351">
        <f t="shared" si="1"/>
        <v>13</v>
      </c>
      <c r="J22" s="351"/>
    </row>
    <row r="23" spans="1:10" x14ac:dyDescent="0.35">
      <c r="A23" s="351">
        <f t="shared" si="0"/>
        <v>14</v>
      </c>
      <c r="B23" s="35" t="s">
        <v>1657</v>
      </c>
      <c r="C23" s="506" t="str">
        <f t="shared" si="4"/>
        <v>2022</v>
      </c>
      <c r="D23" s="161"/>
      <c r="E23" s="160">
        <f>'True-Up'!J30</f>
        <v>3.0999999999999999E-3</v>
      </c>
      <c r="F23" s="153">
        <f t="shared" si="5"/>
        <v>78981.265554159443</v>
      </c>
      <c r="G23" s="153">
        <f t="shared" si="3"/>
        <v>244.84192321789428</v>
      </c>
      <c r="H23" s="153">
        <f t="shared" si="2"/>
        <v>79226.107477377343</v>
      </c>
      <c r="I23" s="351">
        <f t="shared" si="1"/>
        <v>14</v>
      </c>
      <c r="J23" s="351"/>
    </row>
    <row r="24" spans="1:10" x14ac:dyDescent="0.35">
      <c r="A24" s="351">
        <f t="shared" si="0"/>
        <v>15</v>
      </c>
      <c r="B24" s="35" t="s">
        <v>1658</v>
      </c>
      <c r="C24" s="506" t="str">
        <f t="shared" si="4"/>
        <v>2022</v>
      </c>
      <c r="D24" s="161"/>
      <c r="E24" s="160">
        <f>'True-Up'!J31</f>
        <v>3.0000000000000001E-3</v>
      </c>
      <c r="F24" s="153">
        <f t="shared" si="5"/>
        <v>79226.107477377343</v>
      </c>
      <c r="G24" s="153">
        <f t="shared" si="3"/>
        <v>237.67832243213203</v>
      </c>
      <c r="H24" s="153">
        <f t="shared" si="2"/>
        <v>79463.78579980947</v>
      </c>
      <c r="I24" s="351">
        <f t="shared" si="1"/>
        <v>15</v>
      </c>
      <c r="J24" s="351"/>
    </row>
    <row r="25" spans="1:10" x14ac:dyDescent="0.35">
      <c r="A25" s="351">
        <f t="shared" si="0"/>
        <v>16</v>
      </c>
      <c r="B25" s="35" t="s">
        <v>1659</v>
      </c>
      <c r="C25" s="506" t="str">
        <f t="shared" si="4"/>
        <v>2022</v>
      </c>
      <c r="D25" s="161"/>
      <c r="E25" s="160">
        <f>'True-Up'!J32</f>
        <v>4.1999999999999997E-3</v>
      </c>
      <c r="F25" s="153">
        <f t="shared" si="5"/>
        <v>79463.78579980947</v>
      </c>
      <c r="G25" s="153">
        <f t="shared" si="3"/>
        <v>333.74790035919978</v>
      </c>
      <c r="H25" s="153">
        <f t="shared" si="2"/>
        <v>79797.533700168671</v>
      </c>
      <c r="I25" s="351">
        <f t="shared" si="1"/>
        <v>16</v>
      </c>
      <c r="J25" s="351"/>
    </row>
    <row r="26" spans="1:10" x14ac:dyDescent="0.35">
      <c r="A26" s="351">
        <f t="shared" si="0"/>
        <v>17</v>
      </c>
      <c r="B26" s="35" t="s">
        <v>1660</v>
      </c>
      <c r="C26" s="506" t="str">
        <f t="shared" si="4"/>
        <v>2022</v>
      </c>
      <c r="D26" s="161"/>
      <c r="E26" s="160">
        <f>'True-Up'!J33</f>
        <v>4.0000000000000001E-3</v>
      </c>
      <c r="F26" s="153">
        <f t="shared" si="5"/>
        <v>79797.533700168671</v>
      </c>
      <c r="G26" s="153">
        <f t="shared" si="3"/>
        <v>319.19013480067468</v>
      </c>
      <c r="H26" s="153">
        <f t="shared" si="2"/>
        <v>80116.723834969351</v>
      </c>
      <c r="I26" s="351">
        <f t="shared" si="1"/>
        <v>17</v>
      </c>
      <c r="J26" s="351"/>
    </row>
    <row r="27" spans="1:10" x14ac:dyDescent="0.35">
      <c r="A27" s="351">
        <f t="shared" si="0"/>
        <v>18</v>
      </c>
      <c r="B27" s="1126" t="s">
        <v>1661</v>
      </c>
      <c r="C27" s="1127" t="str">
        <f t="shared" si="4"/>
        <v>2022</v>
      </c>
      <c r="D27" s="1133"/>
      <c r="E27" s="1134">
        <f>'True-Up'!J34</f>
        <v>4.1999999999999997E-3</v>
      </c>
      <c r="F27" s="1128">
        <f t="shared" si="5"/>
        <v>80116.723834969351</v>
      </c>
      <c r="G27" s="1128">
        <f t="shared" si="3"/>
        <v>336.49024010687123</v>
      </c>
      <c r="H27" s="1128">
        <f t="shared" si="2"/>
        <v>80453.214075076219</v>
      </c>
      <c r="I27" s="351">
        <f t="shared" si="1"/>
        <v>18</v>
      </c>
      <c r="J27" s="351"/>
    </row>
    <row r="28" spans="1:10" ht="16" thickBot="1" x14ac:dyDescent="0.4">
      <c r="A28" s="351">
        <f t="shared" si="0"/>
        <v>19</v>
      </c>
      <c r="B28" s="35"/>
      <c r="C28" s="506"/>
      <c r="D28" s="161"/>
      <c r="E28" s="162"/>
      <c r="F28" s="163"/>
      <c r="G28" s="164">
        <f>SUM(G16:G27)</f>
        <v>2987.3319060670697</v>
      </c>
      <c r="H28" s="163"/>
      <c r="I28" s="351">
        <f t="shared" si="1"/>
        <v>19</v>
      </c>
      <c r="J28" s="351"/>
    </row>
    <row r="29" spans="1:10" ht="16" thickTop="1" x14ac:dyDescent="0.35">
      <c r="B29" s="35"/>
      <c r="C29" s="506"/>
      <c r="D29" s="161"/>
      <c r="E29" s="162"/>
      <c r="F29" s="163"/>
      <c r="G29" s="163"/>
      <c r="H29" s="163"/>
      <c r="J29" s="351"/>
    </row>
    <row r="30" spans="1:10" x14ac:dyDescent="0.35">
      <c r="B30" s="35"/>
      <c r="C30" s="506"/>
      <c r="D30" s="168"/>
      <c r="E30" s="161"/>
      <c r="F30" s="503"/>
      <c r="G30" s="162"/>
      <c r="H30" s="509"/>
      <c r="I30" s="602"/>
      <c r="J30" s="509"/>
    </row>
    <row r="31" spans="1:10" ht="18" x14ac:dyDescent="0.35">
      <c r="A31" s="261">
        <v>1</v>
      </c>
      <c r="B31" s="35" t="s">
        <v>1691</v>
      </c>
      <c r="C31" s="506"/>
      <c r="D31" s="168"/>
      <c r="E31" s="161"/>
      <c r="F31" s="503"/>
      <c r="G31" s="162"/>
      <c r="H31" s="509"/>
      <c r="I31" s="602"/>
      <c r="J31" s="509"/>
    </row>
    <row r="32" spans="1:10" ht="18" x14ac:dyDescent="0.35">
      <c r="A32" s="494">
        <v>2</v>
      </c>
      <c r="B32" s="35" t="s">
        <v>1618</v>
      </c>
      <c r="C32" s="506"/>
      <c r="D32" s="168"/>
      <c r="E32" s="161"/>
      <c r="F32" s="503"/>
      <c r="G32" s="162"/>
      <c r="H32" s="509"/>
      <c r="I32" s="602"/>
      <c r="J32" s="509"/>
    </row>
    <row r="33" spans="1:10" ht="18" x14ac:dyDescent="0.35">
      <c r="A33" s="261">
        <v>3</v>
      </c>
      <c r="B33" s="5" t="s">
        <v>1692</v>
      </c>
      <c r="C33" s="506"/>
      <c r="D33" s="168"/>
      <c r="E33" s="161"/>
      <c r="F33" s="503"/>
      <c r="G33" s="162"/>
      <c r="H33" s="509"/>
      <c r="I33" s="602"/>
      <c r="J33" s="509"/>
    </row>
    <row r="34" spans="1:10" ht="18" x14ac:dyDescent="0.35">
      <c r="A34" s="261">
        <v>4</v>
      </c>
      <c r="B34" s="5" t="s">
        <v>1693</v>
      </c>
    </row>
    <row r="35" spans="1:10" x14ac:dyDescent="0.35">
      <c r="B35" s="5" t="s">
        <v>1694</v>
      </c>
    </row>
  </sheetData>
  <mergeCells count="4">
    <mergeCell ref="B5:H5"/>
    <mergeCell ref="B2:H2"/>
    <mergeCell ref="B3:H3"/>
    <mergeCell ref="B4:H4"/>
  </mergeCells>
  <printOptions horizontalCentered="1"/>
  <pageMargins left="0.5" right="0.5" top="0.5" bottom="0.5" header="0.25" footer="0.25"/>
  <pageSetup orientation="landscape" r:id="rId1"/>
  <headerFooter scaleWithDoc="0">
    <oddFooter>&amp;C&amp;"Times New Roman,Regular"&amp;10Interest True-Up BP</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08984375" defaultRowHeight="15.5" x14ac:dyDescent="0.35"/>
  <cols>
    <col min="1" max="1" width="5.08984375" style="5" customWidth="1"/>
    <col min="2" max="3" width="21.453125" style="5" customWidth="1"/>
    <col min="4" max="9" width="22" style="5" customWidth="1"/>
    <col min="10" max="10" width="5.08984375" style="351" customWidth="1"/>
    <col min="11" max="11" width="14" style="5" customWidth="1"/>
    <col min="12" max="12" width="13.08984375" style="5" customWidth="1"/>
    <col min="13" max="13" width="12.90625" style="5" customWidth="1"/>
    <col min="14" max="14" width="13.54296875" style="5" customWidth="1"/>
    <col min="15" max="15" width="12.54296875" style="5" customWidth="1"/>
    <col min="16" max="16384" width="9.08984375" style="5"/>
  </cols>
  <sheetData>
    <row r="1" spans="1:10" x14ac:dyDescent="0.35">
      <c r="A1" s="498"/>
      <c r="B1" s="350"/>
      <c r="C1" s="479"/>
      <c r="D1" s="510"/>
      <c r="E1" s="511"/>
      <c r="F1" s="512"/>
      <c r="G1" s="513"/>
      <c r="H1" s="514"/>
      <c r="I1" s="514"/>
      <c r="J1" s="515"/>
    </row>
    <row r="2" spans="1:10" x14ac:dyDescent="0.35">
      <c r="B2" s="1193" t="s">
        <v>0</v>
      </c>
      <c r="C2" s="1193"/>
      <c r="D2" s="1193"/>
      <c r="E2" s="1193"/>
      <c r="F2" s="1193"/>
      <c r="G2" s="1193"/>
      <c r="H2" s="1193"/>
      <c r="I2" s="1193"/>
      <c r="J2" s="498"/>
    </row>
    <row r="3" spans="1:10" x14ac:dyDescent="0.35">
      <c r="B3" s="1214" t="str">
        <f>'Interest TU BP'!B3</f>
        <v>TO5-Cycle 6 Interest True-Up Adjustment</v>
      </c>
      <c r="C3" s="1214"/>
      <c r="D3" s="1214"/>
      <c r="E3" s="1214"/>
      <c r="F3" s="1214"/>
      <c r="G3" s="1214"/>
      <c r="H3" s="1214"/>
      <c r="I3" s="1214"/>
      <c r="J3" s="498"/>
    </row>
    <row r="4" spans="1:10" x14ac:dyDescent="0.35">
      <c r="B4" s="1214" t="str">
        <f>'True-Up'!B4</f>
        <v>For 12-Month True-Up Period January 1, 2022 Through December 31, 2022</v>
      </c>
      <c r="C4" s="1214"/>
      <c r="D4" s="1214"/>
      <c r="E4" s="1214"/>
      <c r="F4" s="1214"/>
      <c r="G4" s="1214"/>
      <c r="H4" s="1214"/>
      <c r="I4" s="1214"/>
      <c r="J4" s="498"/>
    </row>
    <row r="5" spans="1:10" x14ac:dyDescent="0.35">
      <c r="B5" s="1194" t="s">
        <v>5</v>
      </c>
      <c r="C5" s="1194"/>
      <c r="D5" s="1194"/>
      <c r="E5" s="1194"/>
      <c r="F5" s="1194"/>
      <c r="G5" s="1194"/>
      <c r="H5" s="1194"/>
      <c r="I5" s="1194"/>
      <c r="J5" s="498"/>
    </row>
    <row r="6" spans="1:10" x14ac:dyDescent="0.35">
      <c r="A6" s="498"/>
      <c r="B6" s="498"/>
      <c r="C6" s="498"/>
      <c r="D6" s="498"/>
      <c r="E6" s="498"/>
      <c r="F6" s="498"/>
      <c r="G6" s="498"/>
      <c r="H6" s="498"/>
      <c r="I6" s="498"/>
      <c r="J6" s="498"/>
    </row>
    <row r="7" spans="1:10" x14ac:dyDescent="0.35">
      <c r="A7" s="4" t="s">
        <v>6</v>
      </c>
      <c r="B7" s="35"/>
      <c r="C7" s="506"/>
      <c r="D7" s="168"/>
      <c r="E7" s="161"/>
      <c r="F7" s="503"/>
      <c r="G7" s="162"/>
      <c r="H7" s="509"/>
      <c r="I7" s="509"/>
      <c r="J7" s="4" t="s">
        <v>6</v>
      </c>
    </row>
    <row r="8" spans="1:10" x14ac:dyDescent="0.35">
      <c r="A8" s="4" t="s">
        <v>7</v>
      </c>
      <c r="B8" s="35"/>
      <c r="C8" s="506"/>
      <c r="D8" s="168"/>
      <c r="E8" s="161"/>
      <c r="F8" s="503"/>
      <c r="G8" s="162"/>
      <c r="H8" s="509"/>
      <c r="I8" s="509"/>
      <c r="J8" s="4" t="s">
        <v>7</v>
      </c>
    </row>
    <row r="9" spans="1:10" x14ac:dyDescent="0.35">
      <c r="B9" s="35"/>
      <c r="C9" s="506"/>
      <c r="D9" s="168"/>
      <c r="E9" s="161"/>
      <c r="F9" s="503"/>
      <c r="G9" s="162"/>
      <c r="H9" s="509"/>
      <c r="I9" s="509"/>
    </row>
    <row r="10" spans="1:10" x14ac:dyDescent="0.35">
      <c r="A10" s="351">
        <v>1</v>
      </c>
      <c r="C10" s="505" t="s">
        <v>1446</v>
      </c>
      <c r="D10" s="505" t="s">
        <v>1447</v>
      </c>
      <c r="E10" s="505" t="s">
        <v>1448</v>
      </c>
      <c r="F10" s="505" t="s">
        <v>1449</v>
      </c>
      <c r="G10" s="505" t="s">
        <v>1450</v>
      </c>
      <c r="H10" s="505" t="s">
        <v>1451</v>
      </c>
      <c r="I10" s="505" t="s">
        <v>1452</v>
      </c>
      <c r="J10" s="351">
        <f>A10</f>
        <v>1</v>
      </c>
    </row>
    <row r="11" spans="1:10" x14ac:dyDescent="0.35">
      <c r="A11" s="351">
        <f>A10+1</f>
        <v>2</v>
      </c>
      <c r="C11" s="505"/>
      <c r="D11" s="4"/>
      <c r="E11" s="4" t="s">
        <v>1681</v>
      </c>
      <c r="F11" s="4" t="s">
        <v>1682</v>
      </c>
      <c r="G11" s="37" t="s">
        <v>1695</v>
      </c>
      <c r="H11" s="37" t="s">
        <v>1696</v>
      </c>
      <c r="I11" s="37" t="s">
        <v>1697</v>
      </c>
      <c r="J11" s="351">
        <f>J10+1</f>
        <v>2</v>
      </c>
    </row>
    <row r="12" spans="1:10" x14ac:dyDescent="0.35">
      <c r="A12" s="351">
        <f t="shared" ref="A12:A32" si="0">A11+1</f>
        <v>3</v>
      </c>
      <c r="C12" s="505"/>
      <c r="D12" s="4"/>
      <c r="E12" s="4"/>
      <c r="F12" s="498"/>
      <c r="I12" s="505"/>
      <c r="J12" s="351">
        <f t="shared" ref="J12:J32" si="1">J11+1</f>
        <v>3</v>
      </c>
    </row>
    <row r="13" spans="1:10" x14ac:dyDescent="0.35">
      <c r="A13" s="351">
        <f t="shared" si="0"/>
        <v>4</v>
      </c>
      <c r="B13" s="35"/>
      <c r="C13" s="506"/>
      <c r="D13" s="226" t="s">
        <v>1583</v>
      </c>
      <c r="E13" s="515" t="s">
        <v>368</v>
      </c>
      <c r="F13" s="498"/>
      <c r="I13" s="272" t="s">
        <v>368</v>
      </c>
      <c r="J13" s="351">
        <f t="shared" si="1"/>
        <v>4</v>
      </c>
    </row>
    <row r="14" spans="1:10" x14ac:dyDescent="0.35">
      <c r="A14" s="351">
        <f t="shared" si="0"/>
        <v>5</v>
      </c>
      <c r="C14" s="506"/>
      <c r="D14" s="226" t="s">
        <v>1590</v>
      </c>
      <c r="E14" s="515" t="s">
        <v>1698</v>
      </c>
      <c r="F14" s="498"/>
      <c r="I14" s="272" t="s">
        <v>1699</v>
      </c>
      <c r="J14" s="351">
        <f t="shared" si="1"/>
        <v>5</v>
      </c>
    </row>
    <row r="15" spans="1:10" ht="18" x14ac:dyDescent="0.35">
      <c r="A15" s="351">
        <f t="shared" si="0"/>
        <v>6</v>
      </c>
      <c r="B15" s="262" t="s">
        <v>368</v>
      </c>
      <c r="C15" s="262" t="s">
        <v>1592</v>
      </c>
      <c r="D15" s="262" t="s">
        <v>1700</v>
      </c>
      <c r="E15" s="516" t="s">
        <v>456</v>
      </c>
      <c r="F15" s="517" t="s">
        <v>1701</v>
      </c>
      <c r="G15" s="262" t="s">
        <v>1702</v>
      </c>
      <c r="H15" s="262" t="s">
        <v>1590</v>
      </c>
      <c r="I15" s="505" t="s">
        <v>456</v>
      </c>
      <c r="J15" s="351">
        <f t="shared" si="1"/>
        <v>6</v>
      </c>
    </row>
    <row r="16" spans="1:10" x14ac:dyDescent="0.35">
      <c r="A16" s="351">
        <f t="shared" si="0"/>
        <v>7</v>
      </c>
      <c r="B16" s="35" t="s">
        <v>1601</v>
      </c>
      <c r="C16" s="506">
        <f>'True-Up'!C23+1</f>
        <v>2023</v>
      </c>
      <c r="D16" s="160">
        <f>AVERAGE('True-Up'!J23:J34)</f>
        <v>3.1583333333333329E-3</v>
      </c>
      <c r="E16" s="165">
        <f>'Interest TU BP'!H27</f>
        <v>80453.214075076219</v>
      </c>
      <c r="F16" s="150">
        <f>-E16/(((1+D16)^12-1)/(D16*(1+D16)^12))</f>
        <v>-6842.8666379396427</v>
      </c>
      <c r="G16" s="150">
        <f>-(F16+H16)</f>
        <v>6588.768570152527</v>
      </c>
      <c r="H16" s="150">
        <f>E16*D16</f>
        <v>254.0980677871157</v>
      </c>
      <c r="I16" s="166">
        <f>E16-G16</f>
        <v>73864.445504923686</v>
      </c>
      <c r="J16" s="351">
        <f t="shared" si="1"/>
        <v>7</v>
      </c>
    </row>
    <row r="17" spans="1:13" x14ac:dyDescent="0.35">
      <c r="A17" s="351">
        <f t="shared" si="0"/>
        <v>8</v>
      </c>
      <c r="B17" s="35" t="s">
        <v>1602</v>
      </c>
      <c r="C17" s="506">
        <f>$C$16</f>
        <v>2023</v>
      </c>
      <c r="D17" s="162">
        <f t="shared" ref="D17:D27" si="2">$D$16</f>
        <v>3.1583333333333329E-3</v>
      </c>
      <c r="E17" s="153">
        <f>I16</f>
        <v>73864.445504923686</v>
      </c>
      <c r="F17" s="123">
        <f>-E16/(((1+D16)^12-1)/(D16*(1+D16)^12))</f>
        <v>-6842.8666379396427</v>
      </c>
      <c r="G17" s="123">
        <f t="shared" ref="G17:G27" si="3">-(F17+H17)</f>
        <v>6609.5780975532589</v>
      </c>
      <c r="H17" s="123">
        <f>E17*D17</f>
        <v>233.28854038638394</v>
      </c>
      <c r="I17" s="167">
        <f>E17-G17</f>
        <v>67254.867407370431</v>
      </c>
      <c r="J17" s="351">
        <f t="shared" si="1"/>
        <v>8</v>
      </c>
      <c r="L17" s="508"/>
    </row>
    <row r="18" spans="1:13" x14ac:dyDescent="0.35">
      <c r="A18" s="351">
        <f t="shared" si="0"/>
        <v>9</v>
      </c>
      <c r="B18" s="35" t="s">
        <v>1653</v>
      </c>
      <c r="C18" s="506">
        <f t="shared" ref="C18:C27" si="4">$C$16</f>
        <v>2023</v>
      </c>
      <c r="D18" s="162">
        <f t="shared" si="2"/>
        <v>3.1583333333333329E-3</v>
      </c>
      <c r="E18" s="153">
        <f t="shared" ref="E18:E27" si="5">I17</f>
        <v>67254.867407370431</v>
      </c>
      <c r="F18" s="123">
        <f>-E16/(((1+D16)^12-1)/(D16*(1+D16)^12))</f>
        <v>-6842.8666379396427</v>
      </c>
      <c r="G18" s="123">
        <f t="shared" si="3"/>
        <v>6630.4533483780315</v>
      </c>
      <c r="H18" s="123">
        <f t="shared" ref="H18:H27" si="6">E18*D18</f>
        <v>212.41328956161158</v>
      </c>
      <c r="I18" s="167">
        <f t="shared" ref="I18:I26" si="7">E18-G18</f>
        <v>60624.414058992399</v>
      </c>
      <c r="J18" s="351">
        <f t="shared" si="1"/>
        <v>9</v>
      </c>
    </row>
    <row r="19" spans="1:13" x14ac:dyDescent="0.35">
      <c r="A19" s="351">
        <f t="shared" si="0"/>
        <v>10</v>
      </c>
      <c r="B19" s="35" t="s">
        <v>1654</v>
      </c>
      <c r="C19" s="506">
        <f t="shared" si="4"/>
        <v>2023</v>
      </c>
      <c r="D19" s="162">
        <f t="shared" si="2"/>
        <v>3.1583333333333329E-3</v>
      </c>
      <c r="E19" s="153">
        <f t="shared" si="5"/>
        <v>60624.414058992399</v>
      </c>
      <c r="F19" s="123">
        <f>-E16/(((1+D16)^12-1)/(D16*(1+D16)^12))</f>
        <v>-6842.8666379396427</v>
      </c>
      <c r="G19" s="123">
        <f t="shared" si="3"/>
        <v>6651.3945302033253</v>
      </c>
      <c r="H19" s="123">
        <f t="shared" si="6"/>
        <v>191.47210773631764</v>
      </c>
      <c r="I19" s="167">
        <f t="shared" si="7"/>
        <v>53973.019528789075</v>
      </c>
      <c r="J19" s="351">
        <f t="shared" si="1"/>
        <v>10</v>
      </c>
    </row>
    <row r="20" spans="1:13" x14ac:dyDescent="0.35">
      <c r="A20" s="351">
        <f t="shared" si="0"/>
        <v>11</v>
      </c>
      <c r="B20" s="35" t="s">
        <v>378</v>
      </c>
      <c r="C20" s="506">
        <f t="shared" si="4"/>
        <v>2023</v>
      </c>
      <c r="D20" s="162">
        <f t="shared" si="2"/>
        <v>3.1583333333333329E-3</v>
      </c>
      <c r="E20" s="153">
        <f t="shared" si="5"/>
        <v>53973.019528789075</v>
      </c>
      <c r="F20" s="123">
        <f>-E16/(((1+D16)^12-1)/(D16*(1+D16)^12))</f>
        <v>-6842.8666379396427</v>
      </c>
      <c r="G20" s="123">
        <f t="shared" si="3"/>
        <v>6672.4018512612174</v>
      </c>
      <c r="H20" s="123">
        <f t="shared" si="6"/>
        <v>170.46478667842547</v>
      </c>
      <c r="I20" s="167">
        <f t="shared" si="7"/>
        <v>47300.617677527858</v>
      </c>
      <c r="J20" s="351">
        <f t="shared" si="1"/>
        <v>11</v>
      </c>
    </row>
    <row r="21" spans="1:13" x14ac:dyDescent="0.35">
      <c r="A21" s="351">
        <f t="shared" si="0"/>
        <v>12</v>
      </c>
      <c r="B21" s="35" t="s">
        <v>1655</v>
      </c>
      <c r="C21" s="506">
        <f t="shared" si="4"/>
        <v>2023</v>
      </c>
      <c r="D21" s="162">
        <f t="shared" si="2"/>
        <v>3.1583333333333329E-3</v>
      </c>
      <c r="E21" s="153">
        <f t="shared" si="5"/>
        <v>47300.617677527858</v>
      </c>
      <c r="F21" s="123">
        <f>-E16/(((1+D16)^12-1)/(D16*(1+D16)^12))</f>
        <v>-6842.8666379396427</v>
      </c>
      <c r="G21" s="123">
        <f t="shared" si="3"/>
        <v>6693.4755204414505</v>
      </c>
      <c r="H21" s="123">
        <f t="shared" si="6"/>
        <v>149.39111749819213</v>
      </c>
      <c r="I21" s="167">
        <f t="shared" si="7"/>
        <v>40607.142157086404</v>
      </c>
      <c r="J21" s="351">
        <f t="shared" si="1"/>
        <v>12</v>
      </c>
    </row>
    <row r="22" spans="1:13" x14ac:dyDescent="0.35">
      <c r="A22" s="351">
        <f t="shared" si="0"/>
        <v>13</v>
      </c>
      <c r="B22" s="35" t="s">
        <v>1656</v>
      </c>
      <c r="C22" s="506">
        <f t="shared" si="4"/>
        <v>2023</v>
      </c>
      <c r="D22" s="162">
        <f t="shared" si="2"/>
        <v>3.1583333333333329E-3</v>
      </c>
      <c r="E22" s="153">
        <f t="shared" si="5"/>
        <v>40607.142157086404</v>
      </c>
      <c r="F22" s="123">
        <f>-E16/(((1+D16)^12-1)/(D16*(1+D16)^12))</f>
        <v>-6842.8666379396427</v>
      </c>
      <c r="G22" s="123">
        <f t="shared" si="3"/>
        <v>6714.615747293512</v>
      </c>
      <c r="H22" s="123">
        <f t="shared" si="6"/>
        <v>128.25089064613121</v>
      </c>
      <c r="I22" s="167">
        <f t="shared" si="7"/>
        <v>33892.526409792888</v>
      </c>
      <c r="J22" s="351">
        <f t="shared" si="1"/>
        <v>13</v>
      </c>
    </row>
    <row r="23" spans="1:13" x14ac:dyDescent="0.35">
      <c r="A23" s="351">
        <f t="shared" si="0"/>
        <v>14</v>
      </c>
      <c r="B23" s="35" t="s">
        <v>1657</v>
      </c>
      <c r="C23" s="506">
        <f t="shared" si="4"/>
        <v>2023</v>
      </c>
      <c r="D23" s="162">
        <f t="shared" si="2"/>
        <v>3.1583333333333329E-3</v>
      </c>
      <c r="E23" s="153">
        <f t="shared" si="5"/>
        <v>33892.526409792888</v>
      </c>
      <c r="F23" s="123">
        <f>-E16/(((1+D16)^12-1)/(D16*(1+D16)^12))</f>
        <v>-6842.8666379396427</v>
      </c>
      <c r="G23" s="123">
        <f t="shared" si="3"/>
        <v>6735.8227420287139</v>
      </c>
      <c r="H23" s="123">
        <f t="shared" si="6"/>
        <v>107.04389591092919</v>
      </c>
      <c r="I23" s="167">
        <f t="shared" si="7"/>
        <v>27156.703667764174</v>
      </c>
      <c r="J23" s="351">
        <f t="shared" si="1"/>
        <v>14</v>
      </c>
    </row>
    <row r="24" spans="1:13" x14ac:dyDescent="0.35">
      <c r="A24" s="351">
        <f t="shared" si="0"/>
        <v>15</v>
      </c>
      <c r="B24" s="35" t="s">
        <v>1658</v>
      </c>
      <c r="C24" s="506">
        <f t="shared" si="4"/>
        <v>2023</v>
      </c>
      <c r="D24" s="162">
        <f t="shared" si="2"/>
        <v>3.1583333333333329E-3</v>
      </c>
      <c r="E24" s="153">
        <f t="shared" si="5"/>
        <v>27156.703667764174</v>
      </c>
      <c r="F24" s="123">
        <f>-E16/(((1+D16)^12-1)/(D16*(1+D16)^12))</f>
        <v>-6842.8666379396427</v>
      </c>
      <c r="G24" s="123">
        <f t="shared" si="3"/>
        <v>6757.0967155222879</v>
      </c>
      <c r="H24" s="123">
        <f t="shared" si="6"/>
        <v>85.769922417355176</v>
      </c>
      <c r="I24" s="167">
        <f t="shared" si="7"/>
        <v>20399.606952241884</v>
      </c>
      <c r="J24" s="351">
        <f t="shared" si="1"/>
        <v>15</v>
      </c>
      <c r="K24" s="504"/>
    </row>
    <row r="25" spans="1:13" x14ac:dyDescent="0.35">
      <c r="A25" s="351">
        <f t="shared" si="0"/>
        <v>16</v>
      </c>
      <c r="B25" s="35" t="s">
        <v>1659</v>
      </c>
      <c r="C25" s="506">
        <f t="shared" si="4"/>
        <v>2023</v>
      </c>
      <c r="D25" s="162">
        <f t="shared" si="2"/>
        <v>3.1583333333333329E-3</v>
      </c>
      <c r="E25" s="153">
        <f t="shared" si="5"/>
        <v>20399.606952241884</v>
      </c>
      <c r="F25" s="123">
        <f>-E16/(((1+D16)^12-1)/(D16*(1+D16)^12))</f>
        <v>-6842.8666379396427</v>
      </c>
      <c r="G25" s="123">
        <f t="shared" si="3"/>
        <v>6778.4378793154792</v>
      </c>
      <c r="H25" s="123">
        <f t="shared" si="6"/>
        <v>64.428758624163947</v>
      </c>
      <c r="I25" s="167">
        <f t="shared" si="7"/>
        <v>13621.169072926405</v>
      </c>
      <c r="J25" s="351">
        <f t="shared" si="1"/>
        <v>16</v>
      </c>
      <c r="K25" s="504"/>
      <c r="M25" s="162"/>
    </row>
    <row r="26" spans="1:13" x14ac:dyDescent="0.35">
      <c r="A26" s="351">
        <f t="shared" si="0"/>
        <v>17</v>
      </c>
      <c r="B26" s="35" t="s">
        <v>1660</v>
      </c>
      <c r="C26" s="506">
        <f t="shared" si="4"/>
        <v>2023</v>
      </c>
      <c r="D26" s="162">
        <f t="shared" si="2"/>
        <v>3.1583333333333329E-3</v>
      </c>
      <c r="E26" s="153">
        <f t="shared" si="5"/>
        <v>13621.169072926405</v>
      </c>
      <c r="F26" s="123">
        <f>-E16/(((1+D16)^12-1)/(D16*(1+D16)^12))</f>
        <v>-6842.8666379396427</v>
      </c>
      <c r="G26" s="123">
        <f t="shared" si="3"/>
        <v>6799.8464456176498</v>
      </c>
      <c r="H26" s="123">
        <f t="shared" si="6"/>
        <v>43.020192321992553</v>
      </c>
      <c r="I26" s="167">
        <f t="shared" si="7"/>
        <v>6821.3226273087548</v>
      </c>
      <c r="J26" s="351">
        <f t="shared" si="1"/>
        <v>17</v>
      </c>
      <c r="K26" s="504"/>
    </row>
    <row r="27" spans="1:13" x14ac:dyDescent="0.35">
      <c r="A27" s="351">
        <f t="shared" si="0"/>
        <v>18</v>
      </c>
      <c r="B27" s="1126" t="s">
        <v>1661</v>
      </c>
      <c r="C27" s="1127">
        <f t="shared" si="4"/>
        <v>2023</v>
      </c>
      <c r="D27" s="1135">
        <f t="shared" si="2"/>
        <v>3.1583333333333329E-3</v>
      </c>
      <c r="E27" s="1128">
        <f t="shared" si="5"/>
        <v>6821.3226273087548</v>
      </c>
      <c r="F27" s="1129">
        <f>-E16/(((1+D16)^12-1)/(D16*(1+D16)^12))</f>
        <v>-6842.8666379396427</v>
      </c>
      <c r="G27" s="1129">
        <f t="shared" si="3"/>
        <v>6821.3226273083928</v>
      </c>
      <c r="H27" s="1129">
        <f t="shared" si="6"/>
        <v>21.544010631250149</v>
      </c>
      <c r="I27" s="1136">
        <f>E27-G27</f>
        <v>3.6197889130562544E-10</v>
      </c>
      <c r="J27" s="351">
        <f t="shared" si="1"/>
        <v>18</v>
      </c>
    </row>
    <row r="28" spans="1:13" ht="16" thickBot="1" x14ac:dyDescent="0.4">
      <c r="A28" s="351">
        <f t="shared" si="0"/>
        <v>19</v>
      </c>
      <c r="B28" s="35"/>
      <c r="C28" s="506"/>
      <c r="D28" s="168"/>
      <c r="E28" s="169"/>
      <c r="F28" s="170"/>
      <c r="H28" s="155">
        <f>SUM(H16:H27)</f>
        <v>1661.1855801998688</v>
      </c>
      <c r="I28" s="170"/>
      <c r="J28" s="351">
        <f t="shared" si="1"/>
        <v>19</v>
      </c>
    </row>
    <row r="29" spans="1:13" ht="16" thickTop="1" x14ac:dyDescent="0.35">
      <c r="A29" s="351">
        <f t="shared" si="0"/>
        <v>20</v>
      </c>
      <c r="B29" s="35"/>
      <c r="C29" s="506"/>
      <c r="D29" s="169"/>
      <c r="E29" s="170"/>
      <c r="F29" s="170"/>
      <c r="G29" s="170"/>
      <c r="H29" s="163"/>
      <c r="I29" s="163"/>
      <c r="J29" s="351">
        <f t="shared" si="1"/>
        <v>20</v>
      </c>
      <c r="K29" s="170"/>
    </row>
    <row r="30" spans="1:13" x14ac:dyDescent="0.35">
      <c r="A30" s="351">
        <f t="shared" si="0"/>
        <v>21</v>
      </c>
      <c r="B30" s="5" t="s">
        <v>1703</v>
      </c>
      <c r="D30" s="148">
        <f>'True-Up'!M34</f>
        <v>-81600.269564864153</v>
      </c>
      <c r="E30" s="518" t="s">
        <v>1704</v>
      </c>
      <c r="F30" s="519"/>
      <c r="G30" s="519"/>
      <c r="J30" s="351">
        <f t="shared" si="1"/>
        <v>21</v>
      </c>
    </row>
    <row r="31" spans="1:13" x14ac:dyDescent="0.35">
      <c r="A31" s="351">
        <f t="shared" si="0"/>
        <v>22</v>
      </c>
      <c r="B31" s="5" t="s">
        <v>1705</v>
      </c>
      <c r="D31" s="1137">
        <f>'Interest TU BP'!G28+'Interest TU CY'!H28</f>
        <v>4648.5174862669382</v>
      </c>
      <c r="E31" s="520" t="s">
        <v>1706</v>
      </c>
      <c r="F31" s="519"/>
      <c r="G31" s="519"/>
      <c r="J31" s="351">
        <f t="shared" si="1"/>
        <v>22</v>
      </c>
    </row>
    <row r="32" spans="1:13" x14ac:dyDescent="0.35">
      <c r="A32" s="351">
        <f t="shared" si="0"/>
        <v>23</v>
      </c>
      <c r="B32" s="5" t="s">
        <v>265</v>
      </c>
      <c r="D32" s="38">
        <f>D30+D31</f>
        <v>-76951.752078597216</v>
      </c>
      <c r="F32" s="519"/>
      <c r="G32" s="519"/>
      <c r="J32" s="351">
        <f t="shared" si="1"/>
        <v>23</v>
      </c>
    </row>
    <row r="33" spans="1:2" x14ac:dyDescent="0.35">
      <c r="A33" s="351"/>
    </row>
    <row r="34" spans="1:2" x14ac:dyDescent="0.35">
      <c r="A34" s="351"/>
    </row>
    <row r="35" spans="1:2" ht="18" x14ac:dyDescent="0.35">
      <c r="A35" s="261">
        <v>1</v>
      </c>
      <c r="B35" s="5" t="s">
        <v>1707</v>
      </c>
    </row>
    <row r="36" spans="1:2" ht="18" x14ac:dyDescent="0.35">
      <c r="A36" s="261">
        <v>2</v>
      </c>
      <c r="B36" s="5" t="s">
        <v>1708</v>
      </c>
    </row>
    <row r="37" spans="1:2" ht="18" x14ac:dyDescent="0.35">
      <c r="A37" s="261"/>
      <c r="B37" s="5" t="s">
        <v>1709</v>
      </c>
    </row>
    <row r="38" spans="1:2" ht="18" x14ac:dyDescent="0.35">
      <c r="A38" s="261">
        <v>3</v>
      </c>
      <c r="B38" s="5" t="s">
        <v>1710</v>
      </c>
    </row>
    <row r="39" spans="1:2" x14ac:dyDescent="0.35">
      <c r="B39" s="5" t="s">
        <v>1711</v>
      </c>
    </row>
  </sheetData>
  <mergeCells count="4">
    <mergeCell ref="B5:I5"/>
    <mergeCell ref="B2:I2"/>
    <mergeCell ref="B3:I3"/>
    <mergeCell ref="B4:I4"/>
  </mergeCells>
  <printOptions horizontalCentered="1"/>
  <pageMargins left="0.5" right="0.5" top="0.5" bottom="0.5" header="0.25" footer="0.25"/>
  <pageSetup orientation="landscape" r:id="rId1"/>
  <headerFooter scaleWithDoc="0">
    <oddFooter>&amp;C&amp;"Times New Roman,Regular"&amp;10Interest True-Up CY</oddFooter>
  </headerFooter>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8"/>
  <sheetViews>
    <sheetView zoomScale="80" zoomScaleNormal="80" workbookViewId="0"/>
  </sheetViews>
  <sheetFormatPr defaultColWidth="9.08984375" defaultRowHeight="15" x14ac:dyDescent="0.35"/>
  <cols>
    <col min="1" max="1" width="5.08984375" style="1" customWidth="1"/>
    <col min="2" max="2" width="76.90625" style="1" customWidth="1"/>
    <col min="3" max="3" width="2.08984375" style="1" customWidth="1"/>
    <col min="4" max="6" width="31.90625" style="176" customWidth="1"/>
    <col min="7" max="7" width="5.08984375" style="1" customWidth="1"/>
    <col min="8" max="10" width="9.08984375" style="1"/>
    <col min="11" max="11" width="21.08984375" style="1" customWidth="1"/>
    <col min="12" max="16384" width="9.08984375" style="1"/>
  </cols>
  <sheetData>
    <row r="2" spans="1:7" ht="15.5" x14ac:dyDescent="0.35">
      <c r="B2" s="1171" t="s">
        <v>0</v>
      </c>
      <c r="C2" s="1171"/>
      <c r="D2" s="1171"/>
      <c r="E2" s="1171"/>
      <c r="F2" s="1171"/>
      <c r="G2" s="34"/>
    </row>
    <row r="3" spans="1:7" ht="15.5" x14ac:dyDescent="0.35">
      <c r="B3" s="1171" t="s">
        <v>1712</v>
      </c>
      <c r="C3" s="1171"/>
      <c r="D3" s="1171"/>
      <c r="E3" s="1171"/>
      <c r="F3" s="1171"/>
      <c r="G3" s="34"/>
    </row>
    <row r="4" spans="1:7" ht="15.5" x14ac:dyDescent="0.35">
      <c r="B4" s="1171" t="s">
        <v>1713</v>
      </c>
      <c r="C4" s="1171"/>
      <c r="D4" s="1171"/>
      <c r="E4" s="1171"/>
      <c r="F4" s="1171"/>
      <c r="G4" s="34"/>
    </row>
    <row r="5" spans="1:7" ht="15.5" x14ac:dyDescent="0.35">
      <c r="B5" s="1175" t="s">
        <v>5</v>
      </c>
      <c r="C5" s="1175"/>
      <c r="D5" s="1175"/>
      <c r="E5" s="1175"/>
      <c r="F5" s="1175"/>
      <c r="G5" s="34"/>
    </row>
    <row r="6" spans="1:7" ht="15.5" x14ac:dyDescent="0.35">
      <c r="B6" s="272"/>
      <c r="C6" s="272"/>
      <c r="D6" s="4"/>
      <c r="E6" s="4"/>
      <c r="F6" s="226"/>
      <c r="G6" s="34"/>
    </row>
    <row r="7" spans="1:7" ht="15.5" thickBot="1" x14ac:dyDescent="0.4">
      <c r="B7" s="226"/>
      <c r="C7" s="226"/>
      <c r="D7" s="226" t="s">
        <v>1714</v>
      </c>
      <c r="E7" s="226" t="s">
        <v>281</v>
      </c>
      <c r="F7" s="226" t="s">
        <v>1715</v>
      </c>
    </row>
    <row r="8" spans="1:7" s="256" customFormat="1" ht="15.5" x14ac:dyDescent="0.35">
      <c r="A8" s="4" t="s">
        <v>6</v>
      </c>
      <c r="B8" s="523"/>
      <c r="C8" s="469"/>
      <c r="D8" s="524" t="s">
        <v>1716</v>
      </c>
      <c r="E8" s="525" t="s">
        <v>1717</v>
      </c>
      <c r="F8" s="526" t="s">
        <v>1718</v>
      </c>
      <c r="G8" s="4" t="s">
        <v>6</v>
      </c>
    </row>
    <row r="9" spans="1:7" s="256" customFormat="1" ht="16" thickBot="1" x14ac:dyDescent="0.4">
      <c r="A9" s="4" t="s">
        <v>7</v>
      </c>
      <c r="B9" s="527" t="s">
        <v>1719</v>
      </c>
      <c r="C9" s="943"/>
      <c r="D9" s="528" t="s">
        <v>265</v>
      </c>
      <c r="E9" s="1138" t="s">
        <v>1720</v>
      </c>
      <c r="F9" s="529" t="s">
        <v>1721</v>
      </c>
      <c r="G9" s="4" t="s">
        <v>7</v>
      </c>
    </row>
    <row r="10" spans="1:7" x14ac:dyDescent="0.35">
      <c r="B10" s="530"/>
      <c r="D10" s="175"/>
      <c r="F10" s="175"/>
    </row>
    <row r="11" spans="1:7" ht="15.5" x14ac:dyDescent="0.35">
      <c r="A11" s="4">
        <v>1</v>
      </c>
      <c r="B11" s="531" t="s">
        <v>1722</v>
      </c>
      <c r="D11" s="171">
        <f>E11+F11</f>
        <v>308739.52979000006</v>
      </c>
      <c r="E11" s="171">
        <v>10047.419947729357</v>
      </c>
      <c r="F11" s="697">
        <v>298692.10984227073</v>
      </c>
      <c r="G11" s="4">
        <f>A11</f>
        <v>1</v>
      </c>
    </row>
    <row r="12" spans="1:7" ht="15.5" x14ac:dyDescent="0.35">
      <c r="A12" s="4">
        <f>A11+1</f>
        <v>2</v>
      </c>
      <c r="B12" s="531" t="s">
        <v>1723</v>
      </c>
      <c r="D12" s="172">
        <f t="shared" ref="D12:D40" si="0">E12+F12</f>
        <v>217846.14467999997</v>
      </c>
      <c r="E12" s="6">
        <v>0</v>
      </c>
      <c r="F12" s="172">
        <v>217846.14467999997</v>
      </c>
      <c r="G12" s="4">
        <f>G11+1</f>
        <v>2</v>
      </c>
    </row>
    <row r="13" spans="1:7" ht="15.5" x14ac:dyDescent="0.35">
      <c r="A13" s="4">
        <f t="shared" ref="A13:A18" si="1">A12+1</f>
        <v>3</v>
      </c>
      <c r="B13" s="531" t="s">
        <v>1724</v>
      </c>
      <c r="D13" s="172">
        <f t="shared" si="0"/>
        <v>231205.99991000001</v>
      </c>
      <c r="E13" s="6">
        <v>231205.99991000001</v>
      </c>
      <c r="F13" s="172">
        <v>0</v>
      </c>
      <c r="G13" s="4">
        <f t="shared" ref="G13:G19" si="2">G12+1</f>
        <v>3</v>
      </c>
    </row>
    <row r="14" spans="1:7" ht="15.5" x14ac:dyDescent="0.35">
      <c r="A14" s="4">
        <f t="shared" si="1"/>
        <v>4</v>
      </c>
      <c r="B14" s="531" t="s">
        <v>1725</v>
      </c>
      <c r="D14" s="172">
        <f t="shared" si="0"/>
        <v>139504.45684</v>
      </c>
      <c r="E14" s="6">
        <v>759.98009664083884</v>
      </c>
      <c r="F14" s="172">
        <v>138744.47674335915</v>
      </c>
      <c r="G14" s="4">
        <f t="shared" si="2"/>
        <v>4</v>
      </c>
    </row>
    <row r="15" spans="1:7" ht="15.5" x14ac:dyDescent="0.35">
      <c r="A15" s="4">
        <f t="shared" si="1"/>
        <v>5</v>
      </c>
      <c r="B15" s="531" t="s">
        <v>1726</v>
      </c>
      <c r="D15" s="172">
        <f t="shared" si="0"/>
        <v>217664.31605000005</v>
      </c>
      <c r="E15" s="6">
        <v>23381.958061252917</v>
      </c>
      <c r="F15" s="172">
        <v>194282.35798874713</v>
      </c>
      <c r="G15" s="4">
        <f t="shared" si="2"/>
        <v>5</v>
      </c>
    </row>
    <row r="16" spans="1:7" ht="15.5" x14ac:dyDescent="0.35">
      <c r="A16" s="4">
        <f t="shared" si="1"/>
        <v>6</v>
      </c>
      <c r="B16" s="531" t="s">
        <v>1727</v>
      </c>
      <c r="D16" s="172">
        <f t="shared" si="0"/>
        <v>89011.663709999993</v>
      </c>
      <c r="E16" s="6">
        <v>40107.564226945186</v>
      </c>
      <c r="F16" s="172">
        <v>48904.099483054815</v>
      </c>
      <c r="G16" s="4">
        <f t="shared" si="2"/>
        <v>6</v>
      </c>
    </row>
    <row r="17" spans="1:7" ht="15.5" x14ac:dyDescent="0.35">
      <c r="A17" s="4">
        <f t="shared" si="1"/>
        <v>7</v>
      </c>
      <c r="B17" s="531" t="s">
        <v>1728</v>
      </c>
      <c r="D17" s="172">
        <f t="shared" si="0"/>
        <v>117870.26046999998</v>
      </c>
      <c r="E17" s="6">
        <v>50869.756270953927</v>
      </c>
      <c r="F17" s="172">
        <v>67000.50419904606</v>
      </c>
      <c r="G17" s="4">
        <f t="shared" si="2"/>
        <v>7</v>
      </c>
    </row>
    <row r="18" spans="1:7" ht="15.5" x14ac:dyDescent="0.35">
      <c r="A18" s="4">
        <f t="shared" si="1"/>
        <v>8</v>
      </c>
      <c r="B18" s="531" t="s">
        <v>1729</v>
      </c>
      <c r="D18" s="172">
        <f t="shared" si="0"/>
        <v>35923.3001</v>
      </c>
      <c r="E18" s="6">
        <v>18730.565628656172</v>
      </c>
      <c r="F18" s="172">
        <v>17192.734471343829</v>
      </c>
      <c r="G18" s="4">
        <f t="shared" si="2"/>
        <v>8</v>
      </c>
    </row>
    <row r="19" spans="1:7" ht="15.5" x14ac:dyDescent="0.35">
      <c r="A19" s="4">
        <f t="shared" ref="A19:A46" si="3">A18+1</f>
        <v>9</v>
      </c>
      <c r="B19" s="532" t="s">
        <v>1730</v>
      </c>
      <c r="C19" s="533"/>
      <c r="D19" s="172">
        <f>E19+F19</f>
        <v>6873.8818100000017</v>
      </c>
      <c r="E19" s="6">
        <v>0</v>
      </c>
      <c r="F19" s="172">
        <v>6873.8818100000017</v>
      </c>
      <c r="G19" s="4">
        <f t="shared" si="2"/>
        <v>9</v>
      </c>
    </row>
    <row r="20" spans="1:7" ht="15.5" x14ac:dyDescent="0.35">
      <c r="A20" s="4">
        <f t="shared" si="3"/>
        <v>10</v>
      </c>
      <c r="B20" s="531" t="s">
        <v>1731</v>
      </c>
      <c r="D20" s="172">
        <f t="shared" si="0"/>
        <v>11892.022449999995</v>
      </c>
      <c r="E20" s="6">
        <v>11892.022449999995</v>
      </c>
      <c r="F20" s="172">
        <v>0</v>
      </c>
      <c r="G20" s="4">
        <f t="shared" ref="G20:G53" si="4">G19+1</f>
        <v>10</v>
      </c>
    </row>
    <row r="21" spans="1:7" ht="15.5" x14ac:dyDescent="0.35">
      <c r="A21" s="4">
        <f t="shared" si="3"/>
        <v>11</v>
      </c>
      <c r="B21" s="532" t="s">
        <v>1732</v>
      </c>
      <c r="C21" s="533"/>
      <c r="D21" s="172">
        <f t="shared" si="0"/>
        <v>56633.532980000011</v>
      </c>
      <c r="E21" s="6">
        <v>0</v>
      </c>
      <c r="F21" s="172">
        <v>56633.532980000011</v>
      </c>
      <c r="G21" s="4">
        <f t="shared" si="4"/>
        <v>11</v>
      </c>
    </row>
    <row r="22" spans="1:7" ht="15.5" x14ac:dyDescent="0.35">
      <c r="A22" s="4">
        <f t="shared" si="3"/>
        <v>12</v>
      </c>
      <c r="B22" s="532" t="s">
        <v>1733</v>
      </c>
      <c r="C22" s="533"/>
      <c r="D22" s="172">
        <f t="shared" si="0"/>
        <v>22926.690448247995</v>
      </c>
      <c r="E22" s="6">
        <v>22926.690448247995</v>
      </c>
      <c r="F22" s="172">
        <v>0</v>
      </c>
      <c r="G22" s="4">
        <f t="shared" si="4"/>
        <v>12</v>
      </c>
    </row>
    <row r="23" spans="1:7" ht="15.5" x14ac:dyDescent="0.35">
      <c r="A23" s="4">
        <f t="shared" si="3"/>
        <v>13</v>
      </c>
      <c r="B23" s="532" t="s">
        <v>1734</v>
      </c>
      <c r="C23" s="533"/>
      <c r="D23" s="172">
        <f t="shared" si="0"/>
        <v>3140.8122699999994</v>
      </c>
      <c r="E23" s="6">
        <v>0</v>
      </c>
      <c r="F23" s="172">
        <v>3140.8122699999994</v>
      </c>
      <c r="G23" s="4">
        <f t="shared" si="4"/>
        <v>13</v>
      </c>
    </row>
    <row r="24" spans="1:7" ht="15.5" x14ac:dyDescent="0.35">
      <c r="A24" s="4">
        <f t="shared" si="3"/>
        <v>14</v>
      </c>
      <c r="B24" s="531" t="s">
        <v>1735</v>
      </c>
      <c r="D24" s="172">
        <f t="shared" si="0"/>
        <v>133612.84505999993</v>
      </c>
      <c r="E24" s="6">
        <v>128174.54102999993</v>
      </c>
      <c r="F24" s="172">
        <v>5438.3040299999993</v>
      </c>
      <c r="G24" s="4">
        <f t="shared" si="4"/>
        <v>14</v>
      </c>
    </row>
    <row r="25" spans="1:7" ht="15.5" x14ac:dyDescent="0.35">
      <c r="A25" s="4">
        <f t="shared" si="3"/>
        <v>15</v>
      </c>
      <c r="B25" s="532" t="s">
        <v>1736</v>
      </c>
      <c r="C25" s="533"/>
      <c r="D25" s="172">
        <f t="shared" si="0"/>
        <v>49439.443730000006</v>
      </c>
      <c r="E25" s="6">
        <v>0</v>
      </c>
      <c r="F25" s="172">
        <v>49439.443730000006</v>
      </c>
      <c r="G25" s="4">
        <f t="shared" si="4"/>
        <v>15</v>
      </c>
    </row>
    <row r="26" spans="1:7" ht="15.5" x14ac:dyDescent="0.35">
      <c r="A26" s="4">
        <f t="shared" si="3"/>
        <v>16</v>
      </c>
      <c r="B26" s="531" t="s">
        <v>1737</v>
      </c>
      <c r="D26" s="172">
        <f t="shared" si="0"/>
        <v>26450.578540000006</v>
      </c>
      <c r="E26" s="6">
        <v>26450.578540000006</v>
      </c>
      <c r="F26" s="172">
        <v>0</v>
      </c>
      <c r="G26" s="4">
        <f t="shared" si="4"/>
        <v>16</v>
      </c>
    </row>
    <row r="27" spans="1:7" ht="15.5" x14ac:dyDescent="0.35">
      <c r="A27" s="4">
        <f t="shared" si="3"/>
        <v>17</v>
      </c>
      <c r="B27" s="531" t="s">
        <v>1738</v>
      </c>
      <c r="D27" s="172">
        <f t="shared" si="0"/>
        <v>49905.867570000002</v>
      </c>
      <c r="E27" s="6">
        <v>0</v>
      </c>
      <c r="F27" s="172">
        <v>49905.867570000002</v>
      </c>
      <c r="G27" s="4">
        <f t="shared" si="4"/>
        <v>17</v>
      </c>
    </row>
    <row r="28" spans="1:7" ht="15.5" x14ac:dyDescent="0.35">
      <c r="A28" s="4">
        <f t="shared" si="3"/>
        <v>18</v>
      </c>
      <c r="B28" s="532" t="s">
        <v>1739</v>
      </c>
      <c r="C28" s="533"/>
      <c r="D28" s="172">
        <f t="shared" si="0"/>
        <v>7924.0022899999994</v>
      </c>
      <c r="E28" s="6">
        <v>7924.0022899999994</v>
      </c>
      <c r="F28" s="172">
        <v>0</v>
      </c>
      <c r="G28" s="4">
        <f t="shared" si="4"/>
        <v>18</v>
      </c>
    </row>
    <row r="29" spans="1:7" ht="15.5" x14ac:dyDescent="0.35">
      <c r="A29" s="4">
        <f t="shared" si="3"/>
        <v>19</v>
      </c>
      <c r="B29" s="532" t="s">
        <v>1740</v>
      </c>
      <c r="C29" s="533"/>
      <c r="D29" s="172">
        <f t="shared" si="0"/>
        <v>22719.471379999995</v>
      </c>
      <c r="E29" s="6">
        <v>0</v>
      </c>
      <c r="F29" s="172">
        <v>22719.471379999995</v>
      </c>
      <c r="G29" s="4">
        <f t="shared" si="4"/>
        <v>19</v>
      </c>
    </row>
    <row r="30" spans="1:7" ht="15.5" x14ac:dyDescent="0.35">
      <c r="A30" s="4">
        <f t="shared" si="3"/>
        <v>20</v>
      </c>
      <c r="B30" s="534" t="s">
        <v>1741</v>
      </c>
      <c r="C30" s="350"/>
      <c r="D30" s="172">
        <f t="shared" si="0"/>
        <v>20956.024640000007</v>
      </c>
      <c r="E30" s="6">
        <v>0</v>
      </c>
      <c r="F30" s="172">
        <v>20956.024640000007</v>
      </c>
      <c r="G30" s="4">
        <f t="shared" si="4"/>
        <v>20</v>
      </c>
    </row>
    <row r="31" spans="1:7" ht="15.5" x14ac:dyDescent="0.35">
      <c r="A31" s="4">
        <f t="shared" si="3"/>
        <v>21</v>
      </c>
      <c r="B31" s="534" t="s">
        <v>1742</v>
      </c>
      <c r="C31" s="350"/>
      <c r="D31" s="172">
        <f t="shared" si="0"/>
        <v>218976.90063500003</v>
      </c>
      <c r="E31" s="6">
        <v>68863.371582525186</v>
      </c>
      <c r="F31" s="172">
        <v>150113.52905247486</v>
      </c>
      <c r="G31" s="4">
        <f t="shared" si="4"/>
        <v>21</v>
      </c>
    </row>
    <row r="32" spans="1:7" ht="15.5" x14ac:dyDescent="0.35">
      <c r="A32" s="4">
        <f t="shared" si="3"/>
        <v>22</v>
      </c>
      <c r="B32" s="534" t="s">
        <v>1743</v>
      </c>
      <c r="C32" s="350"/>
      <c r="D32" s="172">
        <f t="shared" si="0"/>
        <v>11480.16001</v>
      </c>
      <c r="E32" s="6">
        <v>0</v>
      </c>
      <c r="F32" s="172">
        <v>11480.16001</v>
      </c>
      <c r="G32" s="4">
        <f t="shared" si="4"/>
        <v>22</v>
      </c>
    </row>
    <row r="33" spans="1:11" ht="15.5" x14ac:dyDescent="0.35">
      <c r="A33" s="4">
        <f>A32+1</f>
        <v>23</v>
      </c>
      <c r="B33" s="534" t="s">
        <v>1744</v>
      </c>
      <c r="C33" s="350"/>
      <c r="D33" s="172">
        <f>E33+F33</f>
        <v>14971.70995</v>
      </c>
      <c r="E33" s="6">
        <v>0</v>
      </c>
      <c r="F33" s="172">
        <v>14971.70995</v>
      </c>
      <c r="G33" s="4">
        <f>G32+1</f>
        <v>23</v>
      </c>
    </row>
    <row r="34" spans="1:11" ht="15.5" x14ac:dyDescent="0.35">
      <c r="A34" s="4">
        <f t="shared" ref="A34:A37" si="5">A33+1</f>
        <v>24</v>
      </c>
      <c r="B34" s="534" t="s">
        <v>1745</v>
      </c>
      <c r="C34" s="350"/>
      <c r="D34" s="172">
        <f>E34+F34</f>
        <v>644.27064000000018</v>
      </c>
      <c r="E34" s="6">
        <v>0</v>
      </c>
      <c r="F34" s="172">
        <v>644.27064000000018</v>
      </c>
      <c r="G34" s="4">
        <f t="shared" ref="G34:G40" si="6">G33+1</f>
        <v>24</v>
      </c>
    </row>
    <row r="35" spans="1:11" ht="15.5" x14ac:dyDescent="0.35">
      <c r="A35" s="4">
        <f t="shared" si="5"/>
        <v>25</v>
      </c>
      <c r="B35" s="534" t="s">
        <v>1746</v>
      </c>
      <c r="C35" s="350"/>
      <c r="D35" s="172">
        <f t="shared" si="0"/>
        <v>553.29552999999999</v>
      </c>
      <c r="E35" s="6">
        <v>0</v>
      </c>
      <c r="F35" s="172">
        <v>553.29552999999999</v>
      </c>
      <c r="G35" s="4">
        <f t="shared" si="6"/>
        <v>25</v>
      </c>
    </row>
    <row r="36" spans="1:11" ht="15.5" x14ac:dyDescent="0.35">
      <c r="A36" s="4">
        <f t="shared" si="5"/>
        <v>26</v>
      </c>
      <c r="B36" s="534" t="s">
        <v>1747</v>
      </c>
      <c r="C36" s="350"/>
      <c r="D36" s="172">
        <f t="shared" si="0"/>
        <v>2269.0169849999997</v>
      </c>
      <c r="E36" s="6">
        <v>2269.0169849999997</v>
      </c>
      <c r="F36" s="172">
        <v>0</v>
      </c>
      <c r="G36" s="4">
        <f t="shared" si="6"/>
        <v>26</v>
      </c>
    </row>
    <row r="37" spans="1:11" ht="15.5" x14ac:dyDescent="0.35">
      <c r="A37" s="4">
        <f t="shared" si="5"/>
        <v>27</v>
      </c>
      <c r="B37" s="534" t="s">
        <v>1748</v>
      </c>
      <c r="C37" s="350"/>
      <c r="D37" s="172">
        <f t="shared" si="0"/>
        <v>23163.354619999995</v>
      </c>
      <c r="E37" s="6">
        <v>43.458662747890138</v>
      </c>
      <c r="F37" s="172">
        <v>23119.895957252105</v>
      </c>
      <c r="G37" s="4">
        <f t="shared" si="6"/>
        <v>27</v>
      </c>
    </row>
    <row r="38" spans="1:11" ht="15.5" x14ac:dyDescent="0.35">
      <c r="A38" s="4">
        <f t="shared" si="3"/>
        <v>28</v>
      </c>
      <c r="B38" s="534" t="s">
        <v>1749</v>
      </c>
      <c r="C38" s="350"/>
      <c r="D38" s="172">
        <f t="shared" si="0"/>
        <v>76178.581089999992</v>
      </c>
      <c r="E38" s="6">
        <v>37177.206884052081</v>
      </c>
      <c r="F38" s="172">
        <v>39001.374205947912</v>
      </c>
      <c r="G38" s="4">
        <f t="shared" si="6"/>
        <v>28</v>
      </c>
    </row>
    <row r="39" spans="1:11" ht="15.5" x14ac:dyDescent="0.35">
      <c r="A39" s="4">
        <f t="shared" si="3"/>
        <v>29</v>
      </c>
      <c r="B39" s="531" t="s">
        <v>1750</v>
      </c>
      <c r="D39" s="172">
        <f t="shared" si="0"/>
        <v>12682.362810000001</v>
      </c>
      <c r="E39" s="6">
        <v>0</v>
      </c>
      <c r="F39" s="172">
        <v>12682.362810000001</v>
      </c>
      <c r="G39" s="4">
        <f t="shared" si="6"/>
        <v>29</v>
      </c>
    </row>
    <row r="40" spans="1:11" ht="15.5" x14ac:dyDescent="0.35">
      <c r="A40" s="4">
        <f t="shared" si="3"/>
        <v>30</v>
      </c>
      <c r="B40" s="531" t="s">
        <v>1751</v>
      </c>
      <c r="D40" s="172">
        <f t="shared" si="0"/>
        <v>581174.60924278211</v>
      </c>
      <c r="E40" s="6">
        <v>581174.60924278211</v>
      </c>
      <c r="F40" s="172">
        <v>0</v>
      </c>
      <c r="G40" s="4">
        <f t="shared" si="6"/>
        <v>30</v>
      </c>
    </row>
    <row r="41" spans="1:11" ht="16" thickBot="1" x14ac:dyDescent="0.4">
      <c r="A41" s="4">
        <f t="shared" si="3"/>
        <v>31</v>
      </c>
      <c r="B41" s="530"/>
      <c r="D41" s="173"/>
      <c r="E41" s="1139"/>
      <c r="F41" s="173"/>
      <c r="G41" s="4">
        <f t="shared" si="4"/>
        <v>31</v>
      </c>
    </row>
    <row r="42" spans="1:11" ht="15.5" x14ac:dyDescent="0.35">
      <c r="A42" s="4">
        <f t="shared" si="3"/>
        <v>32</v>
      </c>
      <c r="B42" s="530" t="s">
        <v>1752</v>
      </c>
      <c r="D42" s="174">
        <f>SUM(D11:D40)</f>
        <v>2712335.1062310301</v>
      </c>
      <c r="E42" s="46">
        <f>SUM(E11:E40)</f>
        <v>1261998.7422575336</v>
      </c>
      <c r="F42" s="174">
        <f>SUM(F11:F40)</f>
        <v>1450336.3639734965</v>
      </c>
      <c r="G42" s="4">
        <f t="shared" si="4"/>
        <v>32</v>
      </c>
    </row>
    <row r="43" spans="1:11" ht="15.5" x14ac:dyDescent="0.35">
      <c r="A43" s="4">
        <f t="shared" si="3"/>
        <v>33</v>
      </c>
      <c r="B43" s="530"/>
      <c r="D43" s="175"/>
      <c r="F43" s="175"/>
      <c r="G43" s="4">
        <f t="shared" si="4"/>
        <v>33</v>
      </c>
    </row>
    <row r="44" spans="1:11" s="34" customFormat="1" ht="18" x14ac:dyDescent="0.35">
      <c r="A44" s="4">
        <f t="shared" si="3"/>
        <v>34</v>
      </c>
      <c r="B44" s="531" t="s">
        <v>1753</v>
      </c>
      <c r="D44" s="172">
        <f>SUM(E44:F44)</f>
        <v>4215902.0929199997</v>
      </c>
      <c r="E44" s="6">
        <v>2123125.3831266649</v>
      </c>
      <c r="F44" s="172">
        <v>2092776.7097933348</v>
      </c>
      <c r="G44" s="4">
        <f t="shared" si="4"/>
        <v>34</v>
      </c>
      <c r="I44" s="6"/>
      <c r="K44" s="6"/>
    </row>
    <row r="45" spans="1:11" s="34" customFormat="1" ht="15.5" x14ac:dyDescent="0.35">
      <c r="A45" s="4">
        <f t="shared" si="3"/>
        <v>35</v>
      </c>
      <c r="B45" s="531"/>
      <c r="D45" s="172"/>
      <c r="E45" s="6"/>
      <c r="F45" s="172"/>
      <c r="G45" s="4">
        <f t="shared" si="4"/>
        <v>35</v>
      </c>
    </row>
    <row r="46" spans="1:11" s="34" customFormat="1" ht="15.5" x14ac:dyDescent="0.35">
      <c r="A46" s="4">
        <f t="shared" si="3"/>
        <v>36</v>
      </c>
      <c r="B46" s="531" t="s">
        <v>1754</v>
      </c>
      <c r="D46" s="172">
        <v>874683.04444999946</v>
      </c>
      <c r="E46" s="172">
        <f>D46*E50</f>
        <v>427368.54855301656</v>
      </c>
      <c r="F46" s="172">
        <f>D46*F50</f>
        <v>447314.49589698284</v>
      </c>
      <c r="G46" s="4">
        <f t="shared" si="4"/>
        <v>36</v>
      </c>
    </row>
    <row r="47" spans="1:11" ht="16" thickBot="1" x14ac:dyDescent="0.4">
      <c r="A47" s="4">
        <f t="shared" ref="A47:A53" si="7">A46+1</f>
        <v>37</v>
      </c>
      <c r="B47" s="530"/>
      <c r="D47" s="173"/>
      <c r="E47" s="173"/>
      <c r="F47" s="173"/>
      <c r="G47" s="4">
        <f t="shared" si="4"/>
        <v>37</v>
      </c>
    </row>
    <row r="48" spans="1:11" ht="18" x14ac:dyDescent="0.35">
      <c r="A48" s="4">
        <f t="shared" si="7"/>
        <v>38</v>
      </c>
      <c r="B48" s="530" t="s">
        <v>1755</v>
      </c>
      <c r="C48" s="276">
        <v>1</v>
      </c>
      <c r="D48" s="174">
        <f>SUM(D42:D46)</f>
        <v>7802920.2436010297</v>
      </c>
      <c r="E48" s="46">
        <f>SUM(E42:E46)</f>
        <v>3812492.673937215</v>
      </c>
      <c r="F48" s="174">
        <f>SUM(F42:F46)</f>
        <v>3990427.5696638143</v>
      </c>
      <c r="G48" s="4">
        <f t="shared" si="4"/>
        <v>38</v>
      </c>
      <c r="K48" s="91"/>
    </row>
    <row r="49" spans="1:7" ht="15.5" x14ac:dyDescent="0.35">
      <c r="A49" s="4">
        <f t="shared" si="7"/>
        <v>39</v>
      </c>
      <c r="B49" s="530"/>
      <c r="D49" s="175"/>
      <c r="E49" s="175"/>
      <c r="F49" s="177"/>
      <c r="G49" s="4">
        <f t="shared" si="4"/>
        <v>39</v>
      </c>
    </row>
    <row r="50" spans="1:7" ht="15.5" x14ac:dyDescent="0.35">
      <c r="A50" s="4">
        <f t="shared" si="7"/>
        <v>40</v>
      </c>
      <c r="B50" s="530" t="s">
        <v>1756</v>
      </c>
      <c r="D50" s="178">
        <f>+E50+F50</f>
        <v>1</v>
      </c>
      <c r="E50" s="178">
        <f>(E42+E44)/(D42+D44)</f>
        <v>0.48859818566821062</v>
      </c>
      <c r="F50" s="179">
        <f>(F42+F44)/(D42+D44)</f>
        <v>0.51140181433178933</v>
      </c>
      <c r="G50" s="4">
        <f t="shared" si="4"/>
        <v>40</v>
      </c>
    </row>
    <row r="51" spans="1:7" ht="15.5" x14ac:dyDescent="0.35">
      <c r="A51" s="4">
        <f t="shared" si="7"/>
        <v>41</v>
      </c>
      <c r="B51" s="530"/>
      <c r="D51" s="178"/>
      <c r="E51" s="178"/>
      <c r="F51" s="179"/>
      <c r="G51" s="4">
        <f t="shared" si="4"/>
        <v>41</v>
      </c>
    </row>
    <row r="52" spans="1:7" ht="15.5" x14ac:dyDescent="0.35">
      <c r="A52" s="4">
        <f t="shared" si="7"/>
        <v>42</v>
      </c>
      <c r="B52" s="530"/>
      <c r="D52" s="178"/>
      <c r="E52" s="535" t="s">
        <v>1757</v>
      </c>
      <c r="F52" s="536" t="s">
        <v>1758</v>
      </c>
      <c r="G52" s="4">
        <f t="shared" si="4"/>
        <v>42</v>
      </c>
    </row>
    <row r="53" spans="1:7" ht="16" thickBot="1" x14ac:dyDescent="0.4">
      <c r="A53" s="4">
        <f t="shared" si="7"/>
        <v>43</v>
      </c>
      <c r="B53" s="537"/>
      <c r="C53" s="1140"/>
      <c r="D53" s="538"/>
      <c r="E53" s="538"/>
      <c r="F53" s="539"/>
      <c r="G53" s="4">
        <f t="shared" si="4"/>
        <v>43</v>
      </c>
    </row>
    <row r="55" spans="1:7" x14ac:dyDescent="0.35">
      <c r="E55" s="540"/>
    </row>
    <row r="56" spans="1:7" ht="18" x14ac:dyDescent="0.35">
      <c r="A56" s="261">
        <v>1</v>
      </c>
      <c r="B56" s="34" t="s">
        <v>1759</v>
      </c>
      <c r="C56" s="34"/>
    </row>
    <row r="57" spans="1:7" ht="18" x14ac:dyDescent="0.35">
      <c r="A57" s="261">
        <v>2</v>
      </c>
      <c r="B57" s="34" t="s">
        <v>1760</v>
      </c>
    </row>
    <row r="58" spans="1:7" ht="15.5" x14ac:dyDescent="0.35">
      <c r="B58" s="34" t="s">
        <v>1761</v>
      </c>
    </row>
  </sheetData>
  <mergeCells count="4">
    <mergeCell ref="B2:F2"/>
    <mergeCell ref="B3:F3"/>
    <mergeCell ref="B4:F4"/>
    <mergeCell ref="B5:F5"/>
  </mergeCells>
  <printOptions horizontalCentered="1"/>
  <pageMargins left="0.5" right="0.5" top="0.5" bottom="0.5" header="0.25" footer="0.25"/>
  <pageSetup orientation="landscape" r:id="rId1"/>
  <headerFooter scaleWithDoc="0">
    <oddFooter>&amp;C&amp;"Times New Roman,Regular"&amp;10Summary of HV/LV Plant Allocation Study</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90625" defaultRowHeight="15.5" x14ac:dyDescent="0.35"/>
  <cols>
    <col min="1" max="1" width="5.08984375" style="351" customWidth="1"/>
    <col min="2" max="2" width="82.54296875" style="5" customWidth="1"/>
    <col min="3" max="5" width="15.90625" style="5" customWidth="1"/>
    <col min="6" max="6" width="3.08984375" style="5" customWidth="1"/>
    <col min="7" max="9" width="15.90625" style="5" customWidth="1"/>
    <col min="10" max="10" width="34.90625" style="5" customWidth="1"/>
    <col min="11" max="11" width="5.08984375" style="351" customWidth="1"/>
    <col min="12" max="16384" width="8.90625" style="5"/>
  </cols>
  <sheetData>
    <row r="2" spans="1:11" ht="15.75" customHeight="1" x14ac:dyDescent="0.35">
      <c r="B2" s="1171" t="s">
        <v>0</v>
      </c>
      <c r="C2" s="1171"/>
      <c r="D2" s="1171"/>
      <c r="E2" s="1171"/>
      <c r="F2" s="1171"/>
      <c r="G2" s="1171"/>
      <c r="H2" s="1171"/>
      <c r="I2" s="1171"/>
      <c r="J2" s="1171"/>
      <c r="K2" s="226"/>
    </row>
    <row r="3" spans="1:11" ht="15.75" customHeight="1" x14ac:dyDescent="0.35">
      <c r="B3" s="1171" t="s">
        <v>1762</v>
      </c>
      <c r="C3" s="1171"/>
      <c r="D3" s="1171"/>
      <c r="E3" s="1171"/>
      <c r="F3" s="1171"/>
      <c r="G3" s="1171"/>
      <c r="H3" s="1171"/>
      <c r="I3" s="1171"/>
      <c r="J3" s="1171"/>
      <c r="K3" s="226"/>
    </row>
    <row r="4" spans="1:11" ht="15.75" customHeight="1" x14ac:dyDescent="0.35">
      <c r="B4" s="1174" t="s">
        <v>1763</v>
      </c>
      <c r="C4" s="1174"/>
      <c r="D4" s="1174"/>
      <c r="E4" s="1174"/>
      <c r="F4" s="1174"/>
      <c r="G4" s="1174"/>
      <c r="H4" s="1174"/>
      <c r="I4" s="1174"/>
      <c r="J4" s="1174"/>
      <c r="K4" s="226"/>
    </row>
    <row r="5" spans="1:11" x14ac:dyDescent="0.35">
      <c r="B5" s="1215">
        <v>-1000</v>
      </c>
      <c r="C5" s="1215"/>
      <c r="D5" s="1215"/>
      <c r="E5" s="1215"/>
      <c r="F5" s="1215"/>
      <c r="G5" s="1215"/>
      <c r="H5" s="1215"/>
      <c r="I5" s="1215"/>
      <c r="J5" s="1215"/>
      <c r="K5" s="596"/>
    </row>
    <row r="6" spans="1:11" x14ac:dyDescent="0.35">
      <c r="A6" s="4"/>
      <c r="B6" s="541"/>
      <c r="C6" s="34"/>
      <c r="D6" s="34"/>
      <c r="E6" s="34"/>
      <c r="F6" s="34"/>
      <c r="G6" s="34"/>
      <c r="H6" s="34"/>
      <c r="I6" s="34"/>
      <c r="J6" s="34"/>
      <c r="K6" s="4"/>
    </row>
    <row r="7" spans="1:11" x14ac:dyDescent="0.35">
      <c r="A7" s="226"/>
      <c r="B7" s="987"/>
      <c r="C7" s="988" t="s">
        <v>280</v>
      </c>
      <c r="D7" s="988" t="s">
        <v>281</v>
      </c>
      <c r="E7" s="988" t="s">
        <v>872</v>
      </c>
      <c r="F7" s="987"/>
      <c r="G7" s="988" t="s">
        <v>1160</v>
      </c>
      <c r="H7" s="988" t="s">
        <v>1161</v>
      </c>
      <c r="I7" s="988" t="s">
        <v>1764</v>
      </c>
      <c r="J7" s="987"/>
      <c r="K7" s="226"/>
    </row>
    <row r="8" spans="1:11" x14ac:dyDescent="0.35">
      <c r="A8" s="4" t="s">
        <v>6</v>
      </c>
      <c r="B8" s="1141"/>
      <c r="C8" s="1111" t="s">
        <v>1765</v>
      </c>
      <c r="D8" s="1111" t="s">
        <v>1765</v>
      </c>
      <c r="E8" s="1006" t="s">
        <v>1766</v>
      </c>
      <c r="F8" s="987"/>
      <c r="G8" s="1111" t="s">
        <v>841</v>
      </c>
      <c r="H8" s="1111" t="s">
        <v>841</v>
      </c>
      <c r="I8" s="1111" t="s">
        <v>1271</v>
      </c>
      <c r="J8" s="305"/>
      <c r="K8" s="4" t="s">
        <v>6</v>
      </c>
    </row>
    <row r="9" spans="1:11" x14ac:dyDescent="0.35">
      <c r="A9" s="4" t="s">
        <v>7</v>
      </c>
      <c r="B9" s="542"/>
      <c r="C9" s="311" t="s">
        <v>1767</v>
      </c>
      <c r="D9" s="285" t="s">
        <v>1768</v>
      </c>
      <c r="E9" s="285" t="s">
        <v>265</v>
      </c>
      <c r="F9" s="124"/>
      <c r="G9" s="311" t="s">
        <v>1769</v>
      </c>
      <c r="H9" s="311" t="s">
        <v>1770</v>
      </c>
      <c r="I9" s="311" t="s">
        <v>265</v>
      </c>
      <c r="J9" s="311" t="s">
        <v>9</v>
      </c>
      <c r="K9" s="4" t="s">
        <v>7</v>
      </c>
    </row>
    <row r="10" spans="1:11" x14ac:dyDescent="0.35">
      <c r="A10" s="4"/>
      <c r="B10" s="543" t="s">
        <v>1771</v>
      </c>
      <c r="C10" s="996"/>
      <c r="D10" s="995"/>
      <c r="E10" s="995"/>
      <c r="F10" s="242"/>
      <c r="G10" s="996"/>
      <c r="H10" s="996"/>
      <c r="I10" s="68"/>
      <c r="J10" s="68"/>
      <c r="K10" s="4"/>
    </row>
    <row r="11" spans="1:11" x14ac:dyDescent="0.35">
      <c r="A11" s="4">
        <v>1</v>
      </c>
      <c r="B11" s="544" t="s">
        <v>1772</v>
      </c>
      <c r="C11" s="698">
        <f>'ET Forecast Capital Additions'!C35</f>
        <v>117198</v>
      </c>
      <c r="D11" s="698">
        <f>'ET Forecast Capital Additions'!D35</f>
        <v>585827</v>
      </c>
      <c r="E11" s="240">
        <f>C11+D11</f>
        <v>703025</v>
      </c>
      <c r="F11" s="4"/>
      <c r="G11" s="698">
        <f>'ET Forecast Capital Additions'!M35</f>
        <v>94938.724341120469</v>
      </c>
      <c r="H11" s="698">
        <f>'ET Forecast Capital Additions'!N35</f>
        <v>416388.05893134291</v>
      </c>
      <c r="I11" s="61">
        <f>G11+H11</f>
        <v>511326.78327246336</v>
      </c>
      <c r="J11" s="67" t="s">
        <v>1773</v>
      </c>
      <c r="K11" s="4">
        <f>A11</f>
        <v>1</v>
      </c>
    </row>
    <row r="12" spans="1:11" x14ac:dyDescent="0.35">
      <c r="A12" s="4">
        <f t="shared" ref="A12:A29" si="0">A11+1</f>
        <v>2</v>
      </c>
      <c r="B12" s="544"/>
      <c r="C12" s="240"/>
      <c r="D12" s="240"/>
      <c r="E12" s="240"/>
      <c r="F12" s="240"/>
      <c r="G12" s="240"/>
      <c r="H12" s="240"/>
      <c r="I12" s="61"/>
      <c r="J12" s="67"/>
      <c r="K12" s="4">
        <f t="shared" ref="K12:K29" si="1">K11+1</f>
        <v>2</v>
      </c>
    </row>
    <row r="13" spans="1:11" x14ac:dyDescent="0.35">
      <c r="A13" s="4">
        <f t="shared" si="0"/>
        <v>3</v>
      </c>
      <c r="B13" s="342" t="s">
        <v>1774</v>
      </c>
      <c r="C13" s="594">
        <f>'General &amp; Common Plant Addition'!C35</f>
        <v>7075</v>
      </c>
      <c r="D13" s="594">
        <f>'General &amp; Common Plant Addition'!D35</f>
        <v>7325</v>
      </c>
      <c r="E13" s="98">
        <f>C13+D13</f>
        <v>14400</v>
      </c>
      <c r="F13" s="4"/>
      <c r="G13" s="594">
        <f>'General &amp; Common Plant Addition'!M35</f>
        <v>5570.9443080277133</v>
      </c>
      <c r="H13" s="594">
        <f>'General &amp; Common Plant Addition'!N35</f>
        <v>5766.9611749235055</v>
      </c>
      <c r="I13" s="56">
        <f>G13+H13</f>
        <v>11337.905482951219</v>
      </c>
      <c r="J13" s="67" t="s">
        <v>1681</v>
      </c>
      <c r="K13" s="4">
        <f t="shared" si="1"/>
        <v>3</v>
      </c>
    </row>
    <row r="14" spans="1:11" x14ac:dyDescent="0.35">
      <c r="A14" s="4">
        <f t="shared" si="0"/>
        <v>4</v>
      </c>
      <c r="B14" s="544"/>
      <c r="C14" s="241"/>
      <c r="D14" s="241"/>
      <c r="E14" s="241"/>
      <c r="F14" s="240"/>
      <c r="G14" s="240"/>
      <c r="H14" s="240"/>
      <c r="I14" s="61"/>
      <c r="J14" s="67"/>
      <c r="K14" s="4">
        <f t="shared" si="1"/>
        <v>4</v>
      </c>
    </row>
    <row r="15" spans="1:11" x14ac:dyDescent="0.35">
      <c r="A15" s="4">
        <f t="shared" si="0"/>
        <v>5</v>
      </c>
      <c r="B15" s="544" t="s">
        <v>1775</v>
      </c>
      <c r="C15" s="240">
        <f>SUM(C11:C13)</f>
        <v>124273</v>
      </c>
      <c r="D15" s="240">
        <f>SUM(D11:D13)</f>
        <v>593152</v>
      </c>
      <c r="E15" s="240">
        <f>SUM(E11:E13)</f>
        <v>717425</v>
      </c>
      <c r="F15" s="4"/>
      <c r="G15" s="240">
        <f>SUM(G11:G13)</f>
        <v>100509.66864914818</v>
      </c>
      <c r="H15" s="240">
        <f>SUM(H11:H13)</f>
        <v>422155.02010626643</v>
      </c>
      <c r="I15" s="240">
        <f>SUM(I11:I13)</f>
        <v>522664.68875541457</v>
      </c>
      <c r="J15" s="67" t="s">
        <v>1021</v>
      </c>
      <c r="K15" s="4">
        <f t="shared" si="1"/>
        <v>5</v>
      </c>
    </row>
    <row r="16" spans="1:11" x14ac:dyDescent="0.35">
      <c r="A16" s="4">
        <f t="shared" si="0"/>
        <v>6</v>
      </c>
      <c r="B16" s="544"/>
      <c r="C16" s="241"/>
      <c r="D16" s="241"/>
      <c r="E16" s="241"/>
      <c r="F16" s="240"/>
      <c r="G16" s="240"/>
      <c r="H16" s="240"/>
      <c r="I16" s="61"/>
      <c r="J16" s="67"/>
      <c r="K16" s="4">
        <f t="shared" si="1"/>
        <v>6</v>
      </c>
    </row>
    <row r="17" spans="1:11" x14ac:dyDescent="0.35">
      <c r="A17" s="4">
        <f t="shared" si="0"/>
        <v>7</v>
      </c>
      <c r="B17" s="543" t="s">
        <v>1776</v>
      </c>
      <c r="C17" s="241"/>
      <c r="D17" s="241"/>
      <c r="E17" s="241"/>
      <c r="F17" s="240"/>
      <c r="G17" s="240"/>
      <c r="H17" s="240"/>
      <c r="I17" s="61"/>
      <c r="J17" s="67"/>
      <c r="K17" s="4">
        <f t="shared" si="1"/>
        <v>7</v>
      </c>
    </row>
    <row r="18" spans="1:11" x14ac:dyDescent="0.35">
      <c r="A18" s="4">
        <f t="shared" si="0"/>
        <v>8</v>
      </c>
      <c r="B18" s="544" t="s">
        <v>1777</v>
      </c>
      <c r="C18" s="698">
        <f>'Incentive Transmission Plant'!C35</f>
        <v>0</v>
      </c>
      <c r="D18" s="698">
        <f>'Incentive Transmission Plant'!D35</f>
        <v>0</v>
      </c>
      <c r="E18" s="240">
        <f>C18+D18</f>
        <v>0</v>
      </c>
      <c r="F18" s="240"/>
      <c r="G18" s="698">
        <f>'Incentive Transmission Plant'!M35</f>
        <v>0</v>
      </c>
      <c r="H18" s="698">
        <f>'Incentive Transmission Plant'!N35</f>
        <v>0</v>
      </c>
      <c r="I18" s="61">
        <f>G18+H18</f>
        <v>0</v>
      </c>
      <c r="J18" s="67" t="s">
        <v>1682</v>
      </c>
      <c r="K18" s="4">
        <f t="shared" si="1"/>
        <v>8</v>
      </c>
    </row>
    <row r="19" spans="1:11" x14ac:dyDescent="0.35">
      <c r="A19" s="4">
        <f t="shared" si="0"/>
        <v>9</v>
      </c>
      <c r="B19" s="544"/>
      <c r="C19" s="241"/>
      <c r="D19" s="241"/>
      <c r="E19" s="241"/>
      <c r="F19" s="240"/>
      <c r="G19" s="240"/>
      <c r="H19" s="240"/>
      <c r="I19" s="61"/>
      <c r="J19" s="67"/>
      <c r="K19" s="4">
        <f t="shared" si="1"/>
        <v>9</v>
      </c>
    </row>
    <row r="20" spans="1:11" ht="31" x14ac:dyDescent="0.35">
      <c r="A20" s="4">
        <f t="shared" si="0"/>
        <v>10</v>
      </c>
      <c r="B20" s="544" t="s">
        <v>1778</v>
      </c>
      <c r="C20" s="699">
        <f>'Incentive CWIP-A'!C36</f>
        <v>0</v>
      </c>
      <c r="D20" s="699">
        <f>'Incentive CWIP-A'!D36</f>
        <v>0</v>
      </c>
      <c r="E20" s="241">
        <f>C20+D20</f>
        <v>0</v>
      </c>
      <c r="F20" s="240"/>
      <c r="G20" s="699">
        <f>'Incentive CWIP-A'!M36</f>
        <v>0</v>
      </c>
      <c r="H20" s="699">
        <f>'Incentive CWIP-A'!N36</f>
        <v>0</v>
      </c>
      <c r="I20" s="55">
        <f>G20+H20</f>
        <v>0</v>
      </c>
      <c r="J20" s="67" t="s">
        <v>1683</v>
      </c>
      <c r="K20" s="4">
        <f t="shared" si="1"/>
        <v>10</v>
      </c>
    </row>
    <row r="21" spans="1:11" x14ac:dyDescent="0.35">
      <c r="A21" s="4">
        <f t="shared" si="0"/>
        <v>11</v>
      </c>
      <c r="B21" s="544"/>
      <c r="C21" s="241"/>
      <c r="D21" s="241"/>
      <c r="E21" s="241"/>
      <c r="F21" s="240"/>
      <c r="G21" s="240"/>
      <c r="H21" s="240"/>
      <c r="I21" s="61"/>
      <c r="J21" s="67"/>
      <c r="K21" s="4">
        <f t="shared" si="1"/>
        <v>11</v>
      </c>
    </row>
    <row r="22" spans="1:11" ht="31" x14ac:dyDescent="0.35">
      <c r="A22" s="4">
        <f t="shared" si="0"/>
        <v>12</v>
      </c>
      <c r="B22" s="544" t="s">
        <v>1779</v>
      </c>
      <c r="C22" s="594">
        <f>'Incentive CWIP-B'!C36</f>
        <v>0</v>
      </c>
      <c r="D22" s="594">
        <f>'Incentive CWIP-B'!D36</f>
        <v>0</v>
      </c>
      <c r="E22" s="98">
        <f>C22+D22</f>
        <v>0</v>
      </c>
      <c r="F22" s="240"/>
      <c r="G22" s="594">
        <f>'Incentive CWIP-B'!M36</f>
        <v>0</v>
      </c>
      <c r="H22" s="594">
        <f>'Incentive CWIP-B'!N36</f>
        <v>0</v>
      </c>
      <c r="I22" s="56">
        <f>G22+H22</f>
        <v>0</v>
      </c>
      <c r="J22" s="67" t="s">
        <v>1780</v>
      </c>
      <c r="K22" s="4">
        <f t="shared" si="1"/>
        <v>12</v>
      </c>
    </row>
    <row r="23" spans="1:11" x14ac:dyDescent="0.35">
      <c r="A23" s="4">
        <f t="shared" si="0"/>
        <v>13</v>
      </c>
      <c r="B23" s="544"/>
      <c r="C23" s="241"/>
      <c r="D23" s="241"/>
      <c r="E23" s="241"/>
      <c r="F23" s="240"/>
      <c r="G23" s="240"/>
      <c r="H23" s="240"/>
      <c r="I23" s="61"/>
      <c r="J23" s="67"/>
      <c r="K23" s="4">
        <f t="shared" si="1"/>
        <v>13</v>
      </c>
    </row>
    <row r="24" spans="1:11" x14ac:dyDescent="0.35">
      <c r="A24" s="4">
        <f t="shared" si="0"/>
        <v>14</v>
      </c>
      <c r="B24" s="544" t="s">
        <v>1781</v>
      </c>
      <c r="C24" s="180">
        <f>SUM(C18:C22)</f>
        <v>0</v>
      </c>
      <c r="D24" s="180">
        <f>SUM(D18:D22)</f>
        <v>0</v>
      </c>
      <c r="E24" s="180">
        <f>SUM(E18:E22)</f>
        <v>0</v>
      </c>
      <c r="F24" s="240"/>
      <c r="G24" s="180">
        <f>SUM(G18:G22)</f>
        <v>0</v>
      </c>
      <c r="H24" s="180">
        <f>SUM(H18:H22)</f>
        <v>0</v>
      </c>
      <c r="I24" s="180">
        <f>SUM(I18:I22)</f>
        <v>0</v>
      </c>
      <c r="J24" s="67" t="s">
        <v>1782</v>
      </c>
      <c r="K24" s="4">
        <f t="shared" si="1"/>
        <v>14</v>
      </c>
    </row>
    <row r="25" spans="1:11" x14ac:dyDescent="0.35">
      <c r="A25" s="4">
        <f t="shared" si="0"/>
        <v>15</v>
      </c>
      <c r="B25" s="544"/>
      <c r="C25" s="241"/>
      <c r="D25" s="241"/>
      <c r="E25" s="241"/>
      <c r="F25" s="240"/>
      <c r="G25" s="240"/>
      <c r="H25" s="240"/>
      <c r="I25" s="61"/>
      <c r="J25" s="68"/>
      <c r="K25" s="4">
        <f t="shared" si="1"/>
        <v>15</v>
      </c>
    </row>
    <row r="26" spans="1:11" ht="16" thickBot="1" x14ac:dyDescent="0.4">
      <c r="A26" s="4">
        <f t="shared" si="0"/>
        <v>16</v>
      </c>
      <c r="B26" s="545" t="s">
        <v>265</v>
      </c>
      <c r="C26" s="181">
        <f>C15+C24</f>
        <v>124273</v>
      </c>
      <c r="D26" s="181">
        <f>D15+D24</f>
        <v>593152</v>
      </c>
      <c r="E26" s="181">
        <f>E15+E24</f>
        <v>717425</v>
      </c>
      <c r="F26" s="4"/>
      <c r="G26" s="181">
        <f>G15+G24</f>
        <v>100509.66864914818</v>
      </c>
      <c r="H26" s="181">
        <f>H15+H24</f>
        <v>422155.02010626643</v>
      </c>
      <c r="I26" s="181">
        <f>I15+I24</f>
        <v>522664.68875541457</v>
      </c>
      <c r="J26" s="67" t="s">
        <v>1783</v>
      </c>
      <c r="K26" s="4">
        <f t="shared" si="1"/>
        <v>16</v>
      </c>
    </row>
    <row r="27" spans="1:11" ht="16" thickTop="1" x14ac:dyDescent="0.35">
      <c r="A27" s="4">
        <f t="shared" si="0"/>
        <v>17</v>
      </c>
      <c r="B27" s="545"/>
      <c r="C27" s="241"/>
      <c r="D27" s="241"/>
      <c r="E27" s="241"/>
      <c r="F27" s="240"/>
      <c r="G27" s="240"/>
      <c r="H27" s="240"/>
      <c r="I27" s="61"/>
      <c r="J27" s="67"/>
      <c r="K27" s="4">
        <f t="shared" si="1"/>
        <v>17</v>
      </c>
    </row>
    <row r="28" spans="1:11" x14ac:dyDescent="0.35">
      <c r="A28" s="4">
        <f t="shared" si="0"/>
        <v>18</v>
      </c>
      <c r="B28" s="544"/>
      <c r="C28" s="241"/>
      <c r="D28" s="241"/>
      <c r="E28" s="241"/>
      <c r="F28" s="240"/>
      <c r="G28" s="240"/>
      <c r="H28" s="240"/>
      <c r="I28" s="61"/>
      <c r="J28" s="1142" t="s">
        <v>1784</v>
      </c>
      <c r="K28" s="4">
        <f t="shared" si="1"/>
        <v>18</v>
      </c>
    </row>
    <row r="29" spans="1:11" ht="16" thickBot="1" x14ac:dyDescent="0.4">
      <c r="A29" s="4">
        <f t="shared" si="0"/>
        <v>19</v>
      </c>
      <c r="B29" s="545" t="s">
        <v>1785</v>
      </c>
      <c r="C29" s="241"/>
      <c r="D29" s="241"/>
      <c r="E29" s="241"/>
      <c r="F29" s="4"/>
      <c r="G29" s="182">
        <f>G26/I26</f>
        <v>0.19230238968024593</v>
      </c>
      <c r="H29" s="182">
        <f>H26/I26</f>
        <v>0.80769761031975418</v>
      </c>
      <c r="I29" s="182">
        <f>G29+H29</f>
        <v>1</v>
      </c>
      <c r="J29" s="1142" t="s">
        <v>1786</v>
      </c>
      <c r="K29" s="4">
        <f t="shared" si="1"/>
        <v>19</v>
      </c>
    </row>
    <row r="30" spans="1:11" ht="16" thickTop="1" x14ac:dyDescent="0.35">
      <c r="A30" s="4">
        <v>20</v>
      </c>
      <c r="B30" s="546"/>
      <c r="C30" s="295"/>
      <c r="D30" s="295"/>
      <c r="E30" s="295"/>
      <c r="F30" s="295"/>
      <c r="G30" s="285"/>
      <c r="H30" s="285"/>
      <c r="I30" s="120"/>
      <c r="J30" s="120"/>
      <c r="K30" s="4">
        <v>20</v>
      </c>
    </row>
    <row r="31" spans="1:11" x14ac:dyDescent="0.35">
      <c r="A31" s="4"/>
      <c r="B31" s="34"/>
      <c r="C31" s="34"/>
      <c r="D31" s="34"/>
      <c r="E31" s="34"/>
      <c r="F31" s="34"/>
      <c r="G31" s="34"/>
      <c r="H31" s="34"/>
      <c r="I31" s="34"/>
      <c r="J31" s="34"/>
      <c r="K31" s="4"/>
    </row>
    <row r="32" spans="1:11" x14ac:dyDescent="0.35">
      <c r="A32" s="4"/>
      <c r="B32" s="34"/>
      <c r="C32" s="34"/>
      <c r="D32" s="34"/>
      <c r="E32" s="34"/>
      <c r="F32" s="34"/>
      <c r="G32" s="34"/>
      <c r="H32" s="34"/>
      <c r="I32" s="34"/>
      <c r="J32" s="34"/>
      <c r="K32" s="4"/>
    </row>
    <row r="33" spans="1:11" ht="18" x14ac:dyDescent="0.35">
      <c r="A33" s="276">
        <v>1</v>
      </c>
      <c r="B33" s="34" t="s">
        <v>1787</v>
      </c>
      <c r="C33" s="34"/>
      <c r="D33" s="34"/>
      <c r="E33" s="34"/>
      <c r="F33" s="34"/>
      <c r="G33" s="34"/>
      <c r="H33" s="34"/>
      <c r="I33" s="34"/>
      <c r="J33" s="34"/>
      <c r="K33" s="4"/>
    </row>
    <row r="34" spans="1:11" ht="18" x14ac:dyDescent="0.35">
      <c r="A34" s="276">
        <v>2</v>
      </c>
      <c r="B34" s="34" t="s">
        <v>1788</v>
      </c>
      <c r="C34" s="34"/>
      <c r="D34" s="34"/>
      <c r="E34" s="34"/>
      <c r="F34" s="34"/>
      <c r="G34" s="34"/>
      <c r="H34" s="34"/>
      <c r="I34" s="34"/>
      <c r="J34" s="34"/>
      <c r="K34" s="4"/>
    </row>
    <row r="35" spans="1:11" ht="18" x14ac:dyDescent="0.35">
      <c r="A35" s="276">
        <v>3</v>
      </c>
      <c r="B35" s="34" t="s">
        <v>1789</v>
      </c>
      <c r="C35" s="34"/>
      <c r="D35" s="34"/>
      <c r="E35" s="34"/>
      <c r="F35" s="34"/>
      <c r="G35" s="34"/>
      <c r="H35" s="34"/>
      <c r="I35" s="34"/>
      <c r="J35" s="34"/>
      <c r="K35" s="4"/>
    </row>
    <row r="36" spans="1:11" ht="18" x14ac:dyDescent="0.35">
      <c r="A36" s="276">
        <v>4</v>
      </c>
      <c r="B36" s="34" t="s">
        <v>1790</v>
      </c>
      <c r="C36" s="34"/>
      <c r="D36" s="34"/>
      <c r="E36" s="34"/>
      <c r="F36" s="34"/>
      <c r="G36" s="34"/>
      <c r="H36" s="34"/>
      <c r="I36" s="34"/>
      <c r="J36" s="34"/>
      <c r="K36" s="4"/>
    </row>
    <row r="37" spans="1:11" ht="18" x14ac:dyDescent="0.35">
      <c r="A37" s="276">
        <v>5</v>
      </c>
      <c r="B37" s="34" t="s">
        <v>1791</v>
      </c>
      <c r="C37" s="34"/>
      <c r="D37" s="34"/>
      <c r="E37" s="34"/>
      <c r="F37" s="34"/>
      <c r="G37" s="34"/>
      <c r="H37" s="34"/>
      <c r="I37" s="34"/>
      <c r="J37" s="34"/>
      <c r="K37" s="4"/>
    </row>
    <row r="38" spans="1:11" x14ac:dyDescent="0.35">
      <c r="A38" s="226"/>
      <c r="B38" s="1"/>
      <c r="C38" s="34"/>
      <c r="D38" s="34"/>
      <c r="E38" s="34"/>
      <c r="F38" s="34"/>
      <c r="G38" s="34"/>
      <c r="H38" s="34"/>
      <c r="I38" s="34"/>
      <c r="J38" s="34"/>
      <c r="K38" s="4"/>
    </row>
    <row r="39" spans="1:11" x14ac:dyDescent="0.35">
      <c r="A39" s="4"/>
      <c r="B39" s="34"/>
      <c r="C39" s="34"/>
      <c r="D39" s="34"/>
      <c r="E39" s="34"/>
      <c r="F39" s="34"/>
      <c r="G39" s="34"/>
      <c r="H39" s="34"/>
      <c r="I39" s="34"/>
      <c r="J39" s="34"/>
      <c r="K39" s="4"/>
    </row>
    <row r="40" spans="1:11" x14ac:dyDescent="0.35">
      <c r="A40" s="4"/>
      <c r="B40" s="34"/>
      <c r="C40" s="34"/>
      <c r="D40" s="34"/>
      <c r="E40" s="34"/>
      <c r="F40" s="34"/>
      <c r="G40" s="34"/>
      <c r="H40" s="34"/>
      <c r="I40" s="34"/>
      <c r="J40" s="34"/>
      <c r="K40" s="4"/>
    </row>
  </sheetData>
  <mergeCells count="4">
    <mergeCell ref="B2:J2"/>
    <mergeCell ref="B3:J3"/>
    <mergeCell ref="B4:J4"/>
    <mergeCell ref="B5:J5"/>
  </mergeCells>
  <printOptions horizontalCentered="1"/>
  <pageMargins left="0.5" right="0.5" top="0.5" bottom="0.5" header="0.25" footer="0.25"/>
  <pageSetup orientation="landscape" r:id="rId1"/>
  <headerFooter scaleWithDoc="0">
    <oddFooter>&amp;C&amp;"Times New Roman,Regular"&amp;10Summary of HV/LV Splits for Forecast Plant Additions</oddFooter>
  </headerFooter>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90625" defaultRowHeight="15.5" x14ac:dyDescent="0.35"/>
  <cols>
    <col min="1" max="1" width="5.08984375" style="4" customWidth="1"/>
    <col min="2" max="2" width="8.54296875" style="5" customWidth="1"/>
    <col min="3" max="5" width="15.90625" style="5" customWidth="1"/>
    <col min="6" max="11" width="15.54296875" style="5" customWidth="1"/>
    <col min="12" max="12" width="11.08984375" style="5" customWidth="1"/>
    <col min="13" max="15" width="15.54296875" style="5" customWidth="1"/>
    <col min="16" max="16" width="5.08984375" style="4" customWidth="1"/>
    <col min="17" max="16384" width="8.90625" style="5"/>
  </cols>
  <sheetData>
    <row r="1" spans="1:29" x14ac:dyDescent="0.35">
      <c r="B1" s="34"/>
      <c r="C1" s="263"/>
      <c r="D1" s="34"/>
      <c r="E1" s="34"/>
      <c r="F1" s="34"/>
      <c r="G1" s="34"/>
      <c r="H1" s="34"/>
      <c r="I1" s="34"/>
      <c r="J1" s="34"/>
      <c r="K1" s="34"/>
      <c r="L1" s="34"/>
      <c r="M1" s="34"/>
      <c r="N1" s="34"/>
      <c r="O1" s="34"/>
      <c r="Q1" s="34"/>
      <c r="R1" s="34"/>
      <c r="S1" s="34"/>
      <c r="T1" s="34"/>
      <c r="U1" s="34"/>
      <c r="V1" s="34"/>
      <c r="W1" s="34"/>
      <c r="X1" s="34"/>
      <c r="Y1" s="34"/>
      <c r="Z1" s="34"/>
      <c r="AA1" s="34"/>
      <c r="AB1" s="34"/>
      <c r="AC1" s="34"/>
    </row>
    <row r="2" spans="1:29" x14ac:dyDescent="0.35">
      <c r="B2" s="1171" t="s">
        <v>0</v>
      </c>
      <c r="C2" s="1171"/>
      <c r="D2" s="1171"/>
      <c r="E2" s="1171"/>
      <c r="F2" s="1171"/>
      <c r="G2" s="1171"/>
      <c r="H2" s="1171"/>
      <c r="I2" s="1171"/>
      <c r="J2" s="1171"/>
      <c r="K2" s="1171"/>
      <c r="L2" s="1171"/>
      <c r="M2" s="1171"/>
      <c r="N2" s="1171"/>
      <c r="O2" s="1171"/>
      <c r="Q2" s="34"/>
      <c r="R2" s="34"/>
      <c r="S2" s="34"/>
      <c r="T2" s="34"/>
      <c r="U2" s="34"/>
      <c r="V2" s="34"/>
      <c r="W2" s="34"/>
      <c r="X2" s="34"/>
      <c r="Y2" s="34"/>
      <c r="Z2" s="34"/>
      <c r="AA2" s="34"/>
      <c r="AB2" s="34"/>
      <c r="AC2" s="34"/>
    </row>
    <row r="3" spans="1:29" x14ac:dyDescent="0.35">
      <c r="B3" s="1171" t="s">
        <v>1792</v>
      </c>
      <c r="C3" s="1171"/>
      <c r="D3" s="1171"/>
      <c r="E3" s="1171"/>
      <c r="F3" s="1171"/>
      <c r="G3" s="1171"/>
      <c r="H3" s="1171"/>
      <c r="I3" s="1171"/>
      <c r="J3" s="1171"/>
      <c r="K3" s="1171"/>
      <c r="L3" s="1171"/>
      <c r="M3" s="1171"/>
      <c r="N3" s="1171"/>
      <c r="O3" s="1171"/>
      <c r="Q3" s="34"/>
      <c r="R3" s="34"/>
      <c r="S3" s="34"/>
      <c r="T3" s="34"/>
      <c r="U3" s="34"/>
      <c r="V3" s="34"/>
      <c r="W3" s="34"/>
      <c r="X3" s="34"/>
      <c r="Y3" s="34"/>
      <c r="Z3" s="34"/>
      <c r="AA3" s="34"/>
      <c r="AB3" s="34"/>
      <c r="AC3" s="34"/>
    </row>
    <row r="4" spans="1:29" x14ac:dyDescent="0.35">
      <c r="B4" s="1176" t="str">
        <f>'Summary of HV-LV Splits'!B4</f>
        <v>24-Month Forecast Period (January 1, 2023 - December 31, 2024)</v>
      </c>
      <c r="C4" s="1176"/>
      <c r="D4" s="1176"/>
      <c r="E4" s="1176"/>
      <c r="F4" s="1176"/>
      <c r="G4" s="1176"/>
      <c r="H4" s="1176"/>
      <c r="I4" s="1176"/>
      <c r="J4" s="1176"/>
      <c r="K4" s="1176"/>
      <c r="L4" s="1176"/>
      <c r="M4" s="1176"/>
      <c r="N4" s="1176"/>
      <c r="O4" s="1176"/>
      <c r="Q4" s="34"/>
      <c r="R4" s="34"/>
      <c r="S4" s="34"/>
      <c r="T4" s="34"/>
      <c r="U4" s="34"/>
      <c r="V4" s="34"/>
      <c r="W4" s="34"/>
      <c r="X4" s="34"/>
      <c r="Y4" s="34"/>
      <c r="Z4" s="34"/>
      <c r="AA4" s="34"/>
      <c r="AB4" s="34"/>
      <c r="AC4" s="34"/>
    </row>
    <row r="5" spans="1:29" x14ac:dyDescent="0.35">
      <c r="B5" s="1171" t="s">
        <v>1793</v>
      </c>
      <c r="C5" s="1171"/>
      <c r="D5" s="1171"/>
      <c r="E5" s="1171"/>
      <c r="F5" s="1171"/>
      <c r="G5" s="1171"/>
      <c r="H5" s="1171"/>
      <c r="I5" s="1171"/>
      <c r="J5" s="1171"/>
      <c r="K5" s="1171"/>
      <c r="L5" s="1171"/>
      <c r="M5" s="1171"/>
      <c r="N5" s="1171"/>
      <c r="O5" s="1171"/>
      <c r="Q5" s="34"/>
      <c r="R5" s="34"/>
      <c r="S5" s="34"/>
      <c r="T5" s="34"/>
      <c r="U5" s="34"/>
      <c r="V5" s="34"/>
      <c r="W5" s="34"/>
      <c r="X5" s="34"/>
      <c r="Y5" s="34"/>
      <c r="Z5" s="34"/>
      <c r="AA5" s="34"/>
      <c r="AB5" s="34"/>
      <c r="AC5" s="34"/>
    </row>
    <row r="6" spans="1:29" x14ac:dyDescent="0.35">
      <c r="B6" s="1200">
        <v>-1000</v>
      </c>
      <c r="C6" s="1200"/>
      <c r="D6" s="1200"/>
      <c r="E6" s="1200"/>
      <c r="F6" s="1200"/>
      <c r="G6" s="1200"/>
      <c r="H6" s="1200"/>
      <c r="I6" s="1200"/>
      <c r="J6" s="1200"/>
      <c r="K6" s="1200"/>
      <c r="L6" s="1200"/>
      <c r="M6" s="1200"/>
      <c r="N6" s="1200"/>
      <c r="O6" s="1200"/>
      <c r="Q6" s="34"/>
      <c r="R6" s="34"/>
      <c r="S6" s="34"/>
      <c r="T6" s="34"/>
      <c r="U6" s="34"/>
      <c r="V6" s="34"/>
      <c r="W6" s="34"/>
      <c r="X6" s="34"/>
      <c r="Y6" s="34"/>
      <c r="Z6" s="34"/>
      <c r="AA6" s="34"/>
      <c r="AB6" s="34"/>
      <c r="AC6" s="34"/>
    </row>
    <row r="7" spans="1:29" ht="16" thickBot="1" x14ac:dyDescent="0.4">
      <c r="B7" s="34"/>
      <c r="C7" s="34"/>
      <c r="D7" s="34"/>
      <c r="E7" s="34"/>
      <c r="F7" s="34"/>
      <c r="G7" s="34"/>
      <c r="H7" s="34"/>
      <c r="I7" s="34"/>
      <c r="J7" s="34"/>
      <c r="K7" s="34"/>
      <c r="L7" s="34"/>
      <c r="M7" s="34"/>
      <c r="N7" s="34"/>
      <c r="O7" s="34"/>
      <c r="Q7" s="34"/>
      <c r="R7" s="34"/>
      <c r="S7" s="34"/>
      <c r="T7" s="34"/>
      <c r="U7" s="34"/>
      <c r="V7" s="34"/>
      <c r="W7" s="34"/>
      <c r="X7" s="34"/>
      <c r="Y7" s="34"/>
      <c r="Z7" s="34"/>
      <c r="AA7" s="34"/>
      <c r="AB7" s="34"/>
      <c r="AC7" s="34"/>
    </row>
    <row r="8" spans="1:29" ht="18" x14ac:dyDescent="0.35">
      <c r="A8" s="4" t="s">
        <v>6</v>
      </c>
      <c r="B8" s="239"/>
      <c r="C8" s="1216" t="s">
        <v>1794</v>
      </c>
      <c r="D8" s="1217"/>
      <c r="E8" s="1218"/>
      <c r="F8" s="234" t="s">
        <v>1795</v>
      </c>
      <c r="G8" s="235"/>
      <c r="H8" s="236"/>
      <c r="I8" s="237" t="s">
        <v>1796</v>
      </c>
      <c r="J8" s="235"/>
      <c r="K8" s="238"/>
      <c r="L8" s="239" t="s">
        <v>1797</v>
      </c>
      <c r="M8" s="237" t="s">
        <v>1798</v>
      </c>
      <c r="N8" s="235"/>
      <c r="O8" s="236"/>
      <c r="P8" s="4" t="s">
        <v>6</v>
      </c>
      <c r="Q8" s="1"/>
      <c r="R8" s="1"/>
      <c r="S8" s="1"/>
      <c r="T8" s="1"/>
      <c r="U8" s="1"/>
      <c r="V8" s="1"/>
      <c r="W8" s="1"/>
      <c r="X8" s="1"/>
      <c r="Y8" s="1"/>
      <c r="Z8" s="1"/>
      <c r="AA8" s="1"/>
      <c r="AB8" s="1"/>
      <c r="AC8" s="1"/>
    </row>
    <row r="9" spans="1:29" ht="16" thickBot="1" x14ac:dyDescent="0.4">
      <c r="A9" s="4" t="s">
        <v>7</v>
      </c>
      <c r="B9" s="547" t="s">
        <v>1799</v>
      </c>
      <c r="C9" s="548" t="s">
        <v>1767</v>
      </c>
      <c r="D9" s="549" t="s">
        <v>1768</v>
      </c>
      <c r="E9" s="550" t="s">
        <v>265</v>
      </c>
      <c r="F9" s="548" t="s">
        <v>1767</v>
      </c>
      <c r="G9" s="549" t="s">
        <v>1768</v>
      </c>
      <c r="H9" s="551" t="s">
        <v>265</v>
      </c>
      <c r="I9" s="552" t="s">
        <v>1767</v>
      </c>
      <c r="J9" s="549" t="s">
        <v>1768</v>
      </c>
      <c r="K9" s="550" t="s">
        <v>265</v>
      </c>
      <c r="L9" s="547" t="s">
        <v>1800</v>
      </c>
      <c r="M9" s="552" t="s">
        <v>1767</v>
      </c>
      <c r="N9" s="549" t="s">
        <v>1768</v>
      </c>
      <c r="O9" s="551" t="s">
        <v>265</v>
      </c>
      <c r="P9" s="4" t="s">
        <v>7</v>
      </c>
      <c r="Q9" s="1"/>
      <c r="R9" s="1"/>
      <c r="S9" s="1"/>
      <c r="T9" s="1"/>
      <c r="U9" s="1"/>
      <c r="V9" s="1"/>
      <c r="W9" s="1"/>
      <c r="X9" s="1"/>
      <c r="Y9" s="1"/>
      <c r="Z9" s="1"/>
      <c r="AA9" s="1"/>
      <c r="AB9" s="1"/>
      <c r="AC9" s="1"/>
    </row>
    <row r="10" spans="1:29" x14ac:dyDescent="0.35">
      <c r="A10" s="226"/>
      <c r="B10" s="553"/>
      <c r="C10" s="554"/>
      <c r="D10" s="471"/>
      <c r="E10" s="226"/>
      <c r="F10" s="555"/>
      <c r="G10" s="471"/>
      <c r="H10" s="556"/>
      <c r="I10" s="226"/>
      <c r="J10" s="471"/>
      <c r="K10" s="226"/>
      <c r="L10" s="553"/>
      <c r="M10" s="226"/>
      <c r="N10" s="471"/>
      <c r="O10" s="556"/>
      <c r="P10" s="226"/>
      <c r="Q10" s="1"/>
      <c r="R10" s="1"/>
      <c r="S10" s="1"/>
      <c r="T10" s="1"/>
      <c r="U10" s="1"/>
      <c r="V10" s="1"/>
      <c r="W10" s="1"/>
      <c r="X10" s="1"/>
      <c r="Y10" s="1"/>
      <c r="Z10" s="1"/>
      <c r="AA10" s="1"/>
      <c r="AB10" s="1"/>
      <c r="AC10" s="1"/>
    </row>
    <row r="11" spans="1:29" x14ac:dyDescent="0.35">
      <c r="A11" s="4">
        <v>1</v>
      </c>
      <c r="B11" s="557">
        <v>44948</v>
      </c>
      <c r="C11" s="183">
        <v>1299</v>
      </c>
      <c r="D11" s="698">
        <v>22551</v>
      </c>
      <c r="E11" s="613">
        <f>C11+D11</f>
        <v>23850</v>
      </c>
      <c r="F11" s="61">
        <f>C11*$H$41</f>
        <v>0.44032249400383255</v>
      </c>
      <c r="G11" s="240">
        <f t="shared" ref="G11:G34" si="0">D11*$H$41</f>
        <v>7.6441205252351256</v>
      </c>
      <c r="H11" s="127">
        <f>F11+G11</f>
        <v>8.0844430192389574</v>
      </c>
      <c r="I11" s="184">
        <f t="shared" ref="I11:I34" si="1">C11-F11</f>
        <v>1298.5596775059962</v>
      </c>
      <c r="J11" s="240">
        <f t="shared" ref="J11:J34" si="2">D11-G11</f>
        <v>22543.355879474766</v>
      </c>
      <c r="K11" s="127">
        <f t="shared" ref="K11:K34" si="3">I11+J11</f>
        <v>23841.915556980763</v>
      </c>
      <c r="L11" s="249">
        <v>1</v>
      </c>
      <c r="M11" s="61">
        <f t="shared" ref="M11:M34" si="4">I11*$L11</f>
        <v>1298.5596775059962</v>
      </c>
      <c r="N11" s="240">
        <f t="shared" ref="N11:N34" si="5">J11*$L11</f>
        <v>22543.355879474766</v>
      </c>
      <c r="O11" s="613">
        <f t="shared" ref="O11:O34" si="6">M11+N11</f>
        <v>23841.915556980763</v>
      </c>
      <c r="P11" s="4">
        <f>A11</f>
        <v>1</v>
      </c>
      <c r="Q11" s="1"/>
      <c r="R11" s="34"/>
      <c r="S11" s="34"/>
      <c r="T11" s="34"/>
      <c r="U11" s="34"/>
      <c r="V11" s="34"/>
      <c r="W11" s="34"/>
      <c r="X11" s="34"/>
      <c r="Y11" s="34"/>
      <c r="Z11" s="34"/>
      <c r="AA11" s="34"/>
      <c r="AB11" s="34"/>
      <c r="AC11" s="34"/>
    </row>
    <row r="12" spans="1:29" x14ac:dyDescent="0.35">
      <c r="A12" s="4">
        <f t="shared" ref="A12:A49" si="7">A11+1</f>
        <v>2</v>
      </c>
      <c r="B12" s="557">
        <v>44979</v>
      </c>
      <c r="C12" s="185">
        <v>1787</v>
      </c>
      <c r="D12" s="699">
        <v>2866</v>
      </c>
      <c r="E12" s="132">
        <f>C12+D12</f>
        <v>4653</v>
      </c>
      <c r="F12" s="186">
        <f t="shared" ref="F12:F34" si="8">C12*$H$41</f>
        <v>0.60574002831782048</v>
      </c>
      <c r="G12" s="241">
        <f t="shared" si="0"/>
        <v>0.97148904373747813</v>
      </c>
      <c r="H12" s="593">
        <f>F12+G12</f>
        <v>1.5772290720552986</v>
      </c>
      <c r="I12" s="55">
        <f t="shared" si="1"/>
        <v>1786.3942599716822</v>
      </c>
      <c r="J12" s="241">
        <f t="shared" si="2"/>
        <v>2865.0285109562624</v>
      </c>
      <c r="K12" s="132">
        <f t="shared" si="3"/>
        <v>4651.4227709279448</v>
      </c>
      <c r="L12" s="249">
        <v>1</v>
      </c>
      <c r="M12" s="55">
        <f t="shared" si="4"/>
        <v>1786.3942599716822</v>
      </c>
      <c r="N12" s="241">
        <f t="shared" si="5"/>
        <v>2865.0285109562624</v>
      </c>
      <c r="O12" s="593">
        <f t="shared" si="6"/>
        <v>4651.4227709279448</v>
      </c>
      <c r="P12" s="4">
        <f t="shared" ref="P12:P49" si="9">P11+1</f>
        <v>2</v>
      </c>
      <c r="Q12" s="34"/>
      <c r="R12" s="34"/>
      <c r="S12" s="34"/>
      <c r="T12" s="34"/>
      <c r="U12" s="34"/>
      <c r="V12" s="34"/>
      <c r="W12" s="34"/>
      <c r="X12" s="34"/>
      <c r="Y12" s="34"/>
      <c r="Z12" s="34"/>
      <c r="AA12" s="34"/>
      <c r="AB12" s="34"/>
      <c r="AC12" s="34"/>
    </row>
    <row r="13" spans="1:29" x14ac:dyDescent="0.35">
      <c r="A13" s="4">
        <f t="shared" si="7"/>
        <v>3</v>
      </c>
      <c r="B13" s="557">
        <v>45007</v>
      </c>
      <c r="C13" s="185">
        <v>35718</v>
      </c>
      <c r="D13" s="699">
        <v>30034</v>
      </c>
      <c r="E13" s="132">
        <f t="shared" ref="E13:E33" si="10">C13+D13</f>
        <v>65752</v>
      </c>
      <c r="F13" s="186">
        <f t="shared" si="8"/>
        <v>12.107343218497991</v>
      </c>
      <c r="G13" s="241">
        <f>D13*$H$41</f>
        <v>10.180635708168674</v>
      </c>
      <c r="H13" s="593">
        <f t="shared" ref="H13:H34" si="11">F13+G13</f>
        <v>22.287978926666668</v>
      </c>
      <c r="I13" s="55">
        <f t="shared" si="1"/>
        <v>35705.8926567815</v>
      </c>
      <c r="J13" s="241">
        <f t="shared" si="2"/>
        <v>30023.81936429183</v>
      </c>
      <c r="K13" s="132">
        <f t="shared" si="3"/>
        <v>65729.712021073326</v>
      </c>
      <c r="L13" s="249">
        <v>1</v>
      </c>
      <c r="M13" s="55">
        <f t="shared" si="4"/>
        <v>35705.8926567815</v>
      </c>
      <c r="N13" s="241">
        <f t="shared" si="5"/>
        <v>30023.81936429183</v>
      </c>
      <c r="O13" s="593">
        <f t="shared" si="6"/>
        <v>65729.712021073326</v>
      </c>
      <c r="P13" s="4">
        <f t="shared" si="9"/>
        <v>3</v>
      </c>
      <c r="Q13" s="34"/>
      <c r="R13" s="34"/>
      <c r="S13" s="34"/>
      <c r="T13" s="34"/>
      <c r="U13" s="34"/>
      <c r="V13" s="34"/>
      <c r="W13" s="34"/>
      <c r="X13" s="34"/>
      <c r="Y13" s="34"/>
      <c r="Z13" s="34"/>
      <c r="AA13" s="34"/>
      <c r="AB13" s="34"/>
      <c r="AC13" s="34"/>
    </row>
    <row r="14" spans="1:29" ht="16" thickBot="1" x14ac:dyDescent="0.4">
      <c r="A14" s="4">
        <f t="shared" si="7"/>
        <v>4</v>
      </c>
      <c r="B14" s="558">
        <v>45038</v>
      </c>
      <c r="C14" s="187">
        <v>360</v>
      </c>
      <c r="D14" s="699">
        <v>1010</v>
      </c>
      <c r="E14" s="188">
        <f t="shared" si="10"/>
        <v>1370</v>
      </c>
      <c r="F14" s="189">
        <f t="shared" si="8"/>
        <v>0.12202932859228616</v>
      </c>
      <c r="G14" s="190">
        <f t="shared" si="0"/>
        <v>0.34236006077280284</v>
      </c>
      <c r="H14" s="191">
        <f t="shared" si="11"/>
        <v>0.464389389365089</v>
      </c>
      <c r="I14" s="192">
        <f t="shared" si="1"/>
        <v>359.8779706714077</v>
      </c>
      <c r="J14" s="190">
        <f t="shared" si="2"/>
        <v>1009.6576399392272</v>
      </c>
      <c r="K14" s="188">
        <f t="shared" si="3"/>
        <v>1369.5356106106349</v>
      </c>
      <c r="L14" s="253">
        <v>1</v>
      </c>
      <c r="M14" s="190">
        <f t="shared" si="4"/>
        <v>359.8779706714077</v>
      </c>
      <c r="N14" s="190">
        <f t="shared" si="5"/>
        <v>1009.6576399392272</v>
      </c>
      <c r="O14" s="191">
        <f t="shared" si="6"/>
        <v>1369.5356106106349</v>
      </c>
      <c r="P14" s="4">
        <f t="shared" si="9"/>
        <v>4</v>
      </c>
      <c r="Q14" s="34"/>
      <c r="R14" s="34"/>
      <c r="S14" s="34"/>
      <c r="T14" s="34"/>
      <c r="U14" s="34"/>
      <c r="V14" s="34"/>
      <c r="W14" s="34"/>
      <c r="X14" s="34"/>
      <c r="Y14" s="34"/>
      <c r="Z14" s="34"/>
      <c r="AA14" s="34"/>
      <c r="AB14" s="34"/>
      <c r="AC14" s="34"/>
    </row>
    <row r="15" spans="1:29" x14ac:dyDescent="0.35">
      <c r="A15" s="4">
        <f t="shared" si="7"/>
        <v>5</v>
      </c>
      <c r="B15" s="557">
        <v>45068</v>
      </c>
      <c r="C15" s="185">
        <v>8957</v>
      </c>
      <c r="D15" s="193">
        <v>33393</v>
      </c>
      <c r="E15" s="130">
        <f t="shared" si="10"/>
        <v>42350</v>
      </c>
      <c r="F15" s="194">
        <f t="shared" si="8"/>
        <v>3.0361574894475201</v>
      </c>
      <c r="G15" s="136">
        <f t="shared" si="0"/>
        <v>11.319237138006145</v>
      </c>
      <c r="H15" s="131">
        <f t="shared" si="11"/>
        <v>14.355394627453665</v>
      </c>
      <c r="I15" s="195">
        <f t="shared" si="1"/>
        <v>8953.9638425105531</v>
      </c>
      <c r="J15" s="136">
        <f t="shared" si="2"/>
        <v>33381.680762861994</v>
      </c>
      <c r="K15" s="130">
        <f t="shared" si="3"/>
        <v>42335.644605372545</v>
      </c>
      <c r="L15" s="254">
        <v>1</v>
      </c>
      <c r="M15" s="55">
        <f t="shared" si="4"/>
        <v>8953.9638425105531</v>
      </c>
      <c r="N15" s="136">
        <f t="shared" si="5"/>
        <v>33381.680762861994</v>
      </c>
      <c r="O15" s="131">
        <f t="shared" si="6"/>
        <v>42335.644605372545</v>
      </c>
      <c r="P15" s="4">
        <f t="shared" si="9"/>
        <v>5</v>
      </c>
      <c r="Q15" s="34"/>
      <c r="R15" s="34"/>
      <c r="S15" s="34"/>
      <c r="T15" s="34"/>
      <c r="U15" s="34"/>
      <c r="V15" s="34"/>
      <c r="W15" s="34"/>
      <c r="X15" s="34"/>
      <c r="Y15" s="34"/>
      <c r="Z15" s="34"/>
      <c r="AA15" s="34"/>
      <c r="AB15" s="34"/>
      <c r="AC15" s="34"/>
    </row>
    <row r="16" spans="1:29" x14ac:dyDescent="0.35">
      <c r="A16" s="4">
        <f t="shared" si="7"/>
        <v>6</v>
      </c>
      <c r="B16" s="557">
        <v>45099</v>
      </c>
      <c r="C16" s="185">
        <v>13223</v>
      </c>
      <c r="D16" s="699">
        <v>23304</v>
      </c>
      <c r="E16" s="132">
        <f t="shared" si="10"/>
        <v>36527</v>
      </c>
      <c r="F16" s="186">
        <f t="shared" si="8"/>
        <v>4.4822050332661112</v>
      </c>
      <c r="G16" s="241">
        <f t="shared" si="0"/>
        <v>7.8993652042073244</v>
      </c>
      <c r="H16" s="593">
        <f t="shared" si="11"/>
        <v>12.381570237473436</v>
      </c>
      <c r="I16" s="55">
        <f t="shared" si="1"/>
        <v>13218.517794966734</v>
      </c>
      <c r="J16" s="241">
        <f t="shared" si="2"/>
        <v>23296.100634795792</v>
      </c>
      <c r="K16" s="132">
        <f t="shared" si="3"/>
        <v>36514.61842976253</v>
      </c>
      <c r="L16" s="249">
        <v>1</v>
      </c>
      <c r="M16" s="55">
        <f t="shared" si="4"/>
        <v>13218.517794966734</v>
      </c>
      <c r="N16" s="241">
        <f t="shared" si="5"/>
        <v>23296.100634795792</v>
      </c>
      <c r="O16" s="593">
        <f t="shared" si="6"/>
        <v>36514.61842976253</v>
      </c>
      <c r="P16" s="4">
        <f t="shared" si="9"/>
        <v>6</v>
      </c>
      <c r="Q16" s="34"/>
      <c r="R16" s="34"/>
      <c r="S16" s="34"/>
      <c r="T16" s="34"/>
      <c r="U16" s="34"/>
      <c r="V16" s="34"/>
      <c r="W16" s="34"/>
      <c r="X16" s="34"/>
      <c r="Y16" s="34"/>
      <c r="Z16" s="34"/>
      <c r="AA16" s="34"/>
      <c r="AB16" s="34"/>
      <c r="AC16" s="34"/>
    </row>
    <row r="17" spans="1:29" x14ac:dyDescent="0.35">
      <c r="A17" s="4">
        <f t="shared" si="7"/>
        <v>7</v>
      </c>
      <c r="B17" s="557">
        <v>45129</v>
      </c>
      <c r="C17" s="185">
        <v>1765</v>
      </c>
      <c r="D17" s="699">
        <v>27361</v>
      </c>
      <c r="E17" s="132">
        <f t="shared" si="10"/>
        <v>29126</v>
      </c>
      <c r="F17" s="186">
        <f t="shared" si="8"/>
        <v>0.59828268045940303</v>
      </c>
      <c r="G17" s="241">
        <f t="shared" si="0"/>
        <v>9.2745679433709487</v>
      </c>
      <c r="H17" s="593">
        <f t="shared" si="11"/>
        <v>9.8728506238303524</v>
      </c>
      <c r="I17" s="55">
        <f t="shared" si="1"/>
        <v>1764.4017173195407</v>
      </c>
      <c r="J17" s="241">
        <f t="shared" si="2"/>
        <v>27351.725432056628</v>
      </c>
      <c r="K17" s="132">
        <f t="shared" si="3"/>
        <v>29116.127149376167</v>
      </c>
      <c r="L17" s="249">
        <v>1</v>
      </c>
      <c r="M17" s="55">
        <f t="shared" si="4"/>
        <v>1764.4017173195407</v>
      </c>
      <c r="N17" s="241">
        <f t="shared" si="5"/>
        <v>27351.725432056628</v>
      </c>
      <c r="O17" s="593">
        <f t="shared" si="6"/>
        <v>29116.127149376167</v>
      </c>
      <c r="P17" s="4">
        <f t="shared" si="9"/>
        <v>7</v>
      </c>
      <c r="Q17" s="34"/>
      <c r="R17" s="34"/>
      <c r="S17" s="34"/>
      <c r="T17" s="34"/>
      <c r="U17" s="34"/>
      <c r="V17" s="34"/>
      <c r="W17" s="34"/>
      <c r="X17" s="34"/>
      <c r="Y17" s="34"/>
      <c r="Z17" s="34"/>
      <c r="AA17" s="34"/>
      <c r="AB17" s="34"/>
      <c r="AC17" s="34"/>
    </row>
    <row r="18" spans="1:29" ht="16" thickBot="1" x14ac:dyDescent="0.4">
      <c r="A18" s="4">
        <f t="shared" si="7"/>
        <v>8</v>
      </c>
      <c r="B18" s="558">
        <v>45160</v>
      </c>
      <c r="C18" s="187">
        <v>2512</v>
      </c>
      <c r="D18" s="699">
        <v>54391</v>
      </c>
      <c r="E18" s="188">
        <f t="shared" si="10"/>
        <v>56903</v>
      </c>
      <c r="F18" s="189">
        <f t="shared" si="8"/>
        <v>0.85149353728839672</v>
      </c>
      <c r="G18" s="190">
        <f t="shared" si="0"/>
        <v>18.436936698508436</v>
      </c>
      <c r="H18" s="191">
        <f t="shared" si="11"/>
        <v>19.288430235796834</v>
      </c>
      <c r="I18" s="192">
        <f t="shared" si="1"/>
        <v>2511.1485064627118</v>
      </c>
      <c r="J18" s="190">
        <f t="shared" si="2"/>
        <v>54372.563063301488</v>
      </c>
      <c r="K18" s="188">
        <f t="shared" si="3"/>
        <v>56883.7115697642</v>
      </c>
      <c r="L18" s="253">
        <v>1</v>
      </c>
      <c r="M18" s="190">
        <f t="shared" si="4"/>
        <v>2511.1485064627118</v>
      </c>
      <c r="N18" s="190">
        <f t="shared" si="5"/>
        <v>54372.563063301488</v>
      </c>
      <c r="O18" s="191">
        <f t="shared" si="6"/>
        <v>56883.7115697642</v>
      </c>
      <c r="P18" s="4">
        <f t="shared" si="9"/>
        <v>8</v>
      </c>
      <c r="Q18" s="34"/>
      <c r="R18" s="34"/>
      <c r="S18" s="34"/>
      <c r="T18" s="34"/>
      <c r="U18" s="34"/>
      <c r="V18" s="34"/>
      <c r="W18" s="34"/>
      <c r="X18" s="34"/>
      <c r="Y18" s="34"/>
      <c r="Z18" s="34"/>
      <c r="AA18" s="34"/>
      <c r="AB18" s="34"/>
      <c r="AC18" s="34"/>
    </row>
    <row r="19" spans="1:29" x14ac:dyDescent="0.35">
      <c r="A19" s="4">
        <f t="shared" si="7"/>
        <v>9</v>
      </c>
      <c r="B19" s="557">
        <v>45191</v>
      </c>
      <c r="C19" s="185">
        <v>1957</v>
      </c>
      <c r="D19" s="193">
        <v>9165</v>
      </c>
      <c r="E19" s="130">
        <f t="shared" si="10"/>
        <v>11122</v>
      </c>
      <c r="F19" s="194">
        <f t="shared" si="8"/>
        <v>0.66336498904195562</v>
      </c>
      <c r="G19" s="136">
        <f t="shared" si="0"/>
        <v>3.106663323745285</v>
      </c>
      <c r="H19" s="131">
        <f t="shared" si="11"/>
        <v>3.7700283127872405</v>
      </c>
      <c r="I19" s="195">
        <f t="shared" si="1"/>
        <v>1956.3366350109579</v>
      </c>
      <c r="J19" s="136">
        <f t="shared" si="2"/>
        <v>9161.893336676254</v>
      </c>
      <c r="K19" s="130">
        <f t="shared" si="3"/>
        <v>11118.229971687211</v>
      </c>
      <c r="L19" s="254">
        <v>1</v>
      </c>
      <c r="M19" s="55">
        <f t="shared" si="4"/>
        <v>1956.3366350109579</v>
      </c>
      <c r="N19" s="136">
        <f t="shared" si="5"/>
        <v>9161.893336676254</v>
      </c>
      <c r="O19" s="131">
        <f t="shared" si="6"/>
        <v>11118.229971687211</v>
      </c>
      <c r="P19" s="4">
        <f t="shared" si="9"/>
        <v>9</v>
      </c>
      <c r="Q19" s="34"/>
      <c r="R19" s="34"/>
      <c r="S19" s="34"/>
      <c r="T19" s="34"/>
      <c r="U19" s="34"/>
      <c r="V19" s="34"/>
      <c r="W19" s="34"/>
      <c r="X19" s="34"/>
      <c r="Y19" s="34"/>
      <c r="Z19" s="34"/>
      <c r="AA19" s="34"/>
      <c r="AB19" s="34"/>
      <c r="AC19" s="34"/>
    </row>
    <row r="20" spans="1:29" x14ac:dyDescent="0.35">
      <c r="A20" s="4">
        <f t="shared" si="7"/>
        <v>10</v>
      </c>
      <c r="B20" s="557">
        <v>45221</v>
      </c>
      <c r="C20" s="185">
        <v>745</v>
      </c>
      <c r="D20" s="699">
        <v>9493</v>
      </c>
      <c r="E20" s="132">
        <f t="shared" si="10"/>
        <v>10238</v>
      </c>
      <c r="F20" s="186">
        <f t="shared" si="8"/>
        <v>0.25253291611459222</v>
      </c>
      <c r="G20" s="241">
        <f t="shared" si="0"/>
        <v>3.2178456009071459</v>
      </c>
      <c r="H20" s="593">
        <f t="shared" si="11"/>
        <v>3.4703785170217381</v>
      </c>
      <c r="I20" s="55">
        <f t="shared" si="1"/>
        <v>744.74746708388545</v>
      </c>
      <c r="J20" s="241">
        <f t="shared" si="2"/>
        <v>9489.7821543990922</v>
      </c>
      <c r="K20" s="132">
        <f t="shared" si="3"/>
        <v>10234.529621482978</v>
      </c>
      <c r="L20" s="249">
        <v>1</v>
      </c>
      <c r="M20" s="55">
        <f t="shared" si="4"/>
        <v>744.74746708388545</v>
      </c>
      <c r="N20" s="241">
        <f t="shared" si="5"/>
        <v>9489.7821543990922</v>
      </c>
      <c r="O20" s="593">
        <f t="shared" si="6"/>
        <v>10234.529621482978</v>
      </c>
      <c r="P20" s="4">
        <f t="shared" si="9"/>
        <v>10</v>
      </c>
      <c r="Q20" s="34"/>
      <c r="R20" s="34"/>
      <c r="S20" s="34"/>
      <c r="T20" s="34"/>
      <c r="U20" s="34"/>
      <c r="V20" s="34"/>
      <c r="W20" s="34"/>
      <c r="X20" s="34"/>
      <c r="Y20" s="34"/>
      <c r="Z20" s="34"/>
      <c r="AA20" s="34"/>
      <c r="AB20" s="34"/>
      <c r="AC20" s="34"/>
    </row>
    <row r="21" spans="1:29" x14ac:dyDescent="0.35">
      <c r="A21" s="4">
        <f t="shared" si="7"/>
        <v>11</v>
      </c>
      <c r="B21" s="557">
        <v>45252</v>
      </c>
      <c r="C21" s="185">
        <v>2139</v>
      </c>
      <c r="D21" s="699">
        <v>8325</v>
      </c>
      <c r="E21" s="6">
        <f t="shared" si="10"/>
        <v>10464</v>
      </c>
      <c r="F21" s="186">
        <f t="shared" si="8"/>
        <v>0.72505759405250025</v>
      </c>
      <c r="G21" s="241">
        <f t="shared" si="0"/>
        <v>2.8219282236966174</v>
      </c>
      <c r="H21" s="135">
        <f t="shared" si="11"/>
        <v>3.5469858177491176</v>
      </c>
      <c r="I21" s="55">
        <f t="shared" si="1"/>
        <v>2138.2749424059475</v>
      </c>
      <c r="J21" s="241">
        <f t="shared" si="2"/>
        <v>8322.1780717763031</v>
      </c>
      <c r="K21" s="6">
        <f t="shared" si="3"/>
        <v>10460.453014182251</v>
      </c>
      <c r="L21" s="249">
        <v>1</v>
      </c>
      <c r="M21" s="55">
        <f t="shared" si="4"/>
        <v>2138.2749424059475</v>
      </c>
      <c r="N21" s="241">
        <f t="shared" si="5"/>
        <v>8322.1780717763031</v>
      </c>
      <c r="O21" s="135">
        <f t="shared" si="6"/>
        <v>10460.453014182251</v>
      </c>
      <c r="P21" s="4">
        <f t="shared" si="9"/>
        <v>11</v>
      </c>
      <c r="Q21" s="34"/>
      <c r="R21" s="34"/>
      <c r="S21" s="34"/>
      <c r="T21" s="34"/>
      <c r="U21" s="34"/>
      <c r="V21" s="34"/>
      <c r="W21" s="34"/>
      <c r="X21" s="34"/>
      <c r="Y21" s="34"/>
      <c r="Z21" s="34"/>
      <c r="AA21" s="34"/>
      <c r="AB21" s="34"/>
      <c r="AC21" s="34"/>
    </row>
    <row r="22" spans="1:29" ht="16" thickBot="1" x14ac:dyDescent="0.4">
      <c r="A22" s="4">
        <f t="shared" si="7"/>
        <v>12</v>
      </c>
      <c r="B22" s="557">
        <v>45282</v>
      </c>
      <c r="C22" s="187">
        <v>11475</v>
      </c>
      <c r="D22" s="699">
        <v>48357</v>
      </c>
      <c r="E22" s="188">
        <f t="shared" si="10"/>
        <v>59832</v>
      </c>
      <c r="F22" s="189">
        <f t="shared" si="8"/>
        <v>3.8896848488791216</v>
      </c>
      <c r="G22" s="190">
        <f t="shared" si="0"/>
        <v>16.391589563158838</v>
      </c>
      <c r="H22" s="191">
        <f t="shared" si="11"/>
        <v>20.281274412037959</v>
      </c>
      <c r="I22" s="192">
        <f t="shared" si="1"/>
        <v>11471.110315151122</v>
      </c>
      <c r="J22" s="190">
        <f t="shared" si="2"/>
        <v>48340.608410436842</v>
      </c>
      <c r="K22" s="188">
        <f t="shared" si="3"/>
        <v>59811.718725587962</v>
      </c>
      <c r="L22" s="253">
        <v>1</v>
      </c>
      <c r="M22" s="190">
        <f t="shared" si="4"/>
        <v>11471.110315151122</v>
      </c>
      <c r="N22" s="190">
        <f t="shared" si="5"/>
        <v>48340.608410436842</v>
      </c>
      <c r="O22" s="191">
        <f t="shared" si="6"/>
        <v>59811.718725587962</v>
      </c>
      <c r="P22" s="4">
        <f t="shared" si="9"/>
        <v>12</v>
      </c>
      <c r="Q22" s="34"/>
      <c r="R22" s="34"/>
      <c r="S22" s="34"/>
      <c r="T22" s="34"/>
      <c r="U22" s="34"/>
      <c r="V22" s="34"/>
      <c r="W22" s="34"/>
      <c r="X22" s="34"/>
      <c r="Y22" s="34"/>
      <c r="Z22" s="34"/>
      <c r="AA22" s="34"/>
      <c r="AB22" s="34"/>
      <c r="AC22" s="34"/>
    </row>
    <row r="23" spans="1:29" x14ac:dyDescent="0.35">
      <c r="A23" s="4">
        <f t="shared" si="7"/>
        <v>13</v>
      </c>
      <c r="B23" s="700">
        <v>45313</v>
      </c>
      <c r="C23" s="185">
        <v>2367</v>
      </c>
      <c r="D23" s="193">
        <v>70856</v>
      </c>
      <c r="E23" s="130">
        <f t="shared" si="10"/>
        <v>73223</v>
      </c>
      <c r="F23" s="194">
        <f t="shared" si="8"/>
        <v>0.80234283549428154</v>
      </c>
      <c r="G23" s="136">
        <f t="shared" si="0"/>
        <v>24.018083629819522</v>
      </c>
      <c r="H23" s="131">
        <f t="shared" si="11"/>
        <v>24.820426465313805</v>
      </c>
      <c r="I23" s="195">
        <f t="shared" si="1"/>
        <v>2366.1976571645059</v>
      </c>
      <c r="J23" s="136">
        <f t="shared" si="2"/>
        <v>70831.981916370176</v>
      </c>
      <c r="K23" s="130">
        <f t="shared" si="3"/>
        <v>73198.179573534682</v>
      </c>
      <c r="L23" s="254">
        <v>1</v>
      </c>
      <c r="M23" s="55">
        <f t="shared" si="4"/>
        <v>2366.1976571645059</v>
      </c>
      <c r="N23" s="136">
        <f t="shared" si="5"/>
        <v>70831.981916370176</v>
      </c>
      <c r="O23" s="131">
        <f t="shared" si="6"/>
        <v>73198.179573534682</v>
      </c>
      <c r="P23" s="4">
        <f t="shared" si="9"/>
        <v>13</v>
      </c>
      <c r="Q23" s="34"/>
      <c r="R23" s="34"/>
      <c r="S23" s="34"/>
      <c r="T23" s="34"/>
      <c r="U23" s="34"/>
      <c r="V23" s="34"/>
      <c r="W23" s="34"/>
      <c r="X23" s="34"/>
      <c r="Y23" s="34"/>
      <c r="Z23" s="34"/>
      <c r="AA23" s="34"/>
      <c r="AB23" s="34"/>
      <c r="AC23" s="34"/>
    </row>
    <row r="24" spans="1:29" x14ac:dyDescent="0.35">
      <c r="A24" s="4">
        <f t="shared" si="7"/>
        <v>14</v>
      </c>
      <c r="B24" s="701">
        <v>45344</v>
      </c>
      <c r="C24" s="185">
        <v>2945</v>
      </c>
      <c r="D24" s="699">
        <v>8612</v>
      </c>
      <c r="E24" s="132">
        <f t="shared" si="10"/>
        <v>11557</v>
      </c>
      <c r="F24" s="186">
        <f t="shared" si="8"/>
        <v>0.99826770195634096</v>
      </c>
      <c r="G24" s="241">
        <f t="shared" si="0"/>
        <v>2.9192127162132455</v>
      </c>
      <c r="H24" s="593">
        <f t="shared" si="11"/>
        <v>3.9174804181695864</v>
      </c>
      <c r="I24" s="55">
        <f t="shared" si="1"/>
        <v>2944.0017322980439</v>
      </c>
      <c r="J24" s="241">
        <f t="shared" si="2"/>
        <v>8609.0807872837868</v>
      </c>
      <c r="K24" s="132">
        <f t="shared" si="3"/>
        <v>11553.082519581831</v>
      </c>
      <c r="L24" s="249">
        <v>0.91666666666666663</v>
      </c>
      <c r="M24" s="55">
        <f t="shared" si="4"/>
        <v>2698.6682546065399</v>
      </c>
      <c r="N24" s="241">
        <f t="shared" si="5"/>
        <v>7891.6573883434712</v>
      </c>
      <c r="O24" s="593">
        <f t="shared" si="6"/>
        <v>10590.325642950011</v>
      </c>
      <c r="P24" s="4">
        <f t="shared" si="9"/>
        <v>14</v>
      </c>
      <c r="Q24" s="34"/>
      <c r="R24" s="34"/>
      <c r="S24" s="34"/>
      <c r="T24" s="34"/>
      <c r="U24" s="34"/>
      <c r="V24" s="34"/>
      <c r="W24" s="34"/>
      <c r="X24" s="34"/>
      <c r="Y24" s="34"/>
      <c r="Z24" s="34"/>
      <c r="AA24" s="34"/>
      <c r="AB24" s="34"/>
      <c r="AC24" s="34"/>
    </row>
    <row r="25" spans="1:29" x14ac:dyDescent="0.35">
      <c r="A25" s="4">
        <f t="shared" si="7"/>
        <v>15</v>
      </c>
      <c r="B25" s="701">
        <v>45373</v>
      </c>
      <c r="C25" s="185">
        <v>1534</v>
      </c>
      <c r="D25" s="699">
        <v>7914</v>
      </c>
      <c r="E25" s="132">
        <f t="shared" si="10"/>
        <v>9448</v>
      </c>
      <c r="F25" s="186">
        <f t="shared" si="8"/>
        <v>0.51998052794601934</v>
      </c>
      <c r="G25" s="241">
        <f t="shared" si="0"/>
        <v>2.6826114068870908</v>
      </c>
      <c r="H25" s="593">
        <f t="shared" si="11"/>
        <v>3.20259193483311</v>
      </c>
      <c r="I25" s="55">
        <f t="shared" si="1"/>
        <v>1533.480019472054</v>
      </c>
      <c r="J25" s="241">
        <f t="shared" si="2"/>
        <v>7911.3173885931128</v>
      </c>
      <c r="K25" s="132">
        <f t="shared" si="3"/>
        <v>9444.7974080651675</v>
      </c>
      <c r="L25" s="249">
        <v>0.83333333333333337</v>
      </c>
      <c r="M25" s="55">
        <f t="shared" si="4"/>
        <v>1277.9000162267116</v>
      </c>
      <c r="N25" s="241">
        <f t="shared" si="5"/>
        <v>6592.7644904942608</v>
      </c>
      <c r="O25" s="593">
        <f t="shared" si="6"/>
        <v>7870.664506720972</v>
      </c>
      <c r="P25" s="4">
        <f t="shared" si="9"/>
        <v>15</v>
      </c>
      <c r="Q25" s="34"/>
      <c r="R25" s="34"/>
      <c r="S25" s="34"/>
      <c r="T25" s="34"/>
      <c r="U25" s="34"/>
      <c r="V25" s="34"/>
      <c r="W25" s="34"/>
      <c r="X25" s="34"/>
      <c r="Y25" s="34"/>
      <c r="Z25" s="34"/>
      <c r="AA25" s="34"/>
      <c r="AB25" s="34"/>
      <c r="AC25" s="34"/>
    </row>
    <row r="26" spans="1:29" ht="16" thickBot="1" x14ac:dyDescent="0.4">
      <c r="A26" s="4">
        <f t="shared" si="7"/>
        <v>16</v>
      </c>
      <c r="B26" s="702">
        <v>45404</v>
      </c>
      <c r="C26" s="187">
        <v>1298</v>
      </c>
      <c r="D26" s="699">
        <v>11785</v>
      </c>
      <c r="E26" s="188">
        <f t="shared" si="10"/>
        <v>13083</v>
      </c>
      <c r="F26" s="189">
        <f t="shared" si="8"/>
        <v>0.43998352364663179</v>
      </c>
      <c r="G26" s="190">
        <f t="shared" si="0"/>
        <v>3.9947656596113679</v>
      </c>
      <c r="H26" s="191">
        <f t="shared" si="11"/>
        <v>4.4347491832579999</v>
      </c>
      <c r="I26" s="192">
        <f t="shared" si="1"/>
        <v>1297.5600164763534</v>
      </c>
      <c r="J26" s="190">
        <f t="shared" si="2"/>
        <v>11781.00523434039</v>
      </c>
      <c r="K26" s="188">
        <f t="shared" si="3"/>
        <v>13078.565250816742</v>
      </c>
      <c r="L26" s="253">
        <v>0.75</v>
      </c>
      <c r="M26" s="190">
        <f t="shared" si="4"/>
        <v>973.17001235726502</v>
      </c>
      <c r="N26" s="190">
        <f t="shared" si="5"/>
        <v>8835.7539257552926</v>
      </c>
      <c r="O26" s="191">
        <f t="shared" si="6"/>
        <v>9808.9239381125572</v>
      </c>
      <c r="P26" s="4">
        <f t="shared" si="9"/>
        <v>16</v>
      </c>
      <c r="Q26" s="34"/>
      <c r="R26" s="34"/>
      <c r="S26" s="34"/>
      <c r="T26" s="34"/>
      <c r="U26" s="34"/>
      <c r="V26" s="34"/>
      <c r="W26" s="34"/>
      <c r="X26" s="34"/>
      <c r="Y26" s="34"/>
      <c r="Z26" s="34"/>
      <c r="AA26" s="34"/>
      <c r="AB26" s="34"/>
      <c r="AC26" s="34"/>
    </row>
    <row r="27" spans="1:29" x14ac:dyDescent="0.35">
      <c r="A27" s="4">
        <f t="shared" si="7"/>
        <v>17</v>
      </c>
      <c r="B27" s="701">
        <v>45434</v>
      </c>
      <c r="C27" s="185">
        <v>1719</v>
      </c>
      <c r="D27" s="193">
        <v>10614</v>
      </c>
      <c r="E27" s="6">
        <f t="shared" si="10"/>
        <v>12333</v>
      </c>
      <c r="F27" s="194">
        <f t="shared" si="8"/>
        <v>0.58269004402816638</v>
      </c>
      <c r="G27" s="136">
        <f t="shared" si="0"/>
        <v>3.5978313713292369</v>
      </c>
      <c r="H27" s="135">
        <f t="shared" si="11"/>
        <v>4.1805214153574033</v>
      </c>
      <c r="I27" s="195">
        <f t="shared" si="1"/>
        <v>1718.4173099559719</v>
      </c>
      <c r="J27" s="136">
        <f t="shared" si="2"/>
        <v>10610.402168628671</v>
      </c>
      <c r="K27" s="6">
        <f t="shared" si="3"/>
        <v>12328.819478584643</v>
      </c>
      <c r="L27" s="254">
        <v>0.66666666666666663</v>
      </c>
      <c r="M27" s="55">
        <f t="shared" si="4"/>
        <v>1145.6115399706478</v>
      </c>
      <c r="N27" s="136">
        <f t="shared" si="5"/>
        <v>7073.601445752447</v>
      </c>
      <c r="O27" s="135">
        <f t="shared" si="6"/>
        <v>8219.2129857230939</v>
      </c>
      <c r="P27" s="4">
        <f t="shared" si="9"/>
        <v>17</v>
      </c>
      <c r="Q27" s="34"/>
      <c r="R27" s="34"/>
      <c r="S27" s="34"/>
      <c r="T27" s="34"/>
      <c r="U27" s="34"/>
      <c r="V27" s="34"/>
      <c r="W27" s="34"/>
      <c r="X27" s="34"/>
      <c r="Y27" s="34"/>
      <c r="Z27" s="34"/>
      <c r="AA27" s="34"/>
      <c r="AB27" s="34"/>
      <c r="AC27" s="34"/>
    </row>
    <row r="28" spans="1:29" x14ac:dyDescent="0.35">
      <c r="A28" s="4">
        <f t="shared" si="7"/>
        <v>18</v>
      </c>
      <c r="B28" s="701">
        <v>45465</v>
      </c>
      <c r="C28" s="185">
        <v>972</v>
      </c>
      <c r="D28" s="699">
        <v>10831</v>
      </c>
      <c r="E28" s="132">
        <f t="shared" si="10"/>
        <v>11803</v>
      </c>
      <c r="F28" s="186">
        <f t="shared" si="8"/>
        <v>0.32947918719917263</v>
      </c>
      <c r="G28" s="241">
        <f t="shared" si="0"/>
        <v>3.6713879388418094</v>
      </c>
      <c r="H28" s="593">
        <f t="shared" si="11"/>
        <v>4.0008671260409816</v>
      </c>
      <c r="I28" s="55">
        <f t="shared" si="1"/>
        <v>971.67052081280087</v>
      </c>
      <c r="J28" s="241">
        <f t="shared" si="2"/>
        <v>10827.328612061157</v>
      </c>
      <c r="K28" s="132">
        <f t="shared" si="3"/>
        <v>11798.999132873958</v>
      </c>
      <c r="L28" s="249">
        <v>0.58333333333333337</v>
      </c>
      <c r="M28" s="55">
        <f t="shared" si="4"/>
        <v>566.80780380746717</v>
      </c>
      <c r="N28" s="241">
        <f t="shared" si="5"/>
        <v>6315.9416903690089</v>
      </c>
      <c r="O28" s="593">
        <f t="shared" si="6"/>
        <v>6882.7494941764762</v>
      </c>
      <c r="P28" s="4">
        <f t="shared" si="9"/>
        <v>18</v>
      </c>
      <c r="Q28" s="34"/>
      <c r="R28" s="34"/>
      <c r="S28" s="34"/>
      <c r="T28" s="34"/>
      <c r="U28" s="34"/>
      <c r="V28" s="34"/>
      <c r="W28" s="34"/>
      <c r="X28" s="34"/>
      <c r="Y28" s="34"/>
      <c r="Z28" s="34"/>
      <c r="AA28" s="34"/>
      <c r="AB28" s="34"/>
      <c r="AC28" s="34"/>
    </row>
    <row r="29" spans="1:29" x14ac:dyDescent="0.35">
      <c r="A29" s="4">
        <f t="shared" si="7"/>
        <v>19</v>
      </c>
      <c r="B29" s="701">
        <v>45495</v>
      </c>
      <c r="C29" s="185">
        <v>1898</v>
      </c>
      <c r="D29" s="699">
        <v>20505</v>
      </c>
      <c r="E29" s="132">
        <f t="shared" si="10"/>
        <v>22403</v>
      </c>
      <c r="F29" s="186">
        <f t="shared" si="8"/>
        <v>0.64336573796710872</v>
      </c>
      <c r="G29" s="241">
        <f t="shared" si="0"/>
        <v>6.9505871744022993</v>
      </c>
      <c r="H29" s="593">
        <f t="shared" si="11"/>
        <v>7.5939529123694083</v>
      </c>
      <c r="I29" s="55">
        <f t="shared" si="1"/>
        <v>1897.3566342620329</v>
      </c>
      <c r="J29" s="241">
        <f t="shared" si="2"/>
        <v>20498.049412825596</v>
      </c>
      <c r="K29" s="132">
        <f t="shared" si="3"/>
        <v>22395.406047087628</v>
      </c>
      <c r="L29" s="249">
        <v>0.5</v>
      </c>
      <c r="M29" s="55">
        <f t="shared" si="4"/>
        <v>948.67831713101646</v>
      </c>
      <c r="N29" s="241">
        <f t="shared" si="5"/>
        <v>10249.024706412798</v>
      </c>
      <c r="O29" s="593">
        <f t="shared" si="6"/>
        <v>11197.703023543814</v>
      </c>
      <c r="P29" s="4">
        <f t="shared" si="9"/>
        <v>19</v>
      </c>
      <c r="Q29" s="34"/>
      <c r="R29" s="34"/>
      <c r="S29" s="34"/>
      <c r="T29" s="34"/>
      <c r="U29" s="34"/>
      <c r="V29" s="34"/>
      <c r="W29" s="34"/>
      <c r="X29" s="34"/>
      <c r="Y29" s="34"/>
      <c r="Z29" s="34"/>
      <c r="AA29" s="34"/>
      <c r="AB29" s="34"/>
      <c r="AC29" s="34"/>
    </row>
    <row r="30" spans="1:29" ht="16" thickBot="1" x14ac:dyDescent="0.4">
      <c r="A30" s="4">
        <f t="shared" si="7"/>
        <v>20</v>
      </c>
      <c r="B30" s="702">
        <v>45526</v>
      </c>
      <c r="C30" s="187">
        <v>1081</v>
      </c>
      <c r="D30" s="699">
        <v>24087</v>
      </c>
      <c r="E30" s="188">
        <f t="shared" si="10"/>
        <v>25168</v>
      </c>
      <c r="F30" s="189">
        <f t="shared" si="8"/>
        <v>0.36642695613405929</v>
      </c>
      <c r="G30" s="190">
        <f t="shared" si="0"/>
        <v>8.1647789938955473</v>
      </c>
      <c r="H30" s="191">
        <f t="shared" si="11"/>
        <v>8.5312059500296069</v>
      </c>
      <c r="I30" s="192">
        <f t="shared" si="1"/>
        <v>1080.6335730438659</v>
      </c>
      <c r="J30" s="190">
        <f t="shared" si="2"/>
        <v>24078.835221006106</v>
      </c>
      <c r="K30" s="188">
        <f t="shared" si="3"/>
        <v>25159.468794049972</v>
      </c>
      <c r="L30" s="253">
        <v>0.41666666666666669</v>
      </c>
      <c r="M30" s="190">
        <f t="shared" si="4"/>
        <v>450.2639887682775</v>
      </c>
      <c r="N30" s="190">
        <f t="shared" si="5"/>
        <v>10032.848008752544</v>
      </c>
      <c r="O30" s="191">
        <f t="shared" si="6"/>
        <v>10483.111997520822</v>
      </c>
      <c r="P30" s="4">
        <f t="shared" si="9"/>
        <v>20</v>
      </c>
      <c r="Q30" s="34"/>
      <c r="R30" s="34"/>
      <c r="S30" s="34"/>
      <c r="T30" s="34"/>
      <c r="U30" s="34"/>
      <c r="V30" s="34"/>
      <c r="W30" s="34"/>
      <c r="X30" s="34"/>
      <c r="Y30" s="34"/>
      <c r="Z30" s="34"/>
      <c r="AA30" s="34"/>
      <c r="AB30" s="34"/>
      <c r="AC30" s="34"/>
    </row>
    <row r="31" spans="1:29" x14ac:dyDescent="0.35">
      <c r="A31" s="4">
        <f t="shared" si="7"/>
        <v>21</v>
      </c>
      <c r="B31" s="701">
        <v>45557</v>
      </c>
      <c r="C31" s="185">
        <v>1503</v>
      </c>
      <c r="D31" s="193">
        <v>11478</v>
      </c>
      <c r="E31" s="132">
        <f t="shared" si="10"/>
        <v>12981</v>
      </c>
      <c r="F31" s="194">
        <f t="shared" si="8"/>
        <v>0.50947244687279469</v>
      </c>
      <c r="G31" s="136">
        <f t="shared" si="0"/>
        <v>3.8907017599507236</v>
      </c>
      <c r="H31" s="593">
        <f>F31+G31</f>
        <v>4.4001742068235181</v>
      </c>
      <c r="I31" s="195">
        <f t="shared" si="1"/>
        <v>1502.4905275531271</v>
      </c>
      <c r="J31" s="136">
        <f t="shared" si="2"/>
        <v>11474.10929824005</v>
      </c>
      <c r="K31" s="132">
        <f t="shared" si="3"/>
        <v>12976.599825793177</v>
      </c>
      <c r="L31" s="254">
        <v>0.33333333333333331</v>
      </c>
      <c r="M31" s="55">
        <f t="shared" si="4"/>
        <v>500.83017585104233</v>
      </c>
      <c r="N31" s="136">
        <f t="shared" si="5"/>
        <v>3824.7030994133497</v>
      </c>
      <c r="O31" s="593">
        <f t="shared" si="6"/>
        <v>4325.5332752643917</v>
      </c>
      <c r="P31" s="4">
        <f t="shared" si="9"/>
        <v>21</v>
      </c>
      <c r="Q31" s="34"/>
      <c r="R31" s="34"/>
      <c r="S31" s="34"/>
      <c r="T31" s="34"/>
      <c r="U31" s="34"/>
      <c r="V31" s="34"/>
      <c r="W31" s="34"/>
      <c r="X31" s="34"/>
      <c r="Y31" s="34"/>
      <c r="Z31" s="34"/>
      <c r="AA31" s="34"/>
      <c r="AB31" s="34"/>
      <c r="AC31" s="34"/>
    </row>
    <row r="32" spans="1:29" x14ac:dyDescent="0.35">
      <c r="A32" s="4">
        <f t="shared" si="7"/>
        <v>22</v>
      </c>
      <c r="B32" s="701">
        <v>45587</v>
      </c>
      <c r="C32" s="185">
        <v>2019</v>
      </c>
      <c r="D32" s="699">
        <v>11628</v>
      </c>
      <c r="E32" s="6">
        <f t="shared" si="10"/>
        <v>13647</v>
      </c>
      <c r="F32" s="186">
        <f t="shared" si="8"/>
        <v>0.68438115118840492</v>
      </c>
      <c r="G32" s="241">
        <f t="shared" si="0"/>
        <v>3.941547313530843</v>
      </c>
      <c r="H32" s="135">
        <f t="shared" si="11"/>
        <v>4.625928464719248</v>
      </c>
      <c r="I32" s="55">
        <f t="shared" si="1"/>
        <v>2018.3156188488115</v>
      </c>
      <c r="J32" s="241">
        <f t="shared" si="2"/>
        <v>11624.05845268647</v>
      </c>
      <c r="K32" s="6">
        <f t="shared" si="3"/>
        <v>13642.374071535281</v>
      </c>
      <c r="L32" s="249">
        <v>0.25</v>
      </c>
      <c r="M32" s="55">
        <f t="shared" si="4"/>
        <v>504.57890471220287</v>
      </c>
      <c r="N32" s="241">
        <f t="shared" si="5"/>
        <v>2906.0146131716174</v>
      </c>
      <c r="O32" s="135">
        <f t="shared" si="6"/>
        <v>3410.5935178838204</v>
      </c>
      <c r="P32" s="4">
        <f t="shared" si="9"/>
        <v>22</v>
      </c>
      <c r="Q32" s="34"/>
      <c r="R32" s="34"/>
      <c r="S32" s="34"/>
      <c r="T32" s="34"/>
      <c r="U32" s="34"/>
      <c r="V32" s="34"/>
      <c r="W32" s="34"/>
      <c r="X32" s="34"/>
      <c r="Y32" s="34"/>
      <c r="Z32" s="34"/>
      <c r="AA32" s="34"/>
      <c r="AB32" s="34"/>
      <c r="AC32" s="34"/>
    </row>
    <row r="33" spans="1:29" x14ac:dyDescent="0.35">
      <c r="A33" s="4">
        <f t="shared" si="7"/>
        <v>23</v>
      </c>
      <c r="B33" s="701">
        <v>45618</v>
      </c>
      <c r="C33" s="185">
        <v>1243</v>
      </c>
      <c r="D33" s="699">
        <v>12885</v>
      </c>
      <c r="E33" s="132">
        <f t="shared" si="10"/>
        <v>14128</v>
      </c>
      <c r="F33" s="186">
        <f t="shared" si="8"/>
        <v>0.42134015400058805</v>
      </c>
      <c r="G33" s="241">
        <f t="shared" si="0"/>
        <v>4.3676330525322422</v>
      </c>
      <c r="H33" s="593">
        <f t="shared" si="11"/>
        <v>4.7889732065328303</v>
      </c>
      <c r="I33" s="55">
        <f t="shared" si="1"/>
        <v>1242.5786598459995</v>
      </c>
      <c r="J33" s="241">
        <f t="shared" si="2"/>
        <v>12880.632366947468</v>
      </c>
      <c r="K33" s="132">
        <f t="shared" si="3"/>
        <v>14123.211026793468</v>
      </c>
      <c r="L33" s="249">
        <v>0.16666666666666666</v>
      </c>
      <c r="M33" s="55">
        <f t="shared" si="4"/>
        <v>207.09644330766656</v>
      </c>
      <c r="N33" s="241">
        <f t="shared" si="5"/>
        <v>2146.7720611579111</v>
      </c>
      <c r="O33" s="593">
        <f t="shared" si="6"/>
        <v>2353.8685044655776</v>
      </c>
      <c r="P33" s="4">
        <f t="shared" si="9"/>
        <v>23</v>
      </c>
      <c r="Q33" s="34"/>
      <c r="R33" s="34"/>
      <c r="S33" s="34"/>
      <c r="T33" s="34"/>
      <c r="U33" s="34"/>
      <c r="V33" s="34"/>
      <c r="W33" s="34"/>
      <c r="X33" s="34"/>
      <c r="Y33" s="34"/>
      <c r="Z33" s="34"/>
      <c r="AA33" s="34"/>
      <c r="AB33" s="34"/>
      <c r="AC33" s="34"/>
    </row>
    <row r="34" spans="1:29" ht="16" thickBot="1" x14ac:dyDescent="0.4">
      <c r="A34" s="4">
        <f t="shared" si="7"/>
        <v>24</v>
      </c>
      <c r="B34" s="701">
        <v>45648</v>
      </c>
      <c r="C34" s="185">
        <v>16682</v>
      </c>
      <c r="D34" s="699">
        <v>114382</v>
      </c>
      <c r="E34" s="132">
        <f>C34+D34</f>
        <v>131064</v>
      </c>
      <c r="F34" s="189">
        <f t="shared" si="8"/>
        <v>5.6547034988236602</v>
      </c>
      <c r="G34" s="190">
        <f t="shared" si="0"/>
        <v>38.772107397341323</v>
      </c>
      <c r="H34" s="593">
        <f t="shared" si="11"/>
        <v>44.42681089616498</v>
      </c>
      <c r="I34" s="192">
        <f t="shared" si="1"/>
        <v>16676.345296501175</v>
      </c>
      <c r="J34" s="190">
        <f t="shared" si="2"/>
        <v>114343.22789260266</v>
      </c>
      <c r="K34" s="132">
        <f t="shared" si="3"/>
        <v>131019.57318910383</v>
      </c>
      <c r="L34" s="249">
        <v>8.3333333333333329E-2</v>
      </c>
      <c r="M34" s="55">
        <f t="shared" si="4"/>
        <v>1389.6954413750977</v>
      </c>
      <c r="N34" s="190">
        <f t="shared" si="5"/>
        <v>9528.6023243835552</v>
      </c>
      <c r="O34" s="593">
        <f t="shared" si="6"/>
        <v>10918.297765758653</v>
      </c>
      <c r="P34" s="4">
        <f t="shared" si="9"/>
        <v>24</v>
      </c>
      <c r="Q34" s="34"/>
      <c r="R34" s="441"/>
      <c r="S34" s="34"/>
      <c r="T34" s="34"/>
      <c r="U34" s="34"/>
      <c r="V34" s="34"/>
      <c r="W34" s="34"/>
      <c r="X34" s="34"/>
      <c r="Y34" s="34"/>
      <c r="Z34" s="34"/>
      <c r="AA34" s="34"/>
      <c r="AB34" s="34"/>
      <c r="AC34" s="34"/>
    </row>
    <row r="35" spans="1:29" ht="16" thickBot="1" x14ac:dyDescent="0.4">
      <c r="A35" s="4">
        <f t="shared" si="7"/>
        <v>25</v>
      </c>
      <c r="B35" s="559" t="s">
        <v>265</v>
      </c>
      <c r="C35" s="196">
        <f t="shared" ref="C35:K35" si="12">SUM(C11:C34)</f>
        <v>117198</v>
      </c>
      <c r="D35" s="197">
        <f t="shared" si="12"/>
        <v>585827</v>
      </c>
      <c r="E35" s="198">
        <f t="shared" si="12"/>
        <v>703025</v>
      </c>
      <c r="F35" s="196">
        <f t="shared" si="12"/>
        <v>39.726647923218749</v>
      </c>
      <c r="G35" s="197">
        <f t="shared" si="12"/>
        <v>198.57798744787007</v>
      </c>
      <c r="H35" s="199">
        <f t="shared" si="12"/>
        <v>238.30463537108886</v>
      </c>
      <c r="I35" s="200">
        <f t="shared" si="12"/>
        <v>117158.27335207677</v>
      </c>
      <c r="J35" s="197">
        <f t="shared" si="12"/>
        <v>585628.42201255204</v>
      </c>
      <c r="K35" s="198">
        <f t="shared" si="12"/>
        <v>702786.69536462903</v>
      </c>
      <c r="L35" s="201"/>
      <c r="M35" s="200">
        <f>SUM(M11:M34)</f>
        <v>94938.724341120469</v>
      </c>
      <c r="N35" s="197">
        <f>SUM(N11:N34)</f>
        <v>416388.05893134291</v>
      </c>
      <c r="O35" s="199">
        <f>SUM(O11:O34)</f>
        <v>511326.78327246342</v>
      </c>
      <c r="P35" s="4">
        <f t="shared" si="9"/>
        <v>25</v>
      </c>
      <c r="Q35" s="34"/>
      <c r="R35" s="34"/>
      <c r="S35" s="34"/>
      <c r="T35" s="34"/>
      <c r="U35" s="34"/>
      <c r="V35" s="34"/>
      <c r="W35" s="34"/>
      <c r="X35" s="34"/>
      <c r="Y35" s="34"/>
      <c r="Z35" s="34"/>
      <c r="AA35" s="34"/>
      <c r="AB35" s="34"/>
      <c r="AC35" s="34"/>
    </row>
    <row r="36" spans="1:29" x14ac:dyDescent="0.35">
      <c r="A36" s="4">
        <f>A35+1</f>
        <v>26</v>
      </c>
      <c r="B36" s="531"/>
      <c r="C36" s="6"/>
      <c r="D36" s="6"/>
      <c r="E36" s="560"/>
      <c r="F36" s="34"/>
      <c r="G36" s="34"/>
      <c r="H36" s="6"/>
      <c r="I36" s="34"/>
      <c r="J36" s="34"/>
      <c r="K36" s="6"/>
      <c r="L36" s="34"/>
      <c r="M36" s="34"/>
      <c r="N36" s="34"/>
      <c r="O36" s="135"/>
      <c r="P36" s="4">
        <f>P35+1</f>
        <v>26</v>
      </c>
      <c r="Q36" s="34"/>
      <c r="R36" s="34"/>
      <c r="S36" s="34"/>
      <c r="T36" s="34"/>
      <c r="U36" s="34"/>
      <c r="V36" s="34"/>
      <c r="W36" s="34"/>
      <c r="X36" s="34"/>
      <c r="Y36" s="34"/>
      <c r="Z36" s="34"/>
      <c r="AA36" s="34"/>
      <c r="AB36" s="34"/>
      <c r="AC36" s="34"/>
    </row>
    <row r="37" spans="1:29" s="427" customFormat="1" x14ac:dyDescent="0.35">
      <c r="A37" s="4">
        <f>A36+1</f>
        <v>27</v>
      </c>
      <c r="B37" s="561"/>
      <c r="E37" s="34" t="s">
        <v>1801</v>
      </c>
      <c r="F37" s="562"/>
      <c r="G37" s="562"/>
      <c r="H37" s="87">
        <v>2694.5360000000001</v>
      </c>
      <c r="I37" s="202"/>
      <c r="J37" s="34" t="s">
        <v>1802</v>
      </c>
      <c r="K37" s="202"/>
      <c r="L37" s="202"/>
      <c r="M37" s="202"/>
      <c r="O37" s="563"/>
      <c r="P37" s="4">
        <f t="shared" ref="P37:P42" si="13">P36+1</f>
        <v>27</v>
      </c>
      <c r="Q37" s="34"/>
    </row>
    <row r="38" spans="1:29" s="427" customFormat="1" x14ac:dyDescent="0.35">
      <c r="A38" s="4">
        <f>A37+1</f>
        <v>28</v>
      </c>
      <c r="B38" s="561"/>
      <c r="E38" s="34"/>
      <c r="F38" s="562"/>
      <c r="G38" s="562"/>
      <c r="H38" s="6"/>
      <c r="I38" s="202"/>
      <c r="J38" s="34"/>
      <c r="K38" s="202"/>
      <c r="L38" s="202"/>
      <c r="M38" s="202"/>
      <c r="O38" s="563"/>
      <c r="P38" s="4">
        <f t="shared" si="13"/>
        <v>28</v>
      </c>
      <c r="Q38" s="34"/>
    </row>
    <row r="39" spans="1:29" s="427" customFormat="1" x14ac:dyDescent="0.35">
      <c r="A39" s="4">
        <f t="shared" ref="A39:A40" si="14">A38+1</f>
        <v>29</v>
      </c>
      <c r="B39" s="561"/>
      <c r="E39" s="34" t="s">
        <v>1803</v>
      </c>
      <c r="F39" s="562"/>
      <c r="G39" s="46"/>
      <c r="H39" s="703">
        <v>7949178.8669999996</v>
      </c>
      <c r="I39" s="202"/>
      <c r="J39" s="34" t="s">
        <v>1804</v>
      </c>
      <c r="K39" s="202"/>
      <c r="L39" s="202"/>
      <c r="M39" s="202"/>
      <c r="O39" s="563"/>
      <c r="P39" s="4">
        <f t="shared" si="13"/>
        <v>29</v>
      </c>
      <c r="Q39" s="34"/>
    </row>
    <row r="40" spans="1:29" s="427" customFormat="1" ht="16" thickBot="1" x14ac:dyDescent="0.4">
      <c r="A40" s="4">
        <f t="shared" si="14"/>
        <v>30</v>
      </c>
      <c r="B40" s="561"/>
      <c r="E40" s="562"/>
      <c r="F40" s="562"/>
      <c r="G40" s="562"/>
      <c r="H40" s="202"/>
      <c r="I40" s="202"/>
      <c r="J40" s="202"/>
      <c r="K40" s="202"/>
      <c r="L40" s="202"/>
      <c r="M40" s="202"/>
      <c r="O40" s="563"/>
      <c r="P40" s="4">
        <f t="shared" si="13"/>
        <v>30</v>
      </c>
    </row>
    <row r="41" spans="1:29" ht="16" thickBot="1" x14ac:dyDescent="0.4">
      <c r="A41" s="4">
        <f>A40+1</f>
        <v>31</v>
      </c>
      <c r="B41" s="531"/>
      <c r="C41" s="34"/>
      <c r="D41" s="34"/>
      <c r="E41" s="1" t="s">
        <v>1805</v>
      </c>
      <c r="F41" s="34"/>
      <c r="G41" s="34"/>
      <c r="H41" s="203">
        <f>H37/H39</f>
        <v>3.3897035720079489E-4</v>
      </c>
      <c r="I41" s="34"/>
      <c r="J41" s="34" t="s">
        <v>1806</v>
      </c>
      <c r="K41" s="50"/>
      <c r="L41" s="34"/>
      <c r="M41" s="34"/>
      <c r="N41" s="34"/>
      <c r="O41" s="392"/>
      <c r="P41" s="4">
        <f t="shared" si="13"/>
        <v>31</v>
      </c>
      <c r="Q41" s="34"/>
      <c r="R41" s="427"/>
      <c r="S41" s="34"/>
      <c r="T41" s="34"/>
      <c r="U41" s="34"/>
      <c r="V41" s="34"/>
      <c r="W41" s="34"/>
      <c r="X41" s="34"/>
      <c r="Y41" s="34"/>
      <c r="Z41" s="34"/>
      <c r="AA41" s="34"/>
      <c r="AB41" s="34"/>
      <c r="AC41" s="34"/>
    </row>
    <row r="42" spans="1:29" ht="16" thickBot="1" x14ac:dyDescent="0.4">
      <c r="A42" s="4">
        <f t="shared" si="7"/>
        <v>32</v>
      </c>
      <c r="B42" s="564"/>
      <c r="C42" s="891"/>
      <c r="D42" s="891"/>
      <c r="E42" s="946"/>
      <c r="F42" s="891"/>
      <c r="G42" s="891"/>
      <c r="H42" s="1143"/>
      <c r="I42" s="891"/>
      <c r="J42" s="891"/>
      <c r="K42" s="891"/>
      <c r="L42" s="891"/>
      <c r="M42" s="891"/>
      <c r="N42" s="891"/>
      <c r="O42" s="204"/>
      <c r="P42" s="4">
        <f t="shared" si="13"/>
        <v>32</v>
      </c>
      <c r="Q42" s="427"/>
      <c r="R42" s="34"/>
      <c r="S42" s="34"/>
      <c r="T42" s="34"/>
      <c r="U42" s="34"/>
      <c r="V42" s="34"/>
      <c r="W42" s="34"/>
      <c r="X42" s="34"/>
      <c r="Y42" s="34"/>
      <c r="Z42" s="34"/>
      <c r="AA42" s="34"/>
      <c r="AB42" s="34"/>
      <c r="AC42" s="34"/>
    </row>
    <row r="43" spans="1:29" ht="16" thickBot="1" x14ac:dyDescent="0.4">
      <c r="A43" s="4">
        <f t="shared" si="7"/>
        <v>33</v>
      </c>
      <c r="B43" s="531"/>
      <c r="C43" s="34"/>
      <c r="D43" s="34"/>
      <c r="E43" s="6"/>
      <c r="F43" s="34"/>
      <c r="G43" s="34"/>
      <c r="H43" s="34"/>
      <c r="I43" s="34"/>
      <c r="J43" s="34"/>
      <c r="K43" s="6" t="s">
        <v>1</v>
      </c>
      <c r="L43" s="34"/>
      <c r="M43" s="50"/>
      <c r="N43" s="50"/>
      <c r="O43" s="565"/>
      <c r="P43" s="4">
        <f t="shared" si="9"/>
        <v>33</v>
      </c>
      <c r="Q43" s="427"/>
      <c r="R43" s="34"/>
      <c r="S43" s="34"/>
      <c r="T43" s="34"/>
      <c r="U43" s="34"/>
      <c r="V43" s="34"/>
      <c r="W43" s="34"/>
      <c r="X43" s="34"/>
      <c r="Y43" s="34"/>
      <c r="Z43" s="34"/>
      <c r="AA43" s="34"/>
      <c r="AB43" s="34"/>
      <c r="AC43" s="34"/>
    </row>
    <row r="44" spans="1:29" ht="16" thickBot="1" x14ac:dyDescent="0.4">
      <c r="A44" s="4">
        <f t="shared" si="7"/>
        <v>34</v>
      </c>
      <c r="B44" s="566"/>
      <c r="C44" s="34"/>
      <c r="D44" s="259"/>
      <c r="E44" s="567"/>
      <c r="F44" s="1144"/>
      <c r="G44" s="1145"/>
      <c r="H44" s="1145" t="s">
        <v>1807</v>
      </c>
      <c r="I44" s="568" t="s">
        <v>1808</v>
      </c>
      <c r="J44" s="569" t="s">
        <v>1809</v>
      </c>
      <c r="K44" s="570" t="s">
        <v>1766</v>
      </c>
      <c r="L44" s="1"/>
      <c r="M44" s="571" t="s">
        <v>1769</v>
      </c>
      <c r="N44" s="572" t="s">
        <v>1770</v>
      </c>
      <c r="O44" s="573" t="s">
        <v>1810</v>
      </c>
      <c r="P44" s="4">
        <f t="shared" si="9"/>
        <v>34</v>
      </c>
      <c r="Q44" s="427"/>
      <c r="R44" s="34"/>
      <c r="S44" s="34"/>
      <c r="T44" s="34"/>
      <c r="U44" s="34"/>
      <c r="V44" s="34"/>
      <c r="W44" s="34"/>
      <c r="X44" s="34"/>
      <c r="Y44" s="34"/>
      <c r="Z44" s="34"/>
      <c r="AA44" s="34"/>
      <c r="AB44" s="34"/>
      <c r="AC44" s="34"/>
    </row>
    <row r="45" spans="1:29" ht="16" thickBot="1" x14ac:dyDescent="0.4">
      <c r="A45" s="4">
        <f t="shared" si="7"/>
        <v>35</v>
      </c>
      <c r="B45" s="531"/>
      <c r="C45" s="34"/>
      <c r="D45" s="34"/>
      <c r="E45" s="574"/>
      <c r="F45" s="375"/>
      <c r="G45" s="575"/>
      <c r="H45" s="575" t="s">
        <v>1811</v>
      </c>
      <c r="I45" s="205">
        <f>+I35</f>
        <v>117158.27335207677</v>
      </c>
      <c r="J45" s="205">
        <f>+J35</f>
        <v>585628.42201255204</v>
      </c>
      <c r="K45" s="206">
        <f>+K35</f>
        <v>702786.69536462903</v>
      </c>
      <c r="L45" s="46"/>
      <c r="M45" s="207">
        <f>+M35</f>
        <v>94938.724341120469</v>
      </c>
      <c r="N45" s="208">
        <f>+N35</f>
        <v>416388.05893134291</v>
      </c>
      <c r="O45" s="206">
        <f>+O35</f>
        <v>511326.78327246342</v>
      </c>
      <c r="P45" s="4">
        <f t="shared" si="9"/>
        <v>35</v>
      </c>
      <c r="Q45" s="34"/>
      <c r="R45" s="34"/>
      <c r="S45" s="34"/>
      <c r="T45" s="34"/>
      <c r="U45" s="34"/>
      <c r="V45" s="34"/>
      <c r="W45" s="34"/>
      <c r="X45" s="34"/>
      <c r="Y45" s="34"/>
      <c r="Z45" s="34"/>
      <c r="AA45" s="34"/>
      <c r="AB45" s="34"/>
      <c r="AC45" s="34"/>
    </row>
    <row r="46" spans="1:29" ht="16" thickTop="1" x14ac:dyDescent="0.35">
      <c r="A46" s="4">
        <f t="shared" si="7"/>
        <v>36</v>
      </c>
      <c r="B46" s="531"/>
      <c r="C46" s="34"/>
      <c r="D46" s="34"/>
      <c r="E46" s="531"/>
      <c r="F46" s="34"/>
      <c r="G46" s="31"/>
      <c r="H46" s="31"/>
      <c r="I46" s="172"/>
      <c r="J46" s="172"/>
      <c r="K46" s="135"/>
      <c r="L46" s="34"/>
      <c r="M46" s="186"/>
      <c r="N46" s="241"/>
      <c r="O46" s="135"/>
      <c r="P46" s="4">
        <f t="shared" si="9"/>
        <v>36</v>
      </c>
      <c r="Q46" s="34"/>
      <c r="R46" s="34"/>
      <c r="S46" s="34"/>
      <c r="T46" s="34"/>
      <c r="U46" s="34"/>
      <c r="V46" s="34"/>
      <c r="W46" s="34"/>
      <c r="X46" s="34"/>
      <c r="Y46" s="34"/>
      <c r="Z46" s="34"/>
      <c r="AA46" s="34"/>
      <c r="AB46" s="34"/>
      <c r="AC46" s="34"/>
    </row>
    <row r="47" spans="1:29" ht="16" thickBot="1" x14ac:dyDescent="0.4">
      <c r="A47" s="4">
        <f>A46+1</f>
        <v>37</v>
      </c>
      <c r="B47" s="531"/>
      <c r="C47" s="34"/>
      <c r="D47" s="34"/>
      <c r="E47" s="531"/>
      <c r="F47" s="34"/>
      <c r="G47" s="31"/>
      <c r="H47" s="486" t="s">
        <v>1812</v>
      </c>
      <c r="I47" s="209">
        <f>+I45/K45</f>
        <v>0.16670530919953055</v>
      </c>
      <c r="J47" s="209">
        <f>+J45/K45</f>
        <v>0.83329469080046914</v>
      </c>
      <c r="K47" s="210">
        <f>I47+J47</f>
        <v>0.99999999999999967</v>
      </c>
      <c r="L47" s="1"/>
      <c r="M47" s="211">
        <f>+M45/O45</f>
        <v>0.18567133083371426</v>
      </c>
      <c r="N47" s="212">
        <f>+N45/O45</f>
        <v>0.81432866916628566</v>
      </c>
      <c r="O47" s="210">
        <f>M47+N47</f>
        <v>0.99999999999999989</v>
      </c>
      <c r="P47" s="4">
        <f>P46+1</f>
        <v>37</v>
      </c>
      <c r="Q47" s="34"/>
      <c r="R47" s="34"/>
      <c r="S47" s="34"/>
      <c r="T47" s="34"/>
      <c r="U47" s="34"/>
      <c r="V47" s="34"/>
      <c r="W47" s="34"/>
      <c r="X47" s="34"/>
      <c r="Y47" s="34"/>
      <c r="Z47" s="34"/>
      <c r="AA47" s="34"/>
      <c r="AB47" s="34"/>
      <c r="AC47" s="34"/>
    </row>
    <row r="48" spans="1:29" ht="16.5" thickTop="1" thickBot="1" x14ac:dyDescent="0.4">
      <c r="A48" s="4">
        <f t="shared" si="7"/>
        <v>38</v>
      </c>
      <c r="B48" s="530"/>
      <c r="C48" s="34"/>
      <c r="D48" s="34"/>
      <c r="E48" s="564"/>
      <c r="F48" s="891"/>
      <c r="G48" s="891"/>
      <c r="H48" s="891"/>
      <c r="I48" s="213"/>
      <c r="J48" s="213"/>
      <c r="K48" s="204"/>
      <c r="L48" s="34"/>
      <c r="M48" s="214"/>
      <c r="N48" s="215"/>
      <c r="O48" s="204"/>
      <c r="P48" s="4">
        <f t="shared" si="9"/>
        <v>38</v>
      </c>
      <c r="Q48" s="34"/>
      <c r="R48" s="34"/>
      <c r="S48" s="34"/>
      <c r="T48" s="34"/>
      <c r="U48" s="34"/>
      <c r="V48" s="34"/>
      <c r="W48" s="34"/>
      <c r="X48" s="34"/>
      <c r="Y48" s="34"/>
      <c r="Z48" s="34"/>
      <c r="AA48" s="34"/>
      <c r="AB48" s="34"/>
      <c r="AC48" s="34"/>
    </row>
    <row r="49" spans="1:29" ht="16" thickBot="1" x14ac:dyDescent="0.4">
      <c r="A49" s="4">
        <f t="shared" si="7"/>
        <v>39</v>
      </c>
      <c r="B49" s="537"/>
      <c r="C49" s="891"/>
      <c r="D49" s="891"/>
      <c r="E49" s="891"/>
      <c r="F49" s="891"/>
      <c r="G49" s="891"/>
      <c r="H49" s="891"/>
      <c r="I49" s="891"/>
      <c r="J49" s="891"/>
      <c r="K49" s="891"/>
      <c r="L49" s="891"/>
      <c r="M49" s="891"/>
      <c r="N49" s="891"/>
      <c r="O49" s="204"/>
      <c r="P49" s="4">
        <f t="shared" si="9"/>
        <v>39</v>
      </c>
      <c r="Q49" s="34"/>
      <c r="R49" s="34"/>
      <c r="S49" s="34"/>
      <c r="T49" s="34"/>
      <c r="U49" s="34"/>
      <c r="V49" s="34"/>
      <c r="W49" s="34"/>
      <c r="X49" s="34"/>
      <c r="Y49" s="34"/>
      <c r="Z49" s="34"/>
      <c r="AA49" s="34"/>
      <c r="AB49" s="34"/>
      <c r="AC49" s="34"/>
    </row>
    <row r="50" spans="1:29" x14ac:dyDescent="0.35">
      <c r="B50" s="1"/>
      <c r="C50" s="34"/>
      <c r="D50" s="34"/>
      <c r="E50" s="34"/>
      <c r="F50" s="34"/>
      <c r="G50" s="34"/>
      <c r="H50" s="34"/>
      <c r="I50" s="34"/>
      <c r="J50" s="34"/>
      <c r="K50" s="34"/>
      <c r="L50" s="34"/>
      <c r="M50" s="34"/>
      <c r="N50" s="34"/>
      <c r="O50" s="34"/>
      <c r="Q50" s="34"/>
      <c r="R50" s="34"/>
      <c r="S50" s="34"/>
      <c r="T50" s="34"/>
      <c r="U50" s="34"/>
      <c r="V50" s="34"/>
      <c r="W50" s="34"/>
      <c r="X50" s="34"/>
      <c r="Y50" s="34"/>
      <c r="Z50" s="34"/>
      <c r="AA50" s="34"/>
      <c r="AB50" s="34"/>
      <c r="AC50" s="34"/>
    </row>
    <row r="51" spans="1:29" x14ac:dyDescent="0.35">
      <c r="B51" s="1"/>
      <c r="C51" s="34"/>
      <c r="D51" s="34"/>
      <c r="E51" s="34"/>
      <c r="F51" s="34"/>
      <c r="G51" s="34"/>
      <c r="H51" s="34"/>
      <c r="I51" s="34"/>
      <c r="J51" s="34"/>
      <c r="K51" s="34"/>
      <c r="L51" s="34"/>
      <c r="M51" s="34"/>
      <c r="N51" s="34"/>
      <c r="O51" s="34"/>
      <c r="Q51" s="34"/>
      <c r="R51" s="34"/>
      <c r="S51" s="34"/>
      <c r="T51" s="34"/>
      <c r="U51" s="34"/>
      <c r="V51" s="34"/>
      <c r="W51" s="34"/>
      <c r="X51" s="34"/>
      <c r="Y51" s="34"/>
      <c r="Z51" s="34"/>
      <c r="AA51" s="34"/>
      <c r="AB51" s="34"/>
      <c r="AC51" s="34"/>
    </row>
    <row r="52" spans="1:29" ht="18" x14ac:dyDescent="0.35">
      <c r="A52" s="261">
        <v>1</v>
      </c>
      <c r="B52" s="34" t="s">
        <v>1813</v>
      </c>
      <c r="C52" s="34"/>
      <c r="D52" s="34"/>
      <c r="E52" s="34"/>
      <c r="F52" s="34"/>
      <c r="G52" s="34"/>
      <c r="H52" s="34"/>
      <c r="I52" s="34"/>
      <c r="J52" s="34"/>
      <c r="K52" s="34"/>
      <c r="L52" s="34"/>
      <c r="M52" s="34"/>
      <c r="N52" s="34"/>
      <c r="O52" s="34"/>
      <c r="Q52" s="34"/>
      <c r="R52" s="34"/>
      <c r="S52" s="34"/>
      <c r="T52" s="34"/>
      <c r="U52" s="34"/>
      <c r="V52" s="34"/>
      <c r="W52" s="34"/>
      <c r="X52" s="34"/>
      <c r="Y52" s="34"/>
      <c r="Z52" s="34"/>
      <c r="AA52" s="34"/>
      <c r="AB52" s="34"/>
      <c r="AC52" s="34"/>
    </row>
    <row r="53" spans="1:29" x14ac:dyDescent="0.35">
      <c r="B53" s="1"/>
      <c r="C53" s="34"/>
      <c r="D53" s="34"/>
      <c r="E53" s="34"/>
      <c r="F53" s="34"/>
      <c r="G53" s="34"/>
      <c r="H53" s="34"/>
      <c r="I53" s="34"/>
      <c r="J53" s="34"/>
      <c r="K53" s="34"/>
      <c r="L53" s="34"/>
      <c r="M53" s="34"/>
      <c r="N53" s="34"/>
      <c r="O53" s="34"/>
      <c r="Q53" s="34"/>
      <c r="R53" s="34"/>
      <c r="S53" s="34"/>
      <c r="T53" s="34"/>
      <c r="U53" s="34"/>
      <c r="V53" s="34"/>
      <c r="W53" s="34"/>
      <c r="X53" s="34"/>
      <c r="Y53" s="34"/>
      <c r="Z53" s="34"/>
      <c r="AA53" s="34"/>
      <c r="AB53" s="34"/>
      <c r="AC53" s="34"/>
    </row>
    <row r="54" spans="1:29" x14ac:dyDescent="0.35">
      <c r="B54" s="1"/>
      <c r="C54" s="263"/>
      <c r="D54" s="34"/>
      <c r="E54" s="34"/>
      <c r="F54" s="34"/>
      <c r="G54" s="34"/>
      <c r="H54" s="34"/>
      <c r="I54" s="34"/>
      <c r="J54" s="34"/>
      <c r="K54" s="34"/>
      <c r="L54" s="34"/>
      <c r="M54" s="34"/>
      <c r="N54" s="34"/>
      <c r="O54" s="34"/>
      <c r="Q54" s="34"/>
      <c r="R54" s="34"/>
      <c r="S54" s="34"/>
      <c r="T54" s="34"/>
      <c r="U54" s="34"/>
      <c r="V54" s="34"/>
      <c r="W54" s="34"/>
      <c r="X54" s="34"/>
      <c r="Y54" s="34"/>
      <c r="Z54" s="34"/>
      <c r="AA54" s="34"/>
      <c r="AB54" s="34"/>
      <c r="AC54" s="34"/>
    </row>
    <row r="55" spans="1:29" x14ac:dyDescent="0.35">
      <c r="B55" s="34"/>
      <c r="C55" s="34"/>
      <c r="D55" s="34"/>
      <c r="E55" s="34"/>
      <c r="F55" s="34"/>
      <c r="G55" s="34"/>
      <c r="H55" s="34"/>
      <c r="I55" s="34"/>
      <c r="J55" s="34"/>
      <c r="K55" s="34"/>
      <c r="L55" s="34"/>
      <c r="M55" s="34"/>
      <c r="N55" s="34"/>
      <c r="O55" s="34"/>
      <c r="Q55" s="34"/>
      <c r="R55" s="34"/>
      <c r="S55" s="34"/>
      <c r="T55" s="34"/>
      <c r="U55" s="34"/>
      <c r="V55" s="34"/>
      <c r="W55" s="34"/>
      <c r="X55" s="34"/>
      <c r="Y55" s="34"/>
      <c r="Z55" s="34"/>
      <c r="AA55" s="34"/>
      <c r="AB55" s="34"/>
      <c r="AC55" s="34"/>
    </row>
  </sheetData>
  <mergeCells count="6">
    <mergeCell ref="C8:E8"/>
    <mergeCell ref="B2:O2"/>
    <mergeCell ref="B3:O3"/>
    <mergeCell ref="B4:O4"/>
    <mergeCell ref="B5:O5"/>
    <mergeCell ref="B6:O6"/>
  </mergeCells>
  <printOptions horizontalCentered="1"/>
  <pageMargins left="0.5" right="0.5" top="0.5" bottom="0.5" header="0.25" footer="0.25"/>
  <pageSetup orientation="landscape" r:id="rId1"/>
  <headerFooter scaleWithDoc="0">
    <oddFooter>&amp;C&amp;"Times New Roman,Regular"&amp;10Summary of Weighted Transmission Plant Additions</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26.54296875" style="91" bestFit="1" customWidth="1"/>
    <col min="5" max="5" width="18.54296875" style="1" customWidth="1"/>
    <col min="6" max="6" width="60.08984375" style="1" customWidth="1"/>
    <col min="7" max="7" width="5.08984375" style="226"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9" x14ac:dyDescent="0.35">
      <c r="B2" s="1171" t="s">
        <v>0</v>
      </c>
      <c r="C2" s="1171"/>
      <c r="D2" s="1171"/>
      <c r="E2" s="1171"/>
      <c r="F2" s="1171"/>
    </row>
    <row r="3" spans="1:9" x14ac:dyDescent="0.35">
      <c r="B3" s="1171" t="s">
        <v>362</v>
      </c>
      <c r="C3" s="1171"/>
      <c r="D3" s="1171"/>
      <c r="E3" s="1171"/>
      <c r="F3" s="1171"/>
    </row>
    <row r="4" spans="1:9" x14ac:dyDescent="0.35">
      <c r="B4" s="1171" t="s">
        <v>363</v>
      </c>
      <c r="C4" s="1171"/>
      <c r="D4" s="1171"/>
      <c r="E4" s="1171"/>
      <c r="F4" s="1171"/>
    </row>
    <row r="5" spans="1:9" x14ac:dyDescent="0.35">
      <c r="B5" s="1171" t="s">
        <v>364</v>
      </c>
      <c r="C5" s="1171"/>
      <c r="D5" s="1171"/>
      <c r="E5" s="1171"/>
      <c r="F5" s="1171"/>
    </row>
    <row r="6" spans="1:9" x14ac:dyDescent="0.35">
      <c r="B6" s="1175" t="s">
        <v>5</v>
      </c>
      <c r="C6" s="1175"/>
      <c r="D6" s="1175"/>
      <c r="E6" s="1175"/>
      <c r="F6" s="1175"/>
    </row>
    <row r="7" spans="1:9" x14ac:dyDescent="0.35">
      <c r="B7" s="277"/>
      <c r="C7" s="278"/>
      <c r="D7" s="278"/>
      <c r="E7" s="277"/>
      <c r="F7" s="277"/>
    </row>
    <row r="8" spans="1:9" x14ac:dyDescent="0.35">
      <c r="B8" s="1171" t="s">
        <v>400</v>
      </c>
      <c r="C8" s="1171"/>
      <c r="D8" s="1171"/>
      <c r="E8" s="1171"/>
      <c r="F8" s="1171"/>
    </row>
    <row r="9" spans="1:9" ht="15.5" x14ac:dyDescent="0.35">
      <c r="G9" s="4"/>
    </row>
    <row r="10" spans="1:9" ht="15.5" x14ac:dyDescent="0.35">
      <c r="B10" s="987"/>
      <c r="C10" s="279" t="s">
        <v>265</v>
      </c>
      <c r="D10" s="988"/>
      <c r="E10" s="279"/>
      <c r="F10" s="988"/>
      <c r="G10" s="4"/>
    </row>
    <row r="11" spans="1:9" ht="15.5" x14ac:dyDescent="0.35">
      <c r="B11" s="280"/>
      <c r="C11" s="226" t="s">
        <v>401</v>
      </c>
      <c r="D11" s="280"/>
      <c r="E11" s="284" t="s">
        <v>401</v>
      </c>
      <c r="F11" s="280"/>
      <c r="G11" s="4"/>
    </row>
    <row r="12" spans="1:9" ht="15.5" x14ac:dyDescent="0.35">
      <c r="A12" s="4" t="s">
        <v>6</v>
      </c>
      <c r="B12" s="283"/>
      <c r="C12" s="226" t="s">
        <v>402</v>
      </c>
      <c r="D12" s="280"/>
      <c r="E12" s="284" t="s">
        <v>402</v>
      </c>
      <c r="F12" s="280"/>
      <c r="G12" s="4" t="s">
        <v>6</v>
      </c>
    </row>
    <row r="13" spans="1:9" ht="18" x14ac:dyDescent="0.35">
      <c r="A13" s="4" t="s">
        <v>7</v>
      </c>
      <c r="B13" s="285" t="s">
        <v>368</v>
      </c>
      <c r="C13" s="990" t="s">
        <v>369</v>
      </c>
      <c r="D13" s="285" t="s">
        <v>9</v>
      </c>
      <c r="E13" s="286" t="s">
        <v>370</v>
      </c>
      <c r="F13" s="285" t="s">
        <v>9</v>
      </c>
      <c r="G13" s="4" t="s">
        <v>7</v>
      </c>
    </row>
    <row r="14" spans="1:9" ht="15.5" x14ac:dyDescent="0.35">
      <c r="A14" s="4"/>
      <c r="B14" s="297"/>
      <c r="C14" s="298"/>
      <c r="D14" s="280"/>
      <c r="E14" s="284"/>
      <c r="F14" s="280"/>
      <c r="G14" s="4"/>
    </row>
    <row r="15" spans="1:9" ht="15.5" x14ac:dyDescent="0.35">
      <c r="A15" s="4">
        <v>1</v>
      </c>
      <c r="B15" s="991" t="str">
        <f>'AD-1'!B14</f>
        <v>Dec-21</v>
      </c>
      <c r="C15" s="61">
        <v>8756414.4048299994</v>
      </c>
      <c r="D15" s="1001" t="s">
        <v>372</v>
      </c>
      <c r="E15" s="67">
        <v>8919066.8144000024</v>
      </c>
      <c r="F15" s="1001" t="s">
        <v>373</v>
      </c>
      <c r="G15" s="4">
        <f>A15</f>
        <v>1</v>
      </c>
      <c r="I15" s="287"/>
    </row>
    <row r="16" spans="1:9" ht="15.5" x14ac:dyDescent="0.35">
      <c r="A16" s="4">
        <f>A15+1</f>
        <v>2</v>
      </c>
      <c r="B16" s="994"/>
      <c r="C16" s="55"/>
      <c r="D16" s="1001"/>
      <c r="E16" s="68"/>
      <c r="F16" s="1001"/>
      <c r="G16" s="4">
        <f>G15+1</f>
        <v>2</v>
      </c>
    </row>
    <row r="17" spans="1:9" ht="15.5" x14ac:dyDescent="0.35">
      <c r="A17" s="4">
        <f t="shared" ref="A17:A21" si="0">A16+1</f>
        <v>3</v>
      </c>
      <c r="B17" s="991" t="str">
        <f>'AD-1'!B26</f>
        <v>Dec-22</v>
      </c>
      <c r="C17" s="55">
        <v>9583284.5886700004</v>
      </c>
      <c r="D17" s="1001" t="s">
        <v>372</v>
      </c>
      <c r="E17" s="55">
        <v>9750399.0658500008</v>
      </c>
      <c r="F17" s="1001" t="s">
        <v>386</v>
      </c>
      <c r="G17" s="4">
        <f t="shared" ref="G17" si="1">G16+1</f>
        <v>3</v>
      </c>
      <c r="I17" s="287"/>
    </row>
    <row r="18" spans="1:9" ht="15.5" x14ac:dyDescent="0.35">
      <c r="A18" s="4">
        <f t="shared" si="0"/>
        <v>4</v>
      </c>
      <c r="B18" s="299"/>
      <c r="C18" s="64"/>
      <c r="D18" s="300"/>
      <c r="E18" s="64"/>
      <c r="F18" s="300"/>
      <c r="G18" s="4">
        <f t="shared" ref="G18:G21" si="2">G17+1</f>
        <v>4</v>
      </c>
    </row>
    <row r="19" spans="1:9" ht="15.5" x14ac:dyDescent="0.35">
      <c r="A19" s="4">
        <f>A18+1</f>
        <v>5</v>
      </c>
      <c r="B19" s="288"/>
      <c r="C19" s="63"/>
      <c r="D19" s="288"/>
      <c r="E19" s="63"/>
      <c r="F19" s="288"/>
      <c r="G19" s="4">
        <f>G18+1</f>
        <v>5</v>
      </c>
    </row>
    <row r="20" spans="1:9" ht="15.5" x14ac:dyDescent="0.35">
      <c r="A20" s="4">
        <f t="shared" si="0"/>
        <v>6</v>
      </c>
      <c r="B20" s="288" t="s">
        <v>403</v>
      </c>
      <c r="C20" s="58">
        <f>(C15+C17)/2</f>
        <v>9169849.4967500009</v>
      </c>
      <c r="D20" s="1002" t="s">
        <v>404</v>
      </c>
      <c r="E20" s="58">
        <f>(E15+E17)/2</f>
        <v>9334732.9401250016</v>
      </c>
      <c r="F20" s="995" t="s">
        <v>404</v>
      </c>
      <c r="G20" s="4">
        <f t="shared" si="2"/>
        <v>6</v>
      </c>
    </row>
    <row r="21" spans="1:9" ht="15.5" x14ac:dyDescent="0.35">
      <c r="A21" s="4">
        <f t="shared" si="0"/>
        <v>7</v>
      </c>
      <c r="B21" s="124"/>
      <c r="C21" s="59"/>
      <c r="D21" s="97"/>
      <c r="E21" s="59"/>
      <c r="F21" s="69"/>
      <c r="G21" s="4">
        <f t="shared" si="2"/>
        <v>7</v>
      </c>
    </row>
    <row r="22" spans="1:9" ht="15.5" x14ac:dyDescent="0.35">
      <c r="B22" s="34"/>
      <c r="C22" s="34"/>
      <c r="D22" s="34"/>
      <c r="E22" s="34"/>
      <c r="F22" s="34"/>
    </row>
    <row r="23" spans="1:9" ht="15.5" x14ac:dyDescent="0.35">
      <c r="C23" s="34"/>
      <c r="D23" s="34"/>
      <c r="E23" s="110"/>
      <c r="F23" s="34"/>
    </row>
    <row r="24" spans="1:9" ht="18" x14ac:dyDescent="0.35">
      <c r="A24" s="276">
        <v>1</v>
      </c>
      <c r="B24" s="34" t="s">
        <v>392</v>
      </c>
      <c r="C24" s="34"/>
      <c r="D24" s="34"/>
      <c r="E24" s="34"/>
      <c r="F24" s="34"/>
    </row>
    <row r="25" spans="1:9" ht="15.5" x14ac:dyDescent="0.35">
      <c r="B25" s="34" t="s">
        <v>393</v>
      </c>
      <c r="C25" s="34"/>
      <c r="D25" s="34"/>
      <c r="E25" s="34"/>
      <c r="F25" s="34"/>
    </row>
    <row r="26" spans="1:9" ht="15.5" x14ac:dyDescent="0.35">
      <c r="C26" s="34"/>
      <c r="D26" s="34"/>
      <c r="E26" s="34"/>
      <c r="F26" s="34"/>
    </row>
    <row r="27" spans="1:9" ht="15.5" x14ac:dyDescent="0.35">
      <c r="C27" s="34"/>
      <c r="D27" s="34"/>
      <c r="E27" s="34"/>
      <c r="F27" s="34"/>
    </row>
  </sheetData>
  <mergeCells count="6">
    <mergeCell ref="B8:F8"/>
    <mergeCell ref="B2:F2"/>
    <mergeCell ref="B3:F3"/>
    <mergeCell ref="B4:F4"/>
    <mergeCell ref="B5:F5"/>
    <mergeCell ref="B6:F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80" zoomScaleNormal="80" workbookViewId="0"/>
  </sheetViews>
  <sheetFormatPr defaultColWidth="8.90625" defaultRowHeight="15.5" x14ac:dyDescent="0.35"/>
  <cols>
    <col min="1" max="1" width="5.08984375" style="4" customWidth="1"/>
    <col min="2" max="2" width="8.54296875" style="5" customWidth="1"/>
    <col min="3" max="11" width="15.54296875" style="5" customWidth="1"/>
    <col min="12" max="12" width="11.08984375" style="5" customWidth="1"/>
    <col min="13" max="15" width="15.54296875" style="5" customWidth="1"/>
    <col min="16" max="16" width="5.08984375" style="4" customWidth="1"/>
    <col min="17" max="16384" width="8.90625" style="5"/>
  </cols>
  <sheetData>
    <row r="1" spans="1:18" x14ac:dyDescent="0.35">
      <c r="B1" s="34"/>
      <c r="C1" s="34"/>
      <c r="D1" s="263"/>
      <c r="E1" s="34"/>
      <c r="F1" s="34"/>
      <c r="G1" s="34"/>
      <c r="H1" s="34"/>
      <c r="I1" s="34"/>
      <c r="J1" s="34"/>
      <c r="K1" s="34"/>
      <c r="L1" s="4"/>
      <c r="M1" s="34"/>
      <c r="N1" s="34"/>
      <c r="O1" s="34"/>
      <c r="Q1" s="34"/>
      <c r="R1" s="34"/>
    </row>
    <row r="2" spans="1:18" ht="15.75" customHeight="1" x14ac:dyDescent="0.35">
      <c r="B2" s="1171" t="s">
        <v>0</v>
      </c>
      <c r="C2" s="1171"/>
      <c r="D2" s="1171"/>
      <c r="E2" s="1171"/>
      <c r="F2" s="1171"/>
      <c r="G2" s="1171"/>
      <c r="H2" s="1171"/>
      <c r="I2" s="1171"/>
      <c r="J2" s="1171"/>
      <c r="K2" s="1171"/>
      <c r="L2" s="1171"/>
      <c r="M2" s="1171"/>
      <c r="N2" s="1171"/>
      <c r="O2" s="1171"/>
      <c r="P2" s="226"/>
      <c r="Q2" s="34"/>
      <c r="R2" s="34"/>
    </row>
    <row r="3" spans="1:18" ht="15.75" customHeight="1" x14ac:dyDescent="0.35">
      <c r="B3" s="1171" t="s">
        <v>1792</v>
      </c>
      <c r="C3" s="1171"/>
      <c r="D3" s="1171"/>
      <c r="E3" s="1171"/>
      <c r="F3" s="1171"/>
      <c r="G3" s="1171"/>
      <c r="H3" s="1171"/>
      <c r="I3" s="1171"/>
      <c r="J3" s="1171"/>
      <c r="K3" s="1171"/>
      <c r="L3" s="1171"/>
      <c r="M3" s="1171"/>
      <c r="N3" s="1171"/>
      <c r="O3" s="1171"/>
      <c r="P3" s="226"/>
      <c r="Q3" s="34"/>
      <c r="R3" s="34"/>
    </row>
    <row r="4" spans="1:18" ht="15.75" customHeight="1" x14ac:dyDescent="0.35">
      <c r="B4" s="1176" t="str">
        <f>'Summary of HV-LV Splits'!B4</f>
        <v>24-Month Forecast Period (January 1, 2023 - December 31, 2024)</v>
      </c>
      <c r="C4" s="1176"/>
      <c r="D4" s="1176"/>
      <c r="E4" s="1176"/>
      <c r="F4" s="1176"/>
      <c r="G4" s="1176"/>
      <c r="H4" s="1176"/>
      <c r="I4" s="1176"/>
      <c r="J4" s="1176"/>
      <c r="K4" s="1176"/>
      <c r="L4" s="1176"/>
      <c r="M4" s="1176"/>
      <c r="N4" s="1176"/>
      <c r="O4" s="1176"/>
      <c r="P4" s="226"/>
      <c r="Q4" s="34"/>
      <c r="R4" s="34"/>
    </row>
    <row r="5" spans="1:18" ht="15.75" customHeight="1" x14ac:dyDescent="0.35">
      <c r="B5" s="1171" t="s">
        <v>1814</v>
      </c>
      <c r="C5" s="1171"/>
      <c r="D5" s="1171"/>
      <c r="E5" s="1171"/>
      <c r="F5" s="1171"/>
      <c r="G5" s="1171"/>
      <c r="H5" s="1171"/>
      <c r="I5" s="1171"/>
      <c r="J5" s="1171"/>
      <c r="K5" s="1171"/>
      <c r="L5" s="1171"/>
      <c r="M5" s="1171"/>
      <c r="N5" s="1171"/>
      <c r="O5" s="1171"/>
      <c r="P5" s="226"/>
      <c r="Q5" s="34"/>
      <c r="R5" s="34"/>
    </row>
    <row r="6" spans="1:18" x14ac:dyDescent="0.35">
      <c r="B6" s="1200">
        <v>-1000</v>
      </c>
      <c r="C6" s="1200"/>
      <c r="D6" s="1200"/>
      <c r="E6" s="1200"/>
      <c r="F6" s="1200"/>
      <c r="G6" s="1200"/>
      <c r="H6" s="1200"/>
      <c r="I6" s="1200"/>
      <c r="J6" s="1200"/>
      <c r="K6" s="1200"/>
      <c r="L6" s="1200"/>
      <c r="M6" s="1200"/>
      <c r="N6" s="1200"/>
      <c r="O6" s="1200"/>
      <c r="P6" s="430"/>
      <c r="Q6" s="34"/>
      <c r="R6" s="34"/>
    </row>
    <row r="7" spans="1:18" ht="16" thickBot="1" x14ac:dyDescent="0.4">
      <c r="B7" s="34"/>
      <c r="C7" s="34"/>
      <c r="D7" s="34"/>
      <c r="E7" s="34"/>
      <c r="F7" s="34"/>
      <c r="G7" s="34"/>
      <c r="H7" s="34"/>
      <c r="I7" s="34"/>
      <c r="J7" s="34"/>
      <c r="K7" s="34"/>
      <c r="L7" s="4"/>
      <c r="M7" s="34"/>
      <c r="N7" s="34"/>
      <c r="O7" s="34"/>
      <c r="Q7" s="34"/>
      <c r="R7" s="34"/>
    </row>
    <row r="8" spans="1:18" ht="18" x14ac:dyDescent="0.35">
      <c r="A8" s="4" t="s">
        <v>6</v>
      </c>
      <c r="B8" s="239"/>
      <c r="C8" s="1216" t="s">
        <v>1794</v>
      </c>
      <c r="D8" s="1217"/>
      <c r="E8" s="1218"/>
      <c r="F8" s="1216" t="s">
        <v>1795</v>
      </c>
      <c r="G8" s="1217"/>
      <c r="H8" s="1218"/>
      <c r="I8" s="1216" t="s">
        <v>1796</v>
      </c>
      <c r="J8" s="1217"/>
      <c r="K8" s="1218"/>
      <c r="L8" s="239" t="s">
        <v>1797</v>
      </c>
      <c r="M8" s="1216" t="s">
        <v>1798</v>
      </c>
      <c r="N8" s="1217"/>
      <c r="O8" s="1218"/>
      <c r="P8" s="4" t="s">
        <v>6</v>
      </c>
      <c r="Q8" s="1"/>
      <c r="R8" s="1"/>
    </row>
    <row r="9" spans="1:18" ht="16" thickBot="1" x14ac:dyDescent="0.4">
      <c r="A9" s="4" t="s">
        <v>7</v>
      </c>
      <c r="B9" s="547" t="s">
        <v>1799</v>
      </c>
      <c r="C9" s="548" t="s">
        <v>1767</v>
      </c>
      <c r="D9" s="549" t="s">
        <v>1768</v>
      </c>
      <c r="E9" s="551" t="s">
        <v>265</v>
      </c>
      <c r="F9" s="552" t="s">
        <v>1767</v>
      </c>
      <c r="G9" s="549" t="s">
        <v>1768</v>
      </c>
      <c r="H9" s="550" t="s">
        <v>265</v>
      </c>
      <c r="I9" s="548" t="s">
        <v>1767</v>
      </c>
      <c r="J9" s="549" t="s">
        <v>1768</v>
      </c>
      <c r="K9" s="550" t="s">
        <v>265</v>
      </c>
      <c r="L9" s="547" t="s">
        <v>1800</v>
      </c>
      <c r="M9" s="552" t="s">
        <v>1767</v>
      </c>
      <c r="N9" s="549" t="s">
        <v>1768</v>
      </c>
      <c r="O9" s="551" t="s">
        <v>265</v>
      </c>
      <c r="P9" s="4" t="s">
        <v>7</v>
      </c>
      <c r="Q9" s="1"/>
      <c r="R9" s="1"/>
    </row>
    <row r="10" spans="1:18" x14ac:dyDescent="0.35">
      <c r="A10" s="226"/>
      <c r="B10" s="553"/>
      <c r="C10" s="554"/>
      <c r="D10" s="280"/>
      <c r="E10" s="1146"/>
      <c r="F10" s="284"/>
      <c r="G10" s="280"/>
      <c r="H10" s="308"/>
      <c r="I10" s="554"/>
      <c r="J10" s="280"/>
      <c r="K10" s="308"/>
      <c r="L10" s="576"/>
      <c r="M10" s="284"/>
      <c r="N10" s="280"/>
      <c r="O10" s="1146"/>
      <c r="P10" s="226"/>
      <c r="Q10" s="1"/>
      <c r="R10" s="1"/>
    </row>
    <row r="11" spans="1:18" x14ac:dyDescent="0.35">
      <c r="A11" s="4">
        <v>1</v>
      </c>
      <c r="B11" s="557">
        <f>'ET Forecast Capital Additions'!B11</f>
        <v>44948</v>
      </c>
      <c r="C11" s="183">
        <v>341</v>
      </c>
      <c r="D11" s="698">
        <v>353</v>
      </c>
      <c r="E11" s="613">
        <f t="shared" ref="E11:E34" si="0">C11+D11</f>
        <v>694</v>
      </c>
      <c r="F11" s="61">
        <f>C11*$H$41</f>
        <v>0.11558889180547106</v>
      </c>
      <c r="G11" s="240">
        <f>D11*$H$41</f>
        <v>0.11965653609188059</v>
      </c>
      <c r="H11" s="127">
        <f t="shared" ref="H11:H25" si="1">F11+G11</f>
        <v>0.23524542789735164</v>
      </c>
      <c r="I11" s="184">
        <f t="shared" ref="I11:I34" si="2">C11-F11</f>
        <v>340.88441110819451</v>
      </c>
      <c r="J11" s="240">
        <f t="shared" ref="J11:J34" si="3">D11-G11</f>
        <v>352.8803434639081</v>
      </c>
      <c r="K11" s="127">
        <f t="shared" ref="K11:K34" si="4">I11+J11</f>
        <v>693.76475457210267</v>
      </c>
      <c r="L11" s="250">
        <f>'ET Forecast Capital Additions'!$L11</f>
        <v>1</v>
      </c>
      <c r="M11" s="61">
        <f t="shared" ref="M11:M34" si="5">I11*$L11</f>
        <v>340.88441110819451</v>
      </c>
      <c r="N11" s="240">
        <f t="shared" ref="N11:N34" si="6">J11*$L11</f>
        <v>352.8803434639081</v>
      </c>
      <c r="O11" s="613">
        <f t="shared" ref="O11:O34" si="7">M11+N11</f>
        <v>693.76475457210267</v>
      </c>
      <c r="P11" s="4">
        <f>A11</f>
        <v>1</v>
      </c>
      <c r="Q11" s="1"/>
      <c r="R11" s="34"/>
    </row>
    <row r="12" spans="1:18" x14ac:dyDescent="0.35">
      <c r="A12" s="4">
        <f t="shared" ref="A12:A49" si="8">A11+1</f>
        <v>2</v>
      </c>
      <c r="B12" s="557">
        <f>'ET Forecast Capital Additions'!B12</f>
        <v>44979</v>
      </c>
      <c r="C12" s="185">
        <v>124</v>
      </c>
      <c r="D12" s="699">
        <v>128</v>
      </c>
      <c r="E12" s="593">
        <f t="shared" si="0"/>
        <v>252</v>
      </c>
      <c r="F12" s="55">
        <f t="shared" ref="F12:F34" si="9">C12*$H$41</f>
        <v>4.2032324292898569E-2</v>
      </c>
      <c r="G12" s="241">
        <f t="shared" ref="G12:G34" si="10">D12*$H$41</f>
        <v>4.3388205721701746E-2</v>
      </c>
      <c r="H12" s="132">
        <f t="shared" si="1"/>
        <v>8.5420530014600315E-2</v>
      </c>
      <c r="I12" s="186">
        <f t="shared" si="2"/>
        <v>123.9579676757071</v>
      </c>
      <c r="J12" s="241">
        <f t="shared" si="3"/>
        <v>127.9566117942783</v>
      </c>
      <c r="K12" s="132">
        <f t="shared" si="4"/>
        <v>251.9145794699854</v>
      </c>
      <c r="L12" s="250">
        <f>'ET Forecast Capital Additions'!$L12</f>
        <v>1</v>
      </c>
      <c r="M12" s="55">
        <f t="shared" si="5"/>
        <v>123.9579676757071</v>
      </c>
      <c r="N12" s="241">
        <f t="shared" si="6"/>
        <v>127.9566117942783</v>
      </c>
      <c r="O12" s="593">
        <f t="shared" si="7"/>
        <v>251.9145794699854</v>
      </c>
      <c r="P12" s="4">
        <f t="shared" ref="P12:P27" si="11">P11+1</f>
        <v>2</v>
      </c>
      <c r="Q12" s="34"/>
      <c r="R12" s="34"/>
    </row>
    <row r="13" spans="1:18" x14ac:dyDescent="0.35">
      <c r="A13" s="4">
        <f t="shared" si="8"/>
        <v>3</v>
      </c>
      <c r="B13" s="557">
        <f>'ET Forecast Capital Additions'!B13</f>
        <v>45007</v>
      </c>
      <c r="C13" s="185">
        <v>695</v>
      </c>
      <c r="D13" s="699">
        <v>719</v>
      </c>
      <c r="E13" s="593">
        <f t="shared" si="0"/>
        <v>1414</v>
      </c>
      <c r="F13" s="55">
        <f t="shared" si="9"/>
        <v>0.23558439825455246</v>
      </c>
      <c r="G13" s="241">
        <f t="shared" si="10"/>
        <v>0.24371968682737152</v>
      </c>
      <c r="H13" s="132">
        <f t="shared" si="1"/>
        <v>0.47930408508192401</v>
      </c>
      <c r="I13" s="186">
        <f t="shared" si="2"/>
        <v>694.76441560174544</v>
      </c>
      <c r="J13" s="241">
        <f t="shared" si="3"/>
        <v>718.75628031317262</v>
      </c>
      <c r="K13" s="132">
        <f t="shared" si="4"/>
        <v>1413.5206959149182</v>
      </c>
      <c r="L13" s="250">
        <f>'ET Forecast Capital Additions'!$L13</f>
        <v>1</v>
      </c>
      <c r="M13" s="55">
        <f t="shared" si="5"/>
        <v>694.76441560174544</v>
      </c>
      <c r="N13" s="241">
        <f t="shared" si="6"/>
        <v>718.75628031317262</v>
      </c>
      <c r="O13" s="593">
        <f t="shared" si="7"/>
        <v>1413.5206959149182</v>
      </c>
      <c r="P13" s="4">
        <f t="shared" si="11"/>
        <v>3</v>
      </c>
      <c r="Q13" s="34"/>
      <c r="R13" s="34"/>
    </row>
    <row r="14" spans="1:18" ht="16" thickBot="1" x14ac:dyDescent="0.4">
      <c r="A14" s="4">
        <f t="shared" si="8"/>
        <v>4</v>
      </c>
      <c r="B14" s="558">
        <f>'ET Forecast Capital Additions'!B14</f>
        <v>45038</v>
      </c>
      <c r="C14" s="187">
        <v>127</v>
      </c>
      <c r="D14" s="216">
        <v>131</v>
      </c>
      <c r="E14" s="191">
        <f t="shared" si="0"/>
        <v>258</v>
      </c>
      <c r="F14" s="192">
        <f t="shared" si="9"/>
        <v>4.3049235364500948E-2</v>
      </c>
      <c r="G14" s="190">
        <f t="shared" si="10"/>
        <v>4.4405116793304132E-2</v>
      </c>
      <c r="H14" s="188">
        <f t="shared" si="1"/>
        <v>8.7454352157805088E-2</v>
      </c>
      <c r="I14" s="189">
        <f t="shared" si="2"/>
        <v>126.95695076463549</v>
      </c>
      <c r="J14" s="190">
        <f t="shared" si="3"/>
        <v>130.95559488320669</v>
      </c>
      <c r="K14" s="188">
        <f t="shared" si="4"/>
        <v>257.91254564784219</v>
      </c>
      <c r="L14" s="251">
        <f>'ET Forecast Capital Additions'!$L14</f>
        <v>1</v>
      </c>
      <c r="M14" s="192">
        <f t="shared" si="5"/>
        <v>126.95695076463549</v>
      </c>
      <c r="N14" s="190">
        <f t="shared" si="6"/>
        <v>130.95559488320669</v>
      </c>
      <c r="O14" s="191">
        <f t="shared" si="7"/>
        <v>257.91254564784219</v>
      </c>
      <c r="P14" s="4">
        <f t="shared" si="11"/>
        <v>4</v>
      </c>
      <c r="Q14" s="34"/>
      <c r="R14" s="34"/>
    </row>
    <row r="15" spans="1:18" x14ac:dyDescent="0.35">
      <c r="A15" s="4">
        <f t="shared" si="8"/>
        <v>5</v>
      </c>
      <c r="B15" s="557">
        <f>'ET Forecast Capital Additions'!B15</f>
        <v>45068</v>
      </c>
      <c r="C15" s="217">
        <v>106</v>
      </c>
      <c r="D15" s="193">
        <v>110</v>
      </c>
      <c r="E15" s="131">
        <f t="shared" si="0"/>
        <v>216</v>
      </c>
      <c r="F15" s="195">
        <f t="shared" si="9"/>
        <v>3.593085786328426E-2</v>
      </c>
      <c r="G15" s="136">
        <f t="shared" si="10"/>
        <v>3.7286739292087437E-2</v>
      </c>
      <c r="H15" s="130">
        <f t="shared" si="1"/>
        <v>7.3217597155371697E-2</v>
      </c>
      <c r="I15" s="194">
        <f t="shared" si="2"/>
        <v>105.96406914213672</v>
      </c>
      <c r="J15" s="136">
        <f t="shared" si="3"/>
        <v>109.96271326070791</v>
      </c>
      <c r="K15" s="130">
        <f t="shared" si="4"/>
        <v>215.92678240284465</v>
      </c>
      <c r="L15" s="252">
        <f>'ET Forecast Capital Additions'!$L15</f>
        <v>1</v>
      </c>
      <c r="M15" s="195">
        <f t="shared" si="5"/>
        <v>105.96406914213672</v>
      </c>
      <c r="N15" s="136">
        <f t="shared" si="6"/>
        <v>109.96271326070791</v>
      </c>
      <c r="O15" s="131">
        <f t="shared" si="7"/>
        <v>215.92678240284465</v>
      </c>
      <c r="P15" s="4">
        <f t="shared" si="11"/>
        <v>5</v>
      </c>
      <c r="Q15" s="34"/>
      <c r="R15" s="34"/>
    </row>
    <row r="16" spans="1:18" x14ac:dyDescent="0.35">
      <c r="A16" s="4">
        <f t="shared" si="8"/>
        <v>6</v>
      </c>
      <c r="B16" s="557">
        <f>'ET Forecast Capital Additions'!B16</f>
        <v>45099</v>
      </c>
      <c r="C16" s="218">
        <v>267</v>
      </c>
      <c r="D16" s="699">
        <v>276</v>
      </c>
      <c r="E16" s="135">
        <f t="shared" si="0"/>
        <v>543</v>
      </c>
      <c r="F16" s="6">
        <f t="shared" si="9"/>
        <v>9.0505085372612232E-2</v>
      </c>
      <c r="G16" s="241">
        <f t="shared" si="10"/>
        <v>9.355581858741939E-2</v>
      </c>
      <c r="H16" s="6">
        <f t="shared" si="1"/>
        <v>0.18406090396003161</v>
      </c>
      <c r="I16" s="219">
        <f t="shared" si="2"/>
        <v>266.90949491462737</v>
      </c>
      <c r="J16" s="241">
        <f t="shared" si="3"/>
        <v>275.90644418141255</v>
      </c>
      <c r="K16" s="6">
        <f t="shared" si="4"/>
        <v>542.81593909603998</v>
      </c>
      <c r="L16" s="250">
        <f>'ET Forecast Capital Additions'!$L16</f>
        <v>1</v>
      </c>
      <c r="M16" s="6">
        <f t="shared" si="5"/>
        <v>266.90949491462737</v>
      </c>
      <c r="N16" s="241">
        <f t="shared" si="6"/>
        <v>275.90644418141255</v>
      </c>
      <c r="O16" s="135">
        <f t="shared" si="7"/>
        <v>542.81593909603998</v>
      </c>
      <c r="P16" s="4">
        <f t="shared" si="11"/>
        <v>6</v>
      </c>
      <c r="Q16" s="34"/>
      <c r="R16" s="34"/>
    </row>
    <row r="17" spans="1:18" x14ac:dyDescent="0.35">
      <c r="A17" s="4">
        <f t="shared" si="8"/>
        <v>7</v>
      </c>
      <c r="B17" s="557">
        <f>'ET Forecast Capital Additions'!B17</f>
        <v>45129</v>
      </c>
      <c r="C17" s="185">
        <v>340</v>
      </c>
      <c r="D17" s="699">
        <v>352</v>
      </c>
      <c r="E17" s="593">
        <f t="shared" si="0"/>
        <v>692</v>
      </c>
      <c r="F17" s="55">
        <f t="shared" si="9"/>
        <v>0.11524992144827026</v>
      </c>
      <c r="G17" s="241">
        <f t="shared" si="10"/>
        <v>0.1193175657346798</v>
      </c>
      <c r="H17" s="132">
        <f t="shared" si="1"/>
        <v>0.23456748718295006</v>
      </c>
      <c r="I17" s="186">
        <f t="shared" si="2"/>
        <v>339.88475007855175</v>
      </c>
      <c r="J17" s="241">
        <f t="shared" si="3"/>
        <v>351.88068243426534</v>
      </c>
      <c r="K17" s="132">
        <f t="shared" si="4"/>
        <v>691.76543251281714</v>
      </c>
      <c r="L17" s="250">
        <f>'ET Forecast Capital Additions'!$L17</f>
        <v>1</v>
      </c>
      <c r="M17" s="55">
        <f t="shared" si="5"/>
        <v>339.88475007855175</v>
      </c>
      <c r="N17" s="241">
        <f t="shared" si="6"/>
        <v>351.88068243426534</v>
      </c>
      <c r="O17" s="593">
        <f t="shared" si="7"/>
        <v>691.76543251281714</v>
      </c>
      <c r="P17" s="4">
        <f t="shared" si="11"/>
        <v>7</v>
      </c>
      <c r="Q17" s="34"/>
      <c r="R17" s="34"/>
    </row>
    <row r="18" spans="1:18" ht="16" thickBot="1" x14ac:dyDescent="0.4">
      <c r="A18" s="4">
        <f t="shared" si="8"/>
        <v>8</v>
      </c>
      <c r="B18" s="558">
        <f>'ET Forecast Capital Additions'!B18</f>
        <v>45160</v>
      </c>
      <c r="C18" s="187">
        <v>45</v>
      </c>
      <c r="D18" s="216">
        <v>47</v>
      </c>
      <c r="E18" s="191">
        <f t="shared" si="0"/>
        <v>92</v>
      </c>
      <c r="F18" s="192">
        <f t="shared" si="9"/>
        <v>1.525366607403577E-2</v>
      </c>
      <c r="G18" s="190">
        <f t="shared" si="10"/>
        <v>1.5931606788437361E-2</v>
      </c>
      <c r="H18" s="188">
        <f t="shared" si="1"/>
        <v>3.1185272862473131E-2</v>
      </c>
      <c r="I18" s="189">
        <f t="shared" si="2"/>
        <v>44.984746333925962</v>
      </c>
      <c r="J18" s="190">
        <f t="shared" si="3"/>
        <v>46.984068393211565</v>
      </c>
      <c r="K18" s="188">
        <f t="shared" si="4"/>
        <v>91.968814727137527</v>
      </c>
      <c r="L18" s="251">
        <f>'ET Forecast Capital Additions'!$L18</f>
        <v>1</v>
      </c>
      <c r="M18" s="192">
        <f t="shared" si="5"/>
        <v>44.984746333925962</v>
      </c>
      <c r="N18" s="190">
        <f t="shared" si="6"/>
        <v>46.984068393211565</v>
      </c>
      <c r="O18" s="191">
        <f t="shared" si="7"/>
        <v>91.968814727137527</v>
      </c>
      <c r="P18" s="4">
        <f t="shared" si="11"/>
        <v>8</v>
      </c>
      <c r="Q18" s="34"/>
      <c r="R18" s="34"/>
    </row>
    <row r="19" spans="1:18" x14ac:dyDescent="0.35">
      <c r="A19" s="4">
        <f t="shared" si="8"/>
        <v>9</v>
      </c>
      <c r="B19" s="557">
        <f>'ET Forecast Capital Additions'!B19</f>
        <v>45191</v>
      </c>
      <c r="C19" s="217">
        <v>135</v>
      </c>
      <c r="D19" s="193">
        <v>140</v>
      </c>
      <c r="E19" s="131">
        <f t="shared" si="0"/>
        <v>275</v>
      </c>
      <c r="F19" s="195">
        <f t="shared" si="9"/>
        <v>4.5760998222107309E-2</v>
      </c>
      <c r="G19" s="136">
        <f t="shared" si="10"/>
        <v>4.7455850008111283E-2</v>
      </c>
      <c r="H19" s="130">
        <f t="shared" si="1"/>
        <v>9.3216848230218585E-2</v>
      </c>
      <c r="I19" s="194">
        <f t="shared" si="2"/>
        <v>134.95423900177789</v>
      </c>
      <c r="J19" s="136">
        <f t="shared" si="3"/>
        <v>139.95254414999189</v>
      </c>
      <c r="K19" s="130">
        <f t="shared" si="4"/>
        <v>274.90678315176979</v>
      </c>
      <c r="L19" s="252">
        <f>'ET Forecast Capital Additions'!$L19</f>
        <v>1</v>
      </c>
      <c r="M19" s="195">
        <f t="shared" si="5"/>
        <v>134.95423900177789</v>
      </c>
      <c r="N19" s="136">
        <f t="shared" si="6"/>
        <v>139.95254414999189</v>
      </c>
      <c r="O19" s="131">
        <f t="shared" si="7"/>
        <v>274.90678315176979</v>
      </c>
      <c r="P19" s="4">
        <f t="shared" si="11"/>
        <v>9</v>
      </c>
      <c r="Q19" s="34"/>
      <c r="R19" s="34"/>
    </row>
    <row r="20" spans="1:18" x14ac:dyDescent="0.35">
      <c r="A20" s="4">
        <f t="shared" si="8"/>
        <v>10</v>
      </c>
      <c r="B20" s="557">
        <f>'ET Forecast Capital Additions'!B20</f>
        <v>45221</v>
      </c>
      <c r="C20" s="185">
        <v>298</v>
      </c>
      <c r="D20" s="699">
        <v>308</v>
      </c>
      <c r="E20" s="593">
        <f t="shared" si="0"/>
        <v>606</v>
      </c>
      <c r="F20" s="55">
        <f t="shared" si="9"/>
        <v>0.10101316644583688</v>
      </c>
      <c r="G20" s="241">
        <f t="shared" si="10"/>
        <v>0.10440287001784483</v>
      </c>
      <c r="H20" s="132">
        <f t="shared" si="1"/>
        <v>0.20541603646368173</v>
      </c>
      <c r="I20" s="186">
        <f t="shared" si="2"/>
        <v>297.89898683355415</v>
      </c>
      <c r="J20" s="241">
        <f t="shared" si="3"/>
        <v>307.89559712998215</v>
      </c>
      <c r="K20" s="132">
        <f t="shared" si="4"/>
        <v>605.7945839635363</v>
      </c>
      <c r="L20" s="250">
        <f>'ET Forecast Capital Additions'!$L20</f>
        <v>1</v>
      </c>
      <c r="M20" s="55">
        <f t="shared" si="5"/>
        <v>297.89898683355415</v>
      </c>
      <c r="N20" s="241">
        <f t="shared" si="6"/>
        <v>307.89559712998215</v>
      </c>
      <c r="O20" s="593">
        <f t="shared" si="7"/>
        <v>605.7945839635363</v>
      </c>
      <c r="P20" s="4">
        <f t="shared" si="11"/>
        <v>10</v>
      </c>
      <c r="Q20" s="34"/>
      <c r="R20" s="34"/>
    </row>
    <row r="21" spans="1:18" x14ac:dyDescent="0.35">
      <c r="A21" s="4">
        <f t="shared" si="8"/>
        <v>11</v>
      </c>
      <c r="B21" s="557">
        <f>'ET Forecast Capital Additions'!B21</f>
        <v>45252</v>
      </c>
      <c r="C21" s="185">
        <v>73</v>
      </c>
      <c r="D21" s="699">
        <v>75</v>
      </c>
      <c r="E21" s="593">
        <f t="shared" si="0"/>
        <v>148</v>
      </c>
      <c r="F21" s="55">
        <f t="shared" si="9"/>
        <v>2.4744836075658028E-2</v>
      </c>
      <c r="G21" s="241">
        <f t="shared" si="10"/>
        <v>2.5422776790059616E-2</v>
      </c>
      <c r="H21" s="132">
        <f t="shared" si="1"/>
        <v>5.0167612865717644E-2</v>
      </c>
      <c r="I21" s="186">
        <f t="shared" si="2"/>
        <v>72.975255163924345</v>
      </c>
      <c r="J21" s="241">
        <f t="shared" si="3"/>
        <v>74.974577223209934</v>
      </c>
      <c r="K21" s="132">
        <f t="shared" si="4"/>
        <v>147.94983238713428</v>
      </c>
      <c r="L21" s="250">
        <f>'ET Forecast Capital Additions'!$L21</f>
        <v>1</v>
      </c>
      <c r="M21" s="55">
        <f t="shared" si="5"/>
        <v>72.975255163924345</v>
      </c>
      <c r="N21" s="241">
        <f t="shared" si="6"/>
        <v>74.974577223209934</v>
      </c>
      <c r="O21" s="593">
        <f t="shared" si="7"/>
        <v>147.94983238713428</v>
      </c>
      <c r="P21" s="4">
        <f t="shared" si="11"/>
        <v>11</v>
      </c>
      <c r="Q21" s="34"/>
      <c r="R21" s="34"/>
    </row>
    <row r="22" spans="1:18" ht="16" thickBot="1" x14ac:dyDescent="0.4">
      <c r="A22" s="4">
        <f t="shared" si="8"/>
        <v>12</v>
      </c>
      <c r="B22" s="558">
        <f>'ET Forecast Capital Additions'!B22</f>
        <v>45282</v>
      </c>
      <c r="C22" s="220">
        <v>1439</v>
      </c>
      <c r="D22" s="216">
        <v>1490</v>
      </c>
      <c r="E22" s="221">
        <f t="shared" si="0"/>
        <v>2929</v>
      </c>
      <c r="F22" s="946">
        <f t="shared" si="9"/>
        <v>0.48777834401194387</v>
      </c>
      <c r="G22" s="190">
        <f t="shared" si="10"/>
        <v>0.50506583222918444</v>
      </c>
      <c r="H22" s="946">
        <f t="shared" si="1"/>
        <v>0.99284417624112831</v>
      </c>
      <c r="I22" s="222">
        <f t="shared" si="2"/>
        <v>1438.512221655988</v>
      </c>
      <c r="J22" s="190">
        <f t="shared" si="3"/>
        <v>1489.4949341677709</v>
      </c>
      <c r="K22" s="946">
        <f t="shared" si="4"/>
        <v>2928.0071558237587</v>
      </c>
      <c r="L22" s="251">
        <f>'ET Forecast Capital Additions'!$L22</f>
        <v>1</v>
      </c>
      <c r="M22" s="946">
        <f t="shared" si="5"/>
        <v>1438.512221655988</v>
      </c>
      <c r="N22" s="190">
        <f t="shared" si="6"/>
        <v>1489.4949341677709</v>
      </c>
      <c r="O22" s="221">
        <f t="shared" si="7"/>
        <v>2928.0071558237587</v>
      </c>
      <c r="P22" s="4">
        <f t="shared" si="11"/>
        <v>12</v>
      </c>
      <c r="Q22" s="34"/>
      <c r="R22" s="34"/>
    </row>
    <row r="23" spans="1:18" x14ac:dyDescent="0.35">
      <c r="A23" s="4">
        <f t="shared" si="8"/>
        <v>13</v>
      </c>
      <c r="B23" s="557">
        <f>'ET Forecast Capital Additions'!B23</f>
        <v>45313</v>
      </c>
      <c r="C23" s="217">
        <v>190</v>
      </c>
      <c r="D23" s="193">
        <v>196</v>
      </c>
      <c r="E23" s="131">
        <f t="shared" si="0"/>
        <v>386</v>
      </c>
      <c r="F23" s="195">
        <f t="shared" si="9"/>
        <v>6.4404367868151027E-2</v>
      </c>
      <c r="G23" s="136">
        <f t="shared" si="10"/>
        <v>6.6438190011355799E-2</v>
      </c>
      <c r="H23" s="130">
        <f t="shared" si="1"/>
        <v>0.13084255787950683</v>
      </c>
      <c r="I23" s="194">
        <f t="shared" si="2"/>
        <v>189.93559563213185</v>
      </c>
      <c r="J23" s="136">
        <f t="shared" si="3"/>
        <v>195.93356180998865</v>
      </c>
      <c r="K23" s="130">
        <f t="shared" si="4"/>
        <v>385.86915744212047</v>
      </c>
      <c r="L23" s="252">
        <f>'ET Forecast Capital Additions'!$L23</f>
        <v>1</v>
      </c>
      <c r="M23" s="195">
        <f t="shared" si="5"/>
        <v>189.93559563213185</v>
      </c>
      <c r="N23" s="136">
        <f t="shared" si="6"/>
        <v>195.93356180998865</v>
      </c>
      <c r="O23" s="131">
        <f t="shared" si="7"/>
        <v>385.86915744212047</v>
      </c>
      <c r="P23" s="4">
        <f t="shared" si="11"/>
        <v>13</v>
      </c>
      <c r="Q23" s="34"/>
      <c r="R23" s="34"/>
    </row>
    <row r="24" spans="1:18" x14ac:dyDescent="0.35">
      <c r="A24" s="4">
        <f t="shared" si="8"/>
        <v>14</v>
      </c>
      <c r="B24" s="557">
        <f>'ET Forecast Capital Additions'!B24</f>
        <v>45344</v>
      </c>
      <c r="C24" s="185">
        <v>214</v>
      </c>
      <c r="D24" s="699">
        <v>222</v>
      </c>
      <c r="E24" s="593">
        <f t="shared" si="0"/>
        <v>436</v>
      </c>
      <c r="F24" s="55">
        <f t="shared" si="9"/>
        <v>7.2539656440970102E-2</v>
      </c>
      <c r="G24" s="241">
        <f t="shared" si="10"/>
        <v>7.5251419298576469E-2</v>
      </c>
      <c r="H24" s="132">
        <f t="shared" si="1"/>
        <v>0.14779107573954658</v>
      </c>
      <c r="I24" s="186">
        <f t="shared" si="2"/>
        <v>213.92746034355903</v>
      </c>
      <c r="J24" s="241">
        <f t="shared" si="3"/>
        <v>221.92474858070142</v>
      </c>
      <c r="K24" s="132">
        <f t="shared" si="4"/>
        <v>435.85220892426048</v>
      </c>
      <c r="L24" s="250">
        <f>'ET Forecast Capital Additions'!$L24</f>
        <v>0.91666666666666663</v>
      </c>
      <c r="M24" s="55">
        <f t="shared" si="5"/>
        <v>196.10017198159576</v>
      </c>
      <c r="N24" s="241">
        <f t="shared" si="6"/>
        <v>203.43101953230962</v>
      </c>
      <c r="O24" s="593">
        <f t="shared" si="7"/>
        <v>399.53119151390536</v>
      </c>
      <c r="P24" s="4">
        <f t="shared" si="11"/>
        <v>14</v>
      </c>
      <c r="Q24" s="34"/>
      <c r="R24" s="441"/>
    </row>
    <row r="25" spans="1:18" x14ac:dyDescent="0.35">
      <c r="A25" s="4">
        <f t="shared" si="8"/>
        <v>15</v>
      </c>
      <c r="B25" s="557">
        <f>'ET Forecast Capital Additions'!B25</f>
        <v>45373</v>
      </c>
      <c r="C25" s="185">
        <v>412</v>
      </c>
      <c r="D25" s="699">
        <v>427</v>
      </c>
      <c r="E25" s="593">
        <f t="shared" si="0"/>
        <v>839</v>
      </c>
      <c r="F25" s="55">
        <f t="shared" si="9"/>
        <v>0.1396557871667275</v>
      </c>
      <c r="G25" s="241">
        <f t="shared" si="10"/>
        <v>0.14474034252473941</v>
      </c>
      <c r="H25" s="132">
        <f t="shared" si="1"/>
        <v>0.28439612969146688</v>
      </c>
      <c r="I25" s="186">
        <f t="shared" si="2"/>
        <v>411.8603442128333</v>
      </c>
      <c r="J25" s="241">
        <f t="shared" si="3"/>
        <v>426.85525965747524</v>
      </c>
      <c r="K25" s="132">
        <f t="shared" si="4"/>
        <v>838.71560387030854</v>
      </c>
      <c r="L25" s="250">
        <f>'ET Forecast Capital Additions'!$L25</f>
        <v>0.83333333333333337</v>
      </c>
      <c r="M25" s="55">
        <f t="shared" si="5"/>
        <v>343.21695351069445</v>
      </c>
      <c r="N25" s="241">
        <f t="shared" si="6"/>
        <v>355.71271638122937</v>
      </c>
      <c r="O25" s="593">
        <f t="shared" si="7"/>
        <v>698.92966989192382</v>
      </c>
      <c r="P25" s="4">
        <f t="shared" si="11"/>
        <v>15</v>
      </c>
      <c r="Q25" s="34"/>
      <c r="R25" s="441"/>
    </row>
    <row r="26" spans="1:18" ht="16" thickBot="1" x14ac:dyDescent="0.4">
      <c r="A26" s="4">
        <f t="shared" si="8"/>
        <v>16</v>
      </c>
      <c r="B26" s="558">
        <f>'ET Forecast Capital Additions'!B26</f>
        <v>45404</v>
      </c>
      <c r="C26" s="187">
        <v>186</v>
      </c>
      <c r="D26" s="216">
        <v>193</v>
      </c>
      <c r="E26" s="191">
        <f t="shared" si="0"/>
        <v>379</v>
      </c>
      <c r="F26" s="192">
        <f t="shared" si="9"/>
        <v>6.3048486439347851E-2</v>
      </c>
      <c r="G26" s="190">
        <f t="shared" si="10"/>
        <v>6.5421278939753413E-2</v>
      </c>
      <c r="H26" s="188">
        <f t="shared" ref="H26" si="12">F26+G26</f>
        <v>0.12846976537910126</v>
      </c>
      <c r="I26" s="189">
        <f t="shared" si="2"/>
        <v>185.93695151356064</v>
      </c>
      <c r="J26" s="190">
        <f t="shared" si="3"/>
        <v>192.93457872106023</v>
      </c>
      <c r="K26" s="188">
        <f t="shared" si="4"/>
        <v>378.87153023462088</v>
      </c>
      <c r="L26" s="251">
        <f>'ET Forecast Capital Additions'!$L26</f>
        <v>0.75</v>
      </c>
      <c r="M26" s="192">
        <f t="shared" si="5"/>
        <v>139.45271363517048</v>
      </c>
      <c r="N26" s="190">
        <f t="shared" si="6"/>
        <v>144.70093404079518</v>
      </c>
      <c r="O26" s="191">
        <f t="shared" si="7"/>
        <v>284.15364767596566</v>
      </c>
      <c r="P26" s="4">
        <f t="shared" si="11"/>
        <v>16</v>
      </c>
      <c r="Q26" s="34"/>
      <c r="R26" s="441"/>
    </row>
    <row r="27" spans="1:18" x14ac:dyDescent="0.35">
      <c r="A27" s="4">
        <f t="shared" si="8"/>
        <v>17</v>
      </c>
      <c r="B27" s="557">
        <f>'ET Forecast Capital Additions'!B27</f>
        <v>45434</v>
      </c>
      <c r="C27" s="217">
        <v>192</v>
      </c>
      <c r="D27" s="193">
        <v>199</v>
      </c>
      <c r="E27" s="131">
        <f t="shared" si="0"/>
        <v>391</v>
      </c>
      <c r="F27" s="195">
        <f t="shared" si="9"/>
        <v>6.5082308582552623E-2</v>
      </c>
      <c r="G27" s="136">
        <f t="shared" si="10"/>
        <v>6.7455101082958185E-2</v>
      </c>
      <c r="H27" s="130">
        <f t="shared" ref="H27:H34" si="13">F27+G27</f>
        <v>0.13253740966551081</v>
      </c>
      <c r="I27" s="194">
        <f t="shared" si="2"/>
        <v>191.93491769141744</v>
      </c>
      <c r="J27" s="136">
        <f t="shared" si="3"/>
        <v>198.93254489891703</v>
      </c>
      <c r="K27" s="130">
        <f t="shared" si="4"/>
        <v>390.86746259033447</v>
      </c>
      <c r="L27" s="252">
        <f>'ET Forecast Capital Additions'!$L27</f>
        <v>0.66666666666666663</v>
      </c>
      <c r="M27" s="195">
        <f t="shared" si="5"/>
        <v>127.95661179427829</v>
      </c>
      <c r="N27" s="136">
        <f t="shared" si="6"/>
        <v>132.62169659927801</v>
      </c>
      <c r="O27" s="131">
        <f t="shared" si="7"/>
        <v>260.57830839355631</v>
      </c>
      <c r="P27" s="4">
        <f t="shared" si="11"/>
        <v>17</v>
      </c>
      <c r="Q27" s="34"/>
      <c r="R27" s="441"/>
    </row>
    <row r="28" spans="1:18" x14ac:dyDescent="0.35">
      <c r="A28" s="4">
        <f t="shared" si="8"/>
        <v>18</v>
      </c>
      <c r="B28" s="557">
        <f>'ET Forecast Capital Additions'!B28</f>
        <v>45465</v>
      </c>
      <c r="C28" s="185">
        <v>275</v>
      </c>
      <c r="D28" s="699">
        <v>285</v>
      </c>
      <c r="E28" s="593">
        <f t="shared" si="0"/>
        <v>560</v>
      </c>
      <c r="F28" s="55">
        <f t="shared" si="9"/>
        <v>9.3216848230218599E-2</v>
      </c>
      <c r="G28" s="241">
        <f t="shared" si="10"/>
        <v>9.6606551802226548E-2</v>
      </c>
      <c r="H28" s="132">
        <f t="shared" si="13"/>
        <v>0.18982340003244513</v>
      </c>
      <c r="I28" s="186">
        <f t="shared" si="2"/>
        <v>274.90678315176979</v>
      </c>
      <c r="J28" s="241">
        <f t="shared" si="3"/>
        <v>284.90339344819779</v>
      </c>
      <c r="K28" s="132">
        <f t="shared" si="4"/>
        <v>559.81017659996758</v>
      </c>
      <c r="L28" s="250">
        <f>'ET Forecast Capital Additions'!$L28</f>
        <v>0.58333333333333337</v>
      </c>
      <c r="M28" s="55">
        <f t="shared" si="5"/>
        <v>160.36229017186571</v>
      </c>
      <c r="N28" s="241">
        <f t="shared" si="6"/>
        <v>166.19364617811539</v>
      </c>
      <c r="O28" s="593">
        <f t="shared" si="7"/>
        <v>326.5559363499811</v>
      </c>
      <c r="P28" s="4">
        <f t="shared" ref="P28:P35" si="14">P27+1</f>
        <v>18</v>
      </c>
      <c r="Q28" s="34"/>
      <c r="R28" s="441"/>
    </row>
    <row r="29" spans="1:18" x14ac:dyDescent="0.35">
      <c r="A29" s="4">
        <f t="shared" si="8"/>
        <v>19</v>
      </c>
      <c r="B29" s="557">
        <f>'ET Forecast Capital Additions'!B29</f>
        <v>45495</v>
      </c>
      <c r="C29" s="185">
        <v>245</v>
      </c>
      <c r="D29" s="699">
        <v>254</v>
      </c>
      <c r="E29" s="593">
        <f t="shared" si="0"/>
        <v>499</v>
      </c>
      <c r="F29" s="55">
        <f t="shared" si="9"/>
        <v>8.3047737514194753E-2</v>
      </c>
      <c r="G29" s="241">
        <f t="shared" si="10"/>
        <v>8.6098470729001897E-2</v>
      </c>
      <c r="H29" s="132">
        <f t="shared" si="13"/>
        <v>0.16914620824319665</v>
      </c>
      <c r="I29" s="186">
        <f t="shared" si="2"/>
        <v>244.91695226248581</v>
      </c>
      <c r="J29" s="241">
        <f t="shared" si="3"/>
        <v>253.91390152927099</v>
      </c>
      <c r="K29" s="132">
        <f t="shared" si="4"/>
        <v>498.83085379175679</v>
      </c>
      <c r="L29" s="250">
        <f>'ET Forecast Capital Additions'!$L29</f>
        <v>0.5</v>
      </c>
      <c r="M29" s="55">
        <f t="shared" si="5"/>
        <v>122.4584761312429</v>
      </c>
      <c r="N29" s="241">
        <f t="shared" si="6"/>
        <v>126.95695076463549</v>
      </c>
      <c r="O29" s="593">
        <f t="shared" si="7"/>
        <v>249.4154268958784</v>
      </c>
      <c r="P29" s="4">
        <f t="shared" si="14"/>
        <v>19</v>
      </c>
      <c r="Q29" s="34"/>
      <c r="R29" s="441"/>
    </row>
    <row r="30" spans="1:18" ht="16" thickBot="1" x14ac:dyDescent="0.4">
      <c r="A30" s="4">
        <f t="shared" si="8"/>
        <v>20</v>
      </c>
      <c r="B30" s="558">
        <f>'ET Forecast Capital Additions'!B30</f>
        <v>45526</v>
      </c>
      <c r="C30" s="187">
        <v>218</v>
      </c>
      <c r="D30" s="216">
        <v>226</v>
      </c>
      <c r="E30" s="191">
        <f t="shared" si="0"/>
        <v>444</v>
      </c>
      <c r="F30" s="192">
        <f t="shared" si="9"/>
        <v>7.3895537869773292E-2</v>
      </c>
      <c r="G30" s="190">
        <f t="shared" si="10"/>
        <v>7.6607300727379646E-2</v>
      </c>
      <c r="H30" s="188">
        <f t="shared" si="13"/>
        <v>0.15050283859715294</v>
      </c>
      <c r="I30" s="189">
        <f t="shared" si="2"/>
        <v>217.92610446213024</v>
      </c>
      <c r="J30" s="190">
        <f t="shared" si="3"/>
        <v>225.92339269927263</v>
      </c>
      <c r="K30" s="188">
        <f t="shared" si="4"/>
        <v>443.84949716140284</v>
      </c>
      <c r="L30" s="251">
        <f>'ET Forecast Capital Additions'!$L30</f>
        <v>0.41666666666666669</v>
      </c>
      <c r="M30" s="192">
        <f t="shared" si="5"/>
        <v>90.8025435258876</v>
      </c>
      <c r="N30" s="190">
        <f t="shared" si="6"/>
        <v>94.134746958030263</v>
      </c>
      <c r="O30" s="191">
        <f t="shared" si="7"/>
        <v>184.93729048391788</v>
      </c>
      <c r="P30" s="4">
        <f t="shared" si="14"/>
        <v>20</v>
      </c>
      <c r="Q30" s="34"/>
      <c r="R30" s="441"/>
    </row>
    <row r="31" spans="1:18" x14ac:dyDescent="0.35">
      <c r="A31" s="4">
        <f t="shared" si="8"/>
        <v>21</v>
      </c>
      <c r="B31" s="557">
        <f>'ET Forecast Capital Additions'!B31</f>
        <v>45557</v>
      </c>
      <c r="C31" s="185">
        <v>218</v>
      </c>
      <c r="D31" s="699">
        <v>226</v>
      </c>
      <c r="E31" s="593">
        <f t="shared" si="0"/>
        <v>444</v>
      </c>
      <c r="F31" s="55">
        <f t="shared" si="9"/>
        <v>7.3895537869773292E-2</v>
      </c>
      <c r="G31" s="241">
        <f t="shared" si="10"/>
        <v>7.6607300727379646E-2</v>
      </c>
      <c r="H31" s="132">
        <f t="shared" si="13"/>
        <v>0.15050283859715294</v>
      </c>
      <c r="I31" s="186">
        <f t="shared" si="2"/>
        <v>217.92610446213024</v>
      </c>
      <c r="J31" s="241">
        <f t="shared" si="3"/>
        <v>225.92339269927263</v>
      </c>
      <c r="K31" s="132">
        <f t="shared" si="4"/>
        <v>443.84949716140284</v>
      </c>
      <c r="L31" s="252">
        <f>'ET Forecast Capital Additions'!$L31</f>
        <v>0.33333333333333331</v>
      </c>
      <c r="M31" s="55">
        <f t="shared" si="5"/>
        <v>72.64203482071008</v>
      </c>
      <c r="N31" s="241">
        <f t="shared" si="6"/>
        <v>75.307797566424199</v>
      </c>
      <c r="O31" s="593">
        <f t="shared" si="7"/>
        <v>147.94983238713428</v>
      </c>
      <c r="P31" s="4">
        <f t="shared" si="14"/>
        <v>21</v>
      </c>
      <c r="Q31" s="34"/>
      <c r="R31" s="441"/>
    </row>
    <row r="32" spans="1:18" x14ac:dyDescent="0.35">
      <c r="A32" s="4">
        <f t="shared" si="8"/>
        <v>22</v>
      </c>
      <c r="B32" s="557">
        <f>'ET Forecast Capital Additions'!B32</f>
        <v>45587</v>
      </c>
      <c r="C32" s="185">
        <v>213</v>
      </c>
      <c r="D32" s="699">
        <v>221</v>
      </c>
      <c r="E32" s="593">
        <f t="shared" si="0"/>
        <v>434</v>
      </c>
      <c r="F32" s="55">
        <f t="shared" si="9"/>
        <v>7.2200686083769311E-2</v>
      </c>
      <c r="G32" s="241">
        <f t="shared" si="10"/>
        <v>7.4912448941375664E-2</v>
      </c>
      <c r="H32" s="132">
        <f t="shared" si="13"/>
        <v>0.14711313502514498</v>
      </c>
      <c r="I32" s="186">
        <f t="shared" si="2"/>
        <v>212.92779931391624</v>
      </c>
      <c r="J32" s="241">
        <f t="shared" si="3"/>
        <v>220.92508755105862</v>
      </c>
      <c r="K32" s="132">
        <f t="shared" si="4"/>
        <v>433.85288686497483</v>
      </c>
      <c r="L32" s="250">
        <f>'ET Forecast Capital Additions'!$L32</f>
        <v>0.25</v>
      </c>
      <c r="M32" s="55">
        <f t="shared" si="5"/>
        <v>53.23194982847906</v>
      </c>
      <c r="N32" s="241">
        <f t="shared" si="6"/>
        <v>55.231271887764656</v>
      </c>
      <c r="O32" s="593">
        <f t="shared" si="7"/>
        <v>108.46322171624371</v>
      </c>
      <c r="P32" s="4">
        <f t="shared" si="14"/>
        <v>22</v>
      </c>
      <c r="Q32" s="34"/>
      <c r="R32" s="441"/>
    </row>
    <row r="33" spans="1:18" x14ac:dyDescent="0.35">
      <c r="A33" s="4">
        <f t="shared" si="8"/>
        <v>23</v>
      </c>
      <c r="B33" s="557">
        <f>'ET Forecast Capital Additions'!B33</f>
        <v>45618</v>
      </c>
      <c r="C33" s="185">
        <v>312</v>
      </c>
      <c r="D33" s="699">
        <v>323</v>
      </c>
      <c r="E33" s="593">
        <f t="shared" si="0"/>
        <v>635</v>
      </c>
      <c r="F33" s="55">
        <f t="shared" si="9"/>
        <v>0.10575875144664801</v>
      </c>
      <c r="G33" s="241">
        <f t="shared" si="10"/>
        <v>0.10948742537585675</v>
      </c>
      <c r="H33" s="132">
        <f t="shared" si="13"/>
        <v>0.21524617682250474</v>
      </c>
      <c r="I33" s="186">
        <f t="shared" si="2"/>
        <v>311.89424124855333</v>
      </c>
      <c r="J33" s="241">
        <f t="shared" si="3"/>
        <v>322.89051257462415</v>
      </c>
      <c r="K33" s="132">
        <f t="shared" si="4"/>
        <v>634.78475382317743</v>
      </c>
      <c r="L33" s="250">
        <f>'ET Forecast Capital Additions'!$L33</f>
        <v>0.16666666666666666</v>
      </c>
      <c r="M33" s="55">
        <f t="shared" si="5"/>
        <v>51.982373541425552</v>
      </c>
      <c r="N33" s="241">
        <f t="shared" si="6"/>
        <v>53.815085429104023</v>
      </c>
      <c r="O33" s="593">
        <f t="shared" si="7"/>
        <v>105.79745897052958</v>
      </c>
      <c r="P33" s="4">
        <f t="shared" si="14"/>
        <v>23</v>
      </c>
      <c r="Q33" s="34"/>
      <c r="R33" s="441"/>
    </row>
    <row r="34" spans="1:18" ht="16" thickBot="1" x14ac:dyDescent="0.4">
      <c r="A34" s="4">
        <f t="shared" si="8"/>
        <v>24</v>
      </c>
      <c r="B34" s="557">
        <f>'ET Forecast Capital Additions'!B34</f>
        <v>45648</v>
      </c>
      <c r="C34" s="185">
        <v>410</v>
      </c>
      <c r="D34" s="699">
        <v>424</v>
      </c>
      <c r="E34" s="593">
        <f t="shared" si="0"/>
        <v>834</v>
      </c>
      <c r="F34" s="55">
        <f t="shared" si="9"/>
        <v>0.13897784645232591</v>
      </c>
      <c r="G34" s="241">
        <f t="shared" si="10"/>
        <v>0.14372343145313704</v>
      </c>
      <c r="H34" s="132">
        <f t="shared" si="13"/>
        <v>0.28270127790546296</v>
      </c>
      <c r="I34" s="186">
        <f t="shared" si="2"/>
        <v>409.86102215354765</v>
      </c>
      <c r="J34" s="241">
        <f t="shared" si="3"/>
        <v>423.85627656854689</v>
      </c>
      <c r="K34" s="132">
        <f t="shared" si="4"/>
        <v>833.71729872209448</v>
      </c>
      <c r="L34" s="250">
        <f>'ET Forecast Capital Additions'!$L34</f>
        <v>8.3333333333333329E-2</v>
      </c>
      <c r="M34" s="55">
        <f t="shared" si="5"/>
        <v>34.155085179462304</v>
      </c>
      <c r="N34" s="241">
        <f t="shared" si="6"/>
        <v>35.321356380712238</v>
      </c>
      <c r="O34" s="593">
        <f t="shared" si="7"/>
        <v>69.47644156017455</v>
      </c>
      <c r="P34" s="4">
        <f t="shared" si="14"/>
        <v>24</v>
      </c>
      <c r="Q34" s="34"/>
      <c r="R34" s="441"/>
    </row>
    <row r="35" spans="1:18" ht="16" thickBot="1" x14ac:dyDescent="0.4">
      <c r="A35" s="4">
        <f t="shared" si="8"/>
        <v>25</v>
      </c>
      <c r="B35" s="559" t="s">
        <v>265</v>
      </c>
      <c r="C35" s="196">
        <f t="shared" ref="C35:K35" si="15">SUM(C11:C34)</f>
        <v>7075</v>
      </c>
      <c r="D35" s="197">
        <f t="shared" si="15"/>
        <v>7325</v>
      </c>
      <c r="E35" s="199">
        <f t="shared" si="15"/>
        <v>14400</v>
      </c>
      <c r="F35" s="200">
        <f t="shared" si="15"/>
        <v>2.3982152771956242</v>
      </c>
      <c r="G35" s="197">
        <f t="shared" si="15"/>
        <v>2.4829578664958225</v>
      </c>
      <c r="H35" s="198">
        <f t="shared" si="15"/>
        <v>4.8811731436914467</v>
      </c>
      <c r="I35" s="196">
        <f t="shared" si="15"/>
        <v>7072.6017847228022</v>
      </c>
      <c r="J35" s="197">
        <f t="shared" si="15"/>
        <v>7322.5170421335051</v>
      </c>
      <c r="K35" s="198">
        <f t="shared" si="15"/>
        <v>14395.118826856309</v>
      </c>
      <c r="L35" s="223"/>
      <c r="M35" s="200">
        <f>SUM(M11:M34)</f>
        <v>5570.9443080277133</v>
      </c>
      <c r="N35" s="197">
        <f>SUM(N11:N34)</f>
        <v>5766.9611749235055</v>
      </c>
      <c r="O35" s="199">
        <f>SUM(O11:O34)</f>
        <v>11337.905482951219</v>
      </c>
      <c r="P35" s="4">
        <f t="shared" si="14"/>
        <v>25</v>
      </c>
      <c r="Q35" s="34"/>
      <c r="R35" s="34"/>
    </row>
    <row r="36" spans="1:18" x14ac:dyDescent="0.35">
      <c r="A36" s="4">
        <f>A35+1</f>
        <v>26</v>
      </c>
      <c r="B36" s="531"/>
      <c r="C36" s="2"/>
      <c r="D36" s="2"/>
      <c r="E36" s="577"/>
      <c r="F36" s="34"/>
      <c r="G36" s="34"/>
      <c r="H36" s="91"/>
      <c r="I36" s="34"/>
      <c r="J36" s="34"/>
      <c r="K36" s="6"/>
      <c r="L36" s="4"/>
      <c r="M36" s="34"/>
      <c r="N36" s="34"/>
      <c r="O36" s="135"/>
      <c r="P36" s="4">
        <f>P35+1</f>
        <v>26</v>
      </c>
      <c r="Q36" s="34"/>
      <c r="R36" s="34"/>
    </row>
    <row r="37" spans="1:18" s="427" customFormat="1" x14ac:dyDescent="0.35">
      <c r="A37" s="4">
        <f>A36+1</f>
        <v>27</v>
      </c>
      <c r="B37" s="561"/>
      <c r="E37" s="34" t="s">
        <v>1801</v>
      </c>
      <c r="F37" s="562"/>
      <c r="G37" s="562"/>
      <c r="H37" s="30">
        <f>'ET Forecast Capital Additions'!H37</f>
        <v>2694.5360000000001</v>
      </c>
      <c r="I37" s="202"/>
      <c r="J37" s="34" t="str">
        <f>'ET Forecast Capital Additions'!J37</f>
        <v>Form 1; Page 204-207; Line 58; Col. d</v>
      </c>
      <c r="K37" s="202"/>
      <c r="L37" s="348"/>
      <c r="O37" s="563"/>
      <c r="P37" s="4">
        <f t="shared" ref="P37:P42" si="16">P36+1</f>
        <v>27</v>
      </c>
      <c r="Q37" s="34"/>
    </row>
    <row r="38" spans="1:18" s="427" customFormat="1" x14ac:dyDescent="0.35">
      <c r="A38" s="4">
        <f>A37+1</f>
        <v>28</v>
      </c>
      <c r="B38" s="561"/>
      <c r="E38" s="34"/>
      <c r="F38" s="562"/>
      <c r="G38" s="562"/>
      <c r="H38" s="6"/>
      <c r="I38" s="202"/>
      <c r="J38" s="34"/>
      <c r="K38" s="202"/>
      <c r="L38" s="348"/>
      <c r="O38" s="563"/>
      <c r="P38" s="4">
        <f t="shared" si="16"/>
        <v>28</v>
      </c>
      <c r="Q38" s="34"/>
    </row>
    <row r="39" spans="1:18" s="427" customFormat="1" x14ac:dyDescent="0.35">
      <c r="A39" s="4">
        <f t="shared" ref="A39:A40" si="17">A38+1</f>
        <v>29</v>
      </c>
      <c r="B39" s="561"/>
      <c r="E39" s="34" t="s">
        <v>1803</v>
      </c>
      <c r="F39" s="562"/>
      <c r="G39" s="562"/>
      <c r="H39" s="973">
        <f>'ET Forecast Capital Additions'!H39</f>
        <v>7949178.8669999996</v>
      </c>
      <c r="I39" s="202"/>
      <c r="J39" s="34" t="str">
        <f>'ET Forecast Capital Additions'!J39</f>
        <v>Form 1; Page 204-207; Line 58; Col. g</v>
      </c>
      <c r="K39" s="202"/>
      <c r="L39" s="348"/>
      <c r="O39" s="563"/>
      <c r="P39" s="4">
        <f t="shared" si="16"/>
        <v>29</v>
      </c>
      <c r="Q39" s="34"/>
    </row>
    <row r="40" spans="1:18" s="427" customFormat="1" ht="16" thickBot="1" x14ac:dyDescent="0.4">
      <c r="A40" s="4">
        <f t="shared" si="17"/>
        <v>30</v>
      </c>
      <c r="B40" s="561"/>
      <c r="E40" s="562"/>
      <c r="F40" s="562"/>
      <c r="G40" s="562"/>
      <c r="H40" s="202"/>
      <c r="I40" s="202"/>
      <c r="J40" s="202"/>
      <c r="K40" s="202"/>
      <c r="L40" s="348"/>
      <c r="O40" s="563"/>
      <c r="P40" s="4">
        <f t="shared" si="16"/>
        <v>30</v>
      </c>
    </row>
    <row r="41" spans="1:18" ht="16" thickBot="1" x14ac:dyDescent="0.4">
      <c r="A41" s="4">
        <f>A40+1</f>
        <v>31</v>
      </c>
      <c r="B41" s="531"/>
      <c r="C41" s="34"/>
      <c r="D41" s="34"/>
      <c r="E41" s="1" t="s">
        <v>1805</v>
      </c>
      <c r="F41" s="34"/>
      <c r="G41" s="34"/>
      <c r="H41" s="203">
        <f>H37/H39</f>
        <v>3.3897035720079489E-4</v>
      </c>
      <c r="I41" s="50"/>
      <c r="J41" s="34" t="s">
        <v>1806</v>
      </c>
      <c r="K41" s="50"/>
      <c r="L41" s="4"/>
      <c r="M41" s="34"/>
      <c r="N41" s="34"/>
      <c r="O41" s="392"/>
      <c r="P41" s="4">
        <f t="shared" si="16"/>
        <v>31</v>
      </c>
      <c r="Q41" s="34"/>
      <c r="R41" s="34"/>
    </row>
    <row r="42" spans="1:18" ht="16" thickBot="1" x14ac:dyDescent="0.4">
      <c r="A42" s="4">
        <f t="shared" si="8"/>
        <v>32</v>
      </c>
      <c r="B42" s="564"/>
      <c r="C42" s="891"/>
      <c r="D42" s="891"/>
      <c r="E42" s="891"/>
      <c r="F42" s="891"/>
      <c r="G42" s="891"/>
      <c r="H42" s="891"/>
      <c r="I42" s="891"/>
      <c r="J42" s="891"/>
      <c r="K42" s="891"/>
      <c r="L42" s="889"/>
      <c r="M42" s="891"/>
      <c r="N42" s="891"/>
      <c r="O42" s="204"/>
      <c r="P42" s="4">
        <f t="shared" si="16"/>
        <v>32</v>
      </c>
      <c r="Q42" s="427"/>
      <c r="R42" s="34"/>
    </row>
    <row r="43" spans="1:18" ht="16" thickBot="1" x14ac:dyDescent="0.4">
      <c r="A43" s="4">
        <f t="shared" si="8"/>
        <v>33</v>
      </c>
      <c r="B43" s="578"/>
      <c r="C43" s="579"/>
      <c r="D43" s="579"/>
      <c r="E43" s="579"/>
      <c r="F43" s="579"/>
      <c r="G43" s="579"/>
      <c r="H43" s="579"/>
      <c r="I43" s="579"/>
      <c r="J43" s="579"/>
      <c r="K43" s="579"/>
      <c r="L43" s="580"/>
      <c r="M43" s="579"/>
      <c r="N43" s="579"/>
      <c r="O43" s="581"/>
      <c r="P43" s="4">
        <f t="shared" ref="P43:P49" si="18">P42+1</f>
        <v>33</v>
      </c>
      <c r="Q43" s="427"/>
      <c r="R43" s="34"/>
    </row>
    <row r="44" spans="1:18" ht="16" thickBot="1" x14ac:dyDescent="0.4">
      <c r="A44" s="4">
        <f t="shared" si="8"/>
        <v>34</v>
      </c>
      <c r="B44" s="566"/>
      <c r="C44" s="34"/>
      <c r="D44" s="259"/>
      <c r="E44" s="34"/>
      <c r="F44" s="34"/>
      <c r="G44" s="31"/>
      <c r="H44" s="486" t="s">
        <v>1815</v>
      </c>
      <c r="I44" s="568" t="s">
        <v>1808</v>
      </c>
      <c r="J44" s="569" t="s">
        <v>1809</v>
      </c>
      <c r="K44" s="569" t="s">
        <v>1766</v>
      </c>
      <c r="L44" s="226"/>
      <c r="M44" s="568" t="s">
        <v>1769</v>
      </c>
      <c r="N44" s="568" t="s">
        <v>1770</v>
      </c>
      <c r="O44" s="568" t="s">
        <v>1810</v>
      </c>
      <c r="P44" s="4">
        <f t="shared" si="18"/>
        <v>34</v>
      </c>
      <c r="Q44" s="427"/>
      <c r="R44" s="34"/>
    </row>
    <row r="45" spans="1:18" ht="16" thickBot="1" x14ac:dyDescent="0.4">
      <c r="A45" s="4">
        <f t="shared" si="8"/>
        <v>35</v>
      </c>
      <c r="B45" s="531"/>
      <c r="C45" s="34"/>
      <c r="D45" s="34"/>
      <c r="E45" s="34"/>
      <c r="F45" s="34"/>
      <c r="G45" s="31"/>
      <c r="H45" s="486" t="s">
        <v>1816</v>
      </c>
      <c r="I45" s="205">
        <f>+I35</f>
        <v>7072.6017847228022</v>
      </c>
      <c r="J45" s="205">
        <f>+J35</f>
        <v>7322.5170421335051</v>
      </c>
      <c r="K45" s="205">
        <f>+K35</f>
        <v>14395.118826856309</v>
      </c>
      <c r="L45" s="224"/>
      <c r="M45" s="205">
        <f>+M35</f>
        <v>5570.9443080277133</v>
      </c>
      <c r="N45" s="205">
        <f>+N35</f>
        <v>5766.9611749235055</v>
      </c>
      <c r="O45" s="205">
        <f>+O35</f>
        <v>11337.905482951219</v>
      </c>
      <c r="P45" s="4">
        <f t="shared" si="18"/>
        <v>35</v>
      </c>
      <c r="Q45" s="34"/>
      <c r="R45" s="34"/>
    </row>
    <row r="46" spans="1:18" ht="16" thickTop="1" x14ac:dyDescent="0.35">
      <c r="A46" s="4">
        <f t="shared" si="8"/>
        <v>36</v>
      </c>
      <c r="B46" s="531"/>
      <c r="C46" s="34"/>
      <c r="D46" s="34"/>
      <c r="E46" s="34"/>
      <c r="F46" s="34"/>
      <c r="G46" s="31"/>
      <c r="H46" s="31"/>
      <c r="I46" s="225">
        <v>0</v>
      </c>
      <c r="J46" s="225">
        <v>0</v>
      </c>
      <c r="K46" s="225">
        <v>0</v>
      </c>
      <c r="L46" s="226"/>
      <c r="M46" s="225">
        <v>0</v>
      </c>
      <c r="N46" s="225">
        <v>0</v>
      </c>
      <c r="O46" s="225">
        <v>0</v>
      </c>
      <c r="P46" s="4">
        <f t="shared" si="18"/>
        <v>36</v>
      </c>
      <c r="Q46" s="34"/>
      <c r="R46" s="34"/>
    </row>
    <row r="47" spans="1:18" ht="16" thickBot="1" x14ac:dyDescent="0.4">
      <c r="A47" s="4">
        <f>A46+1</f>
        <v>37</v>
      </c>
      <c r="B47" s="531"/>
      <c r="C47" s="34"/>
      <c r="D47" s="34"/>
      <c r="E47" s="34"/>
      <c r="F47" s="34"/>
      <c r="G47" s="31"/>
      <c r="H47" s="486" t="s">
        <v>1812</v>
      </c>
      <c r="I47" s="209">
        <f>+I45/K45</f>
        <v>0.49131944444444425</v>
      </c>
      <c r="J47" s="209">
        <f>+J45/K45</f>
        <v>0.50868055555555558</v>
      </c>
      <c r="K47" s="209">
        <f>I47+J47</f>
        <v>0.99999999999999978</v>
      </c>
      <c r="L47" s="226"/>
      <c r="M47" s="209">
        <f>+M45/O45</f>
        <v>0.491355684381452</v>
      </c>
      <c r="N47" s="209">
        <f>+N45/O45</f>
        <v>0.50864431561854795</v>
      </c>
      <c r="O47" s="209">
        <f>M47+N47</f>
        <v>1</v>
      </c>
      <c r="P47" s="4">
        <f>P46+1</f>
        <v>37</v>
      </c>
      <c r="Q47" s="34"/>
      <c r="R47" s="34"/>
    </row>
    <row r="48" spans="1:18" ht="16.5" thickTop="1" thickBot="1" x14ac:dyDescent="0.4">
      <c r="A48" s="4">
        <f t="shared" si="8"/>
        <v>38</v>
      </c>
      <c r="B48" s="530"/>
      <c r="C48" s="34"/>
      <c r="D48" s="34"/>
      <c r="E48" s="34"/>
      <c r="F48" s="34"/>
      <c r="G48" s="34"/>
      <c r="H48" s="34"/>
      <c r="I48" s="213"/>
      <c r="J48" s="213"/>
      <c r="K48" s="213"/>
      <c r="L48" s="4"/>
      <c r="M48" s="582"/>
      <c r="N48" s="582"/>
      <c r="O48" s="582"/>
      <c r="P48" s="4">
        <f t="shared" si="18"/>
        <v>38</v>
      </c>
      <c r="Q48" s="34"/>
      <c r="R48" s="34"/>
    </row>
    <row r="49" spans="1:18" ht="16" thickBot="1" x14ac:dyDescent="0.4">
      <c r="A49" s="4">
        <f t="shared" si="8"/>
        <v>39</v>
      </c>
      <c r="B49" s="537"/>
      <c r="C49" s="891"/>
      <c r="D49" s="891"/>
      <c r="E49" s="891"/>
      <c r="F49" s="891"/>
      <c r="G49" s="891"/>
      <c r="H49" s="891"/>
      <c r="I49" s="891"/>
      <c r="J49" s="891"/>
      <c r="K49" s="891"/>
      <c r="L49" s="889"/>
      <c r="M49" s="891"/>
      <c r="N49" s="891"/>
      <c r="O49" s="204"/>
      <c r="P49" s="4">
        <f t="shared" si="18"/>
        <v>39</v>
      </c>
      <c r="Q49" s="34"/>
      <c r="R49" s="34"/>
    </row>
    <row r="50" spans="1:18" x14ac:dyDescent="0.35">
      <c r="B50" s="1"/>
      <c r="C50" s="34"/>
      <c r="D50" s="34"/>
      <c r="E50" s="34"/>
      <c r="F50" s="34"/>
      <c r="G50" s="34"/>
      <c r="H50" s="34"/>
      <c r="I50" s="34"/>
      <c r="J50" s="34"/>
      <c r="K50" s="34"/>
      <c r="L50" s="4"/>
      <c r="M50" s="34"/>
      <c r="N50" s="34"/>
      <c r="O50" s="34"/>
      <c r="Q50" s="34"/>
      <c r="R50" s="34"/>
    </row>
    <row r="51" spans="1:18" x14ac:dyDescent="0.35">
      <c r="B51" s="1"/>
      <c r="C51" s="34"/>
      <c r="D51" s="34"/>
      <c r="E51" s="34"/>
      <c r="F51" s="34"/>
      <c r="G51" s="34"/>
      <c r="H51" s="34"/>
      <c r="I51" s="34"/>
      <c r="J51" s="34"/>
      <c r="K51" s="34"/>
      <c r="L51" s="4"/>
      <c r="M51" s="34"/>
      <c r="N51" s="34"/>
      <c r="O51" s="34"/>
      <c r="Q51" s="34"/>
      <c r="R51" s="34"/>
    </row>
    <row r="52" spans="1:18" ht="18" x14ac:dyDescent="0.35">
      <c r="A52" s="261">
        <v>1</v>
      </c>
      <c r="B52" s="34" t="s">
        <v>1817</v>
      </c>
      <c r="C52" s="34"/>
      <c r="D52" s="34"/>
      <c r="E52" s="34"/>
      <c r="F52" s="34"/>
      <c r="G52" s="34"/>
      <c r="H52" s="34"/>
      <c r="I52" s="34"/>
      <c r="J52" s="34"/>
      <c r="K52" s="34"/>
      <c r="L52" s="4"/>
      <c r="M52" s="34"/>
      <c r="N52" s="34"/>
      <c r="O52" s="34"/>
      <c r="Q52" s="34"/>
      <c r="R52" s="34"/>
    </row>
    <row r="53" spans="1:18" x14ac:dyDescent="0.35">
      <c r="B53" s="34"/>
      <c r="C53" s="34"/>
      <c r="D53" s="34"/>
      <c r="E53" s="34"/>
      <c r="F53" s="34"/>
      <c r="G53" s="34"/>
      <c r="H53" s="34"/>
      <c r="I53" s="34"/>
      <c r="J53" s="34"/>
      <c r="K53" s="34"/>
      <c r="L53" s="4"/>
      <c r="M53" s="34"/>
      <c r="N53" s="34"/>
      <c r="O53" s="34"/>
      <c r="Q53" s="34"/>
      <c r="R53" s="34"/>
    </row>
    <row r="54" spans="1:18" x14ac:dyDescent="0.35">
      <c r="B54" s="1"/>
      <c r="C54" s="34"/>
      <c r="D54" s="34"/>
      <c r="E54" s="34"/>
      <c r="F54" s="34"/>
      <c r="G54" s="34"/>
      <c r="H54" s="34"/>
      <c r="I54" s="34"/>
      <c r="J54" s="34"/>
      <c r="K54" s="34"/>
      <c r="L54" s="4"/>
      <c r="M54" s="34"/>
      <c r="N54" s="34"/>
      <c r="O54" s="34"/>
      <c r="Q54" s="34"/>
      <c r="R54" s="34"/>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90625" defaultRowHeight="15.5" x14ac:dyDescent="0.35"/>
  <cols>
    <col min="1" max="1" width="5.08984375" style="4" customWidth="1"/>
    <col min="2" max="2" width="8.54296875" style="5" customWidth="1"/>
    <col min="3" max="11" width="15.90625" style="5" customWidth="1"/>
    <col min="12" max="12" width="11.08984375" style="5" customWidth="1"/>
    <col min="13" max="15" width="15.90625" style="5" customWidth="1"/>
    <col min="16" max="16" width="5.08984375" style="4" customWidth="1"/>
    <col min="17" max="16384" width="8.90625" style="5"/>
  </cols>
  <sheetData>
    <row r="1" spans="1:18" x14ac:dyDescent="0.35">
      <c r="B1" s="34"/>
      <c r="C1" s="263"/>
      <c r="D1" s="34"/>
      <c r="E1" s="34"/>
      <c r="F1" s="34"/>
      <c r="G1" s="34"/>
      <c r="H1" s="34"/>
      <c r="I1" s="34"/>
      <c r="J1" s="34"/>
      <c r="K1" s="34"/>
      <c r="L1" s="34"/>
      <c r="M1" s="34"/>
      <c r="N1" s="34"/>
      <c r="O1" s="34"/>
      <c r="Q1" s="34"/>
      <c r="R1" s="34"/>
    </row>
    <row r="2" spans="1:18" x14ac:dyDescent="0.35">
      <c r="B2" s="1171" t="s">
        <v>0</v>
      </c>
      <c r="C2" s="1171"/>
      <c r="D2" s="1171"/>
      <c r="E2" s="1171"/>
      <c r="F2" s="1171"/>
      <c r="G2" s="1171"/>
      <c r="H2" s="1171"/>
      <c r="I2" s="1171"/>
      <c r="J2" s="1171"/>
      <c r="K2" s="1171"/>
      <c r="L2" s="1171"/>
      <c r="M2" s="1171"/>
      <c r="N2" s="1171"/>
      <c r="O2" s="1171"/>
      <c r="Q2" s="34"/>
      <c r="R2" s="34"/>
    </row>
    <row r="3" spans="1:18" x14ac:dyDescent="0.35">
      <c r="B3" s="1171" t="s">
        <v>1792</v>
      </c>
      <c r="C3" s="1171"/>
      <c r="D3" s="1171"/>
      <c r="E3" s="1171"/>
      <c r="F3" s="1171"/>
      <c r="G3" s="1171"/>
      <c r="H3" s="1171"/>
      <c r="I3" s="1171"/>
      <c r="J3" s="1171"/>
      <c r="K3" s="1171"/>
      <c r="L3" s="1171"/>
      <c r="M3" s="1171"/>
      <c r="N3" s="1171"/>
      <c r="O3" s="1171"/>
      <c r="Q3" s="34"/>
      <c r="R3" s="34"/>
    </row>
    <row r="4" spans="1:18" x14ac:dyDescent="0.35">
      <c r="B4" s="1176" t="str">
        <f>'Summary of HV-LV Splits'!B4</f>
        <v>24-Month Forecast Period (January 1, 2023 - December 31, 2024)</v>
      </c>
      <c r="C4" s="1176"/>
      <c r="D4" s="1176"/>
      <c r="E4" s="1176"/>
      <c r="F4" s="1176"/>
      <c r="G4" s="1176"/>
      <c r="H4" s="1176"/>
      <c r="I4" s="1176"/>
      <c r="J4" s="1176"/>
      <c r="K4" s="1176"/>
      <c r="L4" s="1176"/>
      <c r="M4" s="1176"/>
      <c r="N4" s="1176"/>
      <c r="O4" s="1176"/>
      <c r="Q4" s="34"/>
      <c r="R4" s="34"/>
    </row>
    <row r="5" spans="1:18" x14ac:dyDescent="0.35">
      <c r="B5" s="1171" t="s">
        <v>1818</v>
      </c>
      <c r="C5" s="1171"/>
      <c r="D5" s="1171"/>
      <c r="E5" s="1171"/>
      <c r="F5" s="1171"/>
      <c r="G5" s="1171"/>
      <c r="H5" s="1171"/>
      <c r="I5" s="1171"/>
      <c r="J5" s="1171"/>
      <c r="K5" s="1171"/>
      <c r="L5" s="1171"/>
      <c r="M5" s="1171"/>
      <c r="N5" s="1171"/>
      <c r="O5" s="1171"/>
      <c r="Q5" s="34"/>
      <c r="R5" s="34"/>
    </row>
    <row r="6" spans="1:18" x14ac:dyDescent="0.35">
      <c r="B6" s="1200">
        <v>-1000</v>
      </c>
      <c r="C6" s="1200"/>
      <c r="D6" s="1200"/>
      <c r="E6" s="1200"/>
      <c r="F6" s="1200"/>
      <c r="G6" s="1200"/>
      <c r="H6" s="1200"/>
      <c r="I6" s="1200"/>
      <c r="J6" s="1200"/>
      <c r="K6" s="1200"/>
      <c r="L6" s="1200"/>
      <c r="M6" s="1200"/>
      <c r="N6" s="1200"/>
      <c r="O6" s="1200"/>
      <c r="Q6" s="34"/>
      <c r="R6" s="34"/>
    </row>
    <row r="7" spans="1:18" ht="16" thickBot="1" x14ac:dyDescent="0.4">
      <c r="B7" s="34"/>
      <c r="C7" s="34"/>
      <c r="D7" s="34"/>
      <c r="E7" s="34"/>
      <c r="F7" s="34"/>
      <c r="G7" s="34"/>
      <c r="H7" s="34"/>
      <c r="I7" s="34"/>
      <c r="J7" s="34"/>
      <c r="K7" s="34"/>
      <c r="L7" s="34"/>
      <c r="M7" s="34"/>
      <c r="N7" s="34"/>
      <c r="O7" s="34"/>
      <c r="Q7" s="34"/>
      <c r="R7" s="34"/>
    </row>
    <row r="8" spans="1:18" x14ac:dyDescent="0.35">
      <c r="A8" s="4" t="s">
        <v>6</v>
      </c>
      <c r="B8" s="239"/>
      <c r="C8" s="237" t="s">
        <v>1819</v>
      </c>
      <c r="D8" s="235"/>
      <c r="E8" s="238"/>
      <c r="F8" s="234" t="s">
        <v>1795</v>
      </c>
      <c r="G8" s="235"/>
      <c r="H8" s="236"/>
      <c r="I8" s="237" t="s">
        <v>1796</v>
      </c>
      <c r="J8" s="235"/>
      <c r="K8" s="238"/>
      <c r="L8" s="239" t="s">
        <v>1797</v>
      </c>
      <c r="M8" s="237" t="s">
        <v>1798</v>
      </c>
      <c r="N8" s="235"/>
      <c r="O8" s="236"/>
      <c r="P8" s="4" t="s">
        <v>6</v>
      </c>
      <c r="Q8" s="1"/>
      <c r="R8" s="1"/>
    </row>
    <row r="9" spans="1:18" ht="16" thickBot="1" x14ac:dyDescent="0.4">
      <c r="A9" s="4" t="s">
        <v>7</v>
      </c>
      <c r="B9" s="547" t="s">
        <v>1799</v>
      </c>
      <c r="C9" s="552" t="s">
        <v>1767</v>
      </c>
      <c r="D9" s="549" t="s">
        <v>1768</v>
      </c>
      <c r="E9" s="550" t="s">
        <v>265</v>
      </c>
      <c r="F9" s="548" t="s">
        <v>1767</v>
      </c>
      <c r="G9" s="549" t="s">
        <v>1768</v>
      </c>
      <c r="H9" s="551" t="s">
        <v>265</v>
      </c>
      <c r="I9" s="552" t="s">
        <v>1767</v>
      </c>
      <c r="J9" s="549" t="s">
        <v>1768</v>
      </c>
      <c r="K9" s="550" t="s">
        <v>265</v>
      </c>
      <c r="L9" s="547" t="s">
        <v>1800</v>
      </c>
      <c r="M9" s="552" t="s">
        <v>1767</v>
      </c>
      <c r="N9" s="549" t="s">
        <v>1768</v>
      </c>
      <c r="O9" s="551" t="s">
        <v>265</v>
      </c>
      <c r="P9" s="4" t="s">
        <v>7</v>
      </c>
      <c r="Q9" s="1"/>
      <c r="R9" s="1"/>
    </row>
    <row r="10" spans="1:18" x14ac:dyDescent="0.35">
      <c r="A10" s="226"/>
      <c r="B10" s="239"/>
      <c r="C10" s="226"/>
      <c r="D10" s="471"/>
      <c r="E10" s="226"/>
      <c r="F10" s="523"/>
      <c r="G10" s="472"/>
      <c r="H10" s="556"/>
      <c r="I10" s="226"/>
      <c r="J10" s="471"/>
      <c r="K10" s="226"/>
      <c r="L10" s="553"/>
      <c r="M10" s="226"/>
      <c r="N10" s="471"/>
      <c r="O10" s="556"/>
      <c r="P10" s="226"/>
      <c r="Q10" s="1"/>
      <c r="R10" s="1"/>
    </row>
    <row r="11" spans="1:18" x14ac:dyDescent="0.35">
      <c r="A11" s="4">
        <v>1</v>
      </c>
      <c r="B11" s="557">
        <f>'ET Forecast Capital Additions'!B11</f>
        <v>44948</v>
      </c>
      <c r="C11" s="227">
        <v>0</v>
      </c>
      <c r="D11" s="698">
        <v>0</v>
      </c>
      <c r="E11" s="127">
        <f t="shared" ref="E11:E34" si="0">C11+D11</f>
        <v>0</v>
      </c>
      <c r="F11" s="184">
        <f>C11*$H$41</f>
        <v>0</v>
      </c>
      <c r="G11" s="613">
        <f t="shared" ref="G11:G34" si="1">D11*$H$41</f>
        <v>0</v>
      </c>
      <c r="H11" s="228">
        <f t="shared" ref="H11:H34" si="2">F11+G11</f>
        <v>0</v>
      </c>
      <c r="I11" s="61">
        <f>C11-F11</f>
        <v>0</v>
      </c>
      <c r="J11" s="240">
        <f>D11-G11</f>
        <v>0</v>
      </c>
      <c r="K11" s="127">
        <f t="shared" ref="K11:K34" si="3">I11+J11</f>
        <v>0</v>
      </c>
      <c r="L11" s="250">
        <f>'ET Forecast Capital Additions'!$L11</f>
        <v>1</v>
      </c>
      <c r="M11" s="61">
        <f>I11*L11</f>
        <v>0</v>
      </c>
      <c r="N11" s="240">
        <f t="shared" ref="N11:N34" si="4">J11*L11</f>
        <v>0</v>
      </c>
      <c r="O11" s="613">
        <f t="shared" ref="O11:O34" si="5">M11+N11</f>
        <v>0</v>
      </c>
      <c r="P11" s="4">
        <f>A11</f>
        <v>1</v>
      </c>
      <c r="Q11" s="34"/>
      <c r="R11" s="34"/>
    </row>
    <row r="12" spans="1:18" x14ac:dyDescent="0.35">
      <c r="A12" s="4">
        <f t="shared" ref="A12:A49" si="6">A11+1</f>
        <v>2</v>
      </c>
      <c r="B12" s="557">
        <f>'ET Forecast Capital Additions'!B12</f>
        <v>44979</v>
      </c>
      <c r="C12" s="229">
        <v>0</v>
      </c>
      <c r="D12" s="699">
        <v>0</v>
      </c>
      <c r="E12" s="132">
        <f t="shared" si="0"/>
        <v>0</v>
      </c>
      <c r="F12" s="186">
        <f t="shared" ref="F12:F34" si="7">C12*$H$41</f>
        <v>0</v>
      </c>
      <c r="G12" s="593">
        <f t="shared" si="1"/>
        <v>0</v>
      </c>
      <c r="H12" s="135">
        <f t="shared" si="2"/>
        <v>0</v>
      </c>
      <c r="I12" s="55">
        <f t="shared" ref="I12:J34" si="8">C12-F12</f>
        <v>0</v>
      </c>
      <c r="J12" s="241">
        <f t="shared" si="8"/>
        <v>0</v>
      </c>
      <c r="K12" s="132">
        <f t="shared" si="3"/>
        <v>0</v>
      </c>
      <c r="L12" s="250">
        <f>'ET Forecast Capital Additions'!$L12</f>
        <v>1</v>
      </c>
      <c r="M12" s="55">
        <f t="shared" ref="M12:M34" si="9">I12*L12</f>
        <v>0</v>
      </c>
      <c r="N12" s="241">
        <f t="shared" si="4"/>
        <v>0</v>
      </c>
      <c r="O12" s="593">
        <f t="shared" si="5"/>
        <v>0</v>
      </c>
      <c r="P12" s="4">
        <f t="shared" ref="P12:P49" si="10">P11+1</f>
        <v>2</v>
      </c>
      <c r="Q12" s="34"/>
      <c r="R12" s="34"/>
    </row>
    <row r="13" spans="1:18" x14ac:dyDescent="0.35">
      <c r="A13" s="4">
        <f t="shared" si="6"/>
        <v>3</v>
      </c>
      <c r="B13" s="557">
        <f>'ET Forecast Capital Additions'!B13</f>
        <v>45007</v>
      </c>
      <c r="C13" s="229">
        <v>0</v>
      </c>
      <c r="D13" s="699">
        <v>0</v>
      </c>
      <c r="E13" s="132">
        <f t="shared" si="0"/>
        <v>0</v>
      </c>
      <c r="F13" s="186">
        <f t="shared" si="7"/>
        <v>0</v>
      </c>
      <c r="G13" s="593">
        <f t="shared" si="1"/>
        <v>0</v>
      </c>
      <c r="H13" s="135">
        <f t="shared" si="2"/>
        <v>0</v>
      </c>
      <c r="I13" s="55">
        <f t="shared" si="8"/>
        <v>0</v>
      </c>
      <c r="J13" s="241">
        <f t="shared" si="8"/>
        <v>0</v>
      </c>
      <c r="K13" s="132">
        <f t="shared" si="3"/>
        <v>0</v>
      </c>
      <c r="L13" s="250">
        <f>'ET Forecast Capital Additions'!$L13</f>
        <v>1</v>
      </c>
      <c r="M13" s="55">
        <f t="shared" si="9"/>
        <v>0</v>
      </c>
      <c r="N13" s="241">
        <f t="shared" si="4"/>
        <v>0</v>
      </c>
      <c r="O13" s="593">
        <f t="shared" si="5"/>
        <v>0</v>
      </c>
      <c r="P13" s="4">
        <f t="shared" si="10"/>
        <v>3</v>
      </c>
      <c r="Q13" s="34"/>
      <c r="R13" s="34"/>
    </row>
    <row r="14" spans="1:18" ht="16" thickBot="1" x14ac:dyDescent="0.4">
      <c r="A14" s="4">
        <f t="shared" si="6"/>
        <v>4</v>
      </c>
      <c r="B14" s="558">
        <f>'ET Forecast Capital Additions'!B14</f>
        <v>45038</v>
      </c>
      <c r="C14" s="230">
        <v>0</v>
      </c>
      <c r="D14" s="216">
        <v>0</v>
      </c>
      <c r="E14" s="188">
        <f t="shared" si="0"/>
        <v>0</v>
      </c>
      <c r="F14" s="189">
        <f t="shared" si="7"/>
        <v>0</v>
      </c>
      <c r="G14" s="191">
        <f t="shared" si="1"/>
        <v>0</v>
      </c>
      <c r="H14" s="221">
        <f t="shared" si="2"/>
        <v>0</v>
      </c>
      <c r="I14" s="192">
        <f t="shared" si="8"/>
        <v>0</v>
      </c>
      <c r="J14" s="190">
        <f t="shared" si="8"/>
        <v>0</v>
      </c>
      <c r="K14" s="188">
        <f t="shared" si="3"/>
        <v>0</v>
      </c>
      <c r="L14" s="251">
        <f>'ET Forecast Capital Additions'!$L14</f>
        <v>1</v>
      </c>
      <c r="M14" s="192">
        <f t="shared" si="9"/>
        <v>0</v>
      </c>
      <c r="N14" s="190">
        <f t="shared" si="4"/>
        <v>0</v>
      </c>
      <c r="O14" s="191">
        <f t="shared" si="5"/>
        <v>0</v>
      </c>
      <c r="P14" s="4">
        <f t="shared" si="10"/>
        <v>4</v>
      </c>
      <c r="Q14" s="34"/>
      <c r="R14" s="34"/>
    </row>
    <row r="15" spans="1:18" x14ac:dyDescent="0.35">
      <c r="A15" s="4">
        <f t="shared" si="6"/>
        <v>5</v>
      </c>
      <c r="B15" s="557">
        <f>'ET Forecast Capital Additions'!B15</f>
        <v>45068</v>
      </c>
      <c r="C15" s="231">
        <v>0</v>
      </c>
      <c r="D15" s="193">
        <v>0</v>
      </c>
      <c r="E15" s="130">
        <f t="shared" si="0"/>
        <v>0</v>
      </c>
      <c r="F15" s="194">
        <f t="shared" si="7"/>
        <v>0</v>
      </c>
      <c r="G15" s="131">
        <f t="shared" si="1"/>
        <v>0</v>
      </c>
      <c r="H15" s="232">
        <f t="shared" si="2"/>
        <v>0</v>
      </c>
      <c r="I15" s="55">
        <f t="shared" si="8"/>
        <v>0</v>
      </c>
      <c r="J15" s="241">
        <f t="shared" si="8"/>
        <v>0</v>
      </c>
      <c r="K15" s="130">
        <f t="shared" si="3"/>
        <v>0</v>
      </c>
      <c r="L15" s="252">
        <f>'ET Forecast Capital Additions'!$L15</f>
        <v>1</v>
      </c>
      <c r="M15" s="55">
        <f t="shared" si="9"/>
        <v>0</v>
      </c>
      <c r="N15" s="241">
        <f t="shared" si="4"/>
        <v>0</v>
      </c>
      <c r="O15" s="131">
        <f t="shared" si="5"/>
        <v>0</v>
      </c>
      <c r="P15" s="4">
        <f t="shared" si="10"/>
        <v>5</v>
      </c>
      <c r="Q15" s="34"/>
      <c r="R15" s="34"/>
    </row>
    <row r="16" spans="1:18" x14ac:dyDescent="0.35">
      <c r="A16" s="4">
        <f t="shared" si="6"/>
        <v>6</v>
      </c>
      <c r="B16" s="557">
        <f>'ET Forecast Capital Additions'!B16</f>
        <v>45099</v>
      </c>
      <c r="C16" s="229">
        <v>0</v>
      </c>
      <c r="D16" s="699">
        <v>0</v>
      </c>
      <c r="E16" s="132">
        <f t="shared" si="0"/>
        <v>0</v>
      </c>
      <c r="F16" s="186">
        <f t="shared" si="7"/>
        <v>0</v>
      </c>
      <c r="G16" s="593">
        <f t="shared" si="1"/>
        <v>0</v>
      </c>
      <c r="H16" s="135">
        <f t="shared" si="2"/>
        <v>0</v>
      </c>
      <c r="I16" s="55">
        <f t="shared" si="8"/>
        <v>0</v>
      </c>
      <c r="J16" s="241">
        <f t="shared" si="8"/>
        <v>0</v>
      </c>
      <c r="K16" s="132">
        <f t="shared" si="3"/>
        <v>0</v>
      </c>
      <c r="L16" s="250">
        <f>'ET Forecast Capital Additions'!$L16</f>
        <v>1</v>
      </c>
      <c r="M16" s="55">
        <f t="shared" si="9"/>
        <v>0</v>
      </c>
      <c r="N16" s="241">
        <f t="shared" si="4"/>
        <v>0</v>
      </c>
      <c r="O16" s="593">
        <f t="shared" si="5"/>
        <v>0</v>
      </c>
      <c r="P16" s="4">
        <f t="shared" si="10"/>
        <v>6</v>
      </c>
      <c r="Q16" s="34"/>
      <c r="R16" s="34"/>
    </row>
    <row r="17" spans="1:18" x14ac:dyDescent="0.35">
      <c r="A17" s="4">
        <f t="shared" si="6"/>
        <v>7</v>
      </c>
      <c r="B17" s="557">
        <f>'ET Forecast Capital Additions'!B17</f>
        <v>45129</v>
      </c>
      <c r="C17" s="229">
        <v>0</v>
      </c>
      <c r="D17" s="699">
        <v>0</v>
      </c>
      <c r="E17" s="132">
        <f t="shared" si="0"/>
        <v>0</v>
      </c>
      <c r="F17" s="186">
        <f t="shared" si="7"/>
        <v>0</v>
      </c>
      <c r="G17" s="593">
        <f t="shared" si="1"/>
        <v>0</v>
      </c>
      <c r="H17" s="135">
        <f t="shared" si="2"/>
        <v>0</v>
      </c>
      <c r="I17" s="55">
        <f t="shared" si="8"/>
        <v>0</v>
      </c>
      <c r="J17" s="241">
        <f t="shared" si="8"/>
        <v>0</v>
      </c>
      <c r="K17" s="132">
        <f t="shared" si="3"/>
        <v>0</v>
      </c>
      <c r="L17" s="250">
        <f>'ET Forecast Capital Additions'!$L17</f>
        <v>1</v>
      </c>
      <c r="M17" s="55">
        <f t="shared" si="9"/>
        <v>0</v>
      </c>
      <c r="N17" s="241">
        <f t="shared" si="4"/>
        <v>0</v>
      </c>
      <c r="O17" s="593">
        <f t="shared" si="5"/>
        <v>0</v>
      </c>
      <c r="P17" s="4">
        <f t="shared" si="10"/>
        <v>7</v>
      </c>
      <c r="Q17" s="34"/>
      <c r="R17" s="34"/>
    </row>
    <row r="18" spans="1:18" ht="16" thickBot="1" x14ac:dyDescent="0.4">
      <c r="A18" s="4">
        <f t="shared" si="6"/>
        <v>8</v>
      </c>
      <c r="B18" s="558">
        <f>'ET Forecast Capital Additions'!B18</f>
        <v>45160</v>
      </c>
      <c r="C18" s="230">
        <v>0</v>
      </c>
      <c r="D18" s="216">
        <v>0</v>
      </c>
      <c r="E18" s="188">
        <f t="shared" si="0"/>
        <v>0</v>
      </c>
      <c r="F18" s="189">
        <f t="shared" si="7"/>
        <v>0</v>
      </c>
      <c r="G18" s="191">
        <f t="shared" si="1"/>
        <v>0</v>
      </c>
      <c r="H18" s="221">
        <f t="shared" si="2"/>
        <v>0</v>
      </c>
      <c r="I18" s="192">
        <f t="shared" si="8"/>
        <v>0</v>
      </c>
      <c r="J18" s="190">
        <f t="shared" si="8"/>
        <v>0</v>
      </c>
      <c r="K18" s="188">
        <f t="shared" si="3"/>
        <v>0</v>
      </c>
      <c r="L18" s="251">
        <f>'ET Forecast Capital Additions'!$L18</f>
        <v>1</v>
      </c>
      <c r="M18" s="192">
        <f t="shared" si="9"/>
        <v>0</v>
      </c>
      <c r="N18" s="190">
        <f t="shared" si="4"/>
        <v>0</v>
      </c>
      <c r="O18" s="191">
        <f t="shared" si="5"/>
        <v>0</v>
      </c>
      <c r="P18" s="4">
        <f t="shared" si="10"/>
        <v>8</v>
      </c>
      <c r="Q18" s="34"/>
      <c r="R18" s="34"/>
    </row>
    <row r="19" spans="1:18" x14ac:dyDescent="0.35">
      <c r="A19" s="4">
        <f t="shared" si="6"/>
        <v>9</v>
      </c>
      <c r="B19" s="557">
        <f>'ET Forecast Capital Additions'!B19</f>
        <v>45191</v>
      </c>
      <c r="C19" s="231">
        <v>0</v>
      </c>
      <c r="D19" s="193">
        <v>0</v>
      </c>
      <c r="E19" s="130">
        <f t="shared" si="0"/>
        <v>0</v>
      </c>
      <c r="F19" s="194">
        <f t="shared" si="7"/>
        <v>0</v>
      </c>
      <c r="G19" s="131">
        <f t="shared" si="1"/>
        <v>0</v>
      </c>
      <c r="H19" s="232">
        <f t="shared" si="2"/>
        <v>0</v>
      </c>
      <c r="I19" s="55">
        <f t="shared" si="8"/>
        <v>0</v>
      </c>
      <c r="J19" s="241">
        <f t="shared" si="8"/>
        <v>0</v>
      </c>
      <c r="K19" s="130">
        <f t="shared" si="3"/>
        <v>0</v>
      </c>
      <c r="L19" s="252">
        <f>'ET Forecast Capital Additions'!$L19</f>
        <v>1</v>
      </c>
      <c r="M19" s="55">
        <f t="shared" si="9"/>
        <v>0</v>
      </c>
      <c r="N19" s="241">
        <f t="shared" si="4"/>
        <v>0</v>
      </c>
      <c r="O19" s="131">
        <f t="shared" si="5"/>
        <v>0</v>
      </c>
      <c r="P19" s="4">
        <f t="shared" si="10"/>
        <v>9</v>
      </c>
      <c r="Q19" s="34"/>
      <c r="R19" s="34"/>
    </row>
    <row r="20" spans="1:18" x14ac:dyDescent="0.35">
      <c r="A20" s="4">
        <f t="shared" si="6"/>
        <v>10</v>
      </c>
      <c r="B20" s="557">
        <f>'ET Forecast Capital Additions'!B20</f>
        <v>45221</v>
      </c>
      <c r="C20" s="229">
        <v>0</v>
      </c>
      <c r="D20" s="699">
        <v>0</v>
      </c>
      <c r="E20" s="132">
        <f t="shared" si="0"/>
        <v>0</v>
      </c>
      <c r="F20" s="186">
        <f t="shared" si="7"/>
        <v>0</v>
      </c>
      <c r="G20" s="593">
        <f t="shared" si="1"/>
        <v>0</v>
      </c>
      <c r="H20" s="135">
        <f t="shared" si="2"/>
        <v>0</v>
      </c>
      <c r="I20" s="55">
        <f t="shared" si="8"/>
        <v>0</v>
      </c>
      <c r="J20" s="241">
        <f t="shared" si="8"/>
        <v>0</v>
      </c>
      <c r="K20" s="132">
        <f t="shared" si="3"/>
        <v>0</v>
      </c>
      <c r="L20" s="250">
        <f>'ET Forecast Capital Additions'!$L20</f>
        <v>1</v>
      </c>
      <c r="M20" s="55">
        <f t="shared" si="9"/>
        <v>0</v>
      </c>
      <c r="N20" s="241">
        <f t="shared" si="4"/>
        <v>0</v>
      </c>
      <c r="O20" s="593">
        <f t="shared" si="5"/>
        <v>0</v>
      </c>
      <c r="P20" s="4">
        <f t="shared" si="10"/>
        <v>10</v>
      </c>
      <c r="Q20" s="34"/>
      <c r="R20" s="34"/>
    </row>
    <row r="21" spans="1:18" x14ac:dyDescent="0.35">
      <c r="A21" s="4">
        <f t="shared" si="6"/>
        <v>11</v>
      </c>
      <c r="B21" s="557">
        <f>'ET Forecast Capital Additions'!B21</f>
        <v>45252</v>
      </c>
      <c r="C21" s="117">
        <v>0</v>
      </c>
      <c r="D21" s="699">
        <v>0</v>
      </c>
      <c r="E21" s="6">
        <f t="shared" si="0"/>
        <v>0</v>
      </c>
      <c r="F21" s="186">
        <f t="shared" si="7"/>
        <v>0</v>
      </c>
      <c r="G21" s="593">
        <f t="shared" si="1"/>
        <v>0</v>
      </c>
      <c r="H21" s="135">
        <f t="shared" si="2"/>
        <v>0</v>
      </c>
      <c r="I21" s="55">
        <f t="shared" si="8"/>
        <v>0</v>
      </c>
      <c r="J21" s="241">
        <f t="shared" si="8"/>
        <v>0</v>
      </c>
      <c r="K21" s="6">
        <f t="shared" si="3"/>
        <v>0</v>
      </c>
      <c r="L21" s="250">
        <f>'ET Forecast Capital Additions'!$L21</f>
        <v>1</v>
      </c>
      <c r="M21" s="55">
        <f t="shared" si="9"/>
        <v>0</v>
      </c>
      <c r="N21" s="241">
        <f t="shared" si="4"/>
        <v>0</v>
      </c>
      <c r="O21" s="135">
        <f t="shared" si="5"/>
        <v>0</v>
      </c>
      <c r="P21" s="4">
        <f t="shared" si="10"/>
        <v>11</v>
      </c>
      <c r="Q21" s="34"/>
      <c r="R21" s="34"/>
    </row>
    <row r="22" spans="1:18" ht="16" thickBot="1" x14ac:dyDescent="0.4">
      <c r="A22" s="4">
        <f t="shared" si="6"/>
        <v>12</v>
      </c>
      <c r="B22" s="558">
        <f>'ET Forecast Capital Additions'!B22</f>
        <v>45282</v>
      </c>
      <c r="C22" s="230">
        <v>0</v>
      </c>
      <c r="D22" s="216">
        <v>0</v>
      </c>
      <c r="E22" s="188">
        <f t="shared" si="0"/>
        <v>0</v>
      </c>
      <c r="F22" s="189">
        <f t="shared" si="7"/>
        <v>0</v>
      </c>
      <c r="G22" s="191">
        <f t="shared" si="1"/>
        <v>0</v>
      </c>
      <c r="H22" s="221">
        <f t="shared" si="2"/>
        <v>0</v>
      </c>
      <c r="I22" s="192">
        <f t="shared" si="8"/>
        <v>0</v>
      </c>
      <c r="J22" s="190">
        <f t="shared" si="8"/>
        <v>0</v>
      </c>
      <c r="K22" s="188">
        <f t="shared" si="3"/>
        <v>0</v>
      </c>
      <c r="L22" s="251">
        <f>'ET Forecast Capital Additions'!$L22</f>
        <v>1</v>
      </c>
      <c r="M22" s="192">
        <f t="shared" si="9"/>
        <v>0</v>
      </c>
      <c r="N22" s="190">
        <f t="shared" si="4"/>
        <v>0</v>
      </c>
      <c r="O22" s="191">
        <f t="shared" si="5"/>
        <v>0</v>
      </c>
      <c r="P22" s="4">
        <f t="shared" si="10"/>
        <v>12</v>
      </c>
      <c r="Q22" s="34"/>
      <c r="R22" s="34"/>
    </row>
    <row r="23" spans="1:18" x14ac:dyDescent="0.35">
      <c r="A23" s="4">
        <f t="shared" si="6"/>
        <v>13</v>
      </c>
      <c r="B23" s="557">
        <f>'ET Forecast Capital Additions'!B23</f>
        <v>45313</v>
      </c>
      <c r="C23" s="231">
        <v>0</v>
      </c>
      <c r="D23" s="193">
        <v>0</v>
      </c>
      <c r="E23" s="130">
        <f t="shared" si="0"/>
        <v>0</v>
      </c>
      <c r="F23" s="194">
        <f t="shared" si="7"/>
        <v>0</v>
      </c>
      <c r="G23" s="131">
        <f t="shared" si="1"/>
        <v>0</v>
      </c>
      <c r="H23" s="232">
        <f t="shared" si="2"/>
        <v>0</v>
      </c>
      <c r="I23" s="55">
        <f t="shared" si="8"/>
        <v>0</v>
      </c>
      <c r="J23" s="241">
        <f t="shared" si="8"/>
        <v>0</v>
      </c>
      <c r="K23" s="130">
        <f t="shared" si="3"/>
        <v>0</v>
      </c>
      <c r="L23" s="252">
        <f>'ET Forecast Capital Additions'!$L23</f>
        <v>1</v>
      </c>
      <c r="M23" s="55">
        <f t="shared" si="9"/>
        <v>0</v>
      </c>
      <c r="N23" s="241">
        <f t="shared" si="4"/>
        <v>0</v>
      </c>
      <c r="O23" s="131">
        <f t="shared" si="5"/>
        <v>0</v>
      </c>
      <c r="P23" s="4">
        <f t="shared" si="10"/>
        <v>13</v>
      </c>
      <c r="Q23" s="34"/>
      <c r="R23" s="34"/>
    </row>
    <row r="24" spans="1:18" x14ac:dyDescent="0.35">
      <c r="A24" s="4">
        <f t="shared" si="6"/>
        <v>14</v>
      </c>
      <c r="B24" s="557">
        <f>'ET Forecast Capital Additions'!B24</f>
        <v>45344</v>
      </c>
      <c r="C24" s="229">
        <v>0</v>
      </c>
      <c r="D24" s="699">
        <v>0</v>
      </c>
      <c r="E24" s="132">
        <f t="shared" si="0"/>
        <v>0</v>
      </c>
      <c r="F24" s="186">
        <f t="shared" si="7"/>
        <v>0</v>
      </c>
      <c r="G24" s="593">
        <f t="shared" si="1"/>
        <v>0</v>
      </c>
      <c r="H24" s="135">
        <f t="shared" si="2"/>
        <v>0</v>
      </c>
      <c r="I24" s="55">
        <f t="shared" si="8"/>
        <v>0</v>
      </c>
      <c r="J24" s="241">
        <f t="shared" si="8"/>
        <v>0</v>
      </c>
      <c r="K24" s="132">
        <f t="shared" si="3"/>
        <v>0</v>
      </c>
      <c r="L24" s="250">
        <f>'ET Forecast Capital Additions'!$L24</f>
        <v>0.91666666666666663</v>
      </c>
      <c r="M24" s="55">
        <f t="shared" si="9"/>
        <v>0</v>
      </c>
      <c r="N24" s="241">
        <f t="shared" si="4"/>
        <v>0</v>
      </c>
      <c r="O24" s="593">
        <f t="shared" si="5"/>
        <v>0</v>
      </c>
      <c r="P24" s="4">
        <f t="shared" si="10"/>
        <v>14</v>
      </c>
      <c r="Q24" s="34"/>
      <c r="R24" s="34"/>
    </row>
    <row r="25" spans="1:18" x14ac:dyDescent="0.35">
      <c r="A25" s="4">
        <f t="shared" si="6"/>
        <v>15</v>
      </c>
      <c r="B25" s="557">
        <f>'ET Forecast Capital Additions'!B25</f>
        <v>45373</v>
      </c>
      <c r="C25" s="229">
        <v>0</v>
      </c>
      <c r="D25" s="699">
        <v>0</v>
      </c>
      <c r="E25" s="132">
        <f t="shared" si="0"/>
        <v>0</v>
      </c>
      <c r="F25" s="186">
        <f t="shared" si="7"/>
        <v>0</v>
      </c>
      <c r="G25" s="593">
        <f t="shared" si="1"/>
        <v>0</v>
      </c>
      <c r="H25" s="135">
        <f t="shared" si="2"/>
        <v>0</v>
      </c>
      <c r="I25" s="55">
        <f t="shared" si="8"/>
        <v>0</v>
      </c>
      <c r="J25" s="241">
        <f t="shared" si="8"/>
        <v>0</v>
      </c>
      <c r="K25" s="132">
        <f t="shared" si="3"/>
        <v>0</v>
      </c>
      <c r="L25" s="250">
        <f>'ET Forecast Capital Additions'!$L25</f>
        <v>0.83333333333333337</v>
      </c>
      <c r="M25" s="55">
        <f t="shared" si="9"/>
        <v>0</v>
      </c>
      <c r="N25" s="241">
        <f t="shared" si="4"/>
        <v>0</v>
      </c>
      <c r="O25" s="593">
        <f t="shared" si="5"/>
        <v>0</v>
      </c>
      <c r="P25" s="4">
        <f t="shared" si="10"/>
        <v>15</v>
      </c>
      <c r="Q25" s="34"/>
      <c r="R25" s="34"/>
    </row>
    <row r="26" spans="1:18" ht="16" thickBot="1" x14ac:dyDescent="0.4">
      <c r="A26" s="4">
        <f t="shared" si="6"/>
        <v>16</v>
      </c>
      <c r="B26" s="558">
        <f>'ET Forecast Capital Additions'!B26</f>
        <v>45404</v>
      </c>
      <c r="C26" s="230">
        <v>0</v>
      </c>
      <c r="D26" s="216">
        <v>0</v>
      </c>
      <c r="E26" s="188">
        <f t="shared" si="0"/>
        <v>0</v>
      </c>
      <c r="F26" s="189">
        <f t="shared" si="7"/>
        <v>0</v>
      </c>
      <c r="G26" s="191">
        <f t="shared" si="1"/>
        <v>0</v>
      </c>
      <c r="H26" s="221">
        <f t="shared" si="2"/>
        <v>0</v>
      </c>
      <c r="I26" s="192">
        <f t="shared" si="8"/>
        <v>0</v>
      </c>
      <c r="J26" s="190">
        <f t="shared" si="8"/>
        <v>0</v>
      </c>
      <c r="K26" s="188">
        <f t="shared" si="3"/>
        <v>0</v>
      </c>
      <c r="L26" s="251">
        <f>'ET Forecast Capital Additions'!$L26</f>
        <v>0.75</v>
      </c>
      <c r="M26" s="192">
        <f t="shared" si="9"/>
        <v>0</v>
      </c>
      <c r="N26" s="190">
        <f t="shared" si="4"/>
        <v>0</v>
      </c>
      <c r="O26" s="191">
        <f t="shared" si="5"/>
        <v>0</v>
      </c>
      <c r="P26" s="4">
        <f t="shared" si="10"/>
        <v>16</v>
      </c>
      <c r="Q26" s="34"/>
      <c r="R26" s="34"/>
    </row>
    <row r="27" spans="1:18" x14ac:dyDescent="0.35">
      <c r="A27" s="4">
        <f t="shared" si="6"/>
        <v>17</v>
      </c>
      <c r="B27" s="557">
        <f>'ET Forecast Capital Additions'!B27</f>
        <v>45434</v>
      </c>
      <c r="C27" s="117">
        <v>0</v>
      </c>
      <c r="D27" s="699">
        <v>0</v>
      </c>
      <c r="E27" s="6">
        <f t="shared" si="0"/>
        <v>0</v>
      </c>
      <c r="F27" s="194">
        <f t="shared" si="7"/>
        <v>0</v>
      </c>
      <c r="G27" s="131">
        <f t="shared" si="1"/>
        <v>0</v>
      </c>
      <c r="H27" s="135">
        <f t="shared" si="2"/>
        <v>0</v>
      </c>
      <c r="I27" s="55">
        <f t="shared" si="8"/>
        <v>0</v>
      </c>
      <c r="J27" s="241">
        <f t="shared" si="8"/>
        <v>0</v>
      </c>
      <c r="K27" s="6">
        <f t="shared" si="3"/>
        <v>0</v>
      </c>
      <c r="L27" s="252">
        <f>'ET Forecast Capital Additions'!$L27</f>
        <v>0.66666666666666663</v>
      </c>
      <c r="M27" s="55">
        <f t="shared" si="9"/>
        <v>0</v>
      </c>
      <c r="N27" s="241">
        <f t="shared" si="4"/>
        <v>0</v>
      </c>
      <c r="O27" s="135">
        <f t="shared" si="5"/>
        <v>0</v>
      </c>
      <c r="P27" s="4">
        <f t="shared" si="10"/>
        <v>17</v>
      </c>
      <c r="Q27" s="34"/>
      <c r="R27" s="34"/>
    </row>
    <row r="28" spans="1:18" x14ac:dyDescent="0.35">
      <c r="A28" s="4">
        <f t="shared" si="6"/>
        <v>18</v>
      </c>
      <c r="B28" s="557">
        <f>'ET Forecast Capital Additions'!B28</f>
        <v>45465</v>
      </c>
      <c r="C28" s="229">
        <v>0</v>
      </c>
      <c r="D28" s="699">
        <v>0</v>
      </c>
      <c r="E28" s="132">
        <f t="shared" si="0"/>
        <v>0</v>
      </c>
      <c r="F28" s="186">
        <f t="shared" si="7"/>
        <v>0</v>
      </c>
      <c r="G28" s="593">
        <f t="shared" si="1"/>
        <v>0</v>
      </c>
      <c r="H28" s="135">
        <f t="shared" si="2"/>
        <v>0</v>
      </c>
      <c r="I28" s="55">
        <f t="shared" si="8"/>
        <v>0</v>
      </c>
      <c r="J28" s="241">
        <f t="shared" si="8"/>
        <v>0</v>
      </c>
      <c r="K28" s="132">
        <f t="shared" si="3"/>
        <v>0</v>
      </c>
      <c r="L28" s="250">
        <f>'ET Forecast Capital Additions'!$L28</f>
        <v>0.58333333333333337</v>
      </c>
      <c r="M28" s="55">
        <f t="shared" si="9"/>
        <v>0</v>
      </c>
      <c r="N28" s="241">
        <f t="shared" si="4"/>
        <v>0</v>
      </c>
      <c r="O28" s="593">
        <f t="shared" si="5"/>
        <v>0</v>
      </c>
      <c r="P28" s="4">
        <f t="shared" si="10"/>
        <v>18</v>
      </c>
      <c r="Q28" s="34"/>
      <c r="R28" s="34"/>
    </row>
    <row r="29" spans="1:18" x14ac:dyDescent="0.35">
      <c r="A29" s="4">
        <f t="shared" si="6"/>
        <v>19</v>
      </c>
      <c r="B29" s="557">
        <f>'ET Forecast Capital Additions'!B29</f>
        <v>45495</v>
      </c>
      <c r="C29" s="229">
        <v>0</v>
      </c>
      <c r="D29" s="699">
        <v>0</v>
      </c>
      <c r="E29" s="132">
        <f t="shared" si="0"/>
        <v>0</v>
      </c>
      <c r="F29" s="186">
        <f t="shared" si="7"/>
        <v>0</v>
      </c>
      <c r="G29" s="593">
        <f t="shared" si="1"/>
        <v>0</v>
      </c>
      <c r="H29" s="135">
        <f t="shared" si="2"/>
        <v>0</v>
      </c>
      <c r="I29" s="55">
        <f t="shared" si="8"/>
        <v>0</v>
      </c>
      <c r="J29" s="241">
        <f t="shared" si="8"/>
        <v>0</v>
      </c>
      <c r="K29" s="132">
        <f t="shared" si="3"/>
        <v>0</v>
      </c>
      <c r="L29" s="250">
        <f>'ET Forecast Capital Additions'!$L29</f>
        <v>0.5</v>
      </c>
      <c r="M29" s="55">
        <f t="shared" si="9"/>
        <v>0</v>
      </c>
      <c r="N29" s="241">
        <f t="shared" si="4"/>
        <v>0</v>
      </c>
      <c r="O29" s="593">
        <f t="shared" si="5"/>
        <v>0</v>
      </c>
      <c r="P29" s="4">
        <f t="shared" si="10"/>
        <v>19</v>
      </c>
      <c r="Q29" s="34"/>
      <c r="R29" s="34"/>
    </row>
    <row r="30" spans="1:18" ht="16" thickBot="1" x14ac:dyDescent="0.4">
      <c r="A30" s="4">
        <f t="shared" si="6"/>
        <v>20</v>
      </c>
      <c r="B30" s="558">
        <f>'ET Forecast Capital Additions'!B30</f>
        <v>45526</v>
      </c>
      <c r="C30" s="230">
        <v>0</v>
      </c>
      <c r="D30" s="216">
        <v>0</v>
      </c>
      <c r="E30" s="188">
        <f t="shared" si="0"/>
        <v>0</v>
      </c>
      <c r="F30" s="189">
        <f t="shared" si="7"/>
        <v>0</v>
      </c>
      <c r="G30" s="191">
        <f t="shared" si="1"/>
        <v>0</v>
      </c>
      <c r="H30" s="221">
        <f t="shared" si="2"/>
        <v>0</v>
      </c>
      <c r="I30" s="192">
        <f t="shared" si="8"/>
        <v>0</v>
      </c>
      <c r="J30" s="190">
        <f t="shared" si="8"/>
        <v>0</v>
      </c>
      <c r="K30" s="188">
        <f t="shared" si="3"/>
        <v>0</v>
      </c>
      <c r="L30" s="251">
        <f>'ET Forecast Capital Additions'!$L30</f>
        <v>0.41666666666666669</v>
      </c>
      <c r="M30" s="192">
        <f t="shared" si="9"/>
        <v>0</v>
      </c>
      <c r="N30" s="190">
        <f t="shared" si="4"/>
        <v>0</v>
      </c>
      <c r="O30" s="191">
        <f t="shared" si="5"/>
        <v>0</v>
      </c>
      <c r="P30" s="4">
        <f t="shared" si="10"/>
        <v>20</v>
      </c>
      <c r="Q30" s="34"/>
      <c r="R30" s="34"/>
    </row>
    <row r="31" spans="1:18" x14ac:dyDescent="0.35">
      <c r="A31" s="4">
        <f t="shared" si="6"/>
        <v>21</v>
      </c>
      <c r="B31" s="557">
        <f>'ET Forecast Capital Additions'!B31</f>
        <v>45557</v>
      </c>
      <c r="C31" s="229">
        <v>0</v>
      </c>
      <c r="D31" s="699">
        <v>0</v>
      </c>
      <c r="E31" s="132">
        <f t="shared" si="0"/>
        <v>0</v>
      </c>
      <c r="F31" s="194">
        <f t="shared" si="7"/>
        <v>0</v>
      </c>
      <c r="G31" s="131">
        <f t="shared" si="1"/>
        <v>0</v>
      </c>
      <c r="H31" s="135">
        <f t="shared" si="2"/>
        <v>0</v>
      </c>
      <c r="I31" s="55">
        <f t="shared" si="8"/>
        <v>0</v>
      </c>
      <c r="J31" s="241">
        <f t="shared" si="8"/>
        <v>0</v>
      </c>
      <c r="K31" s="132">
        <f t="shared" si="3"/>
        <v>0</v>
      </c>
      <c r="L31" s="252">
        <f>'ET Forecast Capital Additions'!$L31</f>
        <v>0.33333333333333331</v>
      </c>
      <c r="M31" s="55">
        <f t="shared" si="9"/>
        <v>0</v>
      </c>
      <c r="N31" s="241">
        <f t="shared" si="4"/>
        <v>0</v>
      </c>
      <c r="O31" s="593">
        <f t="shared" si="5"/>
        <v>0</v>
      </c>
      <c r="P31" s="4">
        <f t="shared" si="10"/>
        <v>21</v>
      </c>
      <c r="Q31" s="34"/>
      <c r="R31" s="34"/>
    </row>
    <row r="32" spans="1:18" x14ac:dyDescent="0.35">
      <c r="A32" s="4">
        <f t="shared" si="6"/>
        <v>22</v>
      </c>
      <c r="B32" s="557">
        <f>'ET Forecast Capital Additions'!B32</f>
        <v>45587</v>
      </c>
      <c r="C32" s="117">
        <v>0</v>
      </c>
      <c r="D32" s="699">
        <v>0</v>
      </c>
      <c r="E32" s="6">
        <f t="shared" si="0"/>
        <v>0</v>
      </c>
      <c r="F32" s="186">
        <f t="shared" si="7"/>
        <v>0</v>
      </c>
      <c r="G32" s="593">
        <f t="shared" si="1"/>
        <v>0</v>
      </c>
      <c r="H32" s="135">
        <f t="shared" si="2"/>
        <v>0</v>
      </c>
      <c r="I32" s="55">
        <f t="shared" si="8"/>
        <v>0</v>
      </c>
      <c r="J32" s="241">
        <f t="shared" si="8"/>
        <v>0</v>
      </c>
      <c r="K32" s="6">
        <f t="shared" si="3"/>
        <v>0</v>
      </c>
      <c r="L32" s="250">
        <f>'ET Forecast Capital Additions'!$L32</f>
        <v>0.25</v>
      </c>
      <c r="M32" s="55">
        <f t="shared" si="9"/>
        <v>0</v>
      </c>
      <c r="N32" s="241">
        <f t="shared" si="4"/>
        <v>0</v>
      </c>
      <c r="O32" s="135">
        <f t="shared" si="5"/>
        <v>0</v>
      </c>
      <c r="P32" s="4">
        <f t="shared" si="10"/>
        <v>22</v>
      </c>
      <c r="Q32" s="34"/>
      <c r="R32" s="34"/>
    </row>
    <row r="33" spans="1:18" x14ac:dyDescent="0.35">
      <c r="A33" s="4">
        <f t="shared" si="6"/>
        <v>23</v>
      </c>
      <c r="B33" s="557">
        <f>'ET Forecast Capital Additions'!B33</f>
        <v>45618</v>
      </c>
      <c r="C33" s="229">
        <v>0</v>
      </c>
      <c r="D33" s="699">
        <v>0</v>
      </c>
      <c r="E33" s="132">
        <f t="shared" si="0"/>
        <v>0</v>
      </c>
      <c r="F33" s="186">
        <f t="shared" si="7"/>
        <v>0</v>
      </c>
      <c r="G33" s="593">
        <f t="shared" si="1"/>
        <v>0</v>
      </c>
      <c r="H33" s="135">
        <f t="shared" si="2"/>
        <v>0</v>
      </c>
      <c r="I33" s="55">
        <f t="shared" si="8"/>
        <v>0</v>
      </c>
      <c r="J33" s="241">
        <f t="shared" si="8"/>
        <v>0</v>
      </c>
      <c r="K33" s="132">
        <f t="shared" si="3"/>
        <v>0</v>
      </c>
      <c r="L33" s="250">
        <f>'ET Forecast Capital Additions'!$L33</f>
        <v>0.16666666666666666</v>
      </c>
      <c r="M33" s="55">
        <f t="shared" si="9"/>
        <v>0</v>
      </c>
      <c r="N33" s="241">
        <f t="shared" si="4"/>
        <v>0</v>
      </c>
      <c r="O33" s="593">
        <f t="shared" si="5"/>
        <v>0</v>
      </c>
      <c r="P33" s="4">
        <f t="shared" si="10"/>
        <v>23</v>
      </c>
      <c r="Q33" s="34"/>
      <c r="R33" s="34"/>
    </row>
    <row r="34" spans="1:18" ht="16" thickBot="1" x14ac:dyDescent="0.4">
      <c r="A34" s="4">
        <f t="shared" si="6"/>
        <v>24</v>
      </c>
      <c r="B34" s="557">
        <f>'ET Forecast Capital Additions'!B34</f>
        <v>45648</v>
      </c>
      <c r="C34" s="229">
        <v>0</v>
      </c>
      <c r="D34" s="699">
        <v>0</v>
      </c>
      <c r="E34" s="132">
        <f t="shared" si="0"/>
        <v>0</v>
      </c>
      <c r="F34" s="189">
        <f t="shared" si="7"/>
        <v>0</v>
      </c>
      <c r="G34" s="191">
        <f t="shared" si="1"/>
        <v>0</v>
      </c>
      <c r="H34" s="135">
        <f t="shared" si="2"/>
        <v>0</v>
      </c>
      <c r="I34" s="192">
        <f t="shared" si="8"/>
        <v>0</v>
      </c>
      <c r="J34" s="190">
        <f t="shared" si="8"/>
        <v>0</v>
      </c>
      <c r="K34" s="132">
        <f t="shared" si="3"/>
        <v>0</v>
      </c>
      <c r="L34" s="250">
        <f>'ET Forecast Capital Additions'!$L34</f>
        <v>8.3333333333333329E-2</v>
      </c>
      <c r="M34" s="192">
        <f t="shared" si="9"/>
        <v>0</v>
      </c>
      <c r="N34" s="190">
        <f t="shared" si="4"/>
        <v>0</v>
      </c>
      <c r="O34" s="593">
        <f t="shared" si="5"/>
        <v>0</v>
      </c>
      <c r="P34" s="4">
        <f t="shared" si="10"/>
        <v>24</v>
      </c>
      <c r="Q34" s="34"/>
      <c r="R34" s="441"/>
    </row>
    <row r="35" spans="1:18" ht="16" thickBot="1" x14ac:dyDescent="0.4">
      <c r="A35" s="4">
        <f t="shared" si="6"/>
        <v>25</v>
      </c>
      <c r="B35" s="559" t="s">
        <v>265</v>
      </c>
      <c r="C35" s="200">
        <f t="shared" ref="C35:K35" si="11">SUM(C11:C34)</f>
        <v>0</v>
      </c>
      <c r="D35" s="197">
        <f t="shared" si="11"/>
        <v>0</v>
      </c>
      <c r="E35" s="198">
        <f t="shared" si="11"/>
        <v>0</v>
      </c>
      <c r="F35" s="196">
        <f t="shared" si="11"/>
        <v>0</v>
      </c>
      <c r="G35" s="197">
        <f t="shared" si="11"/>
        <v>0</v>
      </c>
      <c r="H35" s="199">
        <f t="shared" si="11"/>
        <v>0</v>
      </c>
      <c r="I35" s="200">
        <f t="shared" si="11"/>
        <v>0</v>
      </c>
      <c r="J35" s="197">
        <f t="shared" si="11"/>
        <v>0</v>
      </c>
      <c r="K35" s="198">
        <f t="shared" si="11"/>
        <v>0</v>
      </c>
      <c r="L35" s="201"/>
      <c r="M35" s="200">
        <f>SUM(M11:M34)</f>
        <v>0</v>
      </c>
      <c r="N35" s="197">
        <f>SUM(N11:N34)</f>
        <v>0</v>
      </c>
      <c r="O35" s="199">
        <f>SUM(O11:O34)</f>
        <v>0</v>
      </c>
      <c r="P35" s="4">
        <f t="shared" si="10"/>
        <v>25</v>
      </c>
      <c r="Q35" s="34"/>
      <c r="R35" s="34"/>
    </row>
    <row r="36" spans="1:18" x14ac:dyDescent="0.35">
      <c r="A36" s="4">
        <f>A35+1</f>
        <v>26</v>
      </c>
      <c r="B36" s="531"/>
      <c r="C36" s="6"/>
      <c r="D36" s="6"/>
      <c r="E36" s="560"/>
      <c r="F36" s="34"/>
      <c r="G36" s="34"/>
      <c r="H36" s="6"/>
      <c r="I36" s="34"/>
      <c r="J36" s="34"/>
      <c r="K36" s="6"/>
      <c r="L36" s="34"/>
      <c r="M36" s="34"/>
      <c r="N36" s="34"/>
      <c r="O36" s="135"/>
      <c r="P36" s="4">
        <f>P35+1</f>
        <v>26</v>
      </c>
      <c r="Q36" s="34"/>
      <c r="R36" s="34"/>
    </row>
    <row r="37" spans="1:18" s="427" customFormat="1" x14ac:dyDescent="0.35">
      <c r="A37" s="4">
        <f>A36+1</f>
        <v>27</v>
      </c>
      <c r="B37" s="561"/>
      <c r="E37" s="34" t="s">
        <v>1801</v>
      </c>
      <c r="F37" s="562"/>
      <c r="G37" s="562"/>
      <c r="H37" s="30">
        <f>'ET Forecast Capital Additions'!H37</f>
        <v>2694.5360000000001</v>
      </c>
      <c r="I37" s="202"/>
      <c r="J37" s="34" t="str">
        <f>'ET Forecast Capital Additions'!J37</f>
        <v>Form 1; Page 204-207; Line 58; Col. d</v>
      </c>
      <c r="K37" s="202"/>
      <c r="O37" s="563"/>
      <c r="P37" s="4">
        <f>P36+1</f>
        <v>27</v>
      </c>
      <c r="Q37" s="34"/>
    </row>
    <row r="38" spans="1:18" s="427" customFormat="1" x14ac:dyDescent="0.35">
      <c r="A38" s="4">
        <f>A37+1</f>
        <v>28</v>
      </c>
      <c r="B38" s="561"/>
      <c r="E38" s="34"/>
      <c r="F38" s="562"/>
      <c r="G38" s="562"/>
      <c r="H38" s="6"/>
      <c r="I38" s="202"/>
      <c r="J38" s="34"/>
      <c r="K38" s="202"/>
      <c r="O38" s="563"/>
      <c r="P38" s="4">
        <f>P37+1</f>
        <v>28</v>
      </c>
    </row>
    <row r="39" spans="1:18" s="427" customFormat="1" x14ac:dyDescent="0.35">
      <c r="A39" s="4">
        <f t="shared" ref="A39:A41" si="12">A38+1</f>
        <v>29</v>
      </c>
      <c r="B39" s="561"/>
      <c r="E39" s="34" t="s">
        <v>1803</v>
      </c>
      <c r="F39" s="562"/>
      <c r="G39" s="562"/>
      <c r="H39" s="973">
        <f>'ET Forecast Capital Additions'!H39</f>
        <v>7949178.8669999996</v>
      </c>
      <c r="I39" s="202"/>
      <c r="J39" s="34" t="str">
        <f>'ET Forecast Capital Additions'!J39</f>
        <v>Form 1; Page 204-207; Line 58; Col. g</v>
      </c>
      <c r="K39" s="202"/>
      <c r="O39" s="563"/>
      <c r="P39" s="4">
        <f t="shared" ref="P39:P48" si="13">P38+1</f>
        <v>29</v>
      </c>
    </row>
    <row r="40" spans="1:18" s="427" customFormat="1" ht="16" thickBot="1" x14ac:dyDescent="0.4">
      <c r="A40" s="4">
        <f t="shared" si="12"/>
        <v>30</v>
      </c>
      <c r="B40" s="561"/>
      <c r="E40" s="562"/>
      <c r="F40" s="562"/>
      <c r="G40" s="562"/>
      <c r="H40" s="202"/>
      <c r="I40" s="202"/>
      <c r="J40" s="202"/>
      <c r="K40" s="202"/>
      <c r="O40" s="563"/>
      <c r="P40" s="4">
        <f t="shared" si="13"/>
        <v>30</v>
      </c>
    </row>
    <row r="41" spans="1:18" ht="16" thickBot="1" x14ac:dyDescent="0.4">
      <c r="A41" s="4">
        <f t="shared" si="12"/>
        <v>31</v>
      </c>
      <c r="B41" s="531"/>
      <c r="C41" s="34"/>
      <c r="D41" s="34"/>
      <c r="E41" s="1" t="s">
        <v>1805</v>
      </c>
      <c r="F41" s="34"/>
      <c r="G41" s="34"/>
      <c r="H41" s="203">
        <f>H37/H39</f>
        <v>3.3897035720079489E-4</v>
      </c>
      <c r="I41" s="34"/>
      <c r="J41" s="34" t="s">
        <v>1806</v>
      </c>
      <c r="K41" s="50"/>
      <c r="L41" s="34"/>
      <c r="M41" s="34"/>
      <c r="N41" s="34"/>
      <c r="O41" s="392"/>
      <c r="P41" s="4">
        <f t="shared" si="13"/>
        <v>31</v>
      </c>
      <c r="Q41" s="34"/>
      <c r="R41" s="34"/>
    </row>
    <row r="42" spans="1:18" ht="16" thickBot="1" x14ac:dyDescent="0.4">
      <c r="A42" s="4">
        <f t="shared" si="6"/>
        <v>32</v>
      </c>
      <c r="B42" s="564"/>
      <c r="C42" s="891"/>
      <c r="D42" s="891"/>
      <c r="E42" s="946"/>
      <c r="F42" s="891"/>
      <c r="G42" s="891"/>
      <c r="H42" s="1143"/>
      <c r="I42" s="891"/>
      <c r="J42" s="891"/>
      <c r="K42" s="891"/>
      <c r="L42" s="891"/>
      <c r="M42" s="891"/>
      <c r="N42" s="891"/>
      <c r="O42" s="204"/>
      <c r="P42" s="4">
        <f t="shared" si="13"/>
        <v>32</v>
      </c>
      <c r="Q42" s="427"/>
      <c r="R42" s="34"/>
    </row>
    <row r="43" spans="1:18" ht="16" thickBot="1" x14ac:dyDescent="0.4">
      <c r="A43" s="4">
        <f t="shared" si="6"/>
        <v>33</v>
      </c>
      <c r="B43" s="531"/>
      <c r="C43" s="34"/>
      <c r="D43" s="34"/>
      <c r="E43" s="6"/>
      <c r="F43" s="34"/>
      <c r="G43" s="34"/>
      <c r="H43" s="34"/>
      <c r="I43" s="34"/>
      <c r="J43" s="34"/>
      <c r="K43" s="6" t="s">
        <v>1</v>
      </c>
      <c r="L43" s="34"/>
      <c r="M43" s="50"/>
      <c r="N43" s="50"/>
      <c r="O43" s="565"/>
      <c r="P43" s="4">
        <f t="shared" si="13"/>
        <v>33</v>
      </c>
      <c r="Q43" s="427"/>
      <c r="R43" s="34"/>
    </row>
    <row r="44" spans="1:18" ht="16" thickBot="1" x14ac:dyDescent="0.4">
      <c r="A44" s="4">
        <f t="shared" si="6"/>
        <v>34</v>
      </c>
      <c r="B44" s="566"/>
      <c r="C44" s="34"/>
      <c r="D44" s="259"/>
      <c r="E44" s="567"/>
      <c r="F44" s="1144"/>
      <c r="G44" s="1145"/>
      <c r="H44" s="1145" t="s">
        <v>1807</v>
      </c>
      <c r="I44" s="568" t="s">
        <v>1808</v>
      </c>
      <c r="J44" s="569" t="s">
        <v>1809</v>
      </c>
      <c r="K44" s="570" t="s">
        <v>1766</v>
      </c>
      <c r="L44" s="1"/>
      <c r="M44" s="571" t="s">
        <v>1769</v>
      </c>
      <c r="N44" s="572" t="s">
        <v>1770</v>
      </c>
      <c r="O44" s="573" t="s">
        <v>1810</v>
      </c>
      <c r="P44" s="4">
        <f t="shared" si="13"/>
        <v>34</v>
      </c>
      <c r="Q44" s="427"/>
      <c r="R44" s="34"/>
    </row>
    <row r="45" spans="1:18" ht="16" thickBot="1" x14ac:dyDescent="0.4">
      <c r="A45" s="4">
        <f t="shared" si="6"/>
        <v>35</v>
      </c>
      <c r="B45" s="531"/>
      <c r="C45" s="34"/>
      <c r="D45" s="34"/>
      <c r="E45" s="574"/>
      <c r="F45" s="375"/>
      <c r="G45" s="575"/>
      <c r="H45" s="575" t="s">
        <v>1811</v>
      </c>
      <c r="I45" s="205">
        <f>+I35</f>
        <v>0</v>
      </c>
      <c r="J45" s="205">
        <f>+J35</f>
        <v>0</v>
      </c>
      <c r="K45" s="205">
        <f>+K35</f>
        <v>0</v>
      </c>
      <c r="L45" s="46"/>
      <c r="M45" s="205">
        <f>+M35</f>
        <v>0</v>
      </c>
      <c r="N45" s="205">
        <f>+N35</f>
        <v>0</v>
      </c>
      <c r="O45" s="205">
        <f>+O35</f>
        <v>0</v>
      </c>
      <c r="P45" s="4">
        <f t="shared" si="13"/>
        <v>35</v>
      </c>
      <c r="Q45" s="34"/>
      <c r="R45" s="34"/>
    </row>
    <row r="46" spans="1:18" ht="16" thickTop="1" x14ac:dyDescent="0.35">
      <c r="A46" s="4">
        <f t="shared" si="6"/>
        <v>36</v>
      </c>
      <c r="B46" s="531"/>
      <c r="C46" s="34"/>
      <c r="D46" s="34"/>
      <c r="E46" s="531"/>
      <c r="F46" s="34"/>
      <c r="G46" s="31"/>
      <c r="H46" s="31"/>
      <c r="I46" s="225"/>
      <c r="J46" s="225"/>
      <c r="K46" s="225"/>
      <c r="L46" s="34"/>
      <c r="M46" s="225"/>
      <c r="N46" s="225"/>
      <c r="O46" s="225"/>
      <c r="P46" s="4">
        <f t="shared" si="13"/>
        <v>36</v>
      </c>
      <c r="Q46" s="34"/>
      <c r="R46" s="34"/>
    </row>
    <row r="47" spans="1:18" ht="16" thickBot="1" x14ac:dyDescent="0.4">
      <c r="A47" s="4">
        <f>A46+1</f>
        <v>37</v>
      </c>
      <c r="B47" s="531"/>
      <c r="C47" s="34"/>
      <c r="D47" s="34"/>
      <c r="E47" s="531"/>
      <c r="F47" s="34"/>
      <c r="G47" s="31"/>
      <c r="H47" s="486" t="s">
        <v>1812</v>
      </c>
      <c r="I47" s="209">
        <f>IFERROR((+I45/K45),0)</f>
        <v>0</v>
      </c>
      <c r="J47" s="209">
        <f>IFERROR((+J45/K45),0)</f>
        <v>0</v>
      </c>
      <c r="K47" s="209">
        <f>I47+J47</f>
        <v>0</v>
      </c>
      <c r="L47" s="1"/>
      <c r="M47" s="209">
        <f>IFERROR((+M45/O45),0)</f>
        <v>0</v>
      </c>
      <c r="N47" s="209">
        <f>IFERROR((+N45/O45),0)</f>
        <v>0</v>
      </c>
      <c r="O47" s="209">
        <f>M47+N47</f>
        <v>0</v>
      </c>
      <c r="P47" s="4">
        <f>P46+1</f>
        <v>37</v>
      </c>
      <c r="Q47" s="34"/>
      <c r="R47" s="34"/>
    </row>
    <row r="48" spans="1:18" ht="16.5" thickTop="1" thickBot="1" x14ac:dyDescent="0.4">
      <c r="A48" s="4">
        <f t="shared" si="6"/>
        <v>38</v>
      </c>
      <c r="B48" s="530"/>
      <c r="C48" s="34"/>
      <c r="D48" s="34"/>
      <c r="E48" s="564"/>
      <c r="F48" s="891"/>
      <c r="G48" s="891"/>
      <c r="H48" s="891"/>
      <c r="I48" s="213"/>
      <c r="J48" s="213"/>
      <c r="K48" s="204"/>
      <c r="L48" s="34"/>
      <c r="M48" s="214"/>
      <c r="N48" s="215"/>
      <c r="O48" s="204"/>
      <c r="P48" s="4">
        <f t="shared" si="13"/>
        <v>38</v>
      </c>
      <c r="Q48" s="34"/>
      <c r="R48" s="34"/>
    </row>
    <row r="49" spans="1:18" ht="16" thickBot="1" x14ac:dyDescent="0.4">
      <c r="A49" s="4">
        <f t="shared" si="6"/>
        <v>39</v>
      </c>
      <c r="B49" s="537"/>
      <c r="C49" s="891"/>
      <c r="D49" s="891"/>
      <c r="E49" s="891"/>
      <c r="F49" s="891"/>
      <c r="G49" s="891"/>
      <c r="H49" s="891"/>
      <c r="I49" s="891"/>
      <c r="J49" s="891"/>
      <c r="K49" s="891"/>
      <c r="L49" s="891"/>
      <c r="M49" s="891"/>
      <c r="N49" s="891"/>
      <c r="O49" s="204"/>
      <c r="P49" s="4">
        <f t="shared" si="10"/>
        <v>39</v>
      </c>
      <c r="Q49" s="34"/>
      <c r="R49" s="34"/>
    </row>
    <row r="50" spans="1:18" x14ac:dyDescent="0.35">
      <c r="B50" s="1"/>
      <c r="C50" s="34"/>
      <c r="D50" s="34"/>
      <c r="E50" s="34"/>
      <c r="F50" s="34"/>
      <c r="G50" s="34"/>
      <c r="H50" s="34"/>
      <c r="I50" s="34"/>
      <c r="J50" s="34"/>
      <c r="K50" s="34"/>
      <c r="L50" s="34"/>
      <c r="M50" s="34"/>
      <c r="N50" s="34"/>
      <c r="O50" s="34"/>
      <c r="Q50" s="34"/>
      <c r="R50" s="34"/>
    </row>
    <row r="51" spans="1:18" x14ac:dyDescent="0.35">
      <c r="B51" s="1"/>
      <c r="C51" s="34"/>
      <c r="D51" s="34"/>
      <c r="E51" s="34"/>
      <c r="F51" s="34"/>
      <c r="G51" s="34"/>
      <c r="H51" s="34"/>
      <c r="I51" s="34"/>
      <c r="J51" s="34"/>
      <c r="K51" s="34"/>
      <c r="L51" s="34"/>
      <c r="M51" s="34"/>
      <c r="N51" s="34"/>
      <c r="O51" s="34"/>
      <c r="Q51" s="34"/>
      <c r="R51" s="34"/>
    </row>
    <row r="52" spans="1:18" x14ac:dyDescent="0.35">
      <c r="B52" s="1"/>
      <c r="C52" s="34"/>
      <c r="D52" s="34"/>
      <c r="E52" s="34"/>
      <c r="F52" s="34"/>
      <c r="G52" s="34"/>
      <c r="H52" s="34"/>
      <c r="I52" s="34"/>
      <c r="J52" s="34"/>
      <c r="K52" s="34"/>
      <c r="L52" s="34"/>
      <c r="M52" s="34"/>
      <c r="N52" s="34"/>
      <c r="O52" s="34"/>
      <c r="Q52" s="34"/>
      <c r="R52" s="34"/>
    </row>
    <row r="53" spans="1:18" x14ac:dyDescent="0.35">
      <c r="B53" s="583"/>
      <c r="C53" s="6"/>
      <c r="D53" s="6"/>
      <c r="E53" s="6"/>
      <c r="F53" s="6"/>
      <c r="G53" s="6"/>
      <c r="H53" s="6"/>
      <c r="I53" s="6"/>
      <c r="J53" s="6"/>
      <c r="K53" s="6"/>
      <c r="L53" s="441"/>
      <c r="M53" s="6"/>
      <c r="N53" s="6"/>
      <c r="O53" s="6"/>
      <c r="Q53" s="34"/>
      <c r="R53" s="34"/>
    </row>
    <row r="54" spans="1:18" x14ac:dyDescent="0.35">
      <c r="B54" s="583"/>
      <c r="C54" s="6"/>
      <c r="D54" s="6"/>
      <c r="E54" s="6"/>
      <c r="F54" s="6"/>
      <c r="G54" s="6"/>
      <c r="H54" s="6"/>
      <c r="I54" s="6"/>
      <c r="J54" s="6"/>
      <c r="K54" s="6"/>
      <c r="L54" s="441"/>
      <c r="M54" s="6"/>
      <c r="N54" s="6"/>
      <c r="O54" s="6"/>
      <c r="Q54" s="34"/>
      <c r="R54" s="34"/>
    </row>
    <row r="55" spans="1:18" x14ac:dyDescent="0.35">
      <c r="B55" s="583"/>
      <c r="C55" s="6"/>
      <c r="D55" s="6"/>
      <c r="E55" s="6"/>
      <c r="F55" s="6"/>
      <c r="G55" s="6"/>
      <c r="H55" s="6"/>
      <c r="I55" s="6"/>
      <c r="J55" s="6"/>
      <c r="K55" s="6"/>
      <c r="L55" s="441"/>
      <c r="M55" s="6"/>
      <c r="N55" s="6"/>
      <c r="O55" s="6"/>
      <c r="Q55" s="34"/>
      <c r="R55" s="34"/>
    </row>
    <row r="56" spans="1:18" x14ac:dyDescent="0.35">
      <c r="B56" s="583"/>
      <c r="C56" s="6"/>
      <c r="D56" s="6"/>
      <c r="E56" s="6"/>
      <c r="F56" s="6"/>
      <c r="G56" s="6"/>
      <c r="H56" s="6"/>
      <c r="I56" s="6"/>
      <c r="J56" s="6"/>
      <c r="K56" s="6"/>
      <c r="L56" s="441"/>
      <c r="M56" s="6"/>
      <c r="N56" s="6"/>
      <c r="O56" s="6"/>
      <c r="Q56" s="34"/>
      <c r="R56" s="34"/>
    </row>
    <row r="57" spans="1:18" x14ac:dyDescent="0.35">
      <c r="B57" s="583"/>
      <c r="C57" s="6"/>
      <c r="D57" s="6"/>
      <c r="E57" s="6"/>
      <c r="F57" s="6"/>
      <c r="G57" s="6"/>
      <c r="H57" s="6"/>
      <c r="I57" s="6"/>
      <c r="J57" s="6"/>
      <c r="K57" s="6"/>
      <c r="L57" s="441"/>
      <c r="M57" s="6"/>
      <c r="N57" s="6"/>
      <c r="O57" s="6"/>
      <c r="Q57" s="34"/>
      <c r="R57" s="34"/>
    </row>
    <row r="58" spans="1:18" x14ac:dyDescent="0.35">
      <c r="B58" s="583"/>
      <c r="C58" s="34"/>
      <c r="D58" s="34"/>
      <c r="E58" s="34"/>
      <c r="F58" s="34"/>
      <c r="G58" s="34"/>
      <c r="H58" s="34"/>
      <c r="I58" s="34"/>
      <c r="J58" s="34"/>
      <c r="K58" s="34"/>
      <c r="L58" s="34"/>
      <c r="M58" s="34"/>
      <c r="N58" s="34"/>
      <c r="O58" s="34"/>
      <c r="Q58" s="34"/>
      <c r="R58" s="34"/>
    </row>
  </sheetData>
  <mergeCells count="5">
    <mergeCell ref="B2:O2"/>
    <mergeCell ref="B3:O3"/>
    <mergeCell ref="B4:O4"/>
    <mergeCell ref="B5:O5"/>
    <mergeCell ref="B6:O6"/>
  </mergeCells>
  <printOptions horizontalCentered="1"/>
  <pageMargins left="0.5" right="0.5" top="0.5" bottom="0.5" header="0.25" footer="0.25"/>
  <pageSetup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08984375" defaultRowHeight="15.5" x14ac:dyDescent="0.35"/>
  <cols>
    <col min="1" max="1" width="5.08984375" style="4" customWidth="1"/>
    <col min="2" max="2" width="8.54296875" style="34" customWidth="1"/>
    <col min="3" max="11" width="15.90625" style="34" customWidth="1"/>
    <col min="12" max="12" width="11.08984375" style="34" customWidth="1"/>
    <col min="13" max="15" width="15.90625" style="34" customWidth="1"/>
    <col min="16" max="16" width="5.08984375" style="4" customWidth="1"/>
    <col min="17" max="17" width="9.08984375" style="34"/>
    <col min="18" max="18" width="9.54296875" style="34" bestFit="1" customWidth="1"/>
    <col min="19" max="16384" width="9.08984375" style="34"/>
  </cols>
  <sheetData>
    <row r="1" spans="1:16" x14ac:dyDescent="0.35">
      <c r="C1" s="263"/>
    </row>
    <row r="2" spans="1:16" x14ac:dyDescent="0.35">
      <c r="B2" s="1171" t="s">
        <v>0</v>
      </c>
      <c r="C2" s="1171"/>
      <c r="D2" s="1171"/>
      <c r="E2" s="1171"/>
      <c r="F2" s="1171"/>
      <c r="G2" s="1171"/>
      <c r="H2" s="1171"/>
      <c r="I2" s="1171"/>
      <c r="J2" s="1171"/>
      <c r="K2" s="1171"/>
      <c r="L2" s="1171"/>
      <c r="M2" s="1171"/>
      <c r="N2" s="1171"/>
      <c r="O2" s="1171"/>
    </row>
    <row r="3" spans="1:16" x14ac:dyDescent="0.35">
      <c r="B3" s="1171" t="s">
        <v>1792</v>
      </c>
      <c r="C3" s="1171"/>
      <c r="D3" s="1171"/>
      <c r="E3" s="1171"/>
      <c r="F3" s="1171"/>
      <c r="G3" s="1171"/>
      <c r="H3" s="1171"/>
      <c r="I3" s="1171"/>
      <c r="J3" s="1171"/>
      <c r="K3" s="1171"/>
      <c r="L3" s="1171"/>
      <c r="M3" s="1171"/>
      <c r="N3" s="1171"/>
      <c r="O3" s="1171"/>
    </row>
    <row r="4" spans="1:16" x14ac:dyDescent="0.35">
      <c r="B4" s="1176" t="str">
        <f>'Summary of HV-LV Splits'!B4</f>
        <v>24-Month Forecast Period (January 1, 2023 - December 31, 2024)</v>
      </c>
      <c r="C4" s="1176"/>
      <c r="D4" s="1176"/>
      <c r="E4" s="1176"/>
      <c r="F4" s="1176"/>
      <c r="G4" s="1176"/>
      <c r="H4" s="1176"/>
      <c r="I4" s="1176"/>
      <c r="J4" s="1176"/>
      <c r="K4" s="1176"/>
      <c r="L4" s="1176"/>
      <c r="M4" s="1176"/>
      <c r="N4" s="1176"/>
      <c r="O4" s="1176"/>
    </row>
    <row r="5" spans="1:16" x14ac:dyDescent="0.35">
      <c r="B5" s="1171" t="s">
        <v>1820</v>
      </c>
      <c r="C5" s="1171"/>
      <c r="D5" s="1171"/>
      <c r="E5" s="1171"/>
      <c r="F5" s="1171"/>
      <c r="G5" s="1171"/>
      <c r="H5" s="1171"/>
      <c r="I5" s="1171"/>
      <c r="J5" s="1171"/>
      <c r="K5" s="1171"/>
      <c r="L5" s="1171"/>
      <c r="M5" s="1171"/>
      <c r="N5" s="1171"/>
      <c r="O5" s="1171"/>
    </row>
    <row r="6" spans="1:16" x14ac:dyDescent="0.35">
      <c r="B6" s="1171" t="s">
        <v>1821</v>
      </c>
      <c r="C6" s="1171"/>
      <c r="D6" s="1171"/>
      <c r="E6" s="1171"/>
      <c r="F6" s="1171"/>
      <c r="G6" s="1171"/>
      <c r="H6" s="1171"/>
      <c r="I6" s="1171"/>
      <c r="J6" s="1171"/>
      <c r="K6" s="1171"/>
      <c r="L6" s="1171"/>
      <c r="M6" s="1171"/>
      <c r="N6" s="1171"/>
      <c r="O6" s="1171"/>
    </row>
    <row r="7" spans="1:16" x14ac:dyDescent="0.35">
      <c r="B7" s="1200">
        <v>-1000</v>
      </c>
      <c r="C7" s="1200"/>
      <c r="D7" s="1200"/>
      <c r="E7" s="1200"/>
      <c r="F7" s="1200"/>
      <c r="G7" s="1200"/>
      <c r="H7" s="1200"/>
      <c r="I7" s="1200"/>
      <c r="J7" s="1200"/>
      <c r="K7" s="1200"/>
      <c r="L7" s="1200"/>
      <c r="M7" s="1200"/>
      <c r="N7" s="1200"/>
      <c r="O7" s="1200"/>
    </row>
    <row r="8" spans="1:16" ht="16" thickBot="1" x14ac:dyDescent="0.4"/>
    <row r="9" spans="1:16" s="1" customFormat="1" x14ac:dyDescent="0.35">
      <c r="A9" s="4" t="s">
        <v>6</v>
      </c>
      <c r="B9" s="239"/>
      <c r="C9" s="237" t="s">
        <v>1819</v>
      </c>
      <c r="D9" s="235"/>
      <c r="E9" s="238"/>
      <c r="F9" s="234" t="s">
        <v>1795</v>
      </c>
      <c r="G9" s="235"/>
      <c r="H9" s="236"/>
      <c r="I9" s="237" t="s">
        <v>1796</v>
      </c>
      <c r="J9" s="235"/>
      <c r="K9" s="238"/>
      <c r="L9" s="239" t="s">
        <v>1797</v>
      </c>
      <c r="M9" s="237" t="s">
        <v>1798</v>
      </c>
      <c r="N9" s="235"/>
      <c r="O9" s="236"/>
      <c r="P9" s="4" t="s">
        <v>6</v>
      </c>
    </row>
    <row r="10" spans="1:16" s="1" customFormat="1" ht="16" thickBot="1" x14ac:dyDescent="0.4">
      <c r="A10" s="4" t="s">
        <v>7</v>
      </c>
      <c r="B10" s="547" t="s">
        <v>1799</v>
      </c>
      <c r="C10" s="552" t="s">
        <v>1767</v>
      </c>
      <c r="D10" s="549" t="s">
        <v>1768</v>
      </c>
      <c r="E10" s="550" t="s">
        <v>265</v>
      </c>
      <c r="F10" s="548" t="s">
        <v>1767</v>
      </c>
      <c r="G10" s="549" t="s">
        <v>1768</v>
      </c>
      <c r="H10" s="551" t="s">
        <v>265</v>
      </c>
      <c r="I10" s="552" t="s">
        <v>1767</v>
      </c>
      <c r="J10" s="549" t="s">
        <v>1768</v>
      </c>
      <c r="K10" s="550" t="s">
        <v>265</v>
      </c>
      <c r="L10" s="547" t="s">
        <v>1800</v>
      </c>
      <c r="M10" s="552" t="s">
        <v>1767</v>
      </c>
      <c r="N10" s="549" t="s">
        <v>1768</v>
      </c>
      <c r="O10" s="551" t="s">
        <v>265</v>
      </c>
      <c r="P10" s="4" t="s">
        <v>7</v>
      </c>
    </row>
    <row r="11" spans="1:16" s="1" customFormat="1" ht="15" x14ac:dyDescent="0.35">
      <c r="A11" s="226"/>
      <c r="B11" s="239"/>
      <c r="C11" s="226"/>
      <c r="D11" s="471"/>
      <c r="E11" s="226"/>
      <c r="F11" s="523"/>
      <c r="G11" s="472"/>
      <c r="H11" s="556"/>
      <c r="I11" s="226"/>
      <c r="J11" s="471"/>
      <c r="K11" s="226"/>
      <c r="L11" s="553"/>
      <c r="M11" s="226"/>
      <c r="N11" s="471"/>
      <c r="O11" s="556"/>
      <c r="P11" s="226"/>
    </row>
    <row r="12" spans="1:16" x14ac:dyDescent="0.35">
      <c r="A12" s="4">
        <v>1</v>
      </c>
      <c r="B12" s="557">
        <f>'ET Forecast Capital Additions'!B11</f>
        <v>44948</v>
      </c>
      <c r="C12" s="227">
        <v>0</v>
      </c>
      <c r="D12" s="698">
        <v>0</v>
      </c>
      <c r="E12" s="127">
        <f t="shared" ref="E12:E35" si="0">C12+D12</f>
        <v>0</v>
      </c>
      <c r="F12" s="184">
        <f>C12*$H$42</f>
        <v>0</v>
      </c>
      <c r="G12" s="613">
        <f>D12*$H$42</f>
        <v>0</v>
      </c>
      <c r="H12" s="228">
        <f t="shared" ref="H12:H35" si="1">F12+G12</f>
        <v>0</v>
      </c>
      <c r="I12" s="61">
        <f>C12-F12</f>
        <v>0</v>
      </c>
      <c r="J12" s="240">
        <f>D12-G12</f>
        <v>0</v>
      </c>
      <c r="K12" s="127">
        <f t="shared" ref="K12:K35" si="2">I12+J12</f>
        <v>0</v>
      </c>
      <c r="L12" s="250">
        <f>'ET Forecast Capital Additions'!$L11</f>
        <v>1</v>
      </c>
      <c r="M12" s="61">
        <f t="shared" ref="M12:M35" si="3">I12*L12</f>
        <v>0</v>
      </c>
      <c r="N12" s="240">
        <f t="shared" ref="N12:N35" si="4">J12*L12</f>
        <v>0</v>
      </c>
      <c r="O12" s="613">
        <f t="shared" ref="O12:O35" si="5">M12+N12</f>
        <v>0</v>
      </c>
      <c r="P12" s="4">
        <f>A12</f>
        <v>1</v>
      </c>
    </row>
    <row r="13" spans="1:16" x14ac:dyDescent="0.35">
      <c r="A13" s="4">
        <f t="shared" ref="A13:A50" si="6">A12+1</f>
        <v>2</v>
      </c>
      <c r="B13" s="557">
        <f>'ET Forecast Capital Additions'!B12</f>
        <v>44979</v>
      </c>
      <c r="C13" s="229">
        <v>0</v>
      </c>
      <c r="D13" s="699">
        <v>0</v>
      </c>
      <c r="E13" s="132">
        <f t="shared" si="0"/>
        <v>0</v>
      </c>
      <c r="F13" s="186">
        <f t="shared" ref="F13:G35" si="7">C13*$H$42</f>
        <v>0</v>
      </c>
      <c r="G13" s="593">
        <f t="shared" si="7"/>
        <v>0</v>
      </c>
      <c r="H13" s="135">
        <f t="shared" si="1"/>
        <v>0</v>
      </c>
      <c r="I13" s="55">
        <f t="shared" ref="I13:J35" si="8">C13-F13</f>
        <v>0</v>
      </c>
      <c r="J13" s="241">
        <f t="shared" si="8"/>
        <v>0</v>
      </c>
      <c r="K13" s="132">
        <f t="shared" si="2"/>
        <v>0</v>
      </c>
      <c r="L13" s="250">
        <f>'ET Forecast Capital Additions'!$L12</f>
        <v>1</v>
      </c>
      <c r="M13" s="55">
        <f t="shared" si="3"/>
        <v>0</v>
      </c>
      <c r="N13" s="241">
        <f t="shared" si="4"/>
        <v>0</v>
      </c>
      <c r="O13" s="593">
        <f t="shared" si="5"/>
        <v>0</v>
      </c>
      <c r="P13" s="4">
        <f t="shared" ref="P13:P50" si="9">P12+1</f>
        <v>2</v>
      </c>
    </row>
    <row r="14" spans="1:16" x14ac:dyDescent="0.35">
      <c r="A14" s="4">
        <f t="shared" si="6"/>
        <v>3</v>
      </c>
      <c r="B14" s="557">
        <f>'ET Forecast Capital Additions'!B13</f>
        <v>45007</v>
      </c>
      <c r="C14" s="229">
        <v>0</v>
      </c>
      <c r="D14" s="699">
        <v>0</v>
      </c>
      <c r="E14" s="132">
        <f t="shared" si="0"/>
        <v>0</v>
      </c>
      <c r="F14" s="186">
        <f t="shared" si="7"/>
        <v>0</v>
      </c>
      <c r="G14" s="593">
        <f t="shared" si="7"/>
        <v>0</v>
      </c>
      <c r="H14" s="135">
        <f t="shared" si="1"/>
        <v>0</v>
      </c>
      <c r="I14" s="55">
        <f t="shared" si="8"/>
        <v>0</v>
      </c>
      <c r="J14" s="241">
        <f t="shared" si="8"/>
        <v>0</v>
      </c>
      <c r="K14" s="132">
        <f t="shared" si="2"/>
        <v>0</v>
      </c>
      <c r="L14" s="250">
        <f>'ET Forecast Capital Additions'!$L13</f>
        <v>1</v>
      </c>
      <c r="M14" s="55">
        <f t="shared" si="3"/>
        <v>0</v>
      </c>
      <c r="N14" s="241">
        <f t="shared" si="4"/>
        <v>0</v>
      </c>
      <c r="O14" s="593">
        <f t="shared" si="5"/>
        <v>0</v>
      </c>
      <c r="P14" s="4">
        <f t="shared" si="9"/>
        <v>3</v>
      </c>
    </row>
    <row r="15" spans="1:16" ht="16" thickBot="1" x14ac:dyDescent="0.4">
      <c r="A15" s="4">
        <f t="shared" si="6"/>
        <v>4</v>
      </c>
      <c r="B15" s="558">
        <f>'ET Forecast Capital Additions'!B14</f>
        <v>45038</v>
      </c>
      <c r="C15" s="230">
        <v>0</v>
      </c>
      <c r="D15" s="216">
        <v>0</v>
      </c>
      <c r="E15" s="188">
        <f t="shared" si="0"/>
        <v>0</v>
      </c>
      <c r="F15" s="189">
        <f t="shared" si="7"/>
        <v>0</v>
      </c>
      <c r="G15" s="191">
        <f t="shared" si="7"/>
        <v>0</v>
      </c>
      <c r="H15" s="221">
        <f t="shared" si="1"/>
        <v>0</v>
      </c>
      <c r="I15" s="192">
        <f t="shared" si="8"/>
        <v>0</v>
      </c>
      <c r="J15" s="190">
        <f t="shared" si="8"/>
        <v>0</v>
      </c>
      <c r="K15" s="188">
        <f t="shared" si="2"/>
        <v>0</v>
      </c>
      <c r="L15" s="251">
        <f>'ET Forecast Capital Additions'!$L14</f>
        <v>1</v>
      </c>
      <c r="M15" s="192">
        <f t="shared" si="3"/>
        <v>0</v>
      </c>
      <c r="N15" s="190">
        <f t="shared" si="4"/>
        <v>0</v>
      </c>
      <c r="O15" s="191">
        <f t="shared" si="5"/>
        <v>0</v>
      </c>
      <c r="P15" s="4">
        <f t="shared" si="9"/>
        <v>4</v>
      </c>
    </row>
    <row r="16" spans="1:16" x14ac:dyDescent="0.35">
      <c r="A16" s="4">
        <f t="shared" si="6"/>
        <v>5</v>
      </c>
      <c r="B16" s="557">
        <f>'ET Forecast Capital Additions'!B15</f>
        <v>45068</v>
      </c>
      <c r="C16" s="231">
        <v>0</v>
      </c>
      <c r="D16" s="193">
        <v>0</v>
      </c>
      <c r="E16" s="130">
        <f t="shared" si="0"/>
        <v>0</v>
      </c>
      <c r="F16" s="194">
        <f t="shared" si="7"/>
        <v>0</v>
      </c>
      <c r="G16" s="131">
        <f t="shared" si="7"/>
        <v>0</v>
      </c>
      <c r="H16" s="232">
        <f t="shared" si="1"/>
        <v>0</v>
      </c>
      <c r="I16" s="55">
        <f t="shared" si="8"/>
        <v>0</v>
      </c>
      <c r="J16" s="241">
        <f t="shared" si="8"/>
        <v>0</v>
      </c>
      <c r="K16" s="130">
        <f t="shared" si="2"/>
        <v>0</v>
      </c>
      <c r="L16" s="252">
        <f>'ET Forecast Capital Additions'!$L15</f>
        <v>1</v>
      </c>
      <c r="M16" s="55">
        <f t="shared" si="3"/>
        <v>0</v>
      </c>
      <c r="N16" s="241">
        <f t="shared" si="4"/>
        <v>0</v>
      </c>
      <c r="O16" s="131">
        <f t="shared" si="5"/>
        <v>0</v>
      </c>
      <c r="P16" s="4">
        <f t="shared" si="9"/>
        <v>5</v>
      </c>
    </row>
    <row r="17" spans="1:16" x14ac:dyDescent="0.35">
      <c r="A17" s="4">
        <f t="shared" si="6"/>
        <v>6</v>
      </c>
      <c r="B17" s="557">
        <f>'ET Forecast Capital Additions'!B16</f>
        <v>45099</v>
      </c>
      <c r="C17" s="229">
        <v>0</v>
      </c>
      <c r="D17" s="699">
        <v>0</v>
      </c>
      <c r="E17" s="132">
        <f t="shared" si="0"/>
        <v>0</v>
      </c>
      <c r="F17" s="186">
        <f t="shared" si="7"/>
        <v>0</v>
      </c>
      <c r="G17" s="593">
        <f t="shared" si="7"/>
        <v>0</v>
      </c>
      <c r="H17" s="135">
        <f t="shared" si="1"/>
        <v>0</v>
      </c>
      <c r="I17" s="55">
        <f t="shared" si="8"/>
        <v>0</v>
      </c>
      <c r="J17" s="241">
        <f t="shared" si="8"/>
        <v>0</v>
      </c>
      <c r="K17" s="132">
        <f t="shared" si="2"/>
        <v>0</v>
      </c>
      <c r="L17" s="250">
        <f>'ET Forecast Capital Additions'!$L16</f>
        <v>1</v>
      </c>
      <c r="M17" s="55">
        <f t="shared" si="3"/>
        <v>0</v>
      </c>
      <c r="N17" s="241">
        <f t="shared" si="4"/>
        <v>0</v>
      </c>
      <c r="O17" s="593">
        <f t="shared" si="5"/>
        <v>0</v>
      </c>
      <c r="P17" s="4">
        <f t="shared" si="9"/>
        <v>6</v>
      </c>
    </row>
    <row r="18" spans="1:16" x14ac:dyDescent="0.35">
      <c r="A18" s="4">
        <f t="shared" si="6"/>
        <v>7</v>
      </c>
      <c r="B18" s="557">
        <f>'ET Forecast Capital Additions'!B17</f>
        <v>45129</v>
      </c>
      <c r="C18" s="229">
        <v>0</v>
      </c>
      <c r="D18" s="699">
        <v>0</v>
      </c>
      <c r="E18" s="132">
        <f t="shared" si="0"/>
        <v>0</v>
      </c>
      <c r="F18" s="186">
        <f t="shared" si="7"/>
        <v>0</v>
      </c>
      <c r="G18" s="593">
        <f t="shared" si="7"/>
        <v>0</v>
      </c>
      <c r="H18" s="135">
        <f t="shared" si="1"/>
        <v>0</v>
      </c>
      <c r="I18" s="55">
        <f t="shared" si="8"/>
        <v>0</v>
      </c>
      <c r="J18" s="241">
        <f t="shared" si="8"/>
        <v>0</v>
      </c>
      <c r="K18" s="132">
        <f t="shared" si="2"/>
        <v>0</v>
      </c>
      <c r="L18" s="250">
        <f>'ET Forecast Capital Additions'!$L17</f>
        <v>1</v>
      </c>
      <c r="M18" s="55">
        <f t="shared" si="3"/>
        <v>0</v>
      </c>
      <c r="N18" s="241">
        <f t="shared" si="4"/>
        <v>0</v>
      </c>
      <c r="O18" s="593">
        <f t="shared" si="5"/>
        <v>0</v>
      </c>
      <c r="P18" s="4">
        <f t="shared" si="9"/>
        <v>7</v>
      </c>
    </row>
    <row r="19" spans="1:16" ht="16" thickBot="1" x14ac:dyDescent="0.4">
      <c r="A19" s="4">
        <f t="shared" si="6"/>
        <v>8</v>
      </c>
      <c r="B19" s="558">
        <f>'ET Forecast Capital Additions'!B18</f>
        <v>45160</v>
      </c>
      <c r="C19" s="230">
        <v>0</v>
      </c>
      <c r="D19" s="216">
        <v>0</v>
      </c>
      <c r="E19" s="188">
        <f t="shared" si="0"/>
        <v>0</v>
      </c>
      <c r="F19" s="189">
        <f t="shared" si="7"/>
        <v>0</v>
      </c>
      <c r="G19" s="191">
        <f t="shared" si="7"/>
        <v>0</v>
      </c>
      <c r="H19" s="221">
        <f t="shared" si="1"/>
        <v>0</v>
      </c>
      <c r="I19" s="192">
        <f t="shared" si="8"/>
        <v>0</v>
      </c>
      <c r="J19" s="190">
        <f t="shared" si="8"/>
        <v>0</v>
      </c>
      <c r="K19" s="188">
        <f t="shared" si="2"/>
        <v>0</v>
      </c>
      <c r="L19" s="251">
        <f>'ET Forecast Capital Additions'!$L18</f>
        <v>1</v>
      </c>
      <c r="M19" s="192">
        <f t="shared" si="3"/>
        <v>0</v>
      </c>
      <c r="N19" s="190">
        <f t="shared" si="4"/>
        <v>0</v>
      </c>
      <c r="O19" s="191">
        <f t="shared" si="5"/>
        <v>0</v>
      </c>
      <c r="P19" s="4">
        <f t="shared" si="9"/>
        <v>8</v>
      </c>
    </row>
    <row r="20" spans="1:16" x14ac:dyDescent="0.35">
      <c r="A20" s="4">
        <f t="shared" si="6"/>
        <v>9</v>
      </c>
      <c r="B20" s="557">
        <f>'ET Forecast Capital Additions'!B19</f>
        <v>45191</v>
      </c>
      <c r="C20" s="231">
        <v>0</v>
      </c>
      <c r="D20" s="193">
        <v>0</v>
      </c>
      <c r="E20" s="130">
        <f t="shared" si="0"/>
        <v>0</v>
      </c>
      <c r="F20" s="194">
        <f t="shared" si="7"/>
        <v>0</v>
      </c>
      <c r="G20" s="131">
        <f t="shared" si="7"/>
        <v>0</v>
      </c>
      <c r="H20" s="232">
        <f t="shared" si="1"/>
        <v>0</v>
      </c>
      <c r="I20" s="55">
        <f t="shared" si="8"/>
        <v>0</v>
      </c>
      <c r="J20" s="241">
        <f t="shared" si="8"/>
        <v>0</v>
      </c>
      <c r="K20" s="130">
        <f t="shared" si="2"/>
        <v>0</v>
      </c>
      <c r="L20" s="252">
        <f>'ET Forecast Capital Additions'!$L19</f>
        <v>1</v>
      </c>
      <c r="M20" s="55">
        <f t="shared" si="3"/>
        <v>0</v>
      </c>
      <c r="N20" s="241">
        <f t="shared" si="4"/>
        <v>0</v>
      </c>
      <c r="O20" s="131">
        <f t="shared" si="5"/>
        <v>0</v>
      </c>
      <c r="P20" s="4">
        <f t="shared" si="9"/>
        <v>9</v>
      </c>
    </row>
    <row r="21" spans="1:16" x14ac:dyDescent="0.35">
      <c r="A21" s="4">
        <f t="shared" si="6"/>
        <v>10</v>
      </c>
      <c r="B21" s="557">
        <f>'ET Forecast Capital Additions'!B20</f>
        <v>45221</v>
      </c>
      <c r="C21" s="229">
        <v>0</v>
      </c>
      <c r="D21" s="699">
        <v>0</v>
      </c>
      <c r="E21" s="132">
        <f t="shared" si="0"/>
        <v>0</v>
      </c>
      <c r="F21" s="186">
        <f t="shared" si="7"/>
        <v>0</v>
      </c>
      <c r="G21" s="593">
        <f t="shared" si="7"/>
        <v>0</v>
      </c>
      <c r="H21" s="135">
        <f t="shared" si="1"/>
        <v>0</v>
      </c>
      <c r="I21" s="55">
        <f t="shared" si="8"/>
        <v>0</v>
      </c>
      <c r="J21" s="241">
        <f t="shared" si="8"/>
        <v>0</v>
      </c>
      <c r="K21" s="132">
        <f t="shared" si="2"/>
        <v>0</v>
      </c>
      <c r="L21" s="250">
        <f>'ET Forecast Capital Additions'!$L20</f>
        <v>1</v>
      </c>
      <c r="M21" s="55">
        <f t="shared" si="3"/>
        <v>0</v>
      </c>
      <c r="N21" s="241">
        <f t="shared" si="4"/>
        <v>0</v>
      </c>
      <c r="O21" s="593">
        <f t="shared" si="5"/>
        <v>0</v>
      </c>
      <c r="P21" s="4">
        <f t="shared" si="9"/>
        <v>10</v>
      </c>
    </row>
    <row r="22" spans="1:16" x14ac:dyDescent="0.35">
      <c r="A22" s="4">
        <f t="shared" si="6"/>
        <v>11</v>
      </c>
      <c r="B22" s="557">
        <f>'ET Forecast Capital Additions'!B21</f>
        <v>45252</v>
      </c>
      <c r="C22" s="117">
        <v>0</v>
      </c>
      <c r="D22" s="699">
        <v>0</v>
      </c>
      <c r="E22" s="6">
        <f t="shared" si="0"/>
        <v>0</v>
      </c>
      <c r="F22" s="186">
        <f t="shared" si="7"/>
        <v>0</v>
      </c>
      <c r="G22" s="593">
        <f t="shared" si="7"/>
        <v>0</v>
      </c>
      <c r="H22" s="135">
        <f t="shared" si="1"/>
        <v>0</v>
      </c>
      <c r="I22" s="55">
        <f t="shared" si="8"/>
        <v>0</v>
      </c>
      <c r="J22" s="241">
        <f t="shared" si="8"/>
        <v>0</v>
      </c>
      <c r="K22" s="6">
        <f t="shared" si="2"/>
        <v>0</v>
      </c>
      <c r="L22" s="250">
        <f>'ET Forecast Capital Additions'!$L21</f>
        <v>1</v>
      </c>
      <c r="M22" s="55">
        <f t="shared" si="3"/>
        <v>0</v>
      </c>
      <c r="N22" s="241">
        <f t="shared" si="4"/>
        <v>0</v>
      </c>
      <c r="O22" s="135">
        <f t="shared" si="5"/>
        <v>0</v>
      </c>
      <c r="P22" s="4">
        <f t="shared" si="9"/>
        <v>11</v>
      </c>
    </row>
    <row r="23" spans="1:16" ht="16" thickBot="1" x14ac:dyDescent="0.4">
      <c r="A23" s="4">
        <f t="shared" si="6"/>
        <v>12</v>
      </c>
      <c r="B23" s="558">
        <f>'ET Forecast Capital Additions'!B22</f>
        <v>45282</v>
      </c>
      <c r="C23" s="230">
        <v>0</v>
      </c>
      <c r="D23" s="216">
        <v>0</v>
      </c>
      <c r="E23" s="188">
        <f t="shared" si="0"/>
        <v>0</v>
      </c>
      <c r="F23" s="189">
        <f t="shared" si="7"/>
        <v>0</v>
      </c>
      <c r="G23" s="191">
        <f t="shared" si="7"/>
        <v>0</v>
      </c>
      <c r="H23" s="221">
        <f t="shared" si="1"/>
        <v>0</v>
      </c>
      <c r="I23" s="192">
        <f t="shared" si="8"/>
        <v>0</v>
      </c>
      <c r="J23" s="190">
        <f t="shared" si="8"/>
        <v>0</v>
      </c>
      <c r="K23" s="188">
        <f t="shared" si="2"/>
        <v>0</v>
      </c>
      <c r="L23" s="251">
        <f>'ET Forecast Capital Additions'!$L22</f>
        <v>1</v>
      </c>
      <c r="M23" s="192">
        <f t="shared" si="3"/>
        <v>0</v>
      </c>
      <c r="N23" s="190">
        <f t="shared" si="4"/>
        <v>0</v>
      </c>
      <c r="O23" s="191">
        <f t="shared" si="5"/>
        <v>0</v>
      </c>
      <c r="P23" s="4">
        <f t="shared" si="9"/>
        <v>12</v>
      </c>
    </row>
    <row r="24" spans="1:16" x14ac:dyDescent="0.35">
      <c r="A24" s="4">
        <f t="shared" si="6"/>
        <v>13</v>
      </c>
      <c r="B24" s="557">
        <f>'ET Forecast Capital Additions'!B23</f>
        <v>45313</v>
      </c>
      <c r="C24" s="231">
        <v>0</v>
      </c>
      <c r="D24" s="193">
        <v>0</v>
      </c>
      <c r="E24" s="130">
        <f t="shared" si="0"/>
        <v>0</v>
      </c>
      <c r="F24" s="194">
        <f t="shared" si="7"/>
        <v>0</v>
      </c>
      <c r="G24" s="131">
        <f t="shared" si="7"/>
        <v>0</v>
      </c>
      <c r="H24" s="232">
        <f t="shared" si="1"/>
        <v>0</v>
      </c>
      <c r="I24" s="55">
        <f t="shared" si="8"/>
        <v>0</v>
      </c>
      <c r="J24" s="241">
        <f t="shared" si="8"/>
        <v>0</v>
      </c>
      <c r="K24" s="130">
        <f t="shared" si="2"/>
        <v>0</v>
      </c>
      <c r="L24" s="252">
        <f>'ET Forecast Capital Additions'!$L23</f>
        <v>1</v>
      </c>
      <c r="M24" s="55">
        <f t="shared" si="3"/>
        <v>0</v>
      </c>
      <c r="N24" s="241">
        <f t="shared" si="4"/>
        <v>0</v>
      </c>
      <c r="O24" s="131">
        <f t="shared" si="5"/>
        <v>0</v>
      </c>
      <c r="P24" s="4">
        <f t="shared" si="9"/>
        <v>13</v>
      </c>
    </row>
    <row r="25" spans="1:16" x14ac:dyDescent="0.35">
      <c r="A25" s="4">
        <f t="shared" si="6"/>
        <v>14</v>
      </c>
      <c r="B25" s="557">
        <f>'ET Forecast Capital Additions'!B24</f>
        <v>45344</v>
      </c>
      <c r="C25" s="229">
        <v>0</v>
      </c>
      <c r="D25" s="699">
        <v>0</v>
      </c>
      <c r="E25" s="132">
        <f t="shared" si="0"/>
        <v>0</v>
      </c>
      <c r="F25" s="186">
        <f t="shared" si="7"/>
        <v>0</v>
      </c>
      <c r="G25" s="593">
        <f t="shared" si="7"/>
        <v>0</v>
      </c>
      <c r="H25" s="135">
        <f t="shared" si="1"/>
        <v>0</v>
      </c>
      <c r="I25" s="55">
        <f t="shared" si="8"/>
        <v>0</v>
      </c>
      <c r="J25" s="241">
        <f t="shared" si="8"/>
        <v>0</v>
      </c>
      <c r="K25" s="132">
        <f t="shared" si="2"/>
        <v>0</v>
      </c>
      <c r="L25" s="250">
        <f>'ET Forecast Capital Additions'!$L24</f>
        <v>0.91666666666666663</v>
      </c>
      <c r="M25" s="55">
        <f t="shared" si="3"/>
        <v>0</v>
      </c>
      <c r="N25" s="241">
        <f t="shared" si="4"/>
        <v>0</v>
      </c>
      <c r="O25" s="593">
        <f t="shared" si="5"/>
        <v>0</v>
      </c>
      <c r="P25" s="4">
        <f t="shared" si="9"/>
        <v>14</v>
      </c>
    </row>
    <row r="26" spans="1:16" x14ac:dyDescent="0.35">
      <c r="A26" s="4">
        <f t="shared" si="6"/>
        <v>15</v>
      </c>
      <c r="B26" s="557">
        <f>'ET Forecast Capital Additions'!B25</f>
        <v>45373</v>
      </c>
      <c r="C26" s="229">
        <v>0</v>
      </c>
      <c r="D26" s="699">
        <v>0</v>
      </c>
      <c r="E26" s="132">
        <f t="shared" si="0"/>
        <v>0</v>
      </c>
      <c r="F26" s="186">
        <f t="shared" si="7"/>
        <v>0</v>
      </c>
      <c r="G26" s="593">
        <f t="shared" si="7"/>
        <v>0</v>
      </c>
      <c r="H26" s="135">
        <f t="shared" si="1"/>
        <v>0</v>
      </c>
      <c r="I26" s="55">
        <f t="shared" si="8"/>
        <v>0</v>
      </c>
      <c r="J26" s="241">
        <f t="shared" si="8"/>
        <v>0</v>
      </c>
      <c r="K26" s="132">
        <f t="shared" si="2"/>
        <v>0</v>
      </c>
      <c r="L26" s="250">
        <f>'ET Forecast Capital Additions'!$L25</f>
        <v>0.83333333333333337</v>
      </c>
      <c r="M26" s="55">
        <f t="shared" si="3"/>
        <v>0</v>
      </c>
      <c r="N26" s="241">
        <f t="shared" si="4"/>
        <v>0</v>
      </c>
      <c r="O26" s="593">
        <f t="shared" si="5"/>
        <v>0</v>
      </c>
      <c r="P26" s="4">
        <f t="shared" si="9"/>
        <v>15</v>
      </c>
    </row>
    <row r="27" spans="1:16" ht="16" thickBot="1" x14ac:dyDescent="0.4">
      <c r="A27" s="4">
        <f t="shared" si="6"/>
        <v>16</v>
      </c>
      <c r="B27" s="558">
        <f>'ET Forecast Capital Additions'!B26</f>
        <v>45404</v>
      </c>
      <c r="C27" s="230">
        <v>0</v>
      </c>
      <c r="D27" s="216">
        <v>0</v>
      </c>
      <c r="E27" s="188">
        <f t="shared" si="0"/>
        <v>0</v>
      </c>
      <c r="F27" s="189">
        <f t="shared" si="7"/>
        <v>0</v>
      </c>
      <c r="G27" s="191">
        <f t="shared" si="7"/>
        <v>0</v>
      </c>
      <c r="H27" s="221">
        <f t="shared" si="1"/>
        <v>0</v>
      </c>
      <c r="I27" s="192">
        <f t="shared" si="8"/>
        <v>0</v>
      </c>
      <c r="J27" s="190">
        <f t="shared" si="8"/>
        <v>0</v>
      </c>
      <c r="K27" s="188">
        <f t="shared" si="2"/>
        <v>0</v>
      </c>
      <c r="L27" s="251">
        <f>'ET Forecast Capital Additions'!$L26</f>
        <v>0.75</v>
      </c>
      <c r="M27" s="192">
        <f t="shared" si="3"/>
        <v>0</v>
      </c>
      <c r="N27" s="190">
        <f t="shared" si="4"/>
        <v>0</v>
      </c>
      <c r="O27" s="191">
        <f t="shared" si="5"/>
        <v>0</v>
      </c>
      <c r="P27" s="4">
        <f t="shared" si="9"/>
        <v>16</v>
      </c>
    </row>
    <row r="28" spans="1:16" x14ac:dyDescent="0.35">
      <c r="A28" s="4">
        <f t="shared" si="6"/>
        <v>17</v>
      </c>
      <c r="B28" s="557">
        <f>'ET Forecast Capital Additions'!B27</f>
        <v>45434</v>
      </c>
      <c r="C28" s="117">
        <v>0</v>
      </c>
      <c r="D28" s="699">
        <v>0</v>
      </c>
      <c r="E28" s="6">
        <f t="shared" si="0"/>
        <v>0</v>
      </c>
      <c r="F28" s="194">
        <f t="shared" si="7"/>
        <v>0</v>
      </c>
      <c r="G28" s="131">
        <f t="shared" si="7"/>
        <v>0</v>
      </c>
      <c r="H28" s="135">
        <f t="shared" si="1"/>
        <v>0</v>
      </c>
      <c r="I28" s="55">
        <f t="shared" si="8"/>
        <v>0</v>
      </c>
      <c r="J28" s="241">
        <f t="shared" si="8"/>
        <v>0</v>
      </c>
      <c r="K28" s="6">
        <f t="shared" si="2"/>
        <v>0</v>
      </c>
      <c r="L28" s="252">
        <f>'ET Forecast Capital Additions'!$L27</f>
        <v>0.66666666666666663</v>
      </c>
      <c r="M28" s="55">
        <f t="shared" si="3"/>
        <v>0</v>
      </c>
      <c r="N28" s="241">
        <f t="shared" si="4"/>
        <v>0</v>
      </c>
      <c r="O28" s="135">
        <f t="shared" si="5"/>
        <v>0</v>
      </c>
      <c r="P28" s="4">
        <f t="shared" si="9"/>
        <v>17</v>
      </c>
    </row>
    <row r="29" spans="1:16" x14ac:dyDescent="0.35">
      <c r="A29" s="4">
        <f t="shared" si="6"/>
        <v>18</v>
      </c>
      <c r="B29" s="557">
        <f>'ET Forecast Capital Additions'!B28</f>
        <v>45465</v>
      </c>
      <c r="C29" s="229">
        <v>0</v>
      </c>
      <c r="D29" s="699">
        <v>0</v>
      </c>
      <c r="E29" s="132">
        <f t="shared" si="0"/>
        <v>0</v>
      </c>
      <c r="F29" s="186">
        <f t="shared" si="7"/>
        <v>0</v>
      </c>
      <c r="G29" s="593">
        <f t="shared" si="7"/>
        <v>0</v>
      </c>
      <c r="H29" s="135">
        <f t="shared" si="1"/>
        <v>0</v>
      </c>
      <c r="I29" s="55">
        <f t="shared" si="8"/>
        <v>0</v>
      </c>
      <c r="J29" s="241">
        <f t="shared" si="8"/>
        <v>0</v>
      </c>
      <c r="K29" s="132">
        <f t="shared" si="2"/>
        <v>0</v>
      </c>
      <c r="L29" s="250">
        <f>'ET Forecast Capital Additions'!$L28</f>
        <v>0.58333333333333337</v>
      </c>
      <c r="M29" s="55">
        <f t="shared" si="3"/>
        <v>0</v>
      </c>
      <c r="N29" s="241">
        <f t="shared" si="4"/>
        <v>0</v>
      </c>
      <c r="O29" s="593">
        <f t="shared" si="5"/>
        <v>0</v>
      </c>
      <c r="P29" s="4">
        <f t="shared" si="9"/>
        <v>18</v>
      </c>
    </row>
    <row r="30" spans="1:16" x14ac:dyDescent="0.35">
      <c r="A30" s="4">
        <f t="shared" si="6"/>
        <v>19</v>
      </c>
      <c r="B30" s="557">
        <f>'ET Forecast Capital Additions'!B29</f>
        <v>45495</v>
      </c>
      <c r="C30" s="229">
        <v>0</v>
      </c>
      <c r="D30" s="699">
        <v>0</v>
      </c>
      <c r="E30" s="132">
        <f t="shared" si="0"/>
        <v>0</v>
      </c>
      <c r="F30" s="186">
        <f t="shared" si="7"/>
        <v>0</v>
      </c>
      <c r="G30" s="593">
        <f t="shared" si="7"/>
        <v>0</v>
      </c>
      <c r="H30" s="135">
        <f t="shared" si="1"/>
        <v>0</v>
      </c>
      <c r="I30" s="55">
        <f t="shared" si="8"/>
        <v>0</v>
      </c>
      <c r="J30" s="241">
        <f t="shared" si="8"/>
        <v>0</v>
      </c>
      <c r="K30" s="132">
        <f t="shared" si="2"/>
        <v>0</v>
      </c>
      <c r="L30" s="250">
        <f>'ET Forecast Capital Additions'!$L29</f>
        <v>0.5</v>
      </c>
      <c r="M30" s="55">
        <f t="shared" si="3"/>
        <v>0</v>
      </c>
      <c r="N30" s="241">
        <f t="shared" si="4"/>
        <v>0</v>
      </c>
      <c r="O30" s="593">
        <f t="shared" si="5"/>
        <v>0</v>
      </c>
      <c r="P30" s="4">
        <f t="shared" si="9"/>
        <v>19</v>
      </c>
    </row>
    <row r="31" spans="1:16" ht="16" thickBot="1" x14ac:dyDescent="0.4">
      <c r="A31" s="4">
        <f t="shared" si="6"/>
        <v>20</v>
      </c>
      <c r="B31" s="558">
        <f>'ET Forecast Capital Additions'!B30</f>
        <v>45526</v>
      </c>
      <c r="C31" s="230">
        <v>0</v>
      </c>
      <c r="D31" s="216">
        <v>0</v>
      </c>
      <c r="E31" s="188">
        <f t="shared" si="0"/>
        <v>0</v>
      </c>
      <c r="F31" s="189">
        <f t="shared" si="7"/>
        <v>0</v>
      </c>
      <c r="G31" s="191">
        <f t="shared" si="7"/>
        <v>0</v>
      </c>
      <c r="H31" s="221">
        <f t="shared" si="1"/>
        <v>0</v>
      </c>
      <c r="I31" s="192">
        <f t="shared" si="8"/>
        <v>0</v>
      </c>
      <c r="J31" s="190">
        <f t="shared" si="8"/>
        <v>0</v>
      </c>
      <c r="K31" s="188">
        <f t="shared" si="2"/>
        <v>0</v>
      </c>
      <c r="L31" s="251">
        <f>'ET Forecast Capital Additions'!$L30</f>
        <v>0.41666666666666669</v>
      </c>
      <c r="M31" s="192">
        <f t="shared" si="3"/>
        <v>0</v>
      </c>
      <c r="N31" s="190">
        <f t="shared" si="4"/>
        <v>0</v>
      </c>
      <c r="O31" s="191">
        <f t="shared" si="5"/>
        <v>0</v>
      </c>
      <c r="P31" s="4">
        <f t="shared" si="9"/>
        <v>20</v>
      </c>
    </row>
    <row r="32" spans="1:16" x14ac:dyDescent="0.35">
      <c r="A32" s="4">
        <f t="shared" si="6"/>
        <v>21</v>
      </c>
      <c r="B32" s="557">
        <f>'ET Forecast Capital Additions'!B31</f>
        <v>45557</v>
      </c>
      <c r="C32" s="229">
        <v>0</v>
      </c>
      <c r="D32" s="699">
        <v>0</v>
      </c>
      <c r="E32" s="132">
        <f t="shared" si="0"/>
        <v>0</v>
      </c>
      <c r="F32" s="186">
        <f t="shared" si="7"/>
        <v>0</v>
      </c>
      <c r="G32" s="241">
        <f t="shared" si="7"/>
        <v>0</v>
      </c>
      <c r="H32" s="593">
        <f t="shared" si="1"/>
        <v>0</v>
      </c>
      <c r="I32" s="55">
        <f t="shared" si="8"/>
        <v>0</v>
      </c>
      <c r="J32" s="241">
        <f t="shared" si="8"/>
        <v>0</v>
      </c>
      <c r="K32" s="132">
        <f t="shared" si="2"/>
        <v>0</v>
      </c>
      <c r="L32" s="252">
        <f>'ET Forecast Capital Additions'!$L31</f>
        <v>0.33333333333333331</v>
      </c>
      <c r="M32" s="55">
        <f t="shared" si="3"/>
        <v>0</v>
      </c>
      <c r="N32" s="241">
        <f t="shared" si="4"/>
        <v>0</v>
      </c>
      <c r="O32" s="593">
        <f t="shared" si="5"/>
        <v>0</v>
      </c>
      <c r="P32" s="4">
        <f t="shared" si="9"/>
        <v>21</v>
      </c>
    </row>
    <row r="33" spans="1:18" x14ac:dyDescent="0.35">
      <c r="A33" s="4">
        <f t="shared" si="6"/>
        <v>22</v>
      </c>
      <c r="B33" s="557">
        <f>'ET Forecast Capital Additions'!B32</f>
        <v>45587</v>
      </c>
      <c r="C33" s="117">
        <v>0</v>
      </c>
      <c r="D33" s="699">
        <v>0</v>
      </c>
      <c r="E33" s="6">
        <f t="shared" si="0"/>
        <v>0</v>
      </c>
      <c r="F33" s="186">
        <f t="shared" si="7"/>
        <v>0</v>
      </c>
      <c r="G33" s="241">
        <f t="shared" si="7"/>
        <v>0</v>
      </c>
      <c r="H33" s="135">
        <f t="shared" si="1"/>
        <v>0</v>
      </c>
      <c r="I33" s="55">
        <f t="shared" si="8"/>
        <v>0</v>
      </c>
      <c r="J33" s="241">
        <f t="shared" si="8"/>
        <v>0</v>
      </c>
      <c r="K33" s="6">
        <f t="shared" si="2"/>
        <v>0</v>
      </c>
      <c r="L33" s="250">
        <f>'ET Forecast Capital Additions'!$L32</f>
        <v>0.25</v>
      </c>
      <c r="M33" s="55">
        <f t="shared" si="3"/>
        <v>0</v>
      </c>
      <c r="N33" s="241">
        <f t="shared" si="4"/>
        <v>0</v>
      </c>
      <c r="O33" s="135">
        <f t="shared" si="5"/>
        <v>0</v>
      </c>
      <c r="P33" s="4">
        <f t="shared" si="9"/>
        <v>22</v>
      </c>
    </row>
    <row r="34" spans="1:18" x14ac:dyDescent="0.35">
      <c r="A34" s="4">
        <f t="shared" si="6"/>
        <v>23</v>
      </c>
      <c r="B34" s="557">
        <f>'ET Forecast Capital Additions'!B33</f>
        <v>45618</v>
      </c>
      <c r="C34" s="229">
        <v>0</v>
      </c>
      <c r="D34" s="699">
        <v>0</v>
      </c>
      <c r="E34" s="132">
        <f t="shared" si="0"/>
        <v>0</v>
      </c>
      <c r="F34" s="186">
        <f t="shared" si="7"/>
        <v>0</v>
      </c>
      <c r="G34" s="241">
        <f t="shared" si="7"/>
        <v>0</v>
      </c>
      <c r="H34" s="593">
        <f t="shared" si="1"/>
        <v>0</v>
      </c>
      <c r="I34" s="55">
        <f t="shared" si="8"/>
        <v>0</v>
      </c>
      <c r="J34" s="241">
        <f t="shared" si="8"/>
        <v>0</v>
      </c>
      <c r="K34" s="132">
        <f t="shared" si="2"/>
        <v>0</v>
      </c>
      <c r="L34" s="250">
        <f>'ET Forecast Capital Additions'!$L33</f>
        <v>0.16666666666666666</v>
      </c>
      <c r="M34" s="55">
        <f t="shared" si="3"/>
        <v>0</v>
      </c>
      <c r="N34" s="241">
        <f t="shared" si="4"/>
        <v>0</v>
      </c>
      <c r="O34" s="593">
        <f t="shared" si="5"/>
        <v>0</v>
      </c>
      <c r="P34" s="4">
        <f t="shared" si="9"/>
        <v>23</v>
      </c>
    </row>
    <row r="35" spans="1:18" ht="16" thickBot="1" x14ac:dyDescent="0.4">
      <c r="A35" s="4">
        <f t="shared" si="6"/>
        <v>24</v>
      </c>
      <c r="B35" s="557">
        <f>'ET Forecast Capital Additions'!B34</f>
        <v>45648</v>
      </c>
      <c r="C35" s="229">
        <v>0</v>
      </c>
      <c r="D35" s="699">
        <v>0</v>
      </c>
      <c r="E35" s="132">
        <f t="shared" si="0"/>
        <v>0</v>
      </c>
      <c r="F35" s="186">
        <f t="shared" si="7"/>
        <v>0</v>
      </c>
      <c r="G35" s="241">
        <f t="shared" si="7"/>
        <v>0</v>
      </c>
      <c r="H35" s="593">
        <f t="shared" si="1"/>
        <v>0</v>
      </c>
      <c r="I35" s="192">
        <f t="shared" si="8"/>
        <v>0</v>
      </c>
      <c r="J35" s="190">
        <f t="shared" si="8"/>
        <v>0</v>
      </c>
      <c r="K35" s="132">
        <f t="shared" si="2"/>
        <v>0</v>
      </c>
      <c r="L35" s="250">
        <f>'ET Forecast Capital Additions'!$L34</f>
        <v>8.3333333333333329E-2</v>
      </c>
      <c r="M35" s="192">
        <f t="shared" si="3"/>
        <v>0</v>
      </c>
      <c r="N35" s="190">
        <f t="shared" si="4"/>
        <v>0</v>
      </c>
      <c r="O35" s="593">
        <f t="shared" si="5"/>
        <v>0</v>
      </c>
      <c r="P35" s="4">
        <f t="shared" si="9"/>
        <v>24</v>
      </c>
      <c r="R35" s="441"/>
    </row>
    <row r="36" spans="1:18" ht="16" thickBot="1" x14ac:dyDescent="0.4">
      <c r="A36" s="4">
        <f t="shared" si="6"/>
        <v>25</v>
      </c>
      <c r="B36" s="559" t="s">
        <v>265</v>
      </c>
      <c r="C36" s="200">
        <f t="shared" ref="C36:K36" si="10">SUM(C12:C35)</f>
        <v>0</v>
      </c>
      <c r="D36" s="197">
        <f t="shared" si="10"/>
        <v>0</v>
      </c>
      <c r="E36" s="198">
        <f t="shared" si="10"/>
        <v>0</v>
      </c>
      <c r="F36" s="196">
        <f t="shared" si="10"/>
        <v>0</v>
      </c>
      <c r="G36" s="197">
        <f t="shared" si="10"/>
        <v>0</v>
      </c>
      <c r="H36" s="199">
        <f t="shared" si="10"/>
        <v>0</v>
      </c>
      <c r="I36" s="200">
        <f t="shared" si="10"/>
        <v>0</v>
      </c>
      <c r="J36" s="197">
        <f t="shared" si="10"/>
        <v>0</v>
      </c>
      <c r="K36" s="198">
        <f t="shared" si="10"/>
        <v>0</v>
      </c>
      <c r="L36" s="201"/>
      <c r="M36" s="200">
        <f>SUM(M12:M35)</f>
        <v>0</v>
      </c>
      <c r="N36" s="197">
        <f>SUM(N12:N35)</f>
        <v>0</v>
      </c>
      <c r="O36" s="199">
        <f>SUM(O12:O35)</f>
        <v>0</v>
      </c>
      <c r="P36" s="4">
        <f t="shared" si="9"/>
        <v>25</v>
      </c>
    </row>
    <row r="37" spans="1:18" x14ac:dyDescent="0.35">
      <c r="A37" s="4">
        <f>A36+1</f>
        <v>26</v>
      </c>
      <c r="B37" s="531"/>
      <c r="C37" s="6"/>
      <c r="D37" s="6"/>
      <c r="E37" s="560"/>
      <c r="H37" s="6"/>
      <c r="K37" s="6"/>
      <c r="O37" s="135"/>
      <c r="P37" s="4">
        <f>P36+1</f>
        <v>26</v>
      </c>
    </row>
    <row r="38" spans="1:18" s="427" customFormat="1" x14ac:dyDescent="0.35">
      <c r="A38" s="4">
        <f>A37+1</f>
        <v>27</v>
      </c>
      <c r="B38" s="561"/>
      <c r="E38" s="34" t="s">
        <v>1801</v>
      </c>
      <c r="F38" s="562"/>
      <c r="G38" s="562"/>
      <c r="H38" s="30">
        <f>'ET Forecast Capital Additions'!H37</f>
        <v>2694.5360000000001</v>
      </c>
      <c r="I38" s="202"/>
      <c r="J38" s="34" t="str">
        <f>'ET Forecast Capital Additions'!J37</f>
        <v>Form 1; Page 204-207; Line 58; Col. d</v>
      </c>
      <c r="K38" s="202"/>
      <c r="O38" s="563"/>
      <c r="P38" s="4">
        <f>P37+1</f>
        <v>27</v>
      </c>
      <c r="Q38" s="34"/>
    </row>
    <row r="39" spans="1:18" s="427" customFormat="1" x14ac:dyDescent="0.35">
      <c r="A39" s="4">
        <f>A38+1</f>
        <v>28</v>
      </c>
      <c r="B39" s="561"/>
      <c r="E39" s="34"/>
      <c r="F39" s="562"/>
      <c r="G39" s="562"/>
      <c r="H39" s="6"/>
      <c r="I39" s="202"/>
      <c r="J39" s="34"/>
      <c r="K39" s="202"/>
      <c r="O39" s="563"/>
      <c r="P39" s="4">
        <f>P38+1</f>
        <v>28</v>
      </c>
    </row>
    <row r="40" spans="1:18" s="427" customFormat="1" x14ac:dyDescent="0.35">
      <c r="A40" s="4">
        <f t="shared" ref="A40:A47" si="11">A39+1</f>
        <v>29</v>
      </c>
      <c r="B40" s="561"/>
      <c r="E40" s="34" t="s">
        <v>1803</v>
      </c>
      <c r="F40" s="562"/>
      <c r="G40" s="562"/>
      <c r="H40" s="973">
        <f>'ET Forecast Capital Additions'!H39</f>
        <v>7949178.8669999996</v>
      </c>
      <c r="I40" s="202"/>
      <c r="J40" s="34" t="str">
        <f>'ET Forecast Capital Additions'!J39</f>
        <v>Form 1; Page 204-207; Line 58; Col. g</v>
      </c>
      <c r="K40" s="202"/>
      <c r="O40" s="563"/>
      <c r="P40" s="4">
        <f t="shared" ref="P40:P42" si="12">P39+1</f>
        <v>29</v>
      </c>
    </row>
    <row r="41" spans="1:18" ht="16" thickBot="1" x14ac:dyDescent="0.4">
      <c r="A41" s="4">
        <f t="shared" si="11"/>
        <v>30</v>
      </c>
      <c r="B41" s="531"/>
      <c r="E41" s="1"/>
      <c r="F41" s="1"/>
      <c r="G41" s="1"/>
      <c r="O41" s="392"/>
      <c r="P41" s="4">
        <f t="shared" si="12"/>
        <v>30</v>
      </c>
      <c r="Q41" s="427"/>
      <c r="R41" s="427"/>
    </row>
    <row r="42" spans="1:18" ht="16" thickBot="1" x14ac:dyDescent="0.4">
      <c r="A42" s="4">
        <f t="shared" si="11"/>
        <v>31</v>
      </c>
      <c r="B42" s="531"/>
      <c r="E42" s="1" t="s">
        <v>1805</v>
      </c>
      <c r="H42" s="203">
        <f>H38/H40</f>
        <v>3.3897035720079489E-4</v>
      </c>
      <c r="J42" s="34" t="s">
        <v>1806</v>
      </c>
      <c r="K42" s="50"/>
      <c r="O42" s="392"/>
      <c r="P42" s="4">
        <f t="shared" si="12"/>
        <v>31</v>
      </c>
    </row>
    <row r="43" spans="1:18" ht="16" thickBot="1" x14ac:dyDescent="0.4">
      <c r="A43" s="4">
        <f t="shared" si="11"/>
        <v>32</v>
      </c>
      <c r="B43" s="564"/>
      <c r="C43" s="891"/>
      <c r="D43" s="891"/>
      <c r="E43" s="946"/>
      <c r="F43" s="891"/>
      <c r="G43" s="891"/>
      <c r="H43" s="1143"/>
      <c r="I43" s="891"/>
      <c r="J43" s="891"/>
      <c r="K43" s="891"/>
      <c r="L43" s="891"/>
      <c r="M43" s="891"/>
      <c r="N43" s="891"/>
      <c r="O43" s="204"/>
      <c r="P43" s="4">
        <f t="shared" si="9"/>
        <v>32</v>
      </c>
      <c r="Q43" s="427"/>
    </row>
    <row r="44" spans="1:18" ht="16" thickBot="1" x14ac:dyDescent="0.4">
      <c r="A44" s="4">
        <f t="shared" si="11"/>
        <v>33</v>
      </c>
      <c r="B44" s="531"/>
      <c r="E44" s="6"/>
      <c r="K44" s="6" t="s">
        <v>1</v>
      </c>
      <c r="M44" s="50"/>
      <c r="N44" s="50"/>
      <c r="O44" s="565"/>
      <c r="P44" s="4">
        <f t="shared" si="9"/>
        <v>33</v>
      </c>
      <c r="Q44" s="427"/>
    </row>
    <row r="45" spans="1:18" ht="16" thickBot="1" x14ac:dyDescent="0.4">
      <c r="A45" s="4">
        <f t="shared" si="11"/>
        <v>34</v>
      </c>
      <c r="B45" s="566"/>
      <c r="D45" s="259"/>
      <c r="E45" s="567"/>
      <c r="F45" s="1144"/>
      <c r="G45" s="1145"/>
      <c r="H45" s="1145" t="s">
        <v>1807</v>
      </c>
      <c r="I45" s="568" t="s">
        <v>1808</v>
      </c>
      <c r="J45" s="569" t="s">
        <v>1809</v>
      </c>
      <c r="K45" s="570" t="s">
        <v>1766</v>
      </c>
      <c r="L45" s="1"/>
      <c r="M45" s="571" t="s">
        <v>1769</v>
      </c>
      <c r="N45" s="572" t="s">
        <v>1770</v>
      </c>
      <c r="O45" s="573" t="s">
        <v>1810</v>
      </c>
      <c r="P45" s="4">
        <f t="shared" si="9"/>
        <v>34</v>
      </c>
      <c r="Q45" s="427"/>
    </row>
    <row r="46" spans="1:18" ht="16" thickBot="1" x14ac:dyDescent="0.4">
      <c r="A46" s="4">
        <f t="shared" si="11"/>
        <v>35</v>
      </c>
      <c r="B46" s="531"/>
      <c r="E46" s="574"/>
      <c r="F46" s="375"/>
      <c r="G46" s="575"/>
      <c r="H46" s="575" t="s">
        <v>1811</v>
      </c>
      <c r="I46" s="205">
        <f>+I36</f>
        <v>0</v>
      </c>
      <c r="J46" s="205">
        <f>+J36</f>
        <v>0</v>
      </c>
      <c r="K46" s="205">
        <f>+K36</f>
        <v>0</v>
      </c>
      <c r="L46" s="46"/>
      <c r="M46" s="205">
        <f>+M36</f>
        <v>0</v>
      </c>
      <c r="N46" s="205">
        <f>+N36</f>
        <v>0</v>
      </c>
      <c r="O46" s="205">
        <f>+O36</f>
        <v>0</v>
      </c>
      <c r="P46" s="4">
        <f t="shared" si="9"/>
        <v>35</v>
      </c>
    </row>
    <row r="47" spans="1:18" ht="16" thickTop="1" x14ac:dyDescent="0.35">
      <c r="A47" s="4">
        <f t="shared" si="11"/>
        <v>36</v>
      </c>
      <c r="B47" s="531"/>
      <c r="E47" s="531"/>
      <c r="G47" s="31"/>
      <c r="H47" s="31"/>
      <c r="I47" s="225"/>
      <c r="J47" s="225"/>
      <c r="K47" s="225"/>
      <c r="M47" s="225"/>
      <c r="N47" s="225"/>
      <c r="O47" s="225"/>
      <c r="P47" s="4">
        <f t="shared" si="9"/>
        <v>36</v>
      </c>
    </row>
    <row r="48" spans="1:18" ht="16" thickBot="1" x14ac:dyDescent="0.4">
      <c r="A48" s="4">
        <f>A47+1</f>
        <v>37</v>
      </c>
      <c r="B48" s="531"/>
      <c r="E48" s="531"/>
      <c r="G48" s="31"/>
      <c r="H48" s="486" t="s">
        <v>1812</v>
      </c>
      <c r="I48" s="209">
        <f>IFERROR((+I46/K46),0)</f>
        <v>0</v>
      </c>
      <c r="J48" s="209">
        <f>IFERROR((+J46/K46),0)</f>
        <v>0</v>
      </c>
      <c r="K48" s="209">
        <f>I48+J48</f>
        <v>0</v>
      </c>
      <c r="L48" s="1"/>
      <c r="M48" s="209">
        <f>IFERROR((+M46/O46),0)</f>
        <v>0</v>
      </c>
      <c r="N48" s="209">
        <f>IFERROR((+N46/O46),0)</f>
        <v>0</v>
      </c>
      <c r="O48" s="209">
        <f>M48+N48</f>
        <v>0</v>
      </c>
      <c r="P48" s="4">
        <f>P47+1</f>
        <v>37</v>
      </c>
    </row>
    <row r="49" spans="1:16" ht="16.5" thickTop="1" thickBot="1" x14ac:dyDescent="0.4">
      <c r="A49" s="4">
        <f t="shared" si="6"/>
        <v>38</v>
      </c>
      <c r="B49" s="530"/>
      <c r="E49" s="564"/>
      <c r="F49" s="891"/>
      <c r="G49" s="891"/>
      <c r="H49" s="891"/>
      <c r="I49" s="213"/>
      <c r="J49" s="213"/>
      <c r="K49" s="204"/>
      <c r="M49" s="214"/>
      <c r="N49" s="215"/>
      <c r="O49" s="204"/>
      <c r="P49" s="4">
        <f t="shared" si="9"/>
        <v>38</v>
      </c>
    </row>
    <row r="50" spans="1:16" ht="16" thickBot="1" x14ac:dyDescent="0.4">
      <c r="A50" s="4">
        <f t="shared" si="6"/>
        <v>39</v>
      </c>
      <c r="B50" s="537"/>
      <c r="C50" s="891"/>
      <c r="D50" s="891"/>
      <c r="E50" s="891"/>
      <c r="F50" s="891"/>
      <c r="G50" s="891"/>
      <c r="H50" s="891"/>
      <c r="I50" s="891"/>
      <c r="J50" s="891"/>
      <c r="K50" s="891"/>
      <c r="L50" s="891"/>
      <c r="M50" s="891"/>
      <c r="N50" s="891"/>
      <c r="O50" s="204"/>
      <c r="P50" s="4">
        <f t="shared" si="9"/>
        <v>39</v>
      </c>
    </row>
    <row r="51" spans="1:16" x14ac:dyDescent="0.35">
      <c r="B51" s="1"/>
    </row>
    <row r="52" spans="1:16" x14ac:dyDescent="0.35">
      <c r="B52" s="1"/>
    </row>
    <row r="53" spans="1:16" x14ac:dyDescent="0.35">
      <c r="B53" s="1"/>
    </row>
    <row r="54" spans="1:16" x14ac:dyDescent="0.35">
      <c r="B54" s="583"/>
      <c r="C54" s="6"/>
      <c r="D54" s="6"/>
      <c r="E54" s="6"/>
      <c r="F54" s="6"/>
      <c r="G54" s="6"/>
      <c r="H54" s="6"/>
      <c r="I54" s="6"/>
      <c r="J54" s="6"/>
      <c r="K54" s="6"/>
      <c r="L54" s="441"/>
      <c r="M54" s="6"/>
      <c r="N54" s="6"/>
      <c r="O54" s="6"/>
    </row>
    <row r="55" spans="1:16" x14ac:dyDescent="0.35">
      <c r="B55" s="583"/>
      <c r="C55" s="6"/>
      <c r="D55" s="6"/>
      <c r="E55" s="6"/>
      <c r="F55" s="6"/>
      <c r="G55" s="6"/>
      <c r="H55" s="6"/>
      <c r="I55" s="6"/>
      <c r="J55" s="6"/>
      <c r="K55" s="6"/>
      <c r="L55" s="441"/>
      <c r="M55" s="6"/>
      <c r="N55" s="6"/>
      <c r="O55" s="6"/>
    </row>
    <row r="56" spans="1:16" x14ac:dyDescent="0.35">
      <c r="B56" s="583"/>
      <c r="C56" s="6"/>
      <c r="D56" s="6"/>
      <c r="E56" s="6"/>
      <c r="F56" s="6"/>
      <c r="G56" s="6"/>
      <c r="H56" s="6"/>
      <c r="I56" s="6"/>
      <c r="J56" s="6"/>
      <c r="K56" s="6"/>
      <c r="L56" s="441"/>
      <c r="M56" s="6"/>
      <c r="N56" s="6"/>
      <c r="O56" s="6"/>
    </row>
    <row r="57" spans="1:16" x14ac:dyDescent="0.35">
      <c r="B57" s="583"/>
      <c r="C57" s="6"/>
      <c r="D57" s="6"/>
      <c r="E57" s="6"/>
      <c r="F57" s="6"/>
      <c r="G57" s="6"/>
      <c r="H57" s="6"/>
      <c r="I57" s="6"/>
      <c r="J57" s="6"/>
      <c r="K57" s="6"/>
      <c r="L57" s="441"/>
      <c r="M57" s="6"/>
      <c r="N57" s="6"/>
      <c r="O57" s="6"/>
    </row>
    <row r="58" spans="1:16" x14ac:dyDescent="0.35">
      <c r="B58" s="583"/>
      <c r="C58" s="6"/>
      <c r="D58" s="6"/>
      <c r="E58" s="6"/>
      <c r="F58" s="6"/>
      <c r="G58" s="6"/>
      <c r="H58" s="6"/>
      <c r="I58" s="6"/>
      <c r="J58" s="6"/>
      <c r="K58" s="6"/>
      <c r="L58" s="441"/>
      <c r="M58" s="6"/>
      <c r="N58" s="6"/>
      <c r="O58" s="6"/>
    </row>
    <row r="59" spans="1:16" x14ac:dyDescent="0.35">
      <c r="B59" s="583"/>
    </row>
  </sheetData>
  <mergeCells count="6">
    <mergeCell ref="B7:O7"/>
    <mergeCell ref="B2:O2"/>
    <mergeCell ref="B3:O3"/>
    <mergeCell ref="B4:O4"/>
    <mergeCell ref="B5:O5"/>
    <mergeCell ref="B6:O6"/>
  </mergeCells>
  <printOptions horizontalCentered="1"/>
  <pageMargins left="0.5" right="0.5" top="0.5" bottom="0.5" header="0.25" footer="0.25"/>
  <pageSetup orientation="landscape" r:id="rId1"/>
  <headerFooter scaleWithDoc="0">
    <oddFooter>&amp;C&amp;"Times New Roman,Regular"&amp;10Summary of Weighted Incentive Transmission CWIP - A</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90625" defaultRowHeight="15.5" x14ac:dyDescent="0.35"/>
  <cols>
    <col min="1" max="1" width="5.08984375" style="4" customWidth="1"/>
    <col min="2" max="2" width="8.54296875" style="5" customWidth="1"/>
    <col min="3" max="11" width="15.90625" style="5" customWidth="1"/>
    <col min="12" max="12" width="11.08984375" style="5" customWidth="1"/>
    <col min="13" max="15" width="15.90625" style="5" customWidth="1"/>
    <col min="16" max="16" width="5.08984375" style="4" customWidth="1"/>
    <col min="17" max="16384" width="8.90625" style="5"/>
  </cols>
  <sheetData>
    <row r="1" spans="1:16" x14ac:dyDescent="0.35">
      <c r="B1" s="34"/>
      <c r="C1" s="263"/>
      <c r="D1" s="34"/>
      <c r="E1" s="34"/>
      <c r="F1" s="34"/>
      <c r="G1" s="34"/>
      <c r="H1" s="34"/>
      <c r="I1" s="34"/>
      <c r="J1" s="34"/>
      <c r="K1" s="34"/>
      <c r="L1" s="34"/>
      <c r="M1" s="34"/>
      <c r="N1" s="34"/>
      <c r="O1" s="34"/>
    </row>
    <row r="2" spans="1:16" x14ac:dyDescent="0.35">
      <c r="B2" s="1171" t="s">
        <v>0</v>
      </c>
      <c r="C2" s="1171"/>
      <c r="D2" s="1171"/>
      <c r="E2" s="1171"/>
      <c r="F2" s="1171"/>
      <c r="G2" s="1171"/>
      <c r="H2" s="1171"/>
      <c r="I2" s="1171"/>
      <c r="J2" s="1171"/>
      <c r="K2" s="1171"/>
      <c r="L2" s="1171"/>
      <c r="M2" s="1171"/>
      <c r="N2" s="1171"/>
      <c r="O2" s="1171"/>
    </row>
    <row r="3" spans="1:16" x14ac:dyDescent="0.35">
      <c r="B3" s="1171" t="s">
        <v>1792</v>
      </c>
      <c r="C3" s="1171"/>
      <c r="D3" s="1171"/>
      <c r="E3" s="1171"/>
      <c r="F3" s="1171"/>
      <c r="G3" s="1171"/>
      <c r="H3" s="1171"/>
      <c r="I3" s="1171"/>
      <c r="J3" s="1171"/>
      <c r="K3" s="1171"/>
      <c r="L3" s="1171"/>
      <c r="M3" s="1171"/>
      <c r="N3" s="1171"/>
      <c r="O3" s="1171"/>
    </row>
    <row r="4" spans="1:16" x14ac:dyDescent="0.35">
      <c r="B4" s="1176" t="str">
        <f>'Summary of HV-LV Splits'!B4</f>
        <v>24-Month Forecast Period (January 1, 2023 - December 31, 2024)</v>
      </c>
      <c r="C4" s="1176"/>
      <c r="D4" s="1176"/>
      <c r="E4" s="1176"/>
      <c r="F4" s="1176"/>
      <c r="G4" s="1176"/>
      <c r="H4" s="1176"/>
      <c r="I4" s="1176"/>
      <c r="J4" s="1176"/>
      <c r="K4" s="1176"/>
      <c r="L4" s="1176"/>
      <c r="M4" s="1176"/>
      <c r="N4" s="1176"/>
      <c r="O4" s="1176"/>
    </row>
    <row r="5" spans="1:16" x14ac:dyDescent="0.35">
      <c r="B5" s="1171" t="s">
        <v>1820</v>
      </c>
      <c r="C5" s="1171"/>
      <c r="D5" s="1171"/>
      <c r="E5" s="1171"/>
      <c r="F5" s="1171"/>
      <c r="G5" s="1171"/>
      <c r="H5" s="1171"/>
      <c r="I5" s="1171"/>
      <c r="J5" s="1171"/>
      <c r="K5" s="1171"/>
      <c r="L5" s="1171"/>
      <c r="M5" s="1171"/>
      <c r="N5" s="1171"/>
      <c r="O5" s="1171"/>
    </row>
    <row r="6" spans="1:16" x14ac:dyDescent="0.35">
      <c r="B6" s="1171" t="s">
        <v>1822</v>
      </c>
      <c r="C6" s="1171"/>
      <c r="D6" s="1171"/>
      <c r="E6" s="1171"/>
      <c r="F6" s="1171"/>
      <c r="G6" s="1171"/>
      <c r="H6" s="1171"/>
      <c r="I6" s="1171"/>
      <c r="J6" s="1171"/>
      <c r="K6" s="1171"/>
      <c r="L6" s="1171"/>
      <c r="M6" s="1171"/>
      <c r="N6" s="1171"/>
      <c r="O6" s="1171"/>
    </row>
    <row r="7" spans="1:16" x14ac:dyDescent="0.35">
      <c r="B7" s="1200">
        <v>-1000</v>
      </c>
      <c r="C7" s="1200"/>
      <c r="D7" s="1200"/>
      <c r="E7" s="1200"/>
      <c r="F7" s="1200"/>
      <c r="G7" s="1200"/>
      <c r="H7" s="1200"/>
      <c r="I7" s="1200"/>
      <c r="J7" s="1200"/>
      <c r="K7" s="1200"/>
      <c r="L7" s="1200"/>
      <c r="M7" s="1200"/>
      <c r="N7" s="1200"/>
      <c r="O7" s="1200"/>
    </row>
    <row r="8" spans="1:16" ht="16" thickBot="1" x14ac:dyDescent="0.4">
      <c r="B8" s="34"/>
      <c r="C8" s="34"/>
      <c r="D8" s="34"/>
      <c r="E8" s="34"/>
      <c r="F8" s="34"/>
      <c r="G8" s="34"/>
      <c r="H8" s="34"/>
      <c r="I8" s="34"/>
      <c r="J8" s="34"/>
      <c r="K8" s="34"/>
      <c r="L8" s="34"/>
      <c r="M8" s="34"/>
      <c r="N8" s="34"/>
      <c r="O8" s="34"/>
    </row>
    <row r="9" spans="1:16" x14ac:dyDescent="0.35">
      <c r="A9" s="4" t="s">
        <v>6</v>
      </c>
      <c r="B9" s="239"/>
      <c r="C9" s="237" t="s">
        <v>1819</v>
      </c>
      <c r="D9" s="235"/>
      <c r="E9" s="238"/>
      <c r="F9" s="234" t="s">
        <v>1795</v>
      </c>
      <c r="G9" s="235"/>
      <c r="H9" s="236"/>
      <c r="I9" s="237" t="s">
        <v>1796</v>
      </c>
      <c r="J9" s="238"/>
      <c r="K9" s="584"/>
      <c r="L9" s="239" t="s">
        <v>1797</v>
      </c>
      <c r="M9" s="237" t="s">
        <v>1798</v>
      </c>
      <c r="N9" s="235"/>
      <c r="O9" s="236"/>
      <c r="P9" s="4" t="s">
        <v>6</v>
      </c>
    </row>
    <row r="10" spans="1:16" ht="16" thickBot="1" x14ac:dyDescent="0.4">
      <c r="A10" s="4" t="s">
        <v>7</v>
      </c>
      <c r="B10" s="547" t="s">
        <v>1799</v>
      </c>
      <c r="C10" s="552" t="s">
        <v>1767</v>
      </c>
      <c r="D10" s="549" t="s">
        <v>1768</v>
      </c>
      <c r="E10" s="550" t="s">
        <v>265</v>
      </c>
      <c r="F10" s="548" t="s">
        <v>1767</v>
      </c>
      <c r="G10" s="549" t="s">
        <v>1768</v>
      </c>
      <c r="H10" s="551" t="s">
        <v>265</v>
      </c>
      <c r="I10" s="552" t="s">
        <v>1767</v>
      </c>
      <c r="J10" s="549" t="s">
        <v>1768</v>
      </c>
      <c r="K10" s="550" t="s">
        <v>265</v>
      </c>
      <c r="L10" s="547" t="s">
        <v>1800</v>
      </c>
      <c r="M10" s="552" t="s">
        <v>1767</v>
      </c>
      <c r="N10" s="549" t="s">
        <v>1768</v>
      </c>
      <c r="O10" s="551" t="s">
        <v>265</v>
      </c>
      <c r="P10" s="4" t="s">
        <v>7</v>
      </c>
    </row>
    <row r="11" spans="1:16" x14ac:dyDescent="0.35">
      <c r="A11" s="226"/>
      <c r="B11" s="239"/>
      <c r="C11" s="226"/>
      <c r="D11" s="471"/>
      <c r="E11" s="226"/>
      <c r="F11" s="523"/>
      <c r="G11" s="471"/>
      <c r="H11" s="556"/>
      <c r="I11" s="226"/>
      <c r="J11" s="471"/>
      <c r="K11" s="226"/>
      <c r="L11" s="553"/>
      <c r="M11" s="226"/>
      <c r="N11" s="471"/>
      <c r="O11" s="556"/>
      <c r="P11" s="226"/>
    </row>
    <row r="12" spans="1:16" x14ac:dyDescent="0.35">
      <c r="A12" s="4">
        <v>1</v>
      </c>
      <c r="B12" s="557">
        <f>'ET Forecast Capital Additions'!B11</f>
        <v>44948</v>
      </c>
      <c r="C12" s="227">
        <v>0</v>
      </c>
      <c r="D12" s="698">
        <v>0</v>
      </c>
      <c r="E12" s="127">
        <f t="shared" ref="E12:E35" si="0">C12+D12</f>
        <v>0</v>
      </c>
      <c r="F12" s="184">
        <f>C12*$H$42</f>
        <v>0</v>
      </c>
      <c r="G12" s="240">
        <f>D12*$H$42</f>
        <v>0</v>
      </c>
      <c r="H12" s="228">
        <f t="shared" ref="H12:H35" si="1">F12+G12</f>
        <v>0</v>
      </c>
      <c r="I12" s="61">
        <f>C12-F12</f>
        <v>0</v>
      </c>
      <c r="J12" s="240">
        <f>D12-G12</f>
        <v>0</v>
      </c>
      <c r="K12" s="127">
        <f t="shared" ref="K12:K35" si="2">I12+J12</f>
        <v>0</v>
      </c>
      <c r="L12" s="250">
        <f>'ET Forecast Capital Additions'!$L11</f>
        <v>1</v>
      </c>
      <c r="M12" s="61">
        <f t="shared" ref="M12:M35" si="3">I12*L12</f>
        <v>0</v>
      </c>
      <c r="N12" s="240">
        <f t="shared" ref="N12:N35" si="4">J12*L12</f>
        <v>0</v>
      </c>
      <c r="O12" s="613">
        <f t="shared" ref="O12:O35" si="5">M12+N12</f>
        <v>0</v>
      </c>
      <c r="P12" s="4">
        <f>A12</f>
        <v>1</v>
      </c>
    </row>
    <row r="13" spans="1:16" x14ac:dyDescent="0.35">
      <c r="A13" s="4">
        <f t="shared" ref="A13:A50" si="6">A12+1</f>
        <v>2</v>
      </c>
      <c r="B13" s="557">
        <f>'ET Forecast Capital Additions'!B12</f>
        <v>44979</v>
      </c>
      <c r="C13" s="229">
        <v>0</v>
      </c>
      <c r="D13" s="699">
        <v>0</v>
      </c>
      <c r="E13" s="132">
        <f t="shared" si="0"/>
        <v>0</v>
      </c>
      <c r="F13" s="186">
        <f t="shared" ref="F13:G35" si="7">C13*$H$42</f>
        <v>0</v>
      </c>
      <c r="G13" s="241">
        <f t="shared" si="7"/>
        <v>0</v>
      </c>
      <c r="H13" s="135">
        <f t="shared" si="1"/>
        <v>0</v>
      </c>
      <c r="I13" s="55">
        <f t="shared" ref="I13:J35" si="8">C13-F13</f>
        <v>0</v>
      </c>
      <c r="J13" s="241">
        <f t="shared" si="8"/>
        <v>0</v>
      </c>
      <c r="K13" s="132">
        <f t="shared" si="2"/>
        <v>0</v>
      </c>
      <c r="L13" s="250">
        <f>'ET Forecast Capital Additions'!$L12</f>
        <v>1</v>
      </c>
      <c r="M13" s="55">
        <f t="shared" si="3"/>
        <v>0</v>
      </c>
      <c r="N13" s="241">
        <f t="shared" si="4"/>
        <v>0</v>
      </c>
      <c r="O13" s="593">
        <f t="shared" si="5"/>
        <v>0</v>
      </c>
      <c r="P13" s="4">
        <f t="shared" ref="P13:P50" si="9">P12+1</f>
        <v>2</v>
      </c>
    </row>
    <row r="14" spans="1:16" x14ac:dyDescent="0.35">
      <c r="A14" s="4">
        <f t="shared" si="6"/>
        <v>3</v>
      </c>
      <c r="B14" s="557">
        <f>'ET Forecast Capital Additions'!B13</f>
        <v>45007</v>
      </c>
      <c r="C14" s="229">
        <v>0</v>
      </c>
      <c r="D14" s="699">
        <v>0</v>
      </c>
      <c r="E14" s="132">
        <f t="shared" si="0"/>
        <v>0</v>
      </c>
      <c r="F14" s="186">
        <f t="shared" si="7"/>
        <v>0</v>
      </c>
      <c r="G14" s="241">
        <f t="shared" si="7"/>
        <v>0</v>
      </c>
      <c r="H14" s="135">
        <f t="shared" si="1"/>
        <v>0</v>
      </c>
      <c r="I14" s="55">
        <f t="shared" si="8"/>
        <v>0</v>
      </c>
      <c r="J14" s="241">
        <f t="shared" si="8"/>
        <v>0</v>
      </c>
      <c r="K14" s="132">
        <f t="shared" si="2"/>
        <v>0</v>
      </c>
      <c r="L14" s="250">
        <f>'ET Forecast Capital Additions'!$L13</f>
        <v>1</v>
      </c>
      <c r="M14" s="55">
        <f t="shared" si="3"/>
        <v>0</v>
      </c>
      <c r="N14" s="241">
        <f t="shared" si="4"/>
        <v>0</v>
      </c>
      <c r="O14" s="593">
        <f t="shared" si="5"/>
        <v>0</v>
      </c>
      <c r="P14" s="4">
        <f t="shared" si="9"/>
        <v>3</v>
      </c>
    </row>
    <row r="15" spans="1:16" ht="16" thickBot="1" x14ac:dyDescent="0.4">
      <c r="A15" s="4">
        <f t="shared" si="6"/>
        <v>4</v>
      </c>
      <c r="B15" s="558">
        <f>'ET Forecast Capital Additions'!B14</f>
        <v>45038</v>
      </c>
      <c r="C15" s="230">
        <v>0</v>
      </c>
      <c r="D15" s="216">
        <v>0</v>
      </c>
      <c r="E15" s="188">
        <f t="shared" si="0"/>
        <v>0</v>
      </c>
      <c r="F15" s="189">
        <f t="shared" si="7"/>
        <v>0</v>
      </c>
      <c r="G15" s="190">
        <f t="shared" si="7"/>
        <v>0</v>
      </c>
      <c r="H15" s="221">
        <f t="shared" si="1"/>
        <v>0</v>
      </c>
      <c r="I15" s="192">
        <f t="shared" si="8"/>
        <v>0</v>
      </c>
      <c r="J15" s="190">
        <f t="shared" si="8"/>
        <v>0</v>
      </c>
      <c r="K15" s="188">
        <f t="shared" si="2"/>
        <v>0</v>
      </c>
      <c r="L15" s="251">
        <f>'ET Forecast Capital Additions'!$L14</f>
        <v>1</v>
      </c>
      <c r="M15" s="192">
        <f t="shared" si="3"/>
        <v>0</v>
      </c>
      <c r="N15" s="190">
        <f t="shared" si="4"/>
        <v>0</v>
      </c>
      <c r="O15" s="191">
        <f t="shared" si="5"/>
        <v>0</v>
      </c>
      <c r="P15" s="4">
        <f t="shared" si="9"/>
        <v>4</v>
      </c>
    </row>
    <row r="16" spans="1:16" x14ac:dyDescent="0.35">
      <c r="A16" s="4">
        <f t="shared" si="6"/>
        <v>5</v>
      </c>
      <c r="B16" s="557">
        <f>'ET Forecast Capital Additions'!B15</f>
        <v>45068</v>
      </c>
      <c r="C16" s="231">
        <v>0</v>
      </c>
      <c r="D16" s="193">
        <v>0</v>
      </c>
      <c r="E16" s="130">
        <f t="shared" si="0"/>
        <v>0</v>
      </c>
      <c r="F16" s="194">
        <f t="shared" si="7"/>
        <v>0</v>
      </c>
      <c r="G16" s="136">
        <f t="shared" si="7"/>
        <v>0</v>
      </c>
      <c r="H16" s="232">
        <f t="shared" si="1"/>
        <v>0</v>
      </c>
      <c r="I16" s="55">
        <f t="shared" si="8"/>
        <v>0</v>
      </c>
      <c r="J16" s="241">
        <f t="shared" si="8"/>
        <v>0</v>
      </c>
      <c r="K16" s="130">
        <f t="shared" si="2"/>
        <v>0</v>
      </c>
      <c r="L16" s="252">
        <f>'ET Forecast Capital Additions'!$L15</f>
        <v>1</v>
      </c>
      <c r="M16" s="55">
        <f t="shared" si="3"/>
        <v>0</v>
      </c>
      <c r="N16" s="241">
        <f t="shared" si="4"/>
        <v>0</v>
      </c>
      <c r="O16" s="131">
        <f t="shared" si="5"/>
        <v>0</v>
      </c>
      <c r="P16" s="4">
        <f t="shared" si="9"/>
        <v>5</v>
      </c>
    </row>
    <row r="17" spans="1:16" x14ac:dyDescent="0.35">
      <c r="A17" s="4">
        <f t="shared" si="6"/>
        <v>6</v>
      </c>
      <c r="B17" s="557">
        <f>'ET Forecast Capital Additions'!B16</f>
        <v>45099</v>
      </c>
      <c r="C17" s="229">
        <v>0</v>
      </c>
      <c r="D17" s="699">
        <v>0</v>
      </c>
      <c r="E17" s="132">
        <f t="shared" si="0"/>
        <v>0</v>
      </c>
      <c r="F17" s="186">
        <f t="shared" si="7"/>
        <v>0</v>
      </c>
      <c r="G17" s="241">
        <f t="shared" si="7"/>
        <v>0</v>
      </c>
      <c r="H17" s="135">
        <f t="shared" si="1"/>
        <v>0</v>
      </c>
      <c r="I17" s="55">
        <f t="shared" si="8"/>
        <v>0</v>
      </c>
      <c r="J17" s="241">
        <f t="shared" si="8"/>
        <v>0</v>
      </c>
      <c r="K17" s="132">
        <f t="shared" si="2"/>
        <v>0</v>
      </c>
      <c r="L17" s="250">
        <f>'ET Forecast Capital Additions'!$L16</f>
        <v>1</v>
      </c>
      <c r="M17" s="55">
        <f t="shared" si="3"/>
        <v>0</v>
      </c>
      <c r="N17" s="241">
        <f t="shared" si="4"/>
        <v>0</v>
      </c>
      <c r="O17" s="593">
        <f t="shared" si="5"/>
        <v>0</v>
      </c>
      <c r="P17" s="4">
        <f t="shared" si="9"/>
        <v>6</v>
      </c>
    </row>
    <row r="18" spans="1:16" x14ac:dyDescent="0.35">
      <c r="A18" s="4">
        <f t="shared" si="6"/>
        <v>7</v>
      </c>
      <c r="B18" s="557">
        <f>'ET Forecast Capital Additions'!B17</f>
        <v>45129</v>
      </c>
      <c r="C18" s="229">
        <v>0</v>
      </c>
      <c r="D18" s="699">
        <v>0</v>
      </c>
      <c r="E18" s="132">
        <f t="shared" si="0"/>
        <v>0</v>
      </c>
      <c r="F18" s="186">
        <f t="shared" si="7"/>
        <v>0</v>
      </c>
      <c r="G18" s="241">
        <f t="shared" si="7"/>
        <v>0</v>
      </c>
      <c r="H18" s="135">
        <f t="shared" si="1"/>
        <v>0</v>
      </c>
      <c r="I18" s="55">
        <f t="shared" si="8"/>
        <v>0</v>
      </c>
      <c r="J18" s="241">
        <f t="shared" si="8"/>
        <v>0</v>
      </c>
      <c r="K18" s="132">
        <f t="shared" si="2"/>
        <v>0</v>
      </c>
      <c r="L18" s="250">
        <f>'ET Forecast Capital Additions'!$L17</f>
        <v>1</v>
      </c>
      <c r="M18" s="55">
        <f t="shared" si="3"/>
        <v>0</v>
      </c>
      <c r="N18" s="241">
        <f t="shared" si="4"/>
        <v>0</v>
      </c>
      <c r="O18" s="593">
        <f t="shared" si="5"/>
        <v>0</v>
      </c>
      <c r="P18" s="4">
        <f t="shared" si="9"/>
        <v>7</v>
      </c>
    </row>
    <row r="19" spans="1:16" ht="16" thickBot="1" x14ac:dyDescent="0.4">
      <c r="A19" s="4">
        <f t="shared" si="6"/>
        <v>8</v>
      </c>
      <c r="B19" s="558">
        <f>'ET Forecast Capital Additions'!B18</f>
        <v>45160</v>
      </c>
      <c r="C19" s="230">
        <v>0</v>
      </c>
      <c r="D19" s="216">
        <v>0</v>
      </c>
      <c r="E19" s="188">
        <f t="shared" si="0"/>
        <v>0</v>
      </c>
      <c r="F19" s="189">
        <f t="shared" si="7"/>
        <v>0</v>
      </c>
      <c r="G19" s="190">
        <f t="shared" si="7"/>
        <v>0</v>
      </c>
      <c r="H19" s="221">
        <f t="shared" si="1"/>
        <v>0</v>
      </c>
      <c r="I19" s="192">
        <f t="shared" si="8"/>
        <v>0</v>
      </c>
      <c r="J19" s="190">
        <f t="shared" si="8"/>
        <v>0</v>
      </c>
      <c r="K19" s="188">
        <f t="shared" si="2"/>
        <v>0</v>
      </c>
      <c r="L19" s="251">
        <f>'ET Forecast Capital Additions'!$L18</f>
        <v>1</v>
      </c>
      <c r="M19" s="192">
        <f t="shared" si="3"/>
        <v>0</v>
      </c>
      <c r="N19" s="190">
        <f t="shared" si="4"/>
        <v>0</v>
      </c>
      <c r="O19" s="191">
        <f t="shared" si="5"/>
        <v>0</v>
      </c>
      <c r="P19" s="4">
        <f t="shared" si="9"/>
        <v>8</v>
      </c>
    </row>
    <row r="20" spans="1:16" x14ac:dyDescent="0.35">
      <c r="A20" s="4">
        <f t="shared" si="6"/>
        <v>9</v>
      </c>
      <c r="B20" s="557">
        <f>'ET Forecast Capital Additions'!B19</f>
        <v>45191</v>
      </c>
      <c r="C20" s="231">
        <v>0</v>
      </c>
      <c r="D20" s="193">
        <v>0</v>
      </c>
      <c r="E20" s="130">
        <f t="shared" si="0"/>
        <v>0</v>
      </c>
      <c r="F20" s="194">
        <f t="shared" si="7"/>
        <v>0</v>
      </c>
      <c r="G20" s="136">
        <f t="shared" si="7"/>
        <v>0</v>
      </c>
      <c r="H20" s="232">
        <f t="shared" si="1"/>
        <v>0</v>
      </c>
      <c r="I20" s="55">
        <f t="shared" si="8"/>
        <v>0</v>
      </c>
      <c r="J20" s="241">
        <f t="shared" si="8"/>
        <v>0</v>
      </c>
      <c r="K20" s="130">
        <f t="shared" si="2"/>
        <v>0</v>
      </c>
      <c r="L20" s="252">
        <f>'ET Forecast Capital Additions'!$L19</f>
        <v>1</v>
      </c>
      <c r="M20" s="55">
        <f t="shared" si="3"/>
        <v>0</v>
      </c>
      <c r="N20" s="241">
        <f t="shared" si="4"/>
        <v>0</v>
      </c>
      <c r="O20" s="131">
        <f t="shared" si="5"/>
        <v>0</v>
      </c>
      <c r="P20" s="4">
        <f t="shared" si="9"/>
        <v>9</v>
      </c>
    </row>
    <row r="21" spans="1:16" x14ac:dyDescent="0.35">
      <c r="A21" s="4">
        <f t="shared" si="6"/>
        <v>10</v>
      </c>
      <c r="B21" s="557">
        <f>'ET Forecast Capital Additions'!B20</f>
        <v>45221</v>
      </c>
      <c r="C21" s="229">
        <v>0</v>
      </c>
      <c r="D21" s="699">
        <v>0</v>
      </c>
      <c r="E21" s="132">
        <f t="shared" si="0"/>
        <v>0</v>
      </c>
      <c r="F21" s="186">
        <f t="shared" si="7"/>
        <v>0</v>
      </c>
      <c r="G21" s="241">
        <f t="shared" si="7"/>
        <v>0</v>
      </c>
      <c r="H21" s="135">
        <f t="shared" si="1"/>
        <v>0</v>
      </c>
      <c r="I21" s="55">
        <f t="shared" si="8"/>
        <v>0</v>
      </c>
      <c r="J21" s="241">
        <f t="shared" si="8"/>
        <v>0</v>
      </c>
      <c r="K21" s="132">
        <f t="shared" si="2"/>
        <v>0</v>
      </c>
      <c r="L21" s="250">
        <f>'ET Forecast Capital Additions'!$L20</f>
        <v>1</v>
      </c>
      <c r="M21" s="55">
        <f t="shared" si="3"/>
        <v>0</v>
      </c>
      <c r="N21" s="241">
        <f t="shared" si="4"/>
        <v>0</v>
      </c>
      <c r="O21" s="593">
        <f t="shared" si="5"/>
        <v>0</v>
      </c>
      <c r="P21" s="4">
        <f t="shared" si="9"/>
        <v>10</v>
      </c>
    </row>
    <row r="22" spans="1:16" x14ac:dyDescent="0.35">
      <c r="A22" s="4">
        <f t="shared" si="6"/>
        <v>11</v>
      </c>
      <c r="B22" s="557">
        <f>'ET Forecast Capital Additions'!B21</f>
        <v>45252</v>
      </c>
      <c r="C22" s="117">
        <v>0</v>
      </c>
      <c r="D22" s="699">
        <v>0</v>
      </c>
      <c r="E22" s="6">
        <f t="shared" si="0"/>
        <v>0</v>
      </c>
      <c r="F22" s="186">
        <f t="shared" si="7"/>
        <v>0</v>
      </c>
      <c r="G22" s="241">
        <f t="shared" si="7"/>
        <v>0</v>
      </c>
      <c r="H22" s="135">
        <f t="shared" si="1"/>
        <v>0</v>
      </c>
      <c r="I22" s="55">
        <f t="shared" si="8"/>
        <v>0</v>
      </c>
      <c r="J22" s="241">
        <f t="shared" si="8"/>
        <v>0</v>
      </c>
      <c r="K22" s="6">
        <f t="shared" si="2"/>
        <v>0</v>
      </c>
      <c r="L22" s="250">
        <f>'ET Forecast Capital Additions'!$L21</f>
        <v>1</v>
      </c>
      <c r="M22" s="55">
        <f t="shared" si="3"/>
        <v>0</v>
      </c>
      <c r="N22" s="241">
        <f t="shared" si="4"/>
        <v>0</v>
      </c>
      <c r="O22" s="135">
        <f t="shared" si="5"/>
        <v>0</v>
      </c>
      <c r="P22" s="4">
        <f t="shared" si="9"/>
        <v>11</v>
      </c>
    </row>
    <row r="23" spans="1:16" ht="16" thickBot="1" x14ac:dyDescent="0.4">
      <c r="A23" s="4">
        <f t="shared" si="6"/>
        <v>12</v>
      </c>
      <c r="B23" s="558">
        <f>'ET Forecast Capital Additions'!B22</f>
        <v>45282</v>
      </c>
      <c r="C23" s="230">
        <v>0</v>
      </c>
      <c r="D23" s="216">
        <v>0</v>
      </c>
      <c r="E23" s="188">
        <f t="shared" si="0"/>
        <v>0</v>
      </c>
      <c r="F23" s="189">
        <f t="shared" si="7"/>
        <v>0</v>
      </c>
      <c r="G23" s="190">
        <f t="shared" si="7"/>
        <v>0</v>
      </c>
      <c r="H23" s="221">
        <f t="shared" si="1"/>
        <v>0</v>
      </c>
      <c r="I23" s="192">
        <f t="shared" si="8"/>
        <v>0</v>
      </c>
      <c r="J23" s="190">
        <f t="shared" si="8"/>
        <v>0</v>
      </c>
      <c r="K23" s="188">
        <f t="shared" si="2"/>
        <v>0</v>
      </c>
      <c r="L23" s="251">
        <f>'ET Forecast Capital Additions'!$L22</f>
        <v>1</v>
      </c>
      <c r="M23" s="192">
        <f t="shared" si="3"/>
        <v>0</v>
      </c>
      <c r="N23" s="190">
        <f t="shared" si="4"/>
        <v>0</v>
      </c>
      <c r="O23" s="191">
        <f t="shared" si="5"/>
        <v>0</v>
      </c>
      <c r="P23" s="4">
        <f t="shared" si="9"/>
        <v>12</v>
      </c>
    </row>
    <row r="24" spans="1:16" x14ac:dyDescent="0.35">
      <c r="A24" s="4">
        <f t="shared" si="6"/>
        <v>13</v>
      </c>
      <c r="B24" s="557">
        <f>'ET Forecast Capital Additions'!B23</f>
        <v>45313</v>
      </c>
      <c r="C24" s="231">
        <v>0</v>
      </c>
      <c r="D24" s="193">
        <v>0</v>
      </c>
      <c r="E24" s="130">
        <f t="shared" si="0"/>
        <v>0</v>
      </c>
      <c r="F24" s="186">
        <f t="shared" si="7"/>
        <v>0</v>
      </c>
      <c r="G24" s="241">
        <f t="shared" si="7"/>
        <v>0</v>
      </c>
      <c r="H24" s="232">
        <f t="shared" si="1"/>
        <v>0</v>
      </c>
      <c r="I24" s="55">
        <f t="shared" si="8"/>
        <v>0</v>
      </c>
      <c r="J24" s="241">
        <f t="shared" si="8"/>
        <v>0</v>
      </c>
      <c r="K24" s="130">
        <f t="shared" si="2"/>
        <v>0</v>
      </c>
      <c r="L24" s="252">
        <f>'ET Forecast Capital Additions'!$L23</f>
        <v>1</v>
      </c>
      <c r="M24" s="55">
        <f t="shared" si="3"/>
        <v>0</v>
      </c>
      <c r="N24" s="241">
        <f t="shared" si="4"/>
        <v>0</v>
      </c>
      <c r="O24" s="131">
        <f t="shared" si="5"/>
        <v>0</v>
      </c>
      <c r="P24" s="4">
        <f t="shared" si="9"/>
        <v>13</v>
      </c>
    </row>
    <row r="25" spans="1:16" x14ac:dyDescent="0.35">
      <c r="A25" s="4">
        <f t="shared" si="6"/>
        <v>14</v>
      </c>
      <c r="B25" s="557">
        <f>'ET Forecast Capital Additions'!B24</f>
        <v>45344</v>
      </c>
      <c r="C25" s="229">
        <v>0</v>
      </c>
      <c r="D25" s="699">
        <v>0</v>
      </c>
      <c r="E25" s="132">
        <f t="shared" si="0"/>
        <v>0</v>
      </c>
      <c r="F25" s="186">
        <f t="shared" si="7"/>
        <v>0</v>
      </c>
      <c r="G25" s="241">
        <f t="shared" si="7"/>
        <v>0</v>
      </c>
      <c r="H25" s="135">
        <f t="shared" si="1"/>
        <v>0</v>
      </c>
      <c r="I25" s="55">
        <f t="shared" si="8"/>
        <v>0</v>
      </c>
      <c r="J25" s="241">
        <f t="shared" si="8"/>
        <v>0</v>
      </c>
      <c r="K25" s="132">
        <f t="shared" si="2"/>
        <v>0</v>
      </c>
      <c r="L25" s="250">
        <f>'ET Forecast Capital Additions'!$L24</f>
        <v>0.91666666666666663</v>
      </c>
      <c r="M25" s="55">
        <f t="shared" si="3"/>
        <v>0</v>
      </c>
      <c r="N25" s="241">
        <f t="shared" si="4"/>
        <v>0</v>
      </c>
      <c r="O25" s="593">
        <f t="shared" si="5"/>
        <v>0</v>
      </c>
      <c r="P25" s="4">
        <f t="shared" si="9"/>
        <v>14</v>
      </c>
    </row>
    <row r="26" spans="1:16" x14ac:dyDescent="0.35">
      <c r="A26" s="4">
        <f t="shared" si="6"/>
        <v>15</v>
      </c>
      <c r="B26" s="557">
        <f>'ET Forecast Capital Additions'!B25</f>
        <v>45373</v>
      </c>
      <c r="C26" s="229">
        <v>0</v>
      </c>
      <c r="D26" s="699">
        <v>0</v>
      </c>
      <c r="E26" s="132">
        <f t="shared" si="0"/>
        <v>0</v>
      </c>
      <c r="F26" s="186">
        <f t="shared" si="7"/>
        <v>0</v>
      </c>
      <c r="G26" s="241">
        <f t="shared" si="7"/>
        <v>0</v>
      </c>
      <c r="H26" s="135">
        <f t="shared" si="1"/>
        <v>0</v>
      </c>
      <c r="I26" s="55">
        <f t="shared" si="8"/>
        <v>0</v>
      </c>
      <c r="J26" s="241">
        <f t="shared" si="8"/>
        <v>0</v>
      </c>
      <c r="K26" s="132">
        <f t="shared" si="2"/>
        <v>0</v>
      </c>
      <c r="L26" s="250">
        <f>'ET Forecast Capital Additions'!$L25</f>
        <v>0.83333333333333337</v>
      </c>
      <c r="M26" s="55">
        <f t="shared" si="3"/>
        <v>0</v>
      </c>
      <c r="N26" s="241">
        <f t="shared" si="4"/>
        <v>0</v>
      </c>
      <c r="O26" s="593">
        <f t="shared" si="5"/>
        <v>0</v>
      </c>
      <c r="P26" s="4">
        <f t="shared" si="9"/>
        <v>15</v>
      </c>
    </row>
    <row r="27" spans="1:16" ht="16" thickBot="1" x14ac:dyDescent="0.4">
      <c r="A27" s="4">
        <f t="shared" si="6"/>
        <v>16</v>
      </c>
      <c r="B27" s="558">
        <f>'ET Forecast Capital Additions'!B26</f>
        <v>45404</v>
      </c>
      <c r="C27" s="230">
        <v>0</v>
      </c>
      <c r="D27" s="216">
        <v>0</v>
      </c>
      <c r="E27" s="188">
        <f t="shared" si="0"/>
        <v>0</v>
      </c>
      <c r="F27" s="189">
        <f t="shared" si="7"/>
        <v>0</v>
      </c>
      <c r="G27" s="190">
        <f t="shared" si="7"/>
        <v>0</v>
      </c>
      <c r="H27" s="221">
        <f t="shared" si="1"/>
        <v>0</v>
      </c>
      <c r="I27" s="192">
        <f t="shared" si="8"/>
        <v>0</v>
      </c>
      <c r="J27" s="190">
        <f t="shared" si="8"/>
        <v>0</v>
      </c>
      <c r="K27" s="188">
        <f t="shared" si="2"/>
        <v>0</v>
      </c>
      <c r="L27" s="251">
        <f>'ET Forecast Capital Additions'!$L26</f>
        <v>0.75</v>
      </c>
      <c r="M27" s="192">
        <f t="shared" si="3"/>
        <v>0</v>
      </c>
      <c r="N27" s="190">
        <f t="shared" si="4"/>
        <v>0</v>
      </c>
      <c r="O27" s="191">
        <f t="shared" si="5"/>
        <v>0</v>
      </c>
      <c r="P27" s="4">
        <f t="shared" si="9"/>
        <v>16</v>
      </c>
    </row>
    <row r="28" spans="1:16" x14ac:dyDescent="0.35">
      <c r="A28" s="4">
        <f t="shared" si="6"/>
        <v>17</v>
      </c>
      <c r="B28" s="557">
        <f>'ET Forecast Capital Additions'!B27</f>
        <v>45434</v>
      </c>
      <c r="C28" s="117">
        <v>0</v>
      </c>
      <c r="D28" s="699">
        <v>0</v>
      </c>
      <c r="E28" s="6">
        <f t="shared" si="0"/>
        <v>0</v>
      </c>
      <c r="F28" s="186">
        <f t="shared" si="7"/>
        <v>0</v>
      </c>
      <c r="G28" s="241">
        <f t="shared" si="7"/>
        <v>0</v>
      </c>
      <c r="H28" s="135">
        <f t="shared" si="1"/>
        <v>0</v>
      </c>
      <c r="I28" s="55">
        <f t="shared" si="8"/>
        <v>0</v>
      </c>
      <c r="J28" s="241">
        <f t="shared" si="8"/>
        <v>0</v>
      </c>
      <c r="K28" s="6">
        <f t="shared" si="2"/>
        <v>0</v>
      </c>
      <c r="L28" s="252">
        <f>'ET Forecast Capital Additions'!$L27</f>
        <v>0.66666666666666663</v>
      </c>
      <c r="M28" s="55">
        <f t="shared" si="3"/>
        <v>0</v>
      </c>
      <c r="N28" s="241">
        <f t="shared" si="4"/>
        <v>0</v>
      </c>
      <c r="O28" s="135">
        <f t="shared" si="5"/>
        <v>0</v>
      </c>
      <c r="P28" s="4">
        <f t="shared" si="9"/>
        <v>17</v>
      </c>
    </row>
    <row r="29" spans="1:16" x14ac:dyDescent="0.35">
      <c r="A29" s="4">
        <f t="shared" si="6"/>
        <v>18</v>
      </c>
      <c r="B29" s="557">
        <f>'ET Forecast Capital Additions'!B28</f>
        <v>45465</v>
      </c>
      <c r="C29" s="229">
        <v>0</v>
      </c>
      <c r="D29" s="699">
        <v>0</v>
      </c>
      <c r="E29" s="132">
        <f t="shared" si="0"/>
        <v>0</v>
      </c>
      <c r="F29" s="186">
        <f t="shared" si="7"/>
        <v>0</v>
      </c>
      <c r="G29" s="241">
        <f t="shared" si="7"/>
        <v>0</v>
      </c>
      <c r="H29" s="135">
        <f t="shared" si="1"/>
        <v>0</v>
      </c>
      <c r="I29" s="55">
        <f t="shared" si="8"/>
        <v>0</v>
      </c>
      <c r="J29" s="241">
        <f t="shared" si="8"/>
        <v>0</v>
      </c>
      <c r="K29" s="132">
        <f t="shared" si="2"/>
        <v>0</v>
      </c>
      <c r="L29" s="250">
        <f>'ET Forecast Capital Additions'!$L28</f>
        <v>0.58333333333333337</v>
      </c>
      <c r="M29" s="55">
        <f t="shared" si="3"/>
        <v>0</v>
      </c>
      <c r="N29" s="241">
        <f t="shared" si="4"/>
        <v>0</v>
      </c>
      <c r="O29" s="593">
        <f t="shared" si="5"/>
        <v>0</v>
      </c>
      <c r="P29" s="4">
        <f t="shared" si="9"/>
        <v>18</v>
      </c>
    </row>
    <row r="30" spans="1:16" x14ac:dyDescent="0.35">
      <c r="A30" s="4">
        <f t="shared" si="6"/>
        <v>19</v>
      </c>
      <c r="B30" s="557">
        <f>'ET Forecast Capital Additions'!B29</f>
        <v>45495</v>
      </c>
      <c r="C30" s="229">
        <v>0</v>
      </c>
      <c r="D30" s="699">
        <v>0</v>
      </c>
      <c r="E30" s="132">
        <f t="shared" si="0"/>
        <v>0</v>
      </c>
      <c r="F30" s="186">
        <f t="shared" si="7"/>
        <v>0</v>
      </c>
      <c r="G30" s="241">
        <f t="shared" si="7"/>
        <v>0</v>
      </c>
      <c r="H30" s="135">
        <f t="shared" si="1"/>
        <v>0</v>
      </c>
      <c r="I30" s="55">
        <f t="shared" si="8"/>
        <v>0</v>
      </c>
      <c r="J30" s="241">
        <f t="shared" si="8"/>
        <v>0</v>
      </c>
      <c r="K30" s="132">
        <f t="shared" si="2"/>
        <v>0</v>
      </c>
      <c r="L30" s="250">
        <f>'ET Forecast Capital Additions'!$L29</f>
        <v>0.5</v>
      </c>
      <c r="M30" s="55">
        <f t="shared" si="3"/>
        <v>0</v>
      </c>
      <c r="N30" s="241">
        <f t="shared" si="4"/>
        <v>0</v>
      </c>
      <c r="O30" s="593">
        <f t="shared" si="5"/>
        <v>0</v>
      </c>
      <c r="P30" s="4">
        <f t="shared" si="9"/>
        <v>19</v>
      </c>
    </row>
    <row r="31" spans="1:16" ht="16" thickBot="1" x14ac:dyDescent="0.4">
      <c r="A31" s="4">
        <f t="shared" si="6"/>
        <v>20</v>
      </c>
      <c r="B31" s="558">
        <f>'ET Forecast Capital Additions'!B30</f>
        <v>45526</v>
      </c>
      <c r="C31" s="230">
        <v>0</v>
      </c>
      <c r="D31" s="216">
        <v>0</v>
      </c>
      <c r="E31" s="188">
        <f t="shared" si="0"/>
        <v>0</v>
      </c>
      <c r="F31" s="189">
        <f t="shared" si="7"/>
        <v>0</v>
      </c>
      <c r="G31" s="190">
        <f t="shared" si="7"/>
        <v>0</v>
      </c>
      <c r="H31" s="221">
        <f t="shared" si="1"/>
        <v>0</v>
      </c>
      <c r="I31" s="192">
        <f t="shared" si="8"/>
        <v>0</v>
      </c>
      <c r="J31" s="190">
        <f t="shared" si="8"/>
        <v>0</v>
      </c>
      <c r="K31" s="188">
        <f t="shared" si="2"/>
        <v>0</v>
      </c>
      <c r="L31" s="251">
        <f>'ET Forecast Capital Additions'!$L30</f>
        <v>0.41666666666666669</v>
      </c>
      <c r="M31" s="192">
        <f t="shared" si="3"/>
        <v>0</v>
      </c>
      <c r="N31" s="190">
        <f t="shared" si="4"/>
        <v>0</v>
      </c>
      <c r="O31" s="191">
        <f t="shared" si="5"/>
        <v>0</v>
      </c>
      <c r="P31" s="4">
        <f t="shared" si="9"/>
        <v>20</v>
      </c>
    </row>
    <row r="32" spans="1:16" x14ac:dyDescent="0.35">
      <c r="A32" s="4">
        <f t="shared" si="6"/>
        <v>21</v>
      </c>
      <c r="B32" s="557">
        <f>'ET Forecast Capital Additions'!B31</f>
        <v>45557</v>
      </c>
      <c r="C32" s="229">
        <v>0</v>
      </c>
      <c r="D32" s="699">
        <v>0</v>
      </c>
      <c r="E32" s="132">
        <f t="shared" si="0"/>
        <v>0</v>
      </c>
      <c r="F32" s="186">
        <f t="shared" si="7"/>
        <v>0</v>
      </c>
      <c r="G32" s="241">
        <f t="shared" si="7"/>
        <v>0</v>
      </c>
      <c r="H32" s="135">
        <f t="shared" si="1"/>
        <v>0</v>
      </c>
      <c r="I32" s="55">
        <f t="shared" si="8"/>
        <v>0</v>
      </c>
      <c r="J32" s="241">
        <f t="shared" si="8"/>
        <v>0</v>
      </c>
      <c r="K32" s="132">
        <f t="shared" si="2"/>
        <v>0</v>
      </c>
      <c r="L32" s="252">
        <f>'ET Forecast Capital Additions'!$L31</f>
        <v>0.33333333333333331</v>
      </c>
      <c r="M32" s="55">
        <f t="shared" si="3"/>
        <v>0</v>
      </c>
      <c r="N32" s="241">
        <f t="shared" si="4"/>
        <v>0</v>
      </c>
      <c r="O32" s="593">
        <f t="shared" si="5"/>
        <v>0</v>
      </c>
      <c r="P32" s="4">
        <f t="shared" si="9"/>
        <v>21</v>
      </c>
    </row>
    <row r="33" spans="1:18" x14ac:dyDescent="0.35">
      <c r="A33" s="4">
        <f t="shared" si="6"/>
        <v>22</v>
      </c>
      <c r="B33" s="557">
        <f>'ET Forecast Capital Additions'!B32</f>
        <v>45587</v>
      </c>
      <c r="C33" s="117">
        <v>0</v>
      </c>
      <c r="D33" s="699">
        <v>0</v>
      </c>
      <c r="E33" s="6">
        <f t="shared" si="0"/>
        <v>0</v>
      </c>
      <c r="F33" s="186">
        <f t="shared" si="7"/>
        <v>0</v>
      </c>
      <c r="G33" s="241">
        <f t="shared" si="7"/>
        <v>0</v>
      </c>
      <c r="H33" s="135">
        <f t="shared" si="1"/>
        <v>0</v>
      </c>
      <c r="I33" s="55">
        <f t="shared" si="8"/>
        <v>0</v>
      </c>
      <c r="J33" s="241">
        <f t="shared" si="8"/>
        <v>0</v>
      </c>
      <c r="K33" s="6">
        <f t="shared" si="2"/>
        <v>0</v>
      </c>
      <c r="L33" s="250">
        <f>'ET Forecast Capital Additions'!$L32</f>
        <v>0.25</v>
      </c>
      <c r="M33" s="55">
        <f t="shared" si="3"/>
        <v>0</v>
      </c>
      <c r="N33" s="241">
        <f t="shared" si="4"/>
        <v>0</v>
      </c>
      <c r="O33" s="135">
        <f t="shared" si="5"/>
        <v>0</v>
      </c>
      <c r="P33" s="4">
        <f t="shared" si="9"/>
        <v>22</v>
      </c>
    </row>
    <row r="34" spans="1:18" x14ac:dyDescent="0.35">
      <c r="A34" s="4">
        <f t="shared" si="6"/>
        <v>23</v>
      </c>
      <c r="B34" s="557">
        <f>'ET Forecast Capital Additions'!B33</f>
        <v>45618</v>
      </c>
      <c r="C34" s="229">
        <v>0</v>
      </c>
      <c r="D34" s="699">
        <v>0</v>
      </c>
      <c r="E34" s="132">
        <f t="shared" si="0"/>
        <v>0</v>
      </c>
      <c r="F34" s="186">
        <f t="shared" si="7"/>
        <v>0</v>
      </c>
      <c r="G34" s="241">
        <f t="shared" si="7"/>
        <v>0</v>
      </c>
      <c r="H34" s="135">
        <f t="shared" si="1"/>
        <v>0</v>
      </c>
      <c r="I34" s="55">
        <f t="shared" si="8"/>
        <v>0</v>
      </c>
      <c r="J34" s="241">
        <f t="shared" si="8"/>
        <v>0</v>
      </c>
      <c r="K34" s="132">
        <f t="shared" si="2"/>
        <v>0</v>
      </c>
      <c r="L34" s="250">
        <f>'ET Forecast Capital Additions'!$L33</f>
        <v>0.16666666666666666</v>
      </c>
      <c r="M34" s="55">
        <f t="shared" si="3"/>
        <v>0</v>
      </c>
      <c r="N34" s="241">
        <f t="shared" si="4"/>
        <v>0</v>
      </c>
      <c r="O34" s="593">
        <f t="shared" si="5"/>
        <v>0</v>
      </c>
      <c r="P34" s="4">
        <f t="shared" si="9"/>
        <v>23</v>
      </c>
    </row>
    <row r="35" spans="1:18" ht="16" thickBot="1" x14ac:dyDescent="0.4">
      <c r="A35" s="4">
        <f t="shared" si="6"/>
        <v>24</v>
      </c>
      <c r="B35" s="557">
        <f>'ET Forecast Capital Additions'!B34</f>
        <v>45648</v>
      </c>
      <c r="C35" s="229">
        <v>0</v>
      </c>
      <c r="D35" s="699">
        <v>0</v>
      </c>
      <c r="E35" s="132">
        <f t="shared" si="0"/>
        <v>0</v>
      </c>
      <c r="F35" s="186">
        <f t="shared" si="7"/>
        <v>0</v>
      </c>
      <c r="G35" s="241">
        <f t="shared" si="7"/>
        <v>0</v>
      </c>
      <c r="H35" s="593">
        <f t="shared" si="1"/>
        <v>0</v>
      </c>
      <c r="I35" s="192">
        <f t="shared" si="8"/>
        <v>0</v>
      </c>
      <c r="J35" s="190">
        <f t="shared" si="8"/>
        <v>0</v>
      </c>
      <c r="K35" s="132">
        <f t="shared" si="2"/>
        <v>0</v>
      </c>
      <c r="L35" s="250">
        <f>'ET Forecast Capital Additions'!$L34</f>
        <v>8.3333333333333329E-2</v>
      </c>
      <c r="M35" s="192">
        <f t="shared" si="3"/>
        <v>0</v>
      </c>
      <c r="N35" s="190">
        <f t="shared" si="4"/>
        <v>0</v>
      </c>
      <c r="O35" s="593">
        <f t="shared" si="5"/>
        <v>0</v>
      </c>
      <c r="P35" s="4">
        <f t="shared" si="9"/>
        <v>24</v>
      </c>
    </row>
    <row r="36" spans="1:18" ht="16" thickBot="1" x14ac:dyDescent="0.4">
      <c r="A36" s="4">
        <f t="shared" si="6"/>
        <v>25</v>
      </c>
      <c r="B36" s="559" t="s">
        <v>265</v>
      </c>
      <c r="C36" s="200">
        <f t="shared" ref="C36:K36" si="10">SUM(C12:C35)</f>
        <v>0</v>
      </c>
      <c r="D36" s="197">
        <f t="shared" si="10"/>
        <v>0</v>
      </c>
      <c r="E36" s="198">
        <f t="shared" si="10"/>
        <v>0</v>
      </c>
      <c r="F36" s="196">
        <f t="shared" si="10"/>
        <v>0</v>
      </c>
      <c r="G36" s="197">
        <f t="shared" si="10"/>
        <v>0</v>
      </c>
      <c r="H36" s="199">
        <f t="shared" si="10"/>
        <v>0</v>
      </c>
      <c r="I36" s="200">
        <f t="shared" si="10"/>
        <v>0</v>
      </c>
      <c r="J36" s="197">
        <f t="shared" si="10"/>
        <v>0</v>
      </c>
      <c r="K36" s="198">
        <f t="shared" si="10"/>
        <v>0</v>
      </c>
      <c r="L36" s="201"/>
      <c r="M36" s="200">
        <f>SUM(M12:M35)</f>
        <v>0</v>
      </c>
      <c r="N36" s="197">
        <f>SUM(N12:N35)</f>
        <v>0</v>
      </c>
      <c r="O36" s="199">
        <f>SUM(O12:O35)</f>
        <v>0</v>
      </c>
      <c r="P36" s="4">
        <f t="shared" si="9"/>
        <v>25</v>
      </c>
    </row>
    <row r="37" spans="1:18" x14ac:dyDescent="0.35">
      <c r="A37" s="4">
        <f>A36+1</f>
        <v>26</v>
      </c>
      <c r="B37" s="531"/>
      <c r="C37" s="6"/>
      <c r="D37" s="6"/>
      <c r="E37" s="560"/>
      <c r="F37" s="34"/>
      <c r="G37" s="34"/>
      <c r="H37" s="6"/>
      <c r="I37" s="34"/>
      <c r="J37" s="34"/>
      <c r="K37" s="6"/>
      <c r="L37" s="34"/>
      <c r="M37" s="34"/>
      <c r="N37" s="34"/>
      <c r="O37" s="135"/>
      <c r="P37" s="4">
        <f>P36+1</f>
        <v>26</v>
      </c>
      <c r="Q37" s="34"/>
      <c r="R37" s="34"/>
    </row>
    <row r="38" spans="1:18" s="427" customFormat="1" x14ac:dyDescent="0.35">
      <c r="A38" s="4">
        <f>A37+1</f>
        <v>27</v>
      </c>
      <c r="B38" s="561"/>
      <c r="E38" s="34" t="s">
        <v>1801</v>
      </c>
      <c r="F38" s="562"/>
      <c r="G38" s="562"/>
      <c r="H38" s="30">
        <f>'ET Forecast Capital Additions'!H37</f>
        <v>2694.5360000000001</v>
      </c>
      <c r="I38" s="202"/>
      <c r="J38" s="34" t="str">
        <f>'ET Forecast Capital Additions'!J37</f>
        <v>Form 1; Page 204-207; Line 58; Col. d</v>
      </c>
      <c r="O38" s="563"/>
      <c r="P38" s="4">
        <f>P37+1</f>
        <v>27</v>
      </c>
      <c r="Q38" s="34"/>
    </row>
    <row r="39" spans="1:18" s="427" customFormat="1" x14ac:dyDescent="0.35">
      <c r="A39" s="4">
        <f>A38+1</f>
        <v>28</v>
      </c>
      <c r="B39" s="561"/>
      <c r="E39" s="34"/>
      <c r="F39" s="562"/>
      <c r="G39" s="562"/>
      <c r="H39" s="6"/>
      <c r="I39" s="202"/>
      <c r="J39" s="34"/>
      <c r="O39" s="563"/>
      <c r="P39" s="4">
        <f>P38+1</f>
        <v>28</v>
      </c>
    </row>
    <row r="40" spans="1:18" s="427" customFormat="1" x14ac:dyDescent="0.35">
      <c r="A40" s="4">
        <f t="shared" ref="A40:A42" si="11">A39+1</f>
        <v>29</v>
      </c>
      <c r="B40" s="561"/>
      <c r="E40" s="34" t="s">
        <v>1803</v>
      </c>
      <c r="F40" s="562"/>
      <c r="G40" s="562"/>
      <c r="H40" s="973">
        <f>'ET Forecast Capital Additions'!H39</f>
        <v>7949178.8669999996</v>
      </c>
      <c r="I40" s="202"/>
      <c r="J40" s="34" t="str">
        <f>'ET Forecast Capital Additions'!J39</f>
        <v>Form 1; Page 204-207; Line 58; Col. g</v>
      </c>
      <c r="O40" s="563"/>
      <c r="P40" s="4">
        <f t="shared" ref="P40:P47" si="12">P39+1</f>
        <v>29</v>
      </c>
    </row>
    <row r="41" spans="1:18" s="34" customFormat="1" ht="16" thickBot="1" x14ac:dyDescent="0.4">
      <c r="A41" s="4">
        <f t="shared" si="11"/>
        <v>30</v>
      </c>
      <c r="B41" s="531"/>
      <c r="E41" s="1"/>
      <c r="F41" s="1"/>
      <c r="G41" s="1"/>
      <c r="O41" s="392"/>
      <c r="P41" s="4">
        <f t="shared" si="12"/>
        <v>30</v>
      </c>
      <c r="Q41" s="427"/>
      <c r="R41" s="427"/>
    </row>
    <row r="42" spans="1:18" ht="16" thickBot="1" x14ac:dyDescent="0.4">
      <c r="A42" s="4">
        <f t="shared" si="11"/>
        <v>31</v>
      </c>
      <c r="B42" s="531"/>
      <c r="C42" s="34"/>
      <c r="D42" s="34"/>
      <c r="E42" s="1" t="s">
        <v>1805</v>
      </c>
      <c r="F42" s="34"/>
      <c r="G42" s="34"/>
      <c r="H42" s="203">
        <f>H38/H40</f>
        <v>3.3897035720079489E-4</v>
      </c>
      <c r="I42" s="34"/>
      <c r="J42" s="34" t="s">
        <v>1806</v>
      </c>
      <c r="K42" s="50"/>
      <c r="L42" s="34"/>
      <c r="M42" s="34"/>
      <c r="N42" s="34"/>
      <c r="O42" s="392"/>
      <c r="P42" s="4">
        <f t="shared" si="12"/>
        <v>31</v>
      </c>
      <c r="Q42" s="34"/>
      <c r="R42" s="34"/>
    </row>
    <row r="43" spans="1:18" ht="16" thickBot="1" x14ac:dyDescent="0.4">
      <c r="A43" s="4">
        <f t="shared" si="6"/>
        <v>32</v>
      </c>
      <c r="B43" s="564"/>
      <c r="C43" s="891"/>
      <c r="D43" s="891"/>
      <c r="E43" s="946"/>
      <c r="F43" s="891"/>
      <c r="G43" s="891"/>
      <c r="H43" s="1143"/>
      <c r="I43" s="891"/>
      <c r="J43" s="891"/>
      <c r="K43" s="891"/>
      <c r="L43" s="891"/>
      <c r="M43" s="891"/>
      <c r="N43" s="891"/>
      <c r="O43" s="204"/>
      <c r="P43" s="4">
        <f t="shared" si="12"/>
        <v>32</v>
      </c>
      <c r="Q43" s="427"/>
      <c r="R43" s="34"/>
    </row>
    <row r="44" spans="1:18" ht="16" thickBot="1" x14ac:dyDescent="0.4">
      <c r="A44" s="4">
        <f t="shared" si="6"/>
        <v>33</v>
      </c>
      <c r="B44" s="531"/>
      <c r="C44" s="34"/>
      <c r="D44" s="34"/>
      <c r="E44" s="6"/>
      <c r="F44" s="34"/>
      <c r="G44" s="34"/>
      <c r="H44" s="34"/>
      <c r="I44" s="34"/>
      <c r="J44" s="34"/>
      <c r="K44" s="6" t="s">
        <v>1</v>
      </c>
      <c r="L44" s="34"/>
      <c r="M44" s="50"/>
      <c r="N44" s="50"/>
      <c r="O44" s="565"/>
      <c r="P44" s="4">
        <f t="shared" si="12"/>
        <v>33</v>
      </c>
      <c r="Q44" s="427"/>
      <c r="R44" s="34"/>
    </row>
    <row r="45" spans="1:18" ht="16" thickBot="1" x14ac:dyDescent="0.4">
      <c r="A45" s="4">
        <f t="shared" si="6"/>
        <v>34</v>
      </c>
      <c r="B45" s="566"/>
      <c r="C45" s="34"/>
      <c r="D45" s="259"/>
      <c r="E45" s="567"/>
      <c r="F45" s="1144"/>
      <c r="G45" s="1145"/>
      <c r="H45" s="1145" t="s">
        <v>1807</v>
      </c>
      <c r="I45" s="568" t="s">
        <v>1808</v>
      </c>
      <c r="J45" s="569" t="s">
        <v>1809</v>
      </c>
      <c r="K45" s="570" t="s">
        <v>1766</v>
      </c>
      <c r="L45" s="1"/>
      <c r="M45" s="571" t="s">
        <v>1769</v>
      </c>
      <c r="N45" s="572" t="s">
        <v>1770</v>
      </c>
      <c r="O45" s="573" t="s">
        <v>1810</v>
      </c>
      <c r="P45" s="4">
        <f t="shared" si="12"/>
        <v>34</v>
      </c>
      <c r="Q45" s="427"/>
      <c r="R45" s="34"/>
    </row>
    <row r="46" spans="1:18" ht="16" thickBot="1" x14ac:dyDescent="0.4">
      <c r="A46" s="4">
        <f t="shared" si="6"/>
        <v>35</v>
      </c>
      <c r="B46" s="531"/>
      <c r="C46" s="34"/>
      <c r="D46" s="34"/>
      <c r="E46" s="574"/>
      <c r="F46" s="375"/>
      <c r="G46" s="575"/>
      <c r="H46" s="575" t="s">
        <v>1811</v>
      </c>
      <c r="I46" s="205">
        <f>+I36</f>
        <v>0</v>
      </c>
      <c r="J46" s="205">
        <f>+J36</f>
        <v>0</v>
      </c>
      <c r="K46" s="205">
        <f>+K36</f>
        <v>0</v>
      </c>
      <c r="L46" s="46"/>
      <c r="M46" s="205">
        <f>+M36</f>
        <v>0</v>
      </c>
      <c r="N46" s="205">
        <f>+N36</f>
        <v>0</v>
      </c>
      <c r="O46" s="205">
        <f>+O36</f>
        <v>0</v>
      </c>
      <c r="P46" s="4">
        <f t="shared" si="12"/>
        <v>35</v>
      </c>
      <c r="Q46" s="34"/>
      <c r="R46" s="34"/>
    </row>
    <row r="47" spans="1:18" ht="16" thickTop="1" x14ac:dyDescent="0.35">
      <c r="A47" s="4">
        <f t="shared" si="6"/>
        <v>36</v>
      </c>
      <c r="B47" s="531"/>
      <c r="C47" s="34"/>
      <c r="D47" s="34"/>
      <c r="E47" s="531"/>
      <c r="F47" s="34"/>
      <c r="G47" s="31"/>
      <c r="H47" s="31"/>
      <c r="I47" s="225"/>
      <c r="J47" s="225"/>
      <c r="K47" s="225"/>
      <c r="L47" s="34"/>
      <c r="M47" s="225"/>
      <c r="N47" s="225"/>
      <c r="O47" s="225"/>
      <c r="P47" s="4">
        <f t="shared" si="12"/>
        <v>36</v>
      </c>
      <c r="Q47" s="34"/>
      <c r="R47" s="34"/>
    </row>
    <row r="48" spans="1:18" ht="16" thickBot="1" x14ac:dyDescent="0.4">
      <c r="A48" s="4">
        <f>A47+1</f>
        <v>37</v>
      </c>
      <c r="B48" s="531"/>
      <c r="C48" s="34"/>
      <c r="D48" s="34"/>
      <c r="E48" s="531"/>
      <c r="F48" s="34"/>
      <c r="G48" s="31"/>
      <c r="H48" s="486" t="s">
        <v>1812</v>
      </c>
      <c r="I48" s="209">
        <f>IFERROR((+I46/K46),0)</f>
        <v>0</v>
      </c>
      <c r="J48" s="209">
        <f>IFERROR((+J46/K46),0)</f>
        <v>0</v>
      </c>
      <c r="K48" s="209">
        <f>I48+J48</f>
        <v>0</v>
      </c>
      <c r="L48" s="1"/>
      <c r="M48" s="209">
        <f>IFERROR((+M46/O46),0)</f>
        <v>0</v>
      </c>
      <c r="N48" s="209">
        <f>IFERROR((+N46/O46),0)</f>
        <v>0</v>
      </c>
      <c r="O48" s="209">
        <f>M48+N48</f>
        <v>0</v>
      </c>
      <c r="P48" s="4">
        <f>P47+1</f>
        <v>37</v>
      </c>
      <c r="Q48" s="34"/>
      <c r="R48" s="34"/>
    </row>
    <row r="49" spans="1:18" ht="16.5" thickTop="1" thickBot="1" x14ac:dyDescent="0.4">
      <c r="A49" s="4">
        <f t="shared" si="6"/>
        <v>38</v>
      </c>
      <c r="B49" s="530"/>
      <c r="C49" s="34"/>
      <c r="D49" s="34"/>
      <c r="E49" s="564"/>
      <c r="F49" s="891"/>
      <c r="G49" s="891"/>
      <c r="H49" s="891"/>
      <c r="I49" s="213"/>
      <c r="J49" s="213"/>
      <c r="K49" s="204"/>
      <c r="L49" s="34"/>
      <c r="M49" s="214"/>
      <c r="N49" s="215"/>
      <c r="O49" s="204"/>
      <c r="P49" s="4">
        <f t="shared" si="9"/>
        <v>38</v>
      </c>
      <c r="Q49" s="34"/>
      <c r="R49" s="34"/>
    </row>
    <row r="50" spans="1:18" ht="16" thickBot="1" x14ac:dyDescent="0.4">
      <c r="A50" s="4">
        <f t="shared" si="6"/>
        <v>39</v>
      </c>
      <c r="B50" s="537"/>
      <c r="C50" s="891"/>
      <c r="D50" s="891"/>
      <c r="E50" s="891"/>
      <c r="F50" s="891"/>
      <c r="G50" s="891"/>
      <c r="H50" s="891"/>
      <c r="I50" s="891"/>
      <c r="J50" s="891"/>
      <c r="K50" s="891"/>
      <c r="L50" s="891"/>
      <c r="M50" s="891"/>
      <c r="N50" s="891"/>
      <c r="O50" s="204"/>
      <c r="P50" s="4">
        <f t="shared" si="9"/>
        <v>39</v>
      </c>
      <c r="R50" s="34"/>
    </row>
    <row r="51" spans="1:18" x14ac:dyDescent="0.35">
      <c r="B51" s="1"/>
      <c r="C51" s="34"/>
      <c r="D51" s="34"/>
      <c r="E51" s="34"/>
      <c r="F51" s="34"/>
      <c r="G51" s="34"/>
      <c r="H51" s="34"/>
      <c r="I51" s="34"/>
      <c r="J51" s="34"/>
      <c r="K51" s="34"/>
      <c r="L51" s="34"/>
      <c r="M51" s="34"/>
      <c r="N51" s="34"/>
      <c r="O51" s="34"/>
    </row>
    <row r="52" spans="1:18" x14ac:dyDescent="0.35">
      <c r="B52" s="1"/>
      <c r="C52" s="34"/>
      <c r="D52" s="34"/>
      <c r="E52" s="34"/>
      <c r="F52" s="34"/>
      <c r="G52" s="34"/>
      <c r="H52" s="34"/>
      <c r="I52" s="34"/>
      <c r="J52" s="34"/>
      <c r="K52" s="34"/>
      <c r="L52" s="34"/>
      <c r="M52" s="34"/>
      <c r="N52" s="34"/>
      <c r="O52" s="34"/>
    </row>
    <row r="53" spans="1:18" x14ac:dyDescent="0.35">
      <c r="B53" s="1"/>
      <c r="C53" s="34"/>
      <c r="D53" s="34"/>
      <c r="E53" s="34"/>
      <c r="F53" s="34"/>
      <c r="G53" s="34"/>
      <c r="H53" s="34"/>
      <c r="I53" s="34"/>
      <c r="J53" s="34"/>
      <c r="K53" s="34"/>
      <c r="L53" s="34"/>
      <c r="M53" s="34"/>
      <c r="N53" s="34"/>
      <c r="O53" s="34"/>
    </row>
    <row r="54" spans="1:18" x14ac:dyDescent="0.35">
      <c r="B54" s="583"/>
      <c r="C54" s="6"/>
      <c r="D54" s="6"/>
      <c r="E54" s="6"/>
      <c r="F54" s="6"/>
      <c r="G54" s="6"/>
      <c r="H54" s="6"/>
      <c r="I54" s="6"/>
      <c r="J54" s="6"/>
      <c r="K54" s="6"/>
      <c r="L54" s="441"/>
      <c r="M54" s="6"/>
      <c r="N54" s="6"/>
      <c r="O54" s="6"/>
    </row>
    <row r="55" spans="1:18" x14ac:dyDescent="0.35">
      <c r="B55" s="583"/>
      <c r="C55" s="6"/>
      <c r="D55" s="6"/>
      <c r="E55" s="6"/>
      <c r="F55" s="6"/>
      <c r="G55" s="6"/>
      <c r="H55" s="6"/>
      <c r="I55" s="6"/>
      <c r="J55" s="6"/>
      <c r="K55" s="6"/>
      <c r="L55" s="441"/>
      <c r="M55" s="6"/>
      <c r="N55" s="6"/>
      <c r="O55" s="6"/>
    </row>
    <row r="56" spans="1:18" x14ac:dyDescent="0.35">
      <c r="B56" s="583"/>
      <c r="C56" s="6"/>
      <c r="D56" s="6"/>
      <c r="E56" s="6"/>
      <c r="F56" s="6"/>
      <c r="G56" s="6"/>
      <c r="H56" s="6"/>
      <c r="I56" s="6"/>
      <c r="J56" s="6"/>
      <c r="K56" s="6"/>
      <c r="L56" s="441"/>
      <c r="M56" s="6"/>
      <c r="N56" s="6"/>
      <c r="O56" s="6"/>
    </row>
    <row r="57" spans="1:18" x14ac:dyDescent="0.35">
      <c r="B57" s="583"/>
      <c r="C57" s="6"/>
      <c r="D57" s="6"/>
      <c r="E57" s="6"/>
      <c r="F57" s="6"/>
      <c r="G57" s="6"/>
      <c r="H57" s="6"/>
      <c r="I57" s="6"/>
      <c r="J57" s="6"/>
      <c r="K57" s="6"/>
      <c r="L57" s="441"/>
      <c r="M57" s="6"/>
      <c r="N57" s="6"/>
      <c r="O57" s="6"/>
    </row>
    <row r="58" spans="1:18" x14ac:dyDescent="0.35">
      <c r="B58" s="583"/>
      <c r="C58" s="6"/>
      <c r="D58" s="6"/>
      <c r="E58" s="6"/>
      <c r="F58" s="6"/>
      <c r="G58" s="6"/>
      <c r="H58" s="6"/>
      <c r="I58" s="6"/>
      <c r="J58" s="6"/>
      <c r="K58" s="6"/>
      <c r="L58" s="441"/>
      <c r="M58" s="6"/>
      <c r="N58" s="6"/>
      <c r="O58" s="6"/>
    </row>
    <row r="59" spans="1:18" x14ac:dyDescent="0.35">
      <c r="B59" s="583"/>
      <c r="C59" s="34"/>
      <c r="D59" s="34"/>
      <c r="E59" s="34"/>
      <c r="F59" s="34"/>
      <c r="G59" s="34"/>
      <c r="H59" s="34"/>
      <c r="I59" s="34"/>
      <c r="J59" s="34"/>
      <c r="K59" s="34"/>
      <c r="L59" s="34"/>
      <c r="M59" s="34"/>
      <c r="N59" s="34"/>
      <c r="O59" s="34"/>
    </row>
  </sheetData>
  <mergeCells count="6">
    <mergeCell ref="B7:O7"/>
    <mergeCell ref="B2:O2"/>
    <mergeCell ref="B3:O3"/>
    <mergeCell ref="B4:O4"/>
    <mergeCell ref="B5:O5"/>
    <mergeCell ref="B6:O6"/>
  </mergeCells>
  <printOptions horizontalCentered="1"/>
  <pageMargins left="0.5" right="0.5" top="0.5" bottom="0.5" header="0.25" footer="0.25"/>
  <pageSetup orientation="landscape" r:id="rId1"/>
  <headerFooter scaleWithDoc="0">
    <oddFooter>&amp;C&amp;"Times New Roman,Regular"&amp;10Summary of Weighted Incentive Transmission CWIP - B</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2"/>
  <sheetViews>
    <sheetView zoomScale="80" zoomScaleNormal="80" workbookViewId="0"/>
  </sheetViews>
  <sheetFormatPr defaultColWidth="9.08984375" defaultRowHeight="15" x14ac:dyDescent="0.35"/>
  <cols>
    <col min="1" max="1" width="5.08984375" style="226" customWidth="1"/>
    <col min="2" max="2" width="35.08984375" style="1" customWidth="1"/>
    <col min="3" max="3" width="18.54296875" style="91" customWidth="1"/>
    <col min="4" max="4" width="4.6328125" style="91" customWidth="1"/>
    <col min="5" max="5" width="25.08984375" style="91" customWidth="1"/>
    <col min="6" max="6" width="18.54296875" style="1" customWidth="1"/>
    <col min="7" max="7" width="3" style="1" bestFit="1" customWidth="1"/>
    <col min="8" max="8" width="62.54296875" style="1" customWidth="1"/>
    <col min="9" max="9" width="5.08984375" style="226" customWidth="1"/>
    <col min="10" max="10" width="24" style="1" customWidth="1"/>
    <col min="11" max="11" width="11" style="1" customWidth="1"/>
    <col min="12" max="12" width="9.90625" style="1" customWidth="1"/>
    <col min="13" max="13" width="9.08984375" style="1" customWidth="1"/>
    <col min="14" max="14" width="14" style="1" customWidth="1"/>
    <col min="15" max="15" width="13.453125" style="1" customWidth="1"/>
    <col min="16" max="16384" width="9.08984375" style="1"/>
  </cols>
  <sheetData>
    <row r="2" spans="1:13" x14ac:dyDescent="0.35">
      <c r="B2" s="1171" t="s">
        <v>0</v>
      </c>
      <c r="C2" s="1171"/>
      <c r="D2" s="1171"/>
      <c r="E2" s="1171"/>
      <c r="F2" s="1171"/>
      <c r="G2" s="1171"/>
      <c r="H2" s="1171"/>
    </row>
    <row r="3" spans="1:13" x14ac:dyDescent="0.35">
      <c r="B3" s="1171" t="s">
        <v>362</v>
      </c>
      <c r="C3" s="1171"/>
      <c r="D3" s="1171"/>
      <c r="E3" s="1171"/>
      <c r="F3" s="1171"/>
      <c r="G3" s="1171"/>
      <c r="H3" s="1171"/>
    </row>
    <row r="4" spans="1:13" x14ac:dyDescent="0.35">
      <c r="B4" s="1171" t="s">
        <v>363</v>
      </c>
      <c r="C4" s="1171"/>
      <c r="D4" s="1171"/>
      <c r="E4" s="1171"/>
      <c r="F4" s="1171"/>
      <c r="G4" s="1171"/>
      <c r="H4" s="1171"/>
    </row>
    <row r="5" spans="1:13" x14ac:dyDescent="0.35">
      <c r="B5" s="1171" t="s">
        <v>364</v>
      </c>
      <c r="C5" s="1171"/>
      <c r="D5" s="1171"/>
      <c r="E5" s="1171"/>
      <c r="F5" s="1171"/>
      <c r="G5" s="1171"/>
      <c r="H5" s="1171"/>
    </row>
    <row r="6" spans="1:13" x14ac:dyDescent="0.35">
      <c r="B6" s="1175" t="s">
        <v>5</v>
      </c>
      <c r="C6" s="1175"/>
      <c r="D6" s="1175"/>
      <c r="E6" s="1175"/>
      <c r="F6" s="1175"/>
      <c r="G6" s="1175"/>
      <c r="H6" s="1175"/>
    </row>
    <row r="7" spans="1:13" x14ac:dyDescent="0.35">
      <c r="B7" s="277"/>
      <c r="C7" s="278"/>
      <c r="D7" s="278"/>
      <c r="E7" s="278"/>
      <c r="F7" s="277"/>
      <c r="G7" s="277"/>
      <c r="H7" s="277"/>
    </row>
    <row r="8" spans="1:13" x14ac:dyDescent="0.35">
      <c r="B8" s="1171" t="s">
        <v>405</v>
      </c>
      <c r="C8" s="1171"/>
      <c r="D8" s="1171"/>
      <c r="E8" s="1171"/>
      <c r="F8" s="1171"/>
      <c r="G8" s="1171"/>
      <c r="H8" s="1171"/>
    </row>
    <row r="9" spans="1:13" x14ac:dyDescent="0.35">
      <c r="C9" s="1107"/>
      <c r="F9" s="1029"/>
    </row>
    <row r="10" spans="1:13" x14ac:dyDescent="0.35">
      <c r="B10" s="321"/>
      <c r="C10" s="272" t="s">
        <v>265</v>
      </c>
      <c r="D10" s="1155"/>
      <c r="E10" s="446"/>
      <c r="F10" s="272"/>
      <c r="G10" s="279"/>
      <c r="H10" s="988"/>
    </row>
    <row r="11" spans="1:13" ht="15.5" x14ac:dyDescent="0.35">
      <c r="B11" s="308"/>
      <c r="C11" s="226" t="s">
        <v>406</v>
      </c>
      <c r="D11" s="226"/>
      <c r="E11" s="308"/>
      <c r="F11" s="226" t="s">
        <v>406</v>
      </c>
      <c r="G11" s="284"/>
      <c r="H11" s="280"/>
      <c r="I11" s="4"/>
    </row>
    <row r="12" spans="1:13" ht="15.5" x14ac:dyDescent="0.35">
      <c r="A12" s="4" t="s">
        <v>6</v>
      </c>
      <c r="B12" s="324"/>
      <c r="C12" s="226" t="s">
        <v>402</v>
      </c>
      <c r="D12" s="226"/>
      <c r="E12" s="308"/>
      <c r="F12" s="226" t="s">
        <v>402</v>
      </c>
      <c r="G12" s="284"/>
      <c r="H12" s="280"/>
      <c r="I12" s="4" t="s">
        <v>6</v>
      </c>
    </row>
    <row r="13" spans="1:13" ht="18" x14ac:dyDescent="0.35">
      <c r="A13" s="4" t="s">
        <v>7</v>
      </c>
      <c r="B13" s="316" t="s">
        <v>368</v>
      </c>
      <c r="C13" s="990" t="s">
        <v>369</v>
      </c>
      <c r="D13" s="990"/>
      <c r="E13" s="316" t="s">
        <v>9</v>
      </c>
      <c r="F13" s="990" t="s">
        <v>370</v>
      </c>
      <c r="G13" s="286"/>
      <c r="H13" s="285" t="s">
        <v>9</v>
      </c>
      <c r="I13" s="4" t="s">
        <v>7</v>
      </c>
    </row>
    <row r="14" spans="1:13" ht="18" x14ac:dyDescent="0.35">
      <c r="A14" s="4">
        <v>1</v>
      </c>
      <c r="B14" s="651" t="str">
        <f>'AD-1'!B14</f>
        <v>Dec-21</v>
      </c>
      <c r="C14" s="38">
        <v>7470320.8718600003</v>
      </c>
      <c r="D14" s="1161">
        <v>2</v>
      </c>
      <c r="E14" s="1147" t="s">
        <v>372</v>
      </c>
      <c r="F14" s="47">
        <v>7334224.1276200004</v>
      </c>
      <c r="G14" s="1161">
        <v>2</v>
      </c>
      <c r="H14" s="1001" t="s">
        <v>373</v>
      </c>
      <c r="I14" s="4">
        <f>A14</f>
        <v>1</v>
      </c>
      <c r="J14" s="287"/>
      <c r="M14" s="91"/>
    </row>
    <row r="15" spans="1:13" ht="15.5" x14ac:dyDescent="0.35">
      <c r="A15" s="4">
        <f>A14+1</f>
        <v>2</v>
      </c>
      <c r="B15" s="651" t="str">
        <f>'AD-1'!B15</f>
        <v>Jan-22</v>
      </c>
      <c r="C15" s="6">
        <v>7488649.6757399999</v>
      </c>
      <c r="D15" s="6"/>
      <c r="E15" s="1148"/>
      <c r="F15" s="11">
        <v>7352710.2910500001</v>
      </c>
      <c r="G15" s="68"/>
      <c r="H15" s="1003"/>
      <c r="I15" s="4">
        <f>I14+1</f>
        <v>2</v>
      </c>
      <c r="J15" s="91"/>
      <c r="M15" s="91"/>
    </row>
    <row r="16" spans="1:13" ht="15.5" x14ac:dyDescent="0.35">
      <c r="A16" s="4">
        <f t="shared" ref="A16:A32" si="0">A15+1</f>
        <v>3</v>
      </c>
      <c r="B16" s="336" t="s">
        <v>375</v>
      </c>
      <c r="C16" s="6">
        <v>7500007.8313300004</v>
      </c>
      <c r="D16" s="6"/>
      <c r="E16" s="1148"/>
      <c r="F16" s="11">
        <v>7363811.3706900002</v>
      </c>
      <c r="G16" s="68"/>
      <c r="H16" s="1003"/>
      <c r="I16" s="4">
        <f t="shared" ref="I16:I26" si="1">I15+1</f>
        <v>3</v>
      </c>
      <c r="J16" s="91"/>
      <c r="M16" s="91"/>
    </row>
    <row r="17" spans="1:13" ht="15.5" x14ac:dyDescent="0.35">
      <c r="A17" s="4">
        <f t="shared" si="0"/>
        <v>4</v>
      </c>
      <c r="B17" s="336" t="s">
        <v>376</v>
      </c>
      <c r="C17" s="6">
        <v>7515129.6543100001</v>
      </c>
      <c r="D17" s="6"/>
      <c r="E17" s="1148"/>
      <c r="F17" s="11">
        <v>7381505.7523499997</v>
      </c>
      <c r="G17" s="68"/>
      <c r="H17" s="1003"/>
      <c r="I17" s="4">
        <f t="shared" si="1"/>
        <v>4</v>
      </c>
      <c r="J17" s="91"/>
      <c r="M17" s="91"/>
    </row>
    <row r="18" spans="1:13" ht="15.5" x14ac:dyDescent="0.35">
      <c r="A18" s="4">
        <f t="shared" si="0"/>
        <v>5</v>
      </c>
      <c r="B18" s="336" t="s">
        <v>377</v>
      </c>
      <c r="C18" s="6">
        <v>7527655.5972300004</v>
      </c>
      <c r="D18" s="6"/>
      <c r="E18" s="1148"/>
      <c r="F18" s="11">
        <v>7394031.6952600004</v>
      </c>
      <c r="G18" s="68"/>
      <c r="H18" s="1003"/>
      <c r="I18" s="4">
        <f t="shared" si="1"/>
        <v>5</v>
      </c>
      <c r="J18" s="91"/>
      <c r="M18" s="91"/>
    </row>
    <row r="19" spans="1:13" ht="15.5" x14ac:dyDescent="0.35">
      <c r="A19" s="4">
        <f t="shared" si="0"/>
        <v>6</v>
      </c>
      <c r="B19" s="336" t="s">
        <v>378</v>
      </c>
      <c r="C19" s="6">
        <v>7546881.9770799996</v>
      </c>
      <c r="D19" s="6"/>
      <c r="E19" s="1148"/>
      <c r="F19" s="11">
        <v>7413258.0751099996</v>
      </c>
      <c r="G19" s="68"/>
      <c r="H19" s="1003"/>
      <c r="I19" s="4">
        <f t="shared" si="1"/>
        <v>6</v>
      </c>
      <c r="J19" s="91"/>
      <c r="M19" s="91"/>
    </row>
    <row r="20" spans="1:13" ht="15.5" x14ac:dyDescent="0.35">
      <c r="A20" s="4">
        <f>A19+1</f>
        <v>7</v>
      </c>
      <c r="B20" s="336" t="s">
        <v>379</v>
      </c>
      <c r="C20" s="6">
        <v>7560230.87017</v>
      </c>
      <c r="D20" s="6"/>
      <c r="E20" s="1148"/>
      <c r="F20" s="11">
        <v>7421392.4718199996</v>
      </c>
      <c r="G20" s="68"/>
      <c r="H20" s="1003"/>
      <c r="I20" s="4">
        <f>I19+1</f>
        <v>7</v>
      </c>
      <c r="J20" s="91"/>
      <c r="M20" s="91"/>
    </row>
    <row r="21" spans="1:13" ht="15.5" x14ac:dyDescent="0.35">
      <c r="A21" s="4">
        <f t="shared" si="0"/>
        <v>8</v>
      </c>
      <c r="B21" s="336" t="s">
        <v>380</v>
      </c>
      <c r="C21" s="6">
        <v>7597527.1759900004</v>
      </c>
      <c r="D21" s="6"/>
      <c r="E21" s="1148"/>
      <c r="F21" s="11">
        <v>7458684.0607000003</v>
      </c>
      <c r="G21" s="68"/>
      <c r="H21" s="1003"/>
      <c r="I21" s="4">
        <f t="shared" si="1"/>
        <v>8</v>
      </c>
      <c r="J21" s="91"/>
      <c r="M21" s="91"/>
    </row>
    <row r="22" spans="1:13" ht="15.5" x14ac:dyDescent="0.35">
      <c r="A22" s="4">
        <f t="shared" si="0"/>
        <v>9</v>
      </c>
      <c r="B22" s="336" t="s">
        <v>381</v>
      </c>
      <c r="C22" s="6">
        <v>7615117.6619600002</v>
      </c>
      <c r="D22" s="6"/>
      <c r="E22" s="1148"/>
      <c r="F22" s="11">
        <v>7476274.4999900004</v>
      </c>
      <c r="G22" s="68"/>
      <c r="H22" s="1003"/>
      <c r="I22" s="4">
        <f t="shared" si="1"/>
        <v>9</v>
      </c>
      <c r="J22" s="91"/>
      <c r="M22" s="91"/>
    </row>
    <row r="23" spans="1:13" ht="15.5" x14ac:dyDescent="0.35">
      <c r="A23" s="4">
        <f t="shared" si="0"/>
        <v>10</v>
      </c>
      <c r="B23" s="336" t="s">
        <v>382</v>
      </c>
      <c r="C23" s="6">
        <v>7653418.57608</v>
      </c>
      <c r="D23" s="6"/>
      <c r="E23" s="1148"/>
      <c r="F23" s="11">
        <v>7514162.0298199998</v>
      </c>
      <c r="G23" s="68"/>
      <c r="H23" s="1003"/>
      <c r="I23" s="4">
        <f t="shared" si="1"/>
        <v>10</v>
      </c>
      <c r="J23" s="91"/>
      <c r="M23" s="91"/>
    </row>
    <row r="24" spans="1:13" ht="15.5" x14ac:dyDescent="0.35">
      <c r="A24" s="4">
        <f t="shared" si="0"/>
        <v>11</v>
      </c>
      <c r="B24" s="336" t="s">
        <v>383</v>
      </c>
      <c r="C24" s="6">
        <v>7723517.4364</v>
      </c>
      <c r="D24" s="6"/>
      <c r="E24" s="1148"/>
      <c r="F24" s="11">
        <v>7584187.9392600004</v>
      </c>
      <c r="G24" s="68"/>
      <c r="H24" s="1003"/>
      <c r="I24" s="4">
        <f t="shared" si="1"/>
        <v>11</v>
      </c>
      <c r="J24" s="91"/>
      <c r="M24" s="91"/>
    </row>
    <row r="25" spans="1:13" ht="15.5" x14ac:dyDescent="0.35">
      <c r="A25" s="4">
        <f t="shared" si="0"/>
        <v>12</v>
      </c>
      <c r="B25" s="336" t="s">
        <v>384</v>
      </c>
      <c r="C25" s="6">
        <v>7834752.3818399999</v>
      </c>
      <c r="D25" s="6"/>
      <c r="E25" s="1148"/>
      <c r="F25" s="11">
        <v>7695791.8399099996</v>
      </c>
      <c r="G25" s="68"/>
      <c r="H25" s="1003"/>
      <c r="I25" s="4">
        <f t="shared" si="1"/>
        <v>12</v>
      </c>
      <c r="J25" s="91"/>
      <c r="M25" s="91"/>
    </row>
    <row r="26" spans="1:13" ht="15.5" x14ac:dyDescent="0.35">
      <c r="A26" s="4">
        <f t="shared" si="0"/>
        <v>13</v>
      </c>
      <c r="B26" s="1159" t="str">
        <f>'AD-1'!B26</f>
        <v>Dec-22</v>
      </c>
      <c r="C26" s="928">
        <v>7943479.0554299997</v>
      </c>
      <c r="D26" s="928"/>
      <c r="E26" s="1149" t="s">
        <v>372</v>
      </c>
      <c r="F26" s="1160">
        <v>7802920.2435900001</v>
      </c>
      <c r="G26" s="650"/>
      <c r="H26" s="1001" t="s">
        <v>386</v>
      </c>
      <c r="I26" s="4">
        <f t="shared" si="1"/>
        <v>13</v>
      </c>
      <c r="J26" s="287"/>
      <c r="M26" s="91"/>
    </row>
    <row r="27" spans="1:13" ht="15.5" x14ac:dyDescent="0.35">
      <c r="A27" s="4">
        <f t="shared" si="0"/>
        <v>14</v>
      </c>
      <c r="B27" s="329"/>
      <c r="D27" s="1156"/>
      <c r="E27" s="1150"/>
      <c r="F27" s="91"/>
      <c r="G27" s="63"/>
      <c r="H27" s="987"/>
      <c r="I27" s="4">
        <f t="shared" ref="I27:I32" si="2">I26+1</f>
        <v>14</v>
      </c>
    </row>
    <row r="28" spans="1:13" ht="15.5" x14ac:dyDescent="0.35">
      <c r="A28" s="4">
        <f t="shared" si="0"/>
        <v>15</v>
      </c>
      <c r="B28" s="329" t="s">
        <v>387</v>
      </c>
      <c r="C28" s="46">
        <f>SUM(C14:C26)</f>
        <v>98976688.76541999</v>
      </c>
      <c r="D28" s="46"/>
      <c r="E28" s="1151" t="s">
        <v>388</v>
      </c>
      <c r="F28" s="46">
        <f>SUM(F14:F26)</f>
        <v>97192954.397169992</v>
      </c>
      <c r="G28" s="58"/>
      <c r="H28" s="1002" t="s">
        <v>388</v>
      </c>
      <c r="I28" s="4">
        <f t="shared" si="2"/>
        <v>15</v>
      </c>
    </row>
    <row r="29" spans="1:13" ht="15.5" x14ac:dyDescent="0.35">
      <c r="A29" s="4">
        <f t="shared" si="0"/>
        <v>16</v>
      </c>
      <c r="B29" s="338"/>
      <c r="C29" s="1157"/>
      <c r="D29" s="1157"/>
      <c r="E29" s="1152"/>
      <c r="F29" s="1157"/>
      <c r="G29" s="59"/>
      <c r="H29" s="84"/>
      <c r="I29" s="4">
        <f t="shared" si="2"/>
        <v>16</v>
      </c>
    </row>
    <row r="30" spans="1:13" ht="15.5" x14ac:dyDescent="0.35">
      <c r="A30" s="4">
        <f t="shared" si="0"/>
        <v>17</v>
      </c>
      <c r="B30" s="329"/>
      <c r="E30" s="1153"/>
      <c r="F30" s="91"/>
      <c r="G30" s="63"/>
      <c r="H30" s="1005"/>
      <c r="I30" s="4">
        <f t="shared" si="2"/>
        <v>17</v>
      </c>
    </row>
    <row r="31" spans="1:13" ht="15.5" x14ac:dyDescent="0.35">
      <c r="A31" s="4">
        <f t="shared" si="0"/>
        <v>18</v>
      </c>
      <c r="B31" s="329" t="s">
        <v>389</v>
      </c>
      <c r="C31" s="46">
        <f>C28/13</f>
        <v>7613591.4434938449</v>
      </c>
      <c r="D31" s="46"/>
      <c r="E31" s="1151" t="s">
        <v>390</v>
      </c>
      <c r="F31" s="46">
        <f>F28/13</f>
        <v>7476381.1074746149</v>
      </c>
      <c r="G31" s="58"/>
      <c r="H31" s="1001" t="s">
        <v>391</v>
      </c>
      <c r="I31" s="4">
        <f t="shared" si="2"/>
        <v>18</v>
      </c>
      <c r="J31" s="287"/>
    </row>
    <row r="32" spans="1:13" ht="15.5" x14ac:dyDescent="0.35">
      <c r="A32" s="4">
        <f t="shared" si="0"/>
        <v>19</v>
      </c>
      <c r="B32" s="338"/>
      <c r="C32" s="1158"/>
      <c r="D32" s="1158"/>
      <c r="E32" s="1154"/>
      <c r="F32" s="1158"/>
      <c r="G32" s="289"/>
      <c r="H32" s="302"/>
      <c r="I32" s="4">
        <f t="shared" si="2"/>
        <v>19</v>
      </c>
    </row>
    <row r="33" spans="1:8" ht="15.5" x14ac:dyDescent="0.35">
      <c r="A33" s="4"/>
      <c r="B33" s="34"/>
      <c r="C33" s="34"/>
      <c r="D33" s="34"/>
      <c r="E33" s="34"/>
      <c r="F33" s="34"/>
      <c r="G33" s="34"/>
      <c r="H33" s="34"/>
    </row>
    <row r="34" spans="1:8" ht="15.5" x14ac:dyDescent="0.35">
      <c r="E34" s="34"/>
      <c r="F34" s="110"/>
      <c r="G34" s="110"/>
      <c r="H34" s="34"/>
    </row>
    <row r="35" spans="1:8" ht="18" x14ac:dyDescent="0.35">
      <c r="A35" s="276">
        <v>1</v>
      </c>
      <c r="B35" s="34" t="s">
        <v>392</v>
      </c>
      <c r="C35" s="34"/>
      <c r="D35" s="34"/>
      <c r="E35" s="34"/>
      <c r="F35" s="34"/>
      <c r="G35" s="34"/>
      <c r="H35" s="34"/>
    </row>
    <row r="36" spans="1:8" ht="15.5" x14ac:dyDescent="0.35">
      <c r="B36" s="34" t="s">
        <v>393</v>
      </c>
      <c r="C36" s="303"/>
      <c r="D36" s="303"/>
      <c r="E36" s="34"/>
      <c r="F36" s="34"/>
      <c r="G36" s="34"/>
      <c r="H36" s="34"/>
    </row>
    <row r="37" spans="1:8" ht="18" x14ac:dyDescent="0.35">
      <c r="A37" s="276">
        <v>2</v>
      </c>
      <c r="B37" s="34" t="s">
        <v>1825</v>
      </c>
      <c r="C37" s="34"/>
      <c r="D37" s="34"/>
      <c r="E37" s="34"/>
      <c r="F37" s="34"/>
      <c r="G37" s="34"/>
      <c r="H37" s="34"/>
    </row>
    <row r="38" spans="1:8" ht="15.5" x14ac:dyDescent="0.35">
      <c r="B38" s="34" t="s">
        <v>1826</v>
      </c>
      <c r="C38" s="34"/>
      <c r="D38" s="34"/>
      <c r="E38" s="34"/>
      <c r="F38" s="34"/>
      <c r="G38" s="34"/>
      <c r="H38" s="34"/>
    </row>
    <row r="39" spans="1:8" ht="15.5" x14ac:dyDescent="0.35">
      <c r="A39" s="272"/>
      <c r="C39" s="34"/>
      <c r="D39" s="34"/>
      <c r="E39" s="1"/>
    </row>
    <row r="42" spans="1:8" x14ac:dyDescent="0.35">
      <c r="A42" s="272"/>
    </row>
  </sheetData>
  <mergeCells count="6">
    <mergeCell ref="B8:H8"/>
    <mergeCell ref="B2:H2"/>
    <mergeCell ref="B3:H3"/>
    <mergeCell ref="B4:H4"/>
    <mergeCell ref="B5:H5"/>
    <mergeCell ref="B6:H6"/>
  </mergeCells>
  <printOptions horizontalCentered="1"/>
  <pageMargins left="0.25" right="0.25" top="0.5" bottom="0.5" header="0.25" footer="0.25"/>
  <pageSetup scale="75" orientation="landscape" r:id="rId1"/>
  <headerFooter scaleWithDoc="0">
    <oddFooter>&amp;C&amp;"Times New Roman,Regular"&amp;10&amp;A</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C0C4427B38DE4E8452B3A89053EC88" ma:contentTypeVersion="3" ma:contentTypeDescription="Create a new document." ma:contentTypeScope="" ma:versionID="86e604c333d1e82adf9a8cac158f27f9">
  <xsd:schema xmlns:xsd="http://www.w3.org/2001/XMLSchema" xmlns:xs="http://www.w3.org/2001/XMLSchema" xmlns:p="http://schemas.microsoft.com/office/2006/metadata/properties" xmlns:ns2="2e183c04-4e8d-4715-bce7-54b439dc82e0" targetNamespace="http://schemas.microsoft.com/office/2006/metadata/properties" ma:root="true" ma:fieldsID="f60c0adbf44dadf1983ea72cf2a1c870" ns2:_="">
    <xsd:import namespace="2e183c04-4e8d-4715-bce7-54b439dc82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83c04-4e8d-4715-bce7-54b439dc8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26C765-39BD-4109-BFF7-D21D1278D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83c04-4e8d-4715-bce7-54b439dc8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6125E5-D8B8-45DB-99CA-EF2AAE465A1F}">
  <ds:schemaRefs>
    <ds:schemaRef ds:uri="http://schemas.microsoft.com/office/2006/documentManagement/types"/>
    <ds:schemaRef ds:uri="http://schemas.openxmlformats.org/package/2006/metadata/core-properties"/>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2e183c04-4e8d-4715-bce7-54b439dc82e0"/>
    <ds:schemaRef ds:uri="http://purl.org/dc/elements/1.1/"/>
  </ds:schemaRefs>
</ds:datastoreItem>
</file>

<file path=customXml/itemProps3.xml><?xml version="1.0" encoding="utf-8"?>
<ds:datastoreItem xmlns:ds="http://schemas.openxmlformats.org/officeDocument/2006/customXml" ds:itemID="{98B28AC0-A937-4726-9F01-D09E7304D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4</vt:i4>
      </vt:variant>
    </vt:vector>
  </HeadingPairs>
  <TitlesOfParts>
    <vt:vector size="87"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AV</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Tanedo, Lolit</cp:lastModifiedBy>
  <cp:revision/>
  <cp:lastPrinted>2023-11-07T05:57:18Z</cp:lastPrinted>
  <dcterms:created xsi:type="dcterms:W3CDTF">2016-08-29T13:22:03Z</dcterms:created>
  <dcterms:modified xsi:type="dcterms:W3CDTF">2023-11-10T18:06:15Z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0x01010051C0C4427B38DE4E8452B3A89053EC88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