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1/TO5-Cycle 4 Formula Rate Filing/December Filing/Cost Adjustment Workpapers/"/>
    </mc:Choice>
  </mc:AlternateContent>
  <xr:revisionPtr revIDLastSave="9" documentId="8_{AE6B5FC1-0294-4A38-B0C1-B39B57279862}" xr6:coauthVersionLast="47" xr6:coauthVersionMax="47" xr10:uidLastSave="{859618C4-2082-4230-B4B7-4FFB8AB5228D}"/>
  <bookViews>
    <workbookView xWindow="4500" yWindow="4500" windowWidth="38400" windowHeight="15435" tabRatio="740" firstSheet="1" activeTab="4" xr2:uid="{A1AA674E-836A-4CFE-B14F-C8BAAC5651C2}"/>
  </bookViews>
  <sheets>
    <sheet name="Pg1 TO5 C3 BTRR Adj" sheetId="1" r:id="rId1"/>
    <sheet name="Pg2 BK-1 Comparison" sheetId="3" r:id="rId2"/>
    <sheet name="Pg3 BK-1 Rev TO5 C3-Cost Adj" sheetId="4" r:id="rId3"/>
    <sheet name="Pg4 As Filed BK-1 Retail TRR " sheetId="5" r:id="rId4"/>
    <sheet name="Pg5 Revised Stmt AH" sheetId="6" r:id="rId5"/>
    <sheet name="Pg5.1A Revised AH-1" sheetId="7" r:id="rId6"/>
    <sheet name="Pg5.1B Revised AH-2" sheetId="8" r:id="rId7"/>
    <sheet name="Pg6 Revised Stmt AL" sheetId="9" r:id="rId8"/>
    <sheet name="Pg7 Revised Stmt AV" sheetId="10" r:id="rId9"/>
    <sheet name="Pg8 TO5 C3 Int Calc" sheetId="11" r:id="rId10"/>
  </sheets>
  <definedNames>
    <definedName name="_xlnm.Print_Area" localSheetId="1">'Pg2 BK-1 Comparison'!$A$1:$K$190</definedName>
    <definedName name="_xlnm.Print_Area" localSheetId="6">'Pg5.1B Revised AH-2'!$A$1:$L$61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1" l="1"/>
  <c r="H14" i="8"/>
  <c r="G15" i="3" l="1"/>
  <c r="E15" i="3"/>
  <c r="G235" i="10" l="1"/>
  <c r="G202" i="10"/>
  <c r="E24" i="9"/>
  <c r="E22" i="9"/>
  <c r="E38" i="6"/>
  <c r="E35" i="6"/>
  <c r="E34" i="6"/>
  <c r="E33" i="6"/>
  <c r="E32" i="6"/>
  <c r="E31" i="6"/>
  <c r="E30" i="6"/>
  <c r="E29" i="6"/>
  <c r="E28" i="6"/>
  <c r="E27" i="6"/>
  <c r="E26" i="6"/>
  <c r="E25" i="6"/>
  <c r="E23" i="6"/>
  <c r="E19" i="6"/>
  <c r="E18" i="6"/>
  <c r="E17" i="6"/>
  <c r="E16" i="6"/>
  <c r="E15" i="6"/>
  <c r="E14" i="6"/>
  <c r="E12" i="6"/>
  <c r="G186" i="3" l="1"/>
  <c r="G185" i="3"/>
  <c r="G173" i="3"/>
  <c r="G174" i="3"/>
  <c r="G172" i="3"/>
  <c r="G171" i="3"/>
  <c r="G166" i="3"/>
  <c r="G167" i="3"/>
  <c r="G165" i="3"/>
  <c r="G164" i="3"/>
  <c r="G148" i="3"/>
  <c r="G145" i="3"/>
  <c r="G144" i="3"/>
  <c r="G140" i="3"/>
  <c r="G134" i="3"/>
  <c r="G133" i="3"/>
  <c r="G130" i="3"/>
  <c r="G129" i="3"/>
  <c r="G128" i="3"/>
  <c r="G124" i="3"/>
  <c r="G123" i="3"/>
  <c r="G119" i="3"/>
  <c r="G118" i="3"/>
  <c r="G75" i="3"/>
  <c r="G68" i="3"/>
  <c r="G55" i="3"/>
  <c r="G37" i="3"/>
  <c r="G38" i="3"/>
  <c r="G36" i="3"/>
  <c r="G35" i="3"/>
  <c r="G31" i="3"/>
  <c r="G27" i="3"/>
  <c r="G24" i="3"/>
  <c r="G22" i="3"/>
  <c r="G20" i="3"/>
  <c r="G18" i="3"/>
  <c r="G13" i="3"/>
  <c r="G11" i="3"/>
  <c r="E75" i="3"/>
  <c r="B156" i="3"/>
  <c r="B155" i="3"/>
  <c r="B103" i="3"/>
  <c r="B102" i="3"/>
  <c r="B48" i="3"/>
  <c r="B47" i="3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I10" i="1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3" i="11" s="1"/>
  <c r="I34" i="11" s="1"/>
  <c r="I35" i="11" s="1"/>
  <c r="I36" i="11" s="1"/>
  <c r="I37" i="11" s="1"/>
  <c r="I38" i="11" s="1"/>
  <c r="I39" i="11" s="1"/>
  <c r="I40" i="11" s="1"/>
  <c r="I41" i="11" s="1"/>
  <c r="I42" i="11" s="1"/>
  <c r="I43" i="11" s="1"/>
  <c r="I44" i="11" s="1"/>
  <c r="I45" i="11" s="1"/>
  <c r="I46" i="11" s="1"/>
  <c r="I47" i="11" s="1"/>
  <c r="I48" i="11" s="1"/>
  <c r="I49" i="11" s="1"/>
  <c r="I50" i="11" s="1"/>
  <c r="I51" i="11" s="1"/>
  <c r="I52" i="11" s="1"/>
  <c r="I53" i="11" s="1"/>
  <c r="A10" i="11"/>
  <c r="G248" i="10" l="1"/>
  <c r="G245" i="10"/>
  <c r="G236" i="10"/>
  <c r="G246" i="10"/>
  <c r="G215" i="10"/>
  <c r="G212" i="10"/>
  <c r="G203" i="10"/>
  <c r="G213" i="10"/>
  <c r="J200" i="10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J211" i="10" s="1"/>
  <c r="J212" i="10" s="1"/>
  <c r="J213" i="10" s="1"/>
  <c r="J214" i="10" s="1"/>
  <c r="J215" i="10" s="1"/>
  <c r="J216" i="10" s="1"/>
  <c r="J217" i="10" s="1"/>
  <c r="J218" i="10" s="1"/>
  <c r="J219" i="10" s="1"/>
  <c r="J220" i="10" s="1"/>
  <c r="J221" i="10" s="1"/>
  <c r="J222" i="10" s="1"/>
  <c r="J223" i="10" s="1"/>
  <c r="J224" i="10" s="1"/>
  <c r="J225" i="10" s="1"/>
  <c r="J226" i="10" s="1"/>
  <c r="J227" i="10" s="1"/>
  <c r="J228" i="10" s="1"/>
  <c r="J229" i="10" s="1"/>
  <c r="J230" i="10" s="1"/>
  <c r="J231" i="10" s="1"/>
  <c r="J232" i="10" s="1"/>
  <c r="J233" i="10" s="1"/>
  <c r="J234" i="10" s="1"/>
  <c r="J235" i="10" s="1"/>
  <c r="J236" i="10" s="1"/>
  <c r="J237" i="10" s="1"/>
  <c r="J238" i="10" s="1"/>
  <c r="J239" i="10" s="1"/>
  <c r="J240" i="10" s="1"/>
  <c r="J241" i="10" s="1"/>
  <c r="J242" i="10" s="1"/>
  <c r="J243" i="10" s="1"/>
  <c r="J244" i="10" s="1"/>
  <c r="J245" i="10" s="1"/>
  <c r="J246" i="10" s="1"/>
  <c r="J247" i="10" s="1"/>
  <c r="J248" i="10" s="1"/>
  <c r="J249" i="10" s="1"/>
  <c r="J250" i="10" s="1"/>
  <c r="J251" i="10" s="1"/>
  <c r="J252" i="10" s="1"/>
  <c r="J253" i="10" s="1"/>
  <c r="J254" i="10" s="1"/>
  <c r="J255" i="10" s="1"/>
  <c r="J256" i="10" s="1"/>
  <c r="J257" i="10" s="1"/>
  <c r="A197" i="10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J196" i="10"/>
  <c r="J197" i="10" s="1"/>
  <c r="J198" i="10" s="1"/>
  <c r="J199" i="10" s="1"/>
  <c r="J195" i="10"/>
  <c r="A195" i="10"/>
  <c r="A196" i="10" s="1"/>
  <c r="G168" i="10"/>
  <c r="G135" i="10"/>
  <c r="J121" i="10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J180" i="10" s="1"/>
  <c r="A120" i="10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J119" i="10"/>
  <c r="J120" i="10" s="1"/>
  <c r="J118" i="10"/>
  <c r="A118" i="10"/>
  <c r="A119" i="10" s="1"/>
  <c r="E99" i="10"/>
  <c r="C98" i="10"/>
  <c r="C97" i="10"/>
  <c r="E86" i="10"/>
  <c r="C85" i="10"/>
  <c r="A81" i="10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80" i="10"/>
  <c r="J79" i="10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E62" i="10"/>
  <c r="C61" i="10"/>
  <c r="E49" i="10"/>
  <c r="C48" i="10"/>
  <c r="G39" i="10"/>
  <c r="C86" i="10" s="1"/>
  <c r="G36" i="10"/>
  <c r="G32" i="10"/>
  <c r="G25" i="10"/>
  <c r="G27" i="10" s="1"/>
  <c r="G17" i="10"/>
  <c r="C84" i="10" s="1"/>
  <c r="J12" i="10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J11" i="10"/>
  <c r="B188" i="10"/>
  <c r="E27" i="9"/>
  <c r="E34" i="9" s="1"/>
  <c r="E32" i="9"/>
  <c r="E36" i="9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J11" i="9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E52" i="8"/>
  <c r="E50" i="8"/>
  <c r="E48" i="8"/>
  <c r="E45" i="8"/>
  <c r="E39" i="8"/>
  <c r="E37" i="8"/>
  <c r="E34" i="8"/>
  <c r="D27" i="8"/>
  <c r="F25" i="8"/>
  <c r="J25" i="8" s="1"/>
  <c r="E25" i="8"/>
  <c r="J24" i="8"/>
  <c r="F24" i="8"/>
  <c r="J23" i="8"/>
  <c r="F23" i="8"/>
  <c r="E23" i="8"/>
  <c r="F22" i="8"/>
  <c r="J22" i="8" s="1"/>
  <c r="E22" i="8"/>
  <c r="J21" i="8"/>
  <c r="F21" i="8"/>
  <c r="E20" i="8"/>
  <c r="F20" i="8" s="1"/>
  <c r="J20" i="8" s="1"/>
  <c r="F19" i="8"/>
  <c r="J19" i="8" s="1"/>
  <c r="E19" i="8"/>
  <c r="E18" i="8"/>
  <c r="F18" i="8" s="1"/>
  <c r="J18" i="8" s="1"/>
  <c r="F17" i="8"/>
  <c r="J17" i="8" s="1"/>
  <c r="E17" i="8"/>
  <c r="J16" i="8"/>
  <c r="F16" i="8"/>
  <c r="J14" i="8"/>
  <c r="H27" i="8"/>
  <c r="E36" i="6" s="1"/>
  <c r="F14" i="8"/>
  <c r="E14" i="8"/>
  <c r="J13" i="8"/>
  <c r="F13" i="8"/>
  <c r="A13" i="8"/>
  <c r="L13" i="8" s="1"/>
  <c r="E12" i="8"/>
  <c r="F12" i="8" s="1"/>
  <c r="J12" i="8" s="1"/>
  <c r="A12" i="8"/>
  <c r="L12" i="8" s="1"/>
  <c r="L11" i="8"/>
  <c r="F11" i="8"/>
  <c r="J11" i="8" s="1"/>
  <c r="E11" i="8"/>
  <c r="E27" i="8" s="1"/>
  <c r="E57" i="7"/>
  <c r="E55" i="7"/>
  <c r="H41" i="7"/>
  <c r="E41" i="7"/>
  <c r="D41" i="7"/>
  <c r="F39" i="7"/>
  <c r="I39" i="7" s="1"/>
  <c r="F38" i="7"/>
  <c r="I38" i="7" s="1"/>
  <c r="F37" i="7"/>
  <c r="I37" i="7" s="1"/>
  <c r="F36" i="7"/>
  <c r="I36" i="7" s="1"/>
  <c r="F35" i="7"/>
  <c r="I35" i="7" s="1"/>
  <c r="F34" i="7"/>
  <c r="I34" i="7" s="1"/>
  <c r="F33" i="7"/>
  <c r="I33" i="7" s="1"/>
  <c r="F32" i="7"/>
  <c r="I32" i="7" s="1"/>
  <c r="F31" i="7"/>
  <c r="I31" i="7" s="1"/>
  <c r="F30" i="7"/>
  <c r="I30" i="7" s="1"/>
  <c r="H27" i="7"/>
  <c r="H43" i="7" s="1"/>
  <c r="D27" i="7"/>
  <c r="D43" i="7" s="1"/>
  <c r="F25" i="7"/>
  <c r="I25" i="7" s="1"/>
  <c r="F24" i="7"/>
  <c r="I24" i="7" s="1"/>
  <c r="E24" i="7"/>
  <c r="I23" i="7"/>
  <c r="F23" i="7"/>
  <c r="I22" i="7"/>
  <c r="F22" i="7"/>
  <c r="I21" i="7"/>
  <c r="F21" i="7"/>
  <c r="I20" i="7"/>
  <c r="F20" i="7"/>
  <c r="E19" i="7"/>
  <c r="F19" i="7" s="1"/>
  <c r="I19" i="7" s="1"/>
  <c r="F18" i="7"/>
  <c r="I18" i="7" s="1"/>
  <c r="F17" i="7"/>
  <c r="I17" i="7" s="1"/>
  <c r="F16" i="7"/>
  <c r="I16" i="7" s="1"/>
  <c r="F15" i="7"/>
  <c r="I15" i="7" s="1"/>
  <c r="E15" i="7"/>
  <c r="I14" i="7"/>
  <c r="F14" i="7"/>
  <c r="I13" i="7"/>
  <c r="F13" i="7"/>
  <c r="I12" i="7"/>
  <c r="F12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K11" i="7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K61" i="7" s="1"/>
  <c r="K62" i="7" s="1"/>
  <c r="E11" i="7"/>
  <c r="E27" i="7" s="1"/>
  <c r="E43" i="7" s="1"/>
  <c r="E52" i="6"/>
  <c r="E15" i="4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H12" i="6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A12" i="6"/>
  <c r="H11" i="6"/>
  <c r="E186" i="3"/>
  <c r="E185" i="3"/>
  <c r="E174" i="3"/>
  <c r="E173" i="3"/>
  <c r="E172" i="3"/>
  <c r="E171" i="3"/>
  <c r="E167" i="3"/>
  <c r="E164" i="3"/>
  <c r="A164" i="4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H163" i="4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B157" i="4"/>
  <c r="E148" i="3"/>
  <c r="E145" i="3"/>
  <c r="E144" i="3"/>
  <c r="E140" i="3"/>
  <c r="E134" i="3"/>
  <c r="E133" i="3"/>
  <c r="E124" i="3"/>
  <c r="E123" i="3"/>
  <c r="E119" i="3"/>
  <c r="E118" i="3"/>
  <c r="A111" i="4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H110" i="4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B104" i="4"/>
  <c r="E68" i="3"/>
  <c r="H58" i="4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A56" i="4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H55" i="4"/>
  <c r="H56" i="4" s="1"/>
  <c r="H57" i="4" s="1"/>
  <c r="E55" i="3"/>
  <c r="B49" i="4"/>
  <c r="E38" i="3"/>
  <c r="E37" i="3"/>
  <c r="E36" i="3"/>
  <c r="E35" i="3"/>
  <c r="E24" i="3"/>
  <c r="E22" i="3"/>
  <c r="E20" i="3"/>
  <c r="E18" i="3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12" i="4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E180" i="4" l="1"/>
  <c r="E166" i="3"/>
  <c r="E179" i="4"/>
  <c r="E165" i="3"/>
  <c r="E120" i="4"/>
  <c r="E125" i="4"/>
  <c r="G19" i="9"/>
  <c r="E129" i="4" s="1"/>
  <c r="E129" i="3" s="1"/>
  <c r="E175" i="4"/>
  <c r="E146" i="4"/>
  <c r="E187" i="4"/>
  <c r="E139" i="4" s="1"/>
  <c r="E20" i="6"/>
  <c r="E11" i="4" s="1"/>
  <c r="E11" i="3" s="1"/>
  <c r="E60" i="6"/>
  <c r="B73" i="10"/>
  <c r="E181" i="4"/>
  <c r="E37" i="6"/>
  <c r="E39" i="6" s="1"/>
  <c r="E41" i="6" s="1"/>
  <c r="B111" i="10"/>
  <c r="C87" i="10"/>
  <c r="D84" i="10" s="1"/>
  <c r="E47" i="10"/>
  <c r="E84" i="10"/>
  <c r="E85" i="10"/>
  <c r="E48" i="10"/>
  <c r="D86" i="10"/>
  <c r="G86" i="10" s="1"/>
  <c r="D85" i="10"/>
  <c r="C47" i="10"/>
  <c r="C49" i="10"/>
  <c r="C62" i="10"/>
  <c r="C99" i="10"/>
  <c r="C60" i="10"/>
  <c r="G15" i="9"/>
  <c r="E128" i="4" s="1"/>
  <c r="E128" i="3" s="1"/>
  <c r="J27" i="8"/>
  <c r="A14" i="8"/>
  <c r="F27" i="8"/>
  <c r="I41" i="7"/>
  <c r="J27" i="7"/>
  <c r="A26" i="7"/>
  <c r="A27" i="7" s="1"/>
  <c r="F11" i="7"/>
  <c r="F41" i="7"/>
  <c r="E50" i="6"/>
  <c r="E81" i="4"/>
  <c r="E85" i="4"/>
  <c r="E178" i="4"/>
  <c r="E178" i="3" s="1"/>
  <c r="E168" i="4"/>
  <c r="E74" i="4" l="1"/>
  <c r="E70" i="4"/>
  <c r="E81" i="3"/>
  <c r="E141" i="4"/>
  <c r="E139" i="3"/>
  <c r="E70" i="3"/>
  <c r="E112" i="4"/>
  <c r="E112" i="3" s="1"/>
  <c r="E179" i="3"/>
  <c r="E85" i="3"/>
  <c r="E114" i="4"/>
  <c r="E114" i="3" s="1"/>
  <c r="E181" i="3"/>
  <c r="E113" i="4"/>
  <c r="E113" i="3" s="1"/>
  <c r="E180" i="3"/>
  <c r="E62" i="6"/>
  <c r="E42" i="6" s="1"/>
  <c r="E43" i="6" s="1"/>
  <c r="D87" i="10"/>
  <c r="G84" i="10"/>
  <c r="G85" i="10"/>
  <c r="G89" i="10" s="1"/>
  <c r="G199" i="10" s="1"/>
  <c r="C50" i="10"/>
  <c r="D48" i="10" s="1"/>
  <c r="G48" i="10" s="1"/>
  <c r="D47" i="10"/>
  <c r="C100" i="10"/>
  <c r="C63" i="10"/>
  <c r="D61" i="10" s="1"/>
  <c r="G61" i="10" s="1"/>
  <c r="D60" i="10"/>
  <c r="D49" i="10"/>
  <c r="G49" i="10" s="1"/>
  <c r="A15" i="8"/>
  <c r="L14" i="8"/>
  <c r="F27" i="7"/>
  <c r="F43" i="7" s="1"/>
  <c r="I11" i="7"/>
  <c r="I27" i="7" s="1"/>
  <c r="I43" i="7" s="1"/>
  <c r="A28" i="7"/>
  <c r="A29" i="7" s="1"/>
  <c r="A30" i="7" s="1"/>
  <c r="E182" i="4"/>
  <c r="E111" i="4"/>
  <c r="E13" i="4" l="1"/>
  <c r="E23" i="9"/>
  <c r="E25" i="9" s="1"/>
  <c r="E29" i="9" s="1"/>
  <c r="E130" i="4" s="1"/>
  <c r="E58" i="4"/>
  <c r="E62" i="4"/>
  <c r="E16" i="4"/>
  <c r="E25" i="4" s="1"/>
  <c r="E13" i="3"/>
  <c r="E115" i="4"/>
  <c r="E111" i="3"/>
  <c r="E76" i="4"/>
  <c r="E74" i="3"/>
  <c r="D98" i="10"/>
  <c r="G98" i="10" s="1"/>
  <c r="D97" i="10"/>
  <c r="D50" i="10"/>
  <c r="G47" i="10"/>
  <c r="G50" i="10" s="1"/>
  <c r="G145" i="10" s="1"/>
  <c r="G60" i="10"/>
  <c r="G87" i="10"/>
  <c r="G222" i="10" s="1"/>
  <c r="D99" i="10"/>
  <c r="G99" i="10" s="1"/>
  <c r="G102" i="10" s="1"/>
  <c r="G232" i="10" s="1"/>
  <c r="G211" i="10"/>
  <c r="G205" i="10"/>
  <c r="G214" i="10" s="1"/>
  <c r="G52" i="10"/>
  <c r="G122" i="10" s="1"/>
  <c r="D62" i="10"/>
  <c r="G62" i="10" s="1"/>
  <c r="G65" i="10" s="1"/>
  <c r="G155" i="10" s="1"/>
  <c r="L15" i="8"/>
  <c r="A16" i="8"/>
  <c r="A31" i="7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E130" i="3" l="1"/>
  <c r="E131" i="4"/>
  <c r="E136" i="4" s="1"/>
  <c r="E62" i="3"/>
  <c r="E58" i="3"/>
  <c r="G238" i="10"/>
  <c r="G247" i="10" s="1"/>
  <c r="G244" i="10"/>
  <c r="G134" i="10"/>
  <c r="D63" i="10"/>
  <c r="D100" i="10"/>
  <c r="G97" i="10"/>
  <c r="G100" i="10" s="1"/>
  <c r="G255" i="10" s="1"/>
  <c r="G167" i="10"/>
  <c r="G217" i="10"/>
  <c r="G220" i="10" s="1"/>
  <c r="G224" i="10" s="1"/>
  <c r="G63" i="10"/>
  <c r="G178" i="10" s="1"/>
  <c r="L16" i="8"/>
  <c r="A17" i="8"/>
  <c r="A42" i="7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J43" i="7"/>
  <c r="J41" i="7"/>
  <c r="G125" i="10" l="1"/>
  <c r="G158" i="10"/>
  <c r="E28" i="4"/>
  <c r="E32" i="4"/>
  <c r="E32" i="3" s="1"/>
  <c r="G57" i="3"/>
  <c r="E57" i="4"/>
  <c r="E28" i="3"/>
  <c r="G250" i="10"/>
  <c r="G253" i="10" s="1"/>
  <c r="G257" i="10" s="1"/>
  <c r="A18" i="8"/>
  <c r="L17" i="8"/>
  <c r="G169" i="10" l="1"/>
  <c r="G161" i="10"/>
  <c r="G170" i="10" s="1"/>
  <c r="G136" i="10"/>
  <c r="G128" i="10"/>
  <c r="G137" i="10" s="1"/>
  <c r="G61" i="3"/>
  <c r="E61" i="4"/>
  <c r="E57" i="3"/>
  <c r="E59" i="4"/>
  <c r="G86" i="3"/>
  <c r="G82" i="3"/>
  <c r="G71" i="3"/>
  <c r="A19" i="8"/>
  <c r="L18" i="8"/>
  <c r="G140" i="10" l="1"/>
  <c r="G143" i="10" s="1"/>
  <c r="G147" i="10" s="1"/>
  <c r="G173" i="10"/>
  <c r="G176" i="10" s="1"/>
  <c r="G180" i="10" s="1"/>
  <c r="E61" i="3"/>
  <c r="E63" i="4"/>
  <c r="E65" i="4" s="1"/>
  <c r="A20" i="8"/>
  <c r="L19" i="8"/>
  <c r="E42" i="9" l="1"/>
  <c r="E44" i="9" s="1"/>
  <c r="E31" i="4"/>
  <c r="E86" i="4"/>
  <c r="E38" i="9"/>
  <c r="E40" i="9" s="1"/>
  <c r="E71" i="4"/>
  <c r="E27" i="4"/>
  <c r="E82" i="4"/>
  <c r="L20" i="8"/>
  <c r="A21" i="8"/>
  <c r="E82" i="3" l="1"/>
  <c r="E83" i="4"/>
  <c r="E86" i="3"/>
  <c r="E87" i="4"/>
  <c r="E27" i="3"/>
  <c r="E29" i="4"/>
  <c r="E31" i="3"/>
  <c r="E33" i="4"/>
  <c r="E71" i="3"/>
  <c r="E72" i="4"/>
  <c r="E78" i="4" s="1"/>
  <c r="L21" i="8"/>
  <c r="A22" i="8"/>
  <c r="E178" i="5"/>
  <c r="E177" i="5"/>
  <c r="A161" i="5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H160" i="5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B154" i="5"/>
  <c r="E84" i="5"/>
  <c r="G85" i="3" s="1"/>
  <c r="A109" i="5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H108" i="5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B102" i="5"/>
  <c r="A55" i="5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H54" i="5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B48" i="5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H11" i="5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E89" i="4" l="1"/>
  <c r="E91" i="4" s="1"/>
  <c r="E40" i="4"/>
  <c r="E111" i="5"/>
  <c r="G113" i="3" s="1"/>
  <c r="G180" i="3"/>
  <c r="E112" i="5"/>
  <c r="G114" i="3" s="1"/>
  <c r="G181" i="3"/>
  <c r="E144" i="5"/>
  <c r="E69" i="5" s="1"/>
  <c r="G70" i="3" s="1"/>
  <c r="A23" i="8"/>
  <c r="L22" i="8"/>
  <c r="E86" i="5"/>
  <c r="E123" i="5"/>
  <c r="E184" i="5"/>
  <c r="E137" i="5" s="1"/>
  <c r="E129" i="5"/>
  <c r="E118" i="5"/>
  <c r="E165" i="5"/>
  <c r="E172" i="5"/>
  <c r="E73" i="5"/>
  <c r="E71" i="5"/>
  <c r="E80" i="5"/>
  <c r="E16" i="5"/>
  <c r="E25" i="5" s="1"/>
  <c r="E176" i="5"/>
  <c r="E175" i="5"/>
  <c r="G178" i="3" s="1"/>
  <c r="E93" i="4" l="1"/>
  <c r="E139" i="5"/>
  <c r="G139" i="3"/>
  <c r="E110" i="5"/>
  <c r="G112" i="3" s="1"/>
  <c r="G179" i="3"/>
  <c r="E82" i="5"/>
  <c r="G81" i="3"/>
  <c r="E75" i="5"/>
  <c r="G74" i="3"/>
  <c r="E61" i="5"/>
  <c r="E57" i="5"/>
  <c r="E88" i="5"/>
  <c r="A24" i="8"/>
  <c r="L23" i="8"/>
  <c r="E77" i="5"/>
  <c r="E109" i="5"/>
  <c r="E179" i="5"/>
  <c r="E113" i="5" l="1"/>
  <c r="E134" i="5" s="1"/>
  <c r="G111" i="3"/>
  <c r="G58" i="3"/>
  <c r="E58" i="5"/>
  <c r="G62" i="3"/>
  <c r="E62" i="5"/>
  <c r="A25" i="8"/>
  <c r="L24" i="8"/>
  <c r="E28" i="5"/>
  <c r="E32" i="5"/>
  <c r="E64" i="5" l="1"/>
  <c r="E90" i="5" s="1"/>
  <c r="E29" i="5"/>
  <c r="G28" i="3"/>
  <c r="E33" i="5"/>
  <c r="G32" i="3"/>
  <c r="K27" i="8"/>
  <c r="A26" i="8"/>
  <c r="L25" i="8"/>
  <c r="E40" i="5" l="1"/>
  <c r="A27" i="8"/>
  <c r="L26" i="8"/>
  <c r="E92" i="5"/>
  <c r="A28" i="8" l="1"/>
  <c r="L27" i="8"/>
  <c r="A29" i="8" l="1"/>
  <c r="L28" i="8"/>
  <c r="L29" i="8" l="1"/>
  <c r="A30" i="8"/>
  <c r="G187" i="3"/>
  <c r="E187" i="3"/>
  <c r="I186" i="3"/>
  <c r="I185" i="3"/>
  <c r="I178" i="3"/>
  <c r="G175" i="3"/>
  <c r="E175" i="3"/>
  <c r="I174" i="3"/>
  <c r="I173" i="3"/>
  <c r="I172" i="3"/>
  <c r="I171" i="3"/>
  <c r="G168" i="3"/>
  <c r="E168" i="3"/>
  <c r="I167" i="3"/>
  <c r="I166" i="3"/>
  <c r="I165" i="3"/>
  <c r="K164" i="3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I164" i="3"/>
  <c r="A164" i="3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G160" i="3"/>
  <c r="E160" i="3"/>
  <c r="B150" i="3"/>
  <c r="I148" i="3"/>
  <c r="G146" i="3"/>
  <c r="G72" i="3" s="1"/>
  <c r="E146" i="3"/>
  <c r="I145" i="3"/>
  <c r="I144" i="3"/>
  <c r="G141" i="3"/>
  <c r="G59" i="3" s="1"/>
  <c r="I140" i="3"/>
  <c r="I134" i="3"/>
  <c r="I133" i="3"/>
  <c r="G131" i="3"/>
  <c r="E131" i="3"/>
  <c r="I130" i="3"/>
  <c r="I129" i="3"/>
  <c r="I128" i="3"/>
  <c r="G125" i="3"/>
  <c r="E125" i="3"/>
  <c r="I124" i="3"/>
  <c r="I123" i="3"/>
  <c r="G120" i="3"/>
  <c r="E120" i="3"/>
  <c r="I119" i="3"/>
  <c r="I118" i="3"/>
  <c r="K111" i="3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A111" i="3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G107" i="3"/>
  <c r="E107" i="3"/>
  <c r="B95" i="3"/>
  <c r="I86" i="3"/>
  <c r="G87" i="3"/>
  <c r="E87" i="3"/>
  <c r="I75" i="3"/>
  <c r="I71" i="3"/>
  <c r="I68" i="3"/>
  <c r="I61" i="3"/>
  <c r="I57" i="3"/>
  <c r="K56" i="3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A56" i="3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I55" i="3"/>
  <c r="G52" i="3"/>
  <c r="E52" i="3"/>
  <c r="I38" i="3"/>
  <c r="I37" i="3"/>
  <c r="I36" i="3"/>
  <c r="I35" i="3"/>
  <c r="I31" i="3"/>
  <c r="I27" i="3"/>
  <c r="I24" i="3"/>
  <c r="I22" i="3"/>
  <c r="I20" i="3"/>
  <c r="I18" i="3"/>
  <c r="G16" i="3"/>
  <c r="G25" i="3" s="1"/>
  <c r="E16" i="3"/>
  <c r="E25" i="3" s="1"/>
  <c r="I15" i="3"/>
  <c r="I13" i="3"/>
  <c r="K11" i="3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I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I113" i="3" l="1"/>
  <c r="I146" i="3"/>
  <c r="I112" i="3"/>
  <c r="I179" i="3"/>
  <c r="G63" i="3"/>
  <c r="G65" i="3" s="1"/>
  <c r="G83" i="3"/>
  <c r="G89" i="3" s="1"/>
  <c r="I180" i="3"/>
  <c r="I139" i="3"/>
  <c r="I141" i="3" s="1"/>
  <c r="E141" i="3"/>
  <c r="A31" i="8"/>
  <c r="L30" i="8"/>
  <c r="I114" i="3"/>
  <c r="I168" i="3"/>
  <c r="G182" i="3"/>
  <c r="I70" i="3"/>
  <c r="G76" i="3"/>
  <c r="G78" i="3" s="1"/>
  <c r="I85" i="3"/>
  <c r="I111" i="3"/>
  <c r="I175" i="3"/>
  <c r="G115" i="3"/>
  <c r="G136" i="3" s="1"/>
  <c r="I120" i="3"/>
  <c r="I125" i="3"/>
  <c r="I131" i="3"/>
  <c r="I181" i="3"/>
  <c r="I187" i="3"/>
  <c r="I16" i="3"/>
  <c r="I25" i="3" s="1"/>
  <c r="I87" i="3"/>
  <c r="E76" i="3"/>
  <c r="I82" i="3"/>
  <c r="I81" i="3"/>
  <c r="E182" i="3"/>
  <c r="I182" i="3" l="1"/>
  <c r="E72" i="3"/>
  <c r="E78" i="3" s="1"/>
  <c r="I78" i="3" s="1"/>
  <c r="I76" i="3"/>
  <c r="E115" i="3"/>
  <c r="E136" i="3" s="1"/>
  <c r="I115" i="3"/>
  <c r="A32" i="8"/>
  <c r="L31" i="8"/>
  <c r="G91" i="3"/>
  <c r="I74" i="3"/>
  <c r="G33" i="3"/>
  <c r="G29" i="3"/>
  <c r="E83" i="3"/>
  <c r="I72" i="3" l="1"/>
  <c r="G40" i="3"/>
  <c r="G93" i="3" s="1"/>
  <c r="I136" i="3"/>
  <c r="E63" i="3"/>
  <c r="I63" i="3" s="1"/>
  <c r="I62" i="3"/>
  <c r="I58" i="3"/>
  <c r="E59" i="3"/>
  <c r="A33" i="8"/>
  <c r="L32" i="8"/>
  <c r="E89" i="3"/>
  <c r="I89" i="3" s="1"/>
  <c r="I83" i="3"/>
  <c r="E33" i="3"/>
  <c r="I33" i="3" s="1"/>
  <c r="I32" i="3"/>
  <c r="I28" i="3"/>
  <c r="E29" i="3"/>
  <c r="E65" i="3" l="1"/>
  <c r="I59" i="3"/>
  <c r="A34" i="8"/>
  <c r="L33" i="8"/>
  <c r="I29" i="3"/>
  <c r="I40" i="3" s="1"/>
  <c r="E40" i="3"/>
  <c r="I65" i="3" l="1"/>
  <c r="E91" i="3"/>
  <c r="I91" i="3" s="1"/>
  <c r="L34" i="8"/>
  <c r="A35" i="8"/>
  <c r="E93" i="3" l="1"/>
  <c r="I93" i="3" s="1"/>
  <c r="A36" i="8"/>
  <c r="L35" i="8"/>
  <c r="D11" i="1" l="1"/>
  <c r="D17" i="1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L36" i="8"/>
  <c r="A37" i="8"/>
  <c r="G17" i="11" l="1"/>
  <c r="F17" i="11"/>
  <c r="D53" i="11"/>
  <c r="H17" i="11"/>
  <c r="A38" i="8"/>
  <c r="L37" i="8"/>
  <c r="F18" i="11" l="1"/>
  <c r="G18" i="11" s="1"/>
  <c r="A39" i="8"/>
  <c r="L38" i="8"/>
  <c r="H18" i="11" l="1"/>
  <c r="F19" i="11" s="1"/>
  <c r="L39" i="8"/>
  <c r="A40" i="8"/>
  <c r="G19" i="11" l="1"/>
  <c r="H19" i="11" s="1"/>
  <c r="A41" i="8"/>
  <c r="L40" i="8"/>
  <c r="F20" i="11" l="1"/>
  <c r="G20" i="11" s="1"/>
  <c r="H20" i="11" s="1"/>
  <c r="L41" i="8"/>
  <c r="A42" i="8"/>
  <c r="F21" i="11" l="1"/>
  <c r="G21" i="11" s="1"/>
  <c r="A43" i="8"/>
  <c r="L42" i="8"/>
  <c r="H21" i="11" l="1"/>
  <c r="L43" i="8"/>
  <c r="A44" i="8"/>
  <c r="F22" i="11" l="1"/>
  <c r="G22" i="11" s="1"/>
  <c r="H22" i="11" s="1"/>
  <c r="A45" i="8"/>
  <c r="L44" i="8"/>
  <c r="F23" i="11" l="1"/>
  <c r="G23" i="11" s="1"/>
  <c r="A46" i="8"/>
  <c r="L45" i="8"/>
  <c r="H23" i="11" l="1"/>
  <c r="A47" i="8"/>
  <c r="L46" i="8"/>
  <c r="F24" i="11" l="1"/>
  <c r="G24" i="11" s="1"/>
  <c r="H24" i="11" s="1"/>
  <c r="A48" i="8"/>
  <c r="L47" i="8"/>
  <c r="F25" i="11" l="1"/>
  <c r="G25" i="11" s="1"/>
  <c r="L48" i="8"/>
  <c r="A49" i="8"/>
  <c r="H25" i="11" l="1"/>
  <c r="A50" i="8"/>
  <c r="L49" i="8"/>
  <c r="F26" i="11" l="1"/>
  <c r="G26" i="11" s="1"/>
  <c r="H26" i="11" s="1"/>
  <c r="A51" i="8"/>
  <c r="L50" i="8"/>
  <c r="F27" i="11" l="1"/>
  <c r="G27" i="11" s="1"/>
  <c r="H27" i="11" s="1"/>
  <c r="A52" i="8"/>
  <c r="L51" i="8"/>
  <c r="F28" i="11" l="1"/>
  <c r="G28" i="11" s="1"/>
  <c r="H28" i="11" s="1"/>
  <c r="A53" i="8"/>
  <c r="L52" i="8"/>
  <c r="F29" i="11" l="1"/>
  <c r="G29" i="11" s="1"/>
  <c r="H29" i="11" s="1"/>
  <c r="F30" i="11" s="1"/>
  <c r="L53" i="8"/>
  <c r="A54" i="8"/>
  <c r="G30" i="11" l="1"/>
  <c r="H30" i="11" s="1"/>
  <c r="A55" i="8"/>
  <c r="L54" i="8"/>
  <c r="F31" i="11" l="1"/>
  <c r="G31" i="11" s="1"/>
  <c r="H31" i="11" s="1"/>
  <c r="L55" i="8"/>
  <c r="A56" i="8"/>
  <c r="F32" i="11" l="1"/>
  <c r="G32" i="11" s="1"/>
  <c r="A57" i="8"/>
  <c r="L56" i="8"/>
  <c r="H32" i="11" l="1"/>
  <c r="L57" i="8"/>
  <c r="A58" i="8"/>
  <c r="F33" i="11" l="1"/>
  <c r="G33" i="11" s="1"/>
  <c r="H33" i="11" s="1"/>
  <c r="A59" i="8"/>
  <c r="L58" i="8"/>
  <c r="F34" i="11" l="1"/>
  <c r="G34" i="11" s="1"/>
  <c r="H34" i="11" s="1"/>
  <c r="L59" i="8"/>
  <c r="A60" i="8"/>
  <c r="F35" i="11" l="1"/>
  <c r="G35" i="11" s="1"/>
  <c r="H35" i="11" s="1"/>
  <c r="A61" i="8"/>
  <c r="L61" i="8" s="1"/>
  <c r="L60" i="8"/>
  <c r="F36" i="11" l="1"/>
  <c r="G36" i="11" s="1"/>
  <c r="H36" i="11" s="1"/>
  <c r="F37" i="11" l="1"/>
  <c r="G37" i="11" s="1"/>
  <c r="H37" i="11" s="1"/>
  <c r="F38" i="11" l="1"/>
  <c r="G38" i="11" s="1"/>
  <c r="H38" i="11" s="1"/>
  <c r="F39" i="11" l="1"/>
  <c r="G39" i="11" s="1"/>
  <c r="H39" i="11" s="1"/>
  <c r="F40" i="11" l="1"/>
  <c r="G40" i="11" s="1"/>
  <c r="H40" i="11" s="1"/>
  <c r="F41" i="11" s="1"/>
  <c r="G41" i="11" l="1"/>
  <c r="H41" i="11" s="1"/>
  <c r="F42" i="11" l="1"/>
  <c r="G42" i="11" s="1"/>
  <c r="H42" i="11" s="1"/>
  <c r="F43" i="11" s="1"/>
  <c r="G43" i="11" l="1"/>
  <c r="H43" i="11" s="1"/>
  <c r="F44" i="11" l="1"/>
  <c r="G44" i="11" s="1"/>
  <c r="H44" i="11" l="1"/>
  <c r="F45" i="11" l="1"/>
  <c r="G45" i="11" s="1"/>
  <c r="H45" i="11" s="1"/>
  <c r="F46" i="11" l="1"/>
  <c r="G46" i="11" s="1"/>
  <c r="H46" i="11" s="1"/>
  <c r="G47" i="11" l="1"/>
  <c r="H47" i="11" s="1"/>
  <c r="F48" i="11" l="1"/>
  <c r="G48" i="11" s="1"/>
  <c r="H48" i="11" s="1"/>
  <c r="F49" i="11" l="1"/>
  <c r="G49" i="11" s="1"/>
  <c r="H49" i="11" s="1"/>
  <c r="F50" i="11" l="1"/>
  <c r="G50" i="11" s="1"/>
  <c r="H50" i="11" s="1"/>
  <c r="F51" i="11" l="1"/>
  <c r="G51" i="11" s="1"/>
  <c r="H51" i="11" s="1"/>
  <c r="F52" i="11" l="1"/>
  <c r="G52" i="11" s="1"/>
  <c r="G53" i="11" s="1"/>
  <c r="D13" i="1" s="1"/>
  <c r="H52" i="11" l="1"/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D15" i="1" l="1"/>
  <c r="D21" i="1" l="1"/>
  <c r="D17" i="1"/>
  <c r="D19" i="1" s="1"/>
  <c r="D23" i="1" s="1"/>
</calcChain>
</file>

<file path=xl/sharedStrings.xml><?xml version="1.0" encoding="utf-8"?>
<sst xmlns="http://schemas.openxmlformats.org/spreadsheetml/2006/main" count="1651" uniqueCount="752">
  <si>
    <t>San Diego Gas &amp; Electric Company</t>
  </si>
  <si>
    <r>
      <t xml:space="preserve">TO5 Cycle 4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</si>
  <si>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Derivation of Other BTRR Adjustment Applicable to TO5 Cycle 3 </t>
  </si>
  <si>
    <t>($1,000)</t>
  </si>
  <si>
    <t>Line</t>
  </si>
  <si>
    <t>No.</t>
  </si>
  <si>
    <t>Description</t>
  </si>
  <si>
    <t>Amounts</t>
  </si>
  <si>
    <t>Reference</t>
  </si>
  <si>
    <t>BTRR Adjustment due to TO5 Cycle 3 Cost Adjustments Calculation:</t>
  </si>
  <si>
    <t>Total BTRR Adjustment - Before Interest</t>
  </si>
  <si>
    <t>Page 2.2; Line 39; Col. C</t>
  </si>
  <si>
    <t>Interest Expense</t>
  </si>
  <si>
    <t>Page 8.1; Line 45; Col.5</t>
  </si>
  <si>
    <t>Total BTRR Adjustment Excluding FF&amp;U</t>
  </si>
  <si>
    <t>Sum Lines 2 and 4</t>
  </si>
  <si>
    <t>Transmission Related Municipal Franchise Fees Expenses</t>
  </si>
  <si>
    <t>Line 6 x 1.0275%</t>
  </si>
  <si>
    <t>Total BTRR Adjustment Including Franchise Fees Expense (WHOLESALE)</t>
  </si>
  <si>
    <t>Sum Lines 6 and 8</t>
  </si>
  <si>
    <t>Transmission Related Uncollectible Expense</t>
  </si>
  <si>
    <t>Line 6 x 0.165%</t>
  </si>
  <si>
    <t>Total BTRR Adjustment Including FF&amp;U (RETAIL)</t>
  </si>
  <si>
    <t>Sum Lines 10 and 12</t>
  </si>
  <si>
    <t xml:space="preserve">Section C.5. of the Protocols provides a mechanism for SDG&amp;E to correct errors that affected the TU TRR in a previous Informational Filing. In this TO5 Cycle 4 </t>
  </si>
  <si>
    <r>
      <t xml:space="preserve">Informational Filing, SDG&amp;E is correcting TO5 Cycle 3 for approximately </t>
    </r>
    <r>
      <rPr>
        <sz val="12"/>
        <rFont val="Times New Roman"/>
        <family val="1"/>
      </rPr>
      <t>($2.8M)</t>
    </r>
    <r>
      <rPr>
        <sz val="12"/>
        <color theme="1"/>
        <rFont val="Times New Roman"/>
        <family val="1"/>
      </rPr>
      <t xml:space="preserve"> for 2019 adjustments to O&amp;M and A&amp;G. </t>
    </r>
  </si>
  <si>
    <t xml:space="preserve">TO5 Cycle 4 Annual Informational Filing </t>
  </si>
  <si>
    <t>Derivation of Other BTRR Adjustment Applicable to TO5 Cycle 3</t>
  </si>
  <si>
    <t>A</t>
  </si>
  <si>
    <t>B</t>
  </si>
  <si>
    <t>C = A - B</t>
  </si>
  <si>
    <t xml:space="preserve">Revised - TO5 C3 </t>
  </si>
  <si>
    <t>As Filed - TO5 C3 per ER 21-526</t>
  </si>
  <si>
    <t>Difference</t>
  </si>
  <si>
    <t xml:space="preserve"> </t>
  </si>
  <si>
    <t xml:space="preserve">Amounts  </t>
  </si>
  <si>
    <t>Incr (Decr)</t>
  </si>
  <si>
    <t>A. Revenues:</t>
  </si>
  <si>
    <t>Transmission Operation &amp; Maintenance Expense</t>
  </si>
  <si>
    <t>√</t>
  </si>
  <si>
    <t>Page 3.1 and Page 4.1, Line 1</t>
  </si>
  <si>
    <t>Transmission Related A&amp;G Expense</t>
  </si>
  <si>
    <t>Page 3.1 and Page 4.1, Line 3</t>
  </si>
  <si>
    <t>CPUC Intervenor Funding Expense - Transmission</t>
  </si>
  <si>
    <t>Page 3.1 and Page 4.1, Line 5</t>
  </si>
  <si>
    <t xml:space="preserve">     Total O&amp;M Expenses</t>
  </si>
  <si>
    <t>Sum Lines 1 thru 5</t>
  </si>
  <si>
    <t>Transmission, General, Common Plant Depn. Exp., and Electric Misc. Intangible Plant Amort. Exp.</t>
  </si>
  <si>
    <t>Page 3.1 and Page 4.1, Line 8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</si>
  <si>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</si>
  <si>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Page 3.1 and Page 4.1, Line 10</t>
  </si>
  <si>
    <t>Transmission Related Property Taxes Expense</t>
  </si>
  <si>
    <t>Page 3.1 and Page 4.1, Line 12</t>
  </si>
  <si>
    <t>Transmission Related Payroll Taxes Expense</t>
  </si>
  <si>
    <t>Page 3.1 and Page 4.1, Line 14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</si>
  <si>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</si>
  <si>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</si>
  <si>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</si>
  <si>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t>Page 3.1 and Page 4.1, Line 17</t>
  </si>
  <si>
    <t>Transmission Rate Base</t>
  </si>
  <si>
    <t>Page 3.1 and Page 4.1, Line 18</t>
  </si>
  <si>
    <t xml:space="preserve">     Return and Associated Income Taxes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</si>
  <si>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</si>
  <si>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</si>
  <si>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3.1 and Page 4.1, Line 21</t>
  </si>
  <si>
    <t>Page 3.1 and Page 4.1, Line 22</t>
  </si>
  <si>
    <t xml:space="preserve">     Return and Associated Income Taxes - CAISO Participation ROE Adder</t>
  </si>
  <si>
    <t>Line 21 x Line 22</t>
  </si>
  <si>
    <t>Total of Federal Income Tax Deductions, Other Than Interest</t>
  </si>
  <si>
    <t>Page 3.1 and Page 4.1, Line 25</t>
  </si>
  <si>
    <t>Transmission Related Revenue Credits</t>
  </si>
  <si>
    <t>Page 3.1 and Page 4.1, Line 26</t>
  </si>
  <si>
    <t>Transmission Related Regulatory Debits/Credits</t>
  </si>
  <si>
    <t>Page 3.1 and Page 4.1, Line 27</t>
  </si>
  <si>
    <t>(Gains)/Losses from Sale of Plant Held for Future Use</t>
  </si>
  <si>
    <t>Page 3.1 and Page 4.1, Line 28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</si>
  <si>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</si>
  <si>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</si>
  <si>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Items that are in BOLD have changed compared to the original TO5 Cycle 3 filing per ER21-526.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</si>
  <si>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</si>
  <si>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</si>
  <si>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</si>
  <si>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Page 3.2 and Page 4.2, Line 1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</si>
  <si>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</si>
  <si>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Page 3.2 and Page 4.2, Line 3</t>
  </si>
  <si>
    <t>Total Incentive ROE Project Transmission Rate Base</t>
  </si>
  <si>
    <t>Page 3.2 and Page 4.2, Line 4</t>
  </si>
  <si>
    <t xml:space="preserve">     Incentive ROE Project Return and Associated Income Taxes - Base ROE</t>
  </si>
  <si>
    <t>Line 3 x Line 4</t>
  </si>
  <si>
    <t>Page 3.2 and Page 4.2, Line 7</t>
  </si>
  <si>
    <t>Page 3.2 and Page 4.2, Line 8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</si>
  <si>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</si>
  <si>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</si>
  <si>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</si>
  <si>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</si>
  <si>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</si>
  <si>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Page 3.2 and Page 4.2, Line 14</t>
  </si>
  <si>
    <t>Total Incentive Transmission Plant Abandoned Project Cost Rate Base</t>
  </si>
  <si>
    <t>Page 3.2 and Page 4.2, Line 16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</si>
  <si>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</si>
  <si>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Page 3.2 and Page 4.2, Line 17</t>
  </si>
  <si>
    <t xml:space="preserve">     Incentive Trans. Plant Aband. Proj. Return &amp; Assoc. Inc. Taxes - Base ROE</t>
  </si>
  <si>
    <t>Line 16 x Line 17</t>
  </si>
  <si>
    <t>Page 3.2 and Page 4.2, Line 20</t>
  </si>
  <si>
    <t>Page 3.2 and Page 4.2, Line 21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</si>
  <si>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</si>
  <si>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</si>
  <si>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</si>
  <si>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</si>
  <si>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</si>
  <si>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</si>
  <si>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3.2 and Page 4.2, Line 27</t>
  </si>
  <si>
    <t>Page 3.2 and Page 4.2, Line 28</t>
  </si>
  <si>
    <t xml:space="preserve">     Incentive CWIP Return and Associated Income Taxes - Base ROE</t>
  </si>
  <si>
    <t>Line 27 x Line 28</t>
  </si>
  <si>
    <t>Page 3.2 and Page 4.2, Line 31</t>
  </si>
  <si>
    <t>Page 3.2 and Page 4.2, Line 32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</si>
  <si>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</si>
  <si>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</si>
  <si>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</si>
  <si>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</si>
  <si>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</si>
  <si>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</si>
  <si>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</si>
  <si>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</si>
  <si>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</si>
  <si>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</si>
  <si>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</t>
  </si>
  <si>
    <t>Net Transmission Plant:</t>
  </si>
  <si>
    <t>Transmission Plant</t>
  </si>
  <si>
    <t>Page 3.3 and Page 4.3, Line 2</t>
  </si>
  <si>
    <t>Transmission Related Electric Miscellaneous Intangible Plant</t>
  </si>
  <si>
    <t>Page 3.3 and Page 4.3, Line 3</t>
  </si>
  <si>
    <t>Transmission Related General Plant</t>
  </si>
  <si>
    <t>Page 3.3 and Page 4.3, Line 4</t>
  </si>
  <si>
    <t>Transmission Related Common Plant</t>
  </si>
  <si>
    <t>Page 3.3 and Page 4.3, Line 5</t>
  </si>
  <si>
    <t xml:space="preserve">     Total Net Transmission Plant</t>
  </si>
  <si>
    <t>Sum Lines 2 thru 5</t>
  </si>
  <si>
    <t>Rate Base Additions:</t>
  </si>
  <si>
    <t>Plant Held for Future Use</t>
  </si>
  <si>
    <t>Page 3.3 and Page 4.3, Line 9</t>
  </si>
  <si>
    <t>Transmission Plant Abandoned Project Cost</t>
  </si>
  <si>
    <t>Page 3.3 and Page 4.3, Line 10</t>
  </si>
  <si>
    <t xml:space="preserve">     Total Rate Base Additions</t>
  </si>
  <si>
    <t>Line 9 + Line 10</t>
  </si>
  <si>
    <t>Rate Base Reductions:</t>
  </si>
  <si>
    <t>Transmission Related Accum. Def. Inc. Taxes</t>
  </si>
  <si>
    <t>Page 3.3 and Page 4.3, Line 14</t>
  </si>
  <si>
    <t>Transmission Plant Abandoned Accum. Def. Inc. Taxes</t>
  </si>
  <si>
    <t>Page 3.3 and Page 4.3, Line 15</t>
  </si>
  <si>
    <t xml:space="preserve">     Total Rate Base Reductions</t>
  </si>
  <si>
    <t>Line 14 + Line 15</t>
  </si>
  <si>
    <t>Working Capital:</t>
  </si>
  <si>
    <t xml:space="preserve">Transmission Related Material and Supplies </t>
  </si>
  <si>
    <t>Page 3.3 and Page 4.3, Line 19</t>
  </si>
  <si>
    <t>Transmission Related Prepayments</t>
  </si>
  <si>
    <t>Page 3.3 and Page 4.3, Line 20</t>
  </si>
  <si>
    <t>Transmission Related Cash Working Capital</t>
  </si>
  <si>
    <t>Page 3.3 and Page 4.3, Line 21</t>
  </si>
  <si>
    <t xml:space="preserve">   Total Working Capital</t>
  </si>
  <si>
    <t>Sum Lines 19 thru 21</t>
  </si>
  <si>
    <t>Other Regulatory Assets/Liabilities</t>
  </si>
  <si>
    <t>Page 3.3 and Page 4.3, Line 24</t>
  </si>
  <si>
    <t>Unfunded Reserves</t>
  </si>
  <si>
    <t>Page 3.3 and Page 4.3, Line 25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</si>
  <si>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</si>
  <si>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</si>
  <si>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</si>
  <si>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</si>
  <si>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3.3 and Page 4.3, Line 30</t>
  </si>
  <si>
    <t xml:space="preserve">Incentive Transmission Plant Accum. Def. Income Taxes </t>
  </si>
  <si>
    <t>Page 3.3 and Page 4.3, Line 31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</si>
  <si>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</si>
  <si>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</si>
  <si>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</si>
  <si>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</si>
  <si>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Page 3.3 and Page 4.3, Line 35</t>
  </si>
  <si>
    <t>Incentive Transmission Plant Abandoned Project Cost Accum. Def. Inc. Taxes</t>
  </si>
  <si>
    <t>Page 3.3 and Page 4.3, Line 36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</si>
  <si>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</si>
  <si>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</si>
  <si>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</si>
  <si>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3.3 and Page 4.3, Line 39</t>
  </si>
  <si>
    <t>A. Transmission Plant</t>
  </si>
  <si>
    <t>Gross Transmission Plant:</t>
  </si>
  <si>
    <t>Page 3.4 and Page 4.4, Line 2</t>
  </si>
  <si>
    <t>Page 3.4 and Page 4.4, Line 3</t>
  </si>
  <si>
    <t>Page 3.4 and Page 4.4, Line 4</t>
  </si>
  <si>
    <t>Page 3.4 and Page 4.4, Line 5</t>
  </si>
  <si>
    <t xml:space="preserve">     Total Gross Transmission Plant</t>
  </si>
  <si>
    <t>Transmission Related Depreciation Reserve:</t>
  </si>
  <si>
    <t xml:space="preserve">Transmission Plant Depreciation Reserve </t>
  </si>
  <si>
    <t>Page 3.4 and Page 4.4, Line 9</t>
  </si>
  <si>
    <t>Transmission Related Electric Misc. Intangible Plant Amortization Reserve</t>
  </si>
  <si>
    <t>Page 3.4 and Page 4.4, Line 10</t>
  </si>
  <si>
    <t>Transmission Related General Plant Depr Reserve</t>
  </si>
  <si>
    <t>Page 3.4 and Page 4.4, Line 11</t>
  </si>
  <si>
    <t>Transmission Related Common Plant Depr Reserve</t>
  </si>
  <si>
    <t>Page 3.4 and Page 4.4, Line 12</t>
  </si>
  <si>
    <t xml:space="preserve">     Total Transmission Related Depreciation Reserve</t>
  </si>
  <si>
    <t>Sum Lines 9 thru 12</t>
  </si>
  <si>
    <t>Page 3.4 and Page 4.4, Line 16</t>
  </si>
  <si>
    <t>Page 3.4 and Page 4.4, Line 17</t>
  </si>
  <si>
    <t>Page 3.4 and Page 4.4, Line 18</t>
  </si>
  <si>
    <t>Page 3.4 and Page 4.4, Line 19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</si>
  <si>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</si>
  <si>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</si>
  <si>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</si>
  <si>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Page 3.4 and Page 4.4, Line 23</t>
  </si>
  <si>
    <t>Incentive Transmission Plant Depreciation Reserve</t>
  </si>
  <si>
    <t>Page 3.4 and Page 4.4, Line 24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</si>
  <si>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</si>
  <si>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</si>
  <si>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</si>
  <si>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</si>
  <si>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</si>
  <si>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</si>
  <si>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2019</t>
  </si>
  <si>
    <t>Statement AH; Line 10</t>
  </si>
  <si>
    <t>Statement AH; Line 33</t>
  </si>
  <si>
    <t>Negative of Statement AH; Line 17</t>
  </si>
  <si>
    <t>Statement AJ; Line 17</t>
  </si>
  <si>
    <t>Statement AJ; Line 23</t>
  </si>
  <si>
    <t>Statement AK; Line 13</t>
  </si>
  <si>
    <t>Statement AK; Line 20</t>
  </si>
  <si>
    <t>Statement AV; Page 3; Line 31</t>
  </si>
  <si>
    <t>Page 3; Line 27</t>
  </si>
  <si>
    <t xml:space="preserve">     Return and Associated Income Taxes - Base ROE</t>
  </si>
  <si>
    <t>Statement AV; Page 3; Line 64</t>
  </si>
  <si>
    <t>Page 3; Line 27 - Line 10</t>
  </si>
  <si>
    <t>Statement AQ; Line 3</t>
  </si>
  <si>
    <t>Statement AU; Line 13</t>
  </si>
  <si>
    <t>Statement Misc; Line 1</t>
  </si>
  <si>
    <t>Statement AU; Line 15</t>
  </si>
  <si>
    <t>Items in bold have changed compared to the original TO5 Cycle 3 filing per ER21-526.</t>
  </si>
  <si>
    <t>Statement AJ; Line 19</t>
  </si>
  <si>
    <t>Statement AV; Page 4; Line 31</t>
  </si>
  <si>
    <t>Page 3; Line 32</t>
  </si>
  <si>
    <t>Statement AV; Page 4; Line 64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</si>
  <si>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</si>
  <si>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</si>
  <si>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</si>
  <si>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</si>
  <si>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</si>
  <si>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</si>
  <si>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</si>
  <si>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</si>
  <si>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</si>
  <si>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</si>
  <si>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</si>
  <si>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</si>
  <si>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7</t>
  </si>
  <si>
    <t>Statement AF; Line 11</t>
  </si>
  <si>
    <t xml:space="preserve">Transmission Related Materials and Supplies </t>
  </si>
  <si>
    <t>Statement AL; Line 5</t>
  </si>
  <si>
    <t>Statement AL; Line 9</t>
  </si>
  <si>
    <t>Statement AL; Line 19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</si>
  <si>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</si>
  <si>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</si>
  <si>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</si>
  <si>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</si>
  <si>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</si>
  <si>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</si>
  <si>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</si>
  <si>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</si>
  <si>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</si>
  <si>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</si>
  <si>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</si>
  <si>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</si>
  <si>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</si>
  <si>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</si>
  <si>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</si>
  <si>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</si>
  <si>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</si>
  <si>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</si>
  <si>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</si>
  <si>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</si>
  <si>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</si>
  <si>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</si>
  <si>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</si>
  <si>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</si>
  <si>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Statement AH; Line 9</t>
  </si>
  <si>
    <t>Statement AH; Line 31</t>
  </si>
  <si>
    <t>Negative of Statement AH; Line 16</t>
  </si>
  <si>
    <t>Statement AH</t>
  </si>
  <si>
    <t>Operation and Maintenance Expenses</t>
  </si>
  <si>
    <t>Base Period &amp; True-Up Period 12 - Months Ending December 31, 2019</t>
  </si>
  <si>
    <t>FERC Form 1</t>
  </si>
  <si>
    <t>Page; Line; Col.</t>
  </si>
  <si>
    <t>Derivation of Transmission Operation and Maintenance Expense:</t>
  </si>
  <si>
    <t>Total Transmission O&amp;M Expense</t>
  </si>
  <si>
    <t>321;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</si>
  <si>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</si>
  <si>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</si>
  <si>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</si>
  <si>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38;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</si>
  <si>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</si>
  <si>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39;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</si>
  <si>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</si>
  <si>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</si>
  <si>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</si>
  <si>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45; Col. b</t>
  </si>
  <si>
    <t xml:space="preserve">   Other Transmission O&amp;M Exclusion Adjustments </t>
  </si>
  <si>
    <t>Negative of AH-1; Line 37; Col. b</t>
  </si>
  <si>
    <t xml:space="preserve">   Other Cost Adjustments</t>
  </si>
  <si>
    <t>AH-1; Line 33; Col. d</t>
  </si>
  <si>
    <t xml:space="preserve">     Total Adjusted Transmission O&amp;M Expenses </t>
  </si>
  <si>
    <t>Sum Lines 2 thru 9</t>
  </si>
  <si>
    <t>Derivation of Administrative and General Expense:</t>
  </si>
  <si>
    <t>Total Administrative &amp; General Expense</t>
  </si>
  <si>
    <t>323; 197; b</t>
  </si>
  <si>
    <t>AH-2; Line 16; Col. a</t>
  </si>
  <si>
    <t>Adjustments to Per Book A&amp;G Expense:</t>
  </si>
  <si>
    <t xml:space="preserve">   Abandoned Projects</t>
  </si>
  <si>
    <t>Negative of AH-2; Line 38; Col. a</t>
  </si>
  <si>
    <t xml:space="preserve">   CPUC energy efficiency programs</t>
  </si>
  <si>
    <t>Negative of AH-2; Sum Lines 21, 22, 24, 25, 28, 31, 37, 40; Col. a or b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</si>
  <si>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</si>
  <si>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AH-2; Line 32; Col. a</t>
  </si>
  <si>
    <t xml:space="preserve">   CPUC Intervenor Funding Expense - Distribution</t>
  </si>
  <si>
    <t>Negative of AH-2; Line 33; Col. a</t>
  </si>
  <si>
    <t xml:space="preserve">   CPUC reimbursement fees</t>
  </si>
  <si>
    <t>Negative of AH-2; Line 34; Col. a</t>
  </si>
  <si>
    <t xml:space="preserve">   Injuries &amp; Damages</t>
  </si>
  <si>
    <t>Negative of AH-2; Line 26; Col. a</t>
  </si>
  <si>
    <t xml:space="preserve">   General Advertising Expenses </t>
  </si>
  <si>
    <t>Negative of AH-2; Line 36; Col. b</t>
  </si>
  <si>
    <t xml:space="preserve">   Franchise Requirements</t>
  </si>
  <si>
    <t>Negative of AH-2; Line 30; Col. b</t>
  </si>
  <si>
    <t xml:space="preserve">   Hazardous substances - Hazardous Substance Cleanup Cost Account</t>
  </si>
  <si>
    <t>Negative of AH-2; Line 39; Col. a</t>
  </si>
  <si>
    <t xml:space="preserve">   Litigation expenses - Litigation Cost Memorandum Account (LCMA)</t>
  </si>
  <si>
    <t xml:space="preserve">Negative of AH-2; Sum Lines 23, 35; Col. a   </t>
  </si>
  <si>
    <t xml:space="preserve">   Other A&amp;G Exclusion Adjustments</t>
  </si>
  <si>
    <t xml:space="preserve">Negative of AH-2; Sum Lines 27, 29; Col. a </t>
  </si>
  <si>
    <t>AH-2; Line 17; Col. d</t>
  </si>
  <si>
    <t xml:space="preserve">     Total Adjusted A&amp;G Expenses Including Property Insurance</t>
  </si>
  <si>
    <t>Sum Lines 13 thru 26</t>
  </si>
  <si>
    <t>Less: Property Insurance (Due to different allocation factor)</t>
  </si>
  <si>
    <t>Negative of AH-2; Line 5; Col. c</t>
  </si>
  <si>
    <t>Total Adjusted A&amp;G Expenses Excluding Property Insurance</t>
  </si>
  <si>
    <t>Line 27 + Line 28</t>
  </si>
  <si>
    <t>Transmission Wages and Salaries Allocation Factor</t>
  </si>
  <si>
    <t>Statement AI; Line 15</t>
  </si>
  <si>
    <t>Transmission Related Administrative &amp; General Expenses</t>
  </si>
  <si>
    <t>Line 29 x Line 30</t>
  </si>
  <si>
    <t>Property Insurance Allocated to Transmission, General, and Common Plant</t>
  </si>
  <si>
    <t>Negative of Line 28 x Line 52</t>
  </si>
  <si>
    <t xml:space="preserve">     Transmission Related A&amp;G Expense Including Property Insurance Expense</t>
  </si>
  <si>
    <t>Line 31 + Line 32</t>
  </si>
  <si>
    <t>Derivation of Transmission Plant Property Insurance Allocation Factor:</t>
  </si>
  <si>
    <t>Transmission Plant &amp; Incentive Transmission Plant</t>
  </si>
  <si>
    <t>Statement AD; Line 25</t>
  </si>
  <si>
    <t xml:space="preserve">Transmission Related Common Plant </t>
  </si>
  <si>
    <t xml:space="preserve">     Total Transmission Related Investment in Plant</t>
  </si>
  <si>
    <t>Sum Lines 36 thru 39</t>
  </si>
  <si>
    <t>Total Transmission Plant &amp; Incentive Transmission Plant</t>
  </si>
  <si>
    <t>Line 36 Above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</si>
  <si>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</si>
  <si>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</si>
  <si>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</si>
  <si>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</si>
  <si>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</si>
  <si>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</si>
  <si>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</si>
  <si>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</si>
  <si>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</si>
  <si>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</si>
  <si>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</si>
  <si>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</si>
  <si>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t>Sum Lines 42 thru 49</t>
  </si>
  <si>
    <t>Transmission Property Insurance and Tax Allocation Factor</t>
  </si>
  <si>
    <t>Line 40 / Line 50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</si>
  <si>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</si>
  <si>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</si>
  <si>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Electric Transmission O&amp;M Expenses</t>
  </si>
  <si>
    <t xml:space="preserve"> 12 Months Ending December 31, 2019</t>
  </si>
  <si>
    <t>(a)</t>
  </si>
  <si>
    <t>(b)</t>
  </si>
  <si>
    <t>(c) = (a) - (b)</t>
  </si>
  <si>
    <r>
      <t>(d)</t>
    </r>
    <r>
      <rPr>
        <b/>
        <vertAlign val="superscript"/>
        <sz val="12"/>
        <rFont val="Times New Roman"/>
        <family val="1"/>
      </rPr>
      <t xml:space="preserve"> 1</t>
    </r>
  </si>
  <si>
    <t>(e) = (c) + (d)</t>
  </si>
  <si>
    <t>FERC</t>
  </si>
  <si>
    <t>Total</t>
  </si>
  <si>
    <t>Excluded</t>
  </si>
  <si>
    <t xml:space="preserve">Add / (Deduct) </t>
  </si>
  <si>
    <t>Revised</t>
  </si>
  <si>
    <t>Acct</t>
  </si>
  <si>
    <t>Per Books</t>
  </si>
  <si>
    <t>Expenses</t>
  </si>
  <si>
    <t>Adjusted</t>
  </si>
  <si>
    <t>O&amp;M Cost Adj</t>
  </si>
  <si>
    <t xml:space="preserve">O&amp;M </t>
  </si>
  <si>
    <t>Electric Transmission Operation</t>
  </si>
  <si>
    <t>Operation Supervision and Engineering</t>
  </si>
  <si>
    <t>Form 1; Page 321; Line 83</t>
  </si>
  <si>
    <t>Load Dispatch - Reliability</t>
  </si>
  <si>
    <t>Form 1; Page 321; Line 85</t>
  </si>
  <si>
    <t>Load Dispatch - Monitor and Operate Transmission System</t>
  </si>
  <si>
    <t>Form 1; Page 321; Line 86</t>
  </si>
  <si>
    <t>Load Dispatch - Transmission Service and Scheduling</t>
  </si>
  <si>
    <t>Form 1; Page 321; Line 87</t>
  </si>
  <si>
    <t xml:space="preserve">Scheduling, System Control and Dispatch Services </t>
  </si>
  <si>
    <t>Form 1; Page 321; Line 88</t>
  </si>
  <si>
    <t>Reliability, Planning and Standards Development</t>
  </si>
  <si>
    <t>Form 1; Page 321; Line 89</t>
  </si>
  <si>
    <t>Transmission Service Studies</t>
  </si>
  <si>
    <t>Form 1; Page 321; Line 90</t>
  </si>
  <si>
    <t>Generation Interconnection Studies</t>
  </si>
  <si>
    <t>Form 1; Page 321; Line 91</t>
  </si>
  <si>
    <t xml:space="preserve">Reliability, Planning and Standards Development Services </t>
  </si>
  <si>
    <t>Form 1; Page 321; Line 92</t>
  </si>
  <si>
    <t>Station Expenses</t>
  </si>
  <si>
    <t>Form 1; Page 321; Line 93</t>
  </si>
  <si>
    <r>
      <t xml:space="preserve">Overhead Line Expenses </t>
    </r>
    <r>
      <rPr>
        <b/>
        <sz val="12"/>
        <rFont val="Times New Roman"/>
        <family val="1"/>
      </rPr>
      <t xml:space="preserve"> </t>
    </r>
  </si>
  <si>
    <t>Form 1; Page 321; Line 94</t>
  </si>
  <si>
    <t>Underground Line Expenses</t>
  </si>
  <si>
    <t>Form 1; Page 321; Line 95</t>
  </si>
  <si>
    <t>Transmission of Electricity by Others</t>
  </si>
  <si>
    <t>Form 1; Page 321; Line 96</t>
  </si>
  <si>
    <t>Misc. Transmission Expenses</t>
  </si>
  <si>
    <t>Form 1; Page 321; Line 97</t>
  </si>
  <si>
    <t>Rents</t>
  </si>
  <si>
    <t>Form 1; Page 321; Line 98</t>
  </si>
  <si>
    <t xml:space="preserve">     Total Electric Transmission Operation </t>
  </si>
  <si>
    <t>Electric Transmission Maintenance</t>
  </si>
  <si>
    <t>Maintenance Supervision and Engineering</t>
  </si>
  <si>
    <t>Form 1; Page 321; Line 101</t>
  </si>
  <si>
    <t>Maintenance of Structures</t>
  </si>
  <si>
    <t>Form 1; Page 321; Line 102</t>
  </si>
  <si>
    <t>Maintenance of Computer Hardware</t>
  </si>
  <si>
    <t>Form 1; Page 321; Line 103</t>
  </si>
  <si>
    <t>Maintenance of Computer Software</t>
  </si>
  <si>
    <t>Form 1; Page 321; Line 104</t>
  </si>
  <si>
    <t>Maintenance of Communication Equipment</t>
  </si>
  <si>
    <t>Form 1; Page 321; Line 105</t>
  </si>
  <si>
    <t>Maintenance of Misc. Regional Transmission Plant</t>
  </si>
  <si>
    <t>Form 1; Page 321; Line 106</t>
  </si>
  <si>
    <t>Maintenance of Station Equipment</t>
  </si>
  <si>
    <t>Form 1; Page 321; Line 107</t>
  </si>
  <si>
    <t>Maintenance of Overhead Lines</t>
  </si>
  <si>
    <t>Form 1; Page 321; Line 108</t>
  </si>
  <si>
    <t>Maintenance of Underground Lines</t>
  </si>
  <si>
    <t>Form 1; Page 321; Line 109</t>
  </si>
  <si>
    <t>Maintenance of Misc. Transmission Plant</t>
  </si>
  <si>
    <t>Form 1; Page 321; Line 110</t>
  </si>
  <si>
    <t xml:space="preserve">     Total Electric Transmission Maintenance</t>
  </si>
  <si>
    <t>Total Electric Transmission O&amp;M Expenses</t>
  </si>
  <si>
    <t>Excluded Expenses (recovery method in parentheses):</t>
  </si>
  <si>
    <t>560</t>
  </si>
  <si>
    <t>Executive ICP</t>
  </si>
  <si>
    <t xml:space="preserve">561.4 </t>
  </si>
  <si>
    <t>Scheduling, System Control and Dispatch Services (ERRA)</t>
  </si>
  <si>
    <t>Reliability, Planning and Standards Development Services (ERRA)</t>
  </si>
  <si>
    <t>Transmission of Electricity by Others (ERRA)</t>
  </si>
  <si>
    <t>566</t>
  </si>
  <si>
    <t>Century Energy Systems Balancing Account (CES-21BA)</t>
  </si>
  <si>
    <t>Hazardous Substance Cleanup Cost Memo Account (HSCCMA)</t>
  </si>
  <si>
    <t>ISO Grid Management Costs (ERRA)</t>
  </si>
  <si>
    <t>Reliability Services (RS rates)</t>
  </si>
  <si>
    <t xml:space="preserve">Other (TRBAA, TACBAA) </t>
  </si>
  <si>
    <t>Total Excluded Expenses</t>
  </si>
  <si>
    <t>Represents reclassification of 2019 3P (People, Process, Priorities) project costs from O&amp;M FERC Account 566 to A&amp;G FERC Account 923, in 2020. This correction is</t>
  </si>
  <si>
    <t>reflected as an "Other BTRR Adjustment" in TO5 Cycle 4.</t>
  </si>
  <si>
    <t>Administrative &amp; General Expenses</t>
  </si>
  <si>
    <r>
      <t>(d)</t>
    </r>
    <r>
      <rPr>
        <b/>
        <vertAlign val="superscript"/>
        <sz val="12"/>
        <rFont val="Times New Roman"/>
        <family val="1"/>
      </rPr>
      <t xml:space="preserve"> 2</t>
    </r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</si>
  <si>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</si>
  <si>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</si>
  <si>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</si>
  <si>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</si>
  <si>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</si>
  <si>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</si>
  <si>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</si>
  <si>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</si>
  <si>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</si>
  <si>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</si>
  <si>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</si>
  <si>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</si>
  <si>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</si>
  <si>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</si>
  <si>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</si>
  <si>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r>
      <t>Employee Pensions &amp; Benefits</t>
    </r>
    <r>
      <rPr>
        <b/>
        <vertAlign val="superscript"/>
        <sz val="12"/>
        <rFont val="Times New Roman"/>
        <family val="1"/>
      </rPr>
      <t xml:space="preserve"> 1</t>
    </r>
  </si>
  <si>
    <t>Form 1; Page 323; Line 187</t>
  </si>
  <si>
    <t xml:space="preserve">Franchise Requirements </t>
  </si>
  <si>
    <t>Form 1; Page 323; Line 188</t>
  </si>
  <si>
    <r>
      <t xml:space="preserve">Regulatory Commission Expenses </t>
    </r>
    <r>
      <rPr>
        <vertAlign val="superscript"/>
        <sz val="12"/>
        <rFont val="Times New Roman"/>
        <family val="1"/>
      </rPr>
      <t xml:space="preserve"> </t>
    </r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</si>
  <si>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</si>
  <si>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</si>
  <si>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</si>
  <si>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</si>
  <si>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</si>
  <si>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</si>
  <si>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</si>
  <si>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</si>
  <si>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</si>
  <si>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</si>
  <si>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</si>
  <si>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</si>
  <si>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</si>
  <si>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Litigation expenses (ERRA)</t>
  </si>
  <si>
    <t>Other A&amp;G Exclusion Adjustments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</si>
  <si>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</si>
  <si>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</si>
  <si>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</si>
  <si>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</si>
  <si>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</si>
  <si>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</si>
  <si>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FERC Acct 926, Employee Pensions &amp; Benefits, does not include any PBOP costs for base period 2019.</t>
  </si>
  <si>
    <t>Represents 2019 Wildfire Mitigation Plan expenses that were not included as excluded expenses in 2019. This correction is reflected as an "Other BTRR Adjustment" in TO5 Cycle 4.</t>
  </si>
  <si>
    <t xml:space="preserve">Represents reclassification of 2019 3P (People, Process, Priorities) project costs from O&amp;M FERC accounts 566 and 588 to A&amp;G FERC account 923, in 2020. This correction is </t>
  </si>
  <si>
    <t>Represents 2019 abandoned project costs that were not included as excluded expenses in 2019. A portion was reclassified from A&amp;G FERC Account 930.2 to FERC Account 426.5, in</t>
  </si>
  <si>
    <t>2020. This correction is reflected as an "Other BTRR Adjustment" in TO5 Cycle 4.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</si>
  <si>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</si>
  <si>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</si>
  <si>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</si>
  <si>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</si>
  <si>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</si>
  <si>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</si>
  <si>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</si>
  <si>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</si>
  <si>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</si>
  <si>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</si>
  <si>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</si>
  <si>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</si>
  <si>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</si>
  <si>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</si>
  <si>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</si>
  <si>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</si>
  <si>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</si>
  <si>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</si>
  <si>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</si>
  <si>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</si>
  <si>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</si>
  <si>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</si>
  <si>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</si>
  <si>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</si>
  <si>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</si>
  <si>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</si>
  <si>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</si>
  <si>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</si>
  <si>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</si>
  <si>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</si>
  <si>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</si>
  <si>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</si>
  <si>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</si>
  <si>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</si>
  <si>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2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</si>
  <si>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</si>
  <si>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</si>
  <si>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2</t>
    </r>
  </si>
  <si>
    <t>Line 26 x Line 32</t>
  </si>
  <si>
    <t>The balances for Materials &amp; Supplies and Prepayments are derived based on a 13-month average balance.</t>
  </si>
  <si>
    <t>Working Capital Adjustment to show that Wholesale customers do not pay for CPUC Intervenor Funding Expense.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</si>
  <si>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</si>
  <si>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</si>
  <si>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</si>
  <si>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</si>
  <si>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</si>
  <si>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</si>
  <si>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</si>
  <si>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</si>
  <si>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</si>
  <si>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</si>
  <si>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</si>
  <si>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</si>
  <si>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</si>
  <si>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</si>
  <si>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</si>
  <si>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</si>
  <si>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</si>
  <si>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</si>
  <si>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</si>
  <si>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</si>
  <si>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</si>
  <si>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</si>
  <si>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</si>
  <si>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</si>
  <si>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</si>
  <si>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</si>
  <si>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</si>
  <si>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</si>
  <si>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</si>
  <si>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</si>
  <si>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</si>
  <si>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</si>
  <si>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</si>
  <si>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</si>
  <si>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</si>
  <si>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</si>
  <si>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</si>
  <si>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</si>
  <si>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</si>
  <si>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</si>
  <si>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</si>
  <si>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</si>
  <si>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</si>
  <si>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</si>
  <si>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</si>
  <si>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</si>
  <si>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</si>
  <si>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</si>
  <si>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</si>
  <si>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</si>
  <si>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</si>
  <si>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</si>
  <si>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</si>
  <si>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</si>
  <si>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</si>
  <si>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</si>
  <si>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</si>
  <si>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</si>
  <si>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</si>
  <si>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</si>
  <si>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</si>
  <si>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</si>
  <si>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</si>
  <si>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</si>
  <si>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</si>
  <si>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</si>
  <si>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</si>
  <si>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</si>
  <si>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</si>
  <si>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</si>
  <si>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</si>
  <si>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</si>
  <si>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</si>
  <si>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</si>
  <si>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</si>
  <si>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</si>
  <si>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</si>
  <si>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</si>
  <si>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</si>
  <si>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</si>
  <si>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</si>
  <si>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</si>
  <si>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</si>
  <si>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</si>
  <si>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</si>
  <si>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</si>
  <si>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</si>
  <si>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</si>
  <si>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</si>
  <si>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</si>
  <si>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</si>
  <si>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</si>
  <si>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</si>
  <si>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</si>
  <si>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</si>
  <si>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</si>
  <si>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</si>
  <si>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</si>
  <si>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44</t>
  </si>
  <si>
    <t xml:space="preserve">     D = Transmission Rate Base</t>
  </si>
  <si>
    <t>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</si>
  <si>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</si>
  <si>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</si>
  <si>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</si>
  <si>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</si>
  <si>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</si>
  <si>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</si>
  <si>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</si>
  <si>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</si>
  <si>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</si>
  <si>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</si>
  <si>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</si>
  <si>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</si>
  <si>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</si>
  <si>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</si>
  <si>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</si>
  <si>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</si>
  <si>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</si>
  <si>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</si>
  <si>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</si>
  <si>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</si>
  <si>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</si>
  <si>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</si>
  <si>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</si>
  <si>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</si>
  <si>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</si>
  <si>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</si>
  <si>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</si>
  <si>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</si>
  <si>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</si>
  <si>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</si>
  <si>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</si>
  <si>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</si>
  <si>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</si>
  <si>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</si>
  <si>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</si>
  <si>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</si>
  <si>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</si>
  <si>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</si>
  <si>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</si>
  <si>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</si>
  <si>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</si>
  <si>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</si>
  <si>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</si>
  <si>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</si>
  <si>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</si>
  <si>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</si>
  <si>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</si>
  <si>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</si>
  <si>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</si>
  <si>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</si>
  <si>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</si>
  <si>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</si>
  <si>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</si>
  <si>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</si>
  <si>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</si>
  <si>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</si>
  <si>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</si>
  <si>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TO5-Cycle 4 Annual Informational Filing</t>
  </si>
  <si>
    <t>Derivation of Interest Expense on Other BTRR Adjustment Applicable to TO5 Cycle 3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</si>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</sst>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#,##0.0_);\(#,##0.0\)"/>
    <numFmt numFmtId="168" formatCode="0.0000%"/>
    <numFmt numFmtId="169" formatCode="_(&quot;$&quot;* #,##0.0000_);_(&quot;$&quot;* \(#,##0.0000\);_(&quot;$&quot;* &quot;-&quot;????_);_(@_)"/>
    <numFmt numFmtId="170" formatCode="_(* #,##0.0000000_);_(* \(#,##0.0000000\);_(* &quot;-&quot;???????_);_(@_)"/>
    <numFmt numFmtId="171" formatCode="0.000000"/>
    <numFmt numFmtId="172" formatCode="0.000000000%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b/>
      <i/>
      <u/>
      <sz val="12"/>
      <name val="Times New Roman"/>
      <family val="1"/>
    </font>
    <font>
      <sz val="12"/>
      <color rgb="FF0000FF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1"/>
      <name val="Times New Roman"/>
      <family val="1"/>
    </font>
    <font>
      <b/>
      <vertAlign val="superscript"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622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1" xfId="6" applyNumberFormat="1" applyFont="1" applyBorder="1"/>
    <xf numFmtId="165" fontId="7" fillId="0" borderId="0" xfId="6" applyNumberFormat="1" applyFont="1"/>
    <xf numFmtId="165" fontId="7" fillId="0" borderId="0" xfId="6" applyNumberFormat="1" applyFont="1" applyBorder="1"/>
    <xf numFmtId="165" fontId="7" fillId="0" borderId="1" xfId="1" applyNumberFormat="1" applyFont="1" applyBorder="1"/>
    <xf numFmtId="0" fontId="3" fillId="0" borderId="0" xfId="4" applyFont="1"/>
    <xf numFmtId="164" fontId="7" fillId="0" borderId="0" xfId="4" applyNumberFormat="1" applyFont="1"/>
    <xf numFmtId="164" fontId="3" fillId="0" borderId="2" xfId="5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164" fontId="5" fillId="0" borderId="1" xfId="2" applyNumberFormat="1" applyFont="1" applyBorder="1"/>
    <xf numFmtId="37" fontId="9" fillId="0" borderId="0" xfId="0" applyNumberFormat="1" applyFont="1"/>
    <xf numFmtId="164" fontId="9" fillId="0" borderId="0" xfId="2" applyNumberFormat="1" applyFont="1" applyBorder="1"/>
    <xf numFmtId="164" fontId="9" fillId="0" borderId="0" xfId="0" applyNumberFormat="1" applyFont="1"/>
    <xf numFmtId="0" fontId="5" fillId="0" borderId="0" xfId="0" quotePrefix="1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8" fillId="0" borderId="0" xfId="0" applyFont="1" applyAlignment="1">
      <alignment horizontal="center"/>
    </xf>
    <xf numFmtId="5" fontId="9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9" fillId="0" borderId="0" xfId="0" applyFont="1" applyAlignment="1">
      <alignment horizontal="fill"/>
    </xf>
    <xf numFmtId="0" fontId="9" fillId="0" borderId="0" xfId="0" applyFont="1" applyAlignment="1">
      <alignment horizontal="left"/>
    </xf>
    <xf numFmtId="3" fontId="9" fillId="0" borderId="0" xfId="0" applyNumberFormat="1" applyFont="1"/>
    <xf numFmtId="164" fontId="5" fillId="0" borderId="0" xfId="2" applyNumberFormat="1" applyFont="1"/>
    <xf numFmtId="0" fontId="20" fillId="0" borderId="0" xfId="0" applyFont="1" applyAlignment="1">
      <alignment horizontal="center"/>
    </xf>
    <xf numFmtId="164" fontId="9" fillId="0" borderId="0" xfId="2" applyNumberFormat="1" applyFont="1"/>
    <xf numFmtId="164" fontId="5" fillId="0" borderId="0" xfId="0" applyNumberFormat="1" applyFont="1"/>
    <xf numFmtId="165" fontId="5" fillId="0" borderId="0" xfId="1" applyNumberFormat="1" applyFont="1"/>
    <xf numFmtId="165" fontId="9" fillId="0" borderId="0" xfId="1" applyNumberFormat="1" applyFont="1"/>
    <xf numFmtId="165" fontId="5" fillId="0" borderId="0" xfId="0" applyNumberFormat="1" applyFont="1"/>
    <xf numFmtId="165" fontId="5" fillId="0" borderId="1" xfId="0" applyNumberFormat="1" applyFont="1" applyBorder="1"/>
    <xf numFmtId="164" fontId="5" fillId="0" borderId="0" xfId="7" applyNumberFormat="1" applyFont="1" applyFill="1" applyAlignment="1" applyProtection="1">
      <alignment horizontal="right"/>
    </xf>
    <xf numFmtId="164" fontId="9" fillId="0" borderId="0" xfId="7" applyNumberFormat="1" applyFont="1" applyFill="1" applyAlignment="1" applyProtection="1">
      <alignment horizontal="right"/>
    </xf>
    <xf numFmtId="0" fontId="20" fillId="0" borderId="0" xfId="0" applyFont="1"/>
    <xf numFmtId="0" fontId="9" fillId="0" borderId="0" xfId="8" applyFont="1" applyAlignment="1">
      <alignment vertical="center"/>
    </xf>
    <xf numFmtId="0" fontId="9" fillId="0" borderId="0" xfId="8" applyFont="1" applyAlignment="1">
      <alignment horizontal="center" vertical="center"/>
    </xf>
    <xf numFmtId="165" fontId="9" fillId="0" borderId="1" xfId="1" applyNumberFormat="1" applyFont="1" applyBorder="1"/>
    <xf numFmtId="164" fontId="5" fillId="0" borderId="1" xfId="7" applyNumberFormat="1" applyFont="1" applyFill="1" applyBorder="1" applyAlignment="1" applyProtection="1">
      <alignment horizontal="right"/>
    </xf>
    <xf numFmtId="164" fontId="9" fillId="0" borderId="1" xfId="7" applyNumberFormat="1" applyFont="1" applyFill="1" applyBorder="1" applyAlignment="1" applyProtection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0" xfId="3" applyNumberFormat="1" applyFont="1"/>
    <xf numFmtId="164" fontId="5" fillId="0" borderId="0" xfId="7" applyNumberFormat="1" applyFont="1" applyFill="1" applyBorder="1" applyAlignment="1" applyProtection="1">
      <alignment horizontal="right"/>
    </xf>
    <xf numFmtId="164" fontId="9" fillId="0" borderId="0" xfId="7" applyNumberFormat="1" applyFont="1" applyFill="1" applyBorder="1" applyAlignment="1" applyProtection="1">
      <alignment horizontal="right"/>
    </xf>
    <xf numFmtId="164" fontId="5" fillId="0" borderId="0" xfId="2" applyNumberFormat="1" applyFont="1" applyFill="1" applyBorder="1" applyAlignment="1" applyProtection="1">
      <alignment horizontal="right"/>
    </xf>
    <xf numFmtId="0" fontId="9" fillId="0" borderId="0" xfId="8" applyFont="1" applyAlignment="1">
      <alignment horizontal="left" vertical="center"/>
    </xf>
    <xf numFmtId="168" fontId="9" fillId="0" borderId="0" xfId="3" applyNumberFormat="1" applyFont="1" applyFill="1" applyBorder="1" applyAlignment="1" applyProtection="1">
      <alignment horizontal="right"/>
    </xf>
    <xf numFmtId="164" fontId="5" fillId="0" borderId="1" xfId="2" applyNumberFormat="1" applyFont="1" applyFill="1" applyBorder="1" applyAlignment="1" applyProtection="1">
      <alignment horizontal="right"/>
    </xf>
    <xf numFmtId="0" fontId="9" fillId="0" borderId="0" xfId="8" quotePrefix="1" applyFont="1" applyAlignment="1">
      <alignment vertical="center"/>
    </xf>
    <xf numFmtId="164" fontId="5" fillId="0" borderId="2" xfId="7" quotePrefix="1" applyNumberFormat="1" applyFont="1" applyFill="1" applyBorder="1" applyAlignment="1">
      <alignment horizontal="right"/>
    </xf>
    <xf numFmtId="164" fontId="9" fillId="0" borderId="2" xfId="7" quotePrefix="1" applyNumberFormat="1" applyFont="1" applyFill="1" applyBorder="1" applyAlignment="1">
      <alignment horizontal="right"/>
    </xf>
    <xf numFmtId="164" fontId="5" fillId="0" borderId="0" xfId="7" quotePrefix="1" applyNumberFormat="1" applyFont="1" applyFill="1" applyBorder="1" applyAlignment="1">
      <alignment horizontal="right"/>
    </xf>
    <xf numFmtId="164" fontId="9" fillId="0" borderId="0" xfId="7" quotePrefix="1" applyNumberFormat="1" applyFont="1" applyFill="1" applyBorder="1" applyAlignment="1">
      <alignment horizontal="right"/>
    </xf>
    <xf numFmtId="0" fontId="14" fillId="0" borderId="0" xfId="8" quotePrefix="1" applyFont="1" applyAlignment="1">
      <alignment horizontal="center" vertical="center"/>
    </xf>
    <xf numFmtId="0" fontId="19" fillId="0" borderId="0" xfId="8" applyFont="1" applyAlignment="1">
      <alignment horizontal="left" vertical="center"/>
    </xf>
    <xf numFmtId="44" fontId="9" fillId="0" borderId="0" xfId="2" applyFont="1" applyBorder="1"/>
    <xf numFmtId="44" fontId="9" fillId="0" borderId="0" xfId="0" applyNumberFormat="1" applyFont="1"/>
    <xf numFmtId="168" fontId="9" fillId="0" borderId="0" xfId="0" applyNumberFormat="1" applyFont="1"/>
    <xf numFmtId="164" fontId="9" fillId="0" borderId="1" xfId="0" applyNumberFormat="1" applyFont="1" applyBorder="1"/>
    <xf numFmtId="44" fontId="9" fillId="0" borderId="0" xfId="2" applyFont="1"/>
    <xf numFmtId="44" fontId="9" fillId="0" borderId="19" xfId="0" applyNumberFormat="1" applyFont="1" applyBorder="1"/>
    <xf numFmtId="0" fontId="19" fillId="0" borderId="0" xfId="8" applyFont="1" applyAlignment="1">
      <alignment vertical="center"/>
    </xf>
    <xf numFmtId="168" fontId="9" fillId="0" borderId="1" xfId="0" applyNumberFormat="1" applyFont="1" applyBorder="1" applyAlignment="1">
      <alignment horizontal="right"/>
    </xf>
    <xf numFmtId="168" fontId="9" fillId="0" borderId="1" xfId="3" applyNumberFormat="1" applyFont="1" applyBorder="1"/>
    <xf numFmtId="168" fontId="9" fillId="0" borderId="1" xfId="0" applyNumberFormat="1" applyFont="1" applyBorder="1"/>
    <xf numFmtId="169" fontId="9" fillId="0" borderId="0" xfId="0" applyNumberFormat="1" applyFont="1"/>
    <xf numFmtId="169" fontId="9" fillId="0" borderId="19" xfId="0" applyNumberFormat="1" applyFont="1" applyBorder="1"/>
    <xf numFmtId="169" fontId="9" fillId="0" borderId="2" xfId="0" applyNumberFormat="1" applyFont="1" applyBorder="1"/>
    <xf numFmtId="164" fontId="5" fillId="0" borderId="2" xfId="0" applyNumberFormat="1" applyFont="1" applyBorder="1"/>
    <xf numFmtId="164" fontId="9" fillId="0" borderId="2" xfId="0" applyNumberFormat="1" applyFont="1" applyBorder="1"/>
    <xf numFmtId="0" fontId="9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left"/>
    </xf>
    <xf numFmtId="164" fontId="9" fillId="0" borderId="0" xfId="7" applyNumberFormat="1" applyFont="1" applyFill="1" applyBorder="1" applyAlignment="1" applyProtection="1">
      <alignment horizontal="right"/>
      <protection locked="0"/>
    </xf>
    <xf numFmtId="165" fontId="9" fillId="0" borderId="0" xfId="9" applyNumberFormat="1" applyFont="1" applyFill="1" applyBorder="1" applyAlignment="1" applyProtection="1">
      <alignment horizontal="right"/>
      <protection locked="0"/>
    </xf>
    <xf numFmtId="165" fontId="9" fillId="0" borderId="1" xfId="9" applyNumberFormat="1" applyFont="1" applyFill="1" applyBorder="1" applyAlignment="1" applyProtection="1">
      <alignment horizontal="right"/>
      <protection locked="0"/>
    </xf>
    <xf numFmtId="165" fontId="9" fillId="0" borderId="0" xfId="9" applyNumberFormat="1" applyFont="1" applyFill="1" applyAlignment="1" applyProtection="1">
      <alignment horizontal="center"/>
    </xf>
    <xf numFmtId="165" fontId="9" fillId="0" borderId="1" xfId="9" applyNumberFormat="1" applyFont="1" applyFill="1" applyBorder="1" applyAlignment="1" applyProtection="1">
      <alignment horizontal="center"/>
    </xf>
    <xf numFmtId="165" fontId="9" fillId="0" borderId="1" xfId="0" applyNumberFormat="1" applyFont="1" applyBorder="1"/>
    <xf numFmtId="164" fontId="9" fillId="0" borderId="0" xfId="2" applyNumberFormat="1" applyFont="1" applyFill="1" applyBorder="1" applyAlignment="1" applyProtection="1">
      <alignment horizontal="center"/>
    </xf>
    <xf numFmtId="43" fontId="9" fillId="0" borderId="1" xfId="1" applyFont="1" applyFill="1" applyBorder="1" applyAlignment="1" applyProtection="1">
      <alignment horizontal="right"/>
    </xf>
    <xf numFmtId="43" fontId="9" fillId="0" borderId="1" xfId="1" applyFont="1" applyBorder="1"/>
    <xf numFmtId="165" fontId="9" fillId="0" borderId="0" xfId="9" applyNumberFormat="1" applyFont="1" applyFill="1" applyAlignment="1" applyProtection="1">
      <alignment horizontal="right"/>
    </xf>
    <xf numFmtId="165" fontId="5" fillId="0" borderId="1" xfId="9" applyNumberFormat="1" applyFont="1" applyFill="1" applyBorder="1" applyAlignment="1" applyProtection="1">
      <alignment horizontal="right"/>
    </xf>
    <xf numFmtId="165" fontId="9" fillId="0" borderId="1" xfId="9" applyNumberFormat="1" applyFont="1" applyFill="1" applyBorder="1" applyAlignment="1" applyProtection="1">
      <alignment horizontal="right"/>
    </xf>
    <xf numFmtId="164" fontId="9" fillId="0" borderId="0" xfId="2" applyNumberFormat="1" applyFont="1" applyFill="1" applyBorder="1" applyAlignment="1" applyProtection="1">
      <alignment horizontal="right"/>
    </xf>
    <xf numFmtId="44" fontId="9" fillId="0" borderId="0" xfId="2" applyFont="1" applyFill="1" applyBorder="1" applyAlignment="1" applyProtection="1">
      <alignment horizontal="right"/>
    </xf>
    <xf numFmtId="164" fontId="9" fillId="0" borderId="1" xfId="2" applyNumberFormat="1" applyFont="1" applyFill="1" applyBorder="1" applyAlignment="1" applyProtection="1">
      <alignment horizontal="right"/>
    </xf>
    <xf numFmtId="44" fontId="9" fillId="0" borderId="1" xfId="2" applyFont="1" applyFill="1" applyBorder="1" applyAlignment="1" applyProtection="1">
      <alignment horizontal="right"/>
    </xf>
    <xf numFmtId="165" fontId="9" fillId="0" borderId="0" xfId="9" applyNumberFormat="1" applyFont="1" applyFill="1" applyBorder="1" applyAlignment="1" applyProtection="1">
      <alignment horizontal="center"/>
    </xf>
    <xf numFmtId="164" fontId="5" fillId="0" borderId="2" xfId="7" applyNumberFormat="1" applyFont="1" applyFill="1" applyBorder="1" applyAlignment="1" applyProtection="1">
      <alignment horizontal="right"/>
    </xf>
    <xf numFmtId="164" fontId="9" fillId="0" borderId="2" xfId="7" applyNumberFormat="1" applyFont="1" applyFill="1" applyBorder="1" applyAlignment="1" applyProtection="1">
      <alignment horizontal="right"/>
    </xf>
    <xf numFmtId="43" fontId="20" fillId="0" borderId="0" xfId="1" applyFont="1" applyAlignment="1">
      <alignment horizontal="center"/>
    </xf>
    <xf numFmtId="0" fontId="9" fillId="0" borderId="0" xfId="0" quotePrefix="1" applyFont="1" applyAlignment="1">
      <alignment horizontal="center"/>
    </xf>
    <xf numFmtId="10" fontId="16" fillId="0" borderId="0" xfId="10" applyNumberFormat="1" applyFont="1"/>
    <xf numFmtId="167" fontId="9" fillId="0" borderId="0" xfId="0" applyNumberFormat="1" applyFont="1" applyAlignment="1">
      <alignment horizontal="center"/>
    </xf>
    <xf numFmtId="0" fontId="23" fillId="0" borderId="0" xfId="0" applyFont="1"/>
    <xf numFmtId="6" fontId="9" fillId="0" borderId="0" xfId="0" applyNumberFormat="1" applyFont="1"/>
    <xf numFmtId="164" fontId="9" fillId="0" borderId="20" xfId="7" applyNumberFormat="1" applyFont="1" applyFill="1" applyBorder="1" applyAlignment="1" applyProtection="1">
      <alignment horizontal="right"/>
    </xf>
    <xf numFmtId="164" fontId="9" fillId="0" borderId="19" xfId="7" applyNumberFormat="1" applyFont="1" applyFill="1" applyBorder="1" applyAlignment="1" applyProtection="1">
      <alignment horizontal="right"/>
    </xf>
    <xf numFmtId="43" fontId="9" fillId="0" borderId="0" xfId="1" applyFont="1" applyFill="1" applyBorder="1" applyAlignment="1" applyProtection="1">
      <alignment horizontal="right"/>
    </xf>
    <xf numFmtId="0" fontId="9" fillId="0" borderId="0" xfId="8" applyFont="1" applyAlignment="1">
      <alignment horizontal="center" vertical="center" wrapText="1"/>
    </xf>
    <xf numFmtId="0" fontId="23" fillId="0" borderId="0" xfId="8" applyFont="1" applyAlignment="1">
      <alignment vertical="center"/>
    </xf>
    <xf numFmtId="165" fontId="5" fillId="0" borderId="0" xfId="1" applyNumberFormat="1" applyFont="1" applyFill="1" applyBorder="1"/>
    <xf numFmtId="165" fontId="9" fillId="0" borderId="0" xfId="1" applyNumberFormat="1" applyFont="1" applyFill="1" applyBorder="1"/>
    <xf numFmtId="164" fontId="9" fillId="0" borderId="0" xfId="2" applyNumberFormat="1" applyFont="1" applyFill="1" applyBorder="1"/>
    <xf numFmtId="0" fontId="5" fillId="0" borderId="0" xfId="8" applyFont="1" applyAlignment="1">
      <alignment vertical="center"/>
    </xf>
    <xf numFmtId="165" fontId="9" fillId="0" borderId="1" xfId="1" applyNumberFormat="1" applyFont="1" applyFill="1" applyBorder="1"/>
    <xf numFmtId="0" fontId="16" fillId="0" borderId="0" xfId="0" applyFont="1" applyAlignment="1">
      <alignment horizontal="center"/>
    </xf>
    <xf numFmtId="0" fontId="10" fillId="0" borderId="0" xfId="12" applyFont="1" applyAlignment="1">
      <alignment horizontal="center"/>
    </xf>
    <xf numFmtId="0" fontId="16" fillId="0" borderId="0" xfId="12" applyFont="1"/>
    <xf numFmtId="0" fontId="3" fillId="0" borderId="0" xfId="0" applyFont="1" applyAlignment="1">
      <alignment horizontal="right"/>
    </xf>
    <xf numFmtId="0" fontId="5" fillId="0" borderId="0" xfId="8" quotePrefix="1" applyFont="1" applyAlignment="1">
      <alignment horizontal="center" vertical="center"/>
    </xf>
    <xf numFmtId="167" fontId="9" fillId="0" borderId="0" xfId="8" applyNumberFormat="1" applyFont="1" applyAlignment="1">
      <alignment horizontal="center" vertical="center"/>
    </xf>
    <xf numFmtId="5" fontId="9" fillId="0" borderId="1" xfId="8" applyNumberFormat="1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5" fontId="9" fillId="0" borderId="0" xfId="8" applyNumberFormat="1" applyFont="1" applyAlignment="1">
      <alignment horizontal="center" vertical="center"/>
    </xf>
    <xf numFmtId="3" fontId="9" fillId="0" borderId="0" xfId="8" applyNumberFormat="1" applyFont="1" applyAlignment="1">
      <alignment vertical="center"/>
    </xf>
    <xf numFmtId="164" fontId="5" fillId="2" borderId="0" xfId="13" applyNumberFormat="1" applyFont="1" applyFill="1" applyAlignment="1">
      <alignment horizontal="right" vertical="center"/>
    </xf>
    <xf numFmtId="0" fontId="12" fillId="0" borderId="0" xfId="8" applyFont="1" applyAlignment="1">
      <alignment horizontal="left" vertical="center"/>
    </xf>
    <xf numFmtId="165" fontId="9" fillId="0" borderId="0" xfId="14" applyNumberFormat="1" applyFont="1" applyFill="1" applyAlignment="1">
      <alignment horizontal="right" vertical="center"/>
    </xf>
    <xf numFmtId="165" fontId="5" fillId="2" borderId="0" xfId="14" applyNumberFormat="1" applyFont="1" applyFill="1" applyAlignment="1">
      <alignment horizontal="right" vertical="center"/>
    </xf>
    <xf numFmtId="0" fontId="25" fillId="0" borderId="0" xfId="8" applyFont="1" applyAlignment="1">
      <alignment vertical="center"/>
    </xf>
    <xf numFmtId="165" fontId="9" fillId="2" borderId="1" xfId="1" applyNumberFormat="1" applyFont="1" applyFill="1" applyBorder="1" applyAlignment="1">
      <alignment horizontal="right" vertical="center"/>
    </xf>
    <xf numFmtId="164" fontId="5" fillId="0" borderId="0" xfId="13" applyNumberFormat="1" applyFont="1" applyFill="1" applyAlignment="1" applyProtection="1">
      <alignment horizontal="right" vertical="center"/>
    </xf>
    <xf numFmtId="0" fontId="9" fillId="0" borderId="0" xfId="2" applyNumberFormat="1" applyFont="1" applyAlignment="1">
      <alignment horizontal="center" vertical="center"/>
    </xf>
    <xf numFmtId="165" fontId="9" fillId="0" borderId="0" xfId="14" applyNumberFormat="1" applyFont="1" applyFill="1" applyAlignment="1">
      <alignment vertical="center"/>
    </xf>
    <xf numFmtId="164" fontId="9" fillId="2" borderId="0" xfId="2" applyNumberFormat="1" applyFont="1" applyFill="1" applyAlignment="1">
      <alignment horizontal="right" vertical="center"/>
    </xf>
    <xf numFmtId="5" fontId="5" fillId="0" borderId="0" xfId="8" applyNumberFormat="1" applyFont="1" applyAlignment="1" applyProtection="1">
      <alignment horizontal="center" vertical="center"/>
      <protection locked="0"/>
    </xf>
    <xf numFmtId="165" fontId="9" fillId="0" borderId="0" xfId="14" applyNumberFormat="1" applyFont="1" applyFill="1" applyAlignment="1" applyProtection="1">
      <alignment horizontal="center" vertical="center"/>
    </xf>
    <xf numFmtId="165" fontId="9" fillId="2" borderId="0" xfId="1" applyNumberFormat="1" applyFont="1" applyFill="1" applyAlignment="1">
      <alignment vertical="center"/>
    </xf>
    <xf numFmtId="165" fontId="9" fillId="2" borderId="0" xfId="14" applyNumberFormat="1" applyFont="1" applyFill="1" applyAlignment="1">
      <alignment horizontal="right" vertical="center"/>
    </xf>
    <xf numFmtId="165" fontId="9" fillId="0" borderId="0" xfId="14" applyNumberFormat="1" applyFont="1" applyFill="1" applyBorder="1" applyAlignment="1" applyProtection="1">
      <alignment horizontal="right" vertical="center"/>
    </xf>
    <xf numFmtId="165" fontId="9" fillId="2" borderId="1" xfId="14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6" fontId="9" fillId="0" borderId="0" xfId="8" applyNumberFormat="1" applyFont="1" applyAlignment="1">
      <alignment horizontal="right" vertical="center"/>
    </xf>
    <xf numFmtId="168" fontId="9" fillId="2" borderId="0" xfId="15" applyNumberFormat="1" applyFont="1" applyFill="1" applyAlignment="1">
      <alignment horizontal="right" vertical="center"/>
    </xf>
    <xf numFmtId="164" fontId="5" fillId="2" borderId="1" xfId="2" applyNumberFormat="1" applyFont="1" applyFill="1" applyBorder="1" applyAlignment="1" applyProtection="1">
      <alignment horizontal="right" vertical="center"/>
    </xf>
    <xf numFmtId="164" fontId="5" fillId="0" borderId="21" xfId="13" applyNumberFormat="1" applyFont="1" applyFill="1" applyBorder="1" applyAlignment="1" applyProtection="1">
      <alignment horizontal="right" vertical="center"/>
    </xf>
    <xf numFmtId="164" fontId="9" fillId="0" borderId="21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165" fontId="9" fillId="2" borderId="0" xfId="14" applyNumberFormat="1" applyFont="1" applyFill="1" applyBorder="1" applyAlignment="1" applyProtection="1">
      <alignment horizontal="right" vertical="center"/>
    </xf>
    <xf numFmtId="165" fontId="9" fillId="2" borderId="0" xfId="1" applyNumberFormat="1" applyFont="1" applyFill="1" applyBorder="1" applyAlignment="1" applyProtection="1">
      <alignment horizontal="right" vertical="center"/>
    </xf>
    <xf numFmtId="165" fontId="9" fillId="2" borderId="1" xfId="1" applyNumberFormat="1" applyFont="1" applyFill="1" applyBorder="1" applyAlignment="1" applyProtection="1">
      <alignment horizontal="right" vertical="center"/>
    </xf>
    <xf numFmtId="164" fontId="5" fillId="0" borderId="2" xfId="13" quotePrefix="1" applyNumberFormat="1" applyFont="1" applyFill="1" applyBorder="1" applyAlignment="1">
      <alignment horizontal="right" vertical="center"/>
    </xf>
    <xf numFmtId="164" fontId="12" fillId="0" borderId="0" xfId="13" quotePrefix="1" applyNumberFormat="1" applyFont="1" applyFill="1" applyBorder="1" applyAlignment="1">
      <alignment horizontal="right" vertical="center"/>
    </xf>
    <xf numFmtId="164" fontId="9" fillId="2" borderId="0" xfId="2" quotePrefix="1" applyNumberFormat="1" applyFont="1" applyFill="1" applyBorder="1" applyAlignment="1">
      <alignment horizontal="right" vertical="center"/>
    </xf>
    <xf numFmtId="164" fontId="9" fillId="0" borderId="0" xfId="13" quotePrefix="1" applyNumberFormat="1" applyFont="1" applyFill="1" applyBorder="1" applyAlignment="1">
      <alignment horizontal="right" vertical="center"/>
    </xf>
    <xf numFmtId="0" fontId="14" fillId="0" borderId="0" xfId="8" applyFont="1" applyAlignment="1">
      <alignment vertical="center"/>
    </xf>
    <xf numFmtId="164" fontId="9" fillId="2" borderId="1" xfId="2" applyNumberFormat="1" applyFont="1" applyFill="1" applyBorder="1" applyAlignment="1" applyProtection="1">
      <alignment horizontal="right" vertical="center"/>
    </xf>
    <xf numFmtId="164" fontId="9" fillId="0" borderId="21" xfId="2" applyNumberFormat="1" applyFont="1" applyFill="1" applyBorder="1" applyAlignment="1" applyProtection="1">
      <alignment horizontal="right" vertical="center"/>
    </xf>
    <xf numFmtId="164" fontId="9" fillId="0" borderId="0" xfId="2" applyNumberFormat="1" applyFont="1" applyFill="1" applyBorder="1" applyAlignment="1" applyProtection="1">
      <alignment horizontal="right" vertical="center"/>
    </xf>
    <xf numFmtId="164" fontId="9" fillId="0" borderId="19" xfId="2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</xf>
    <xf numFmtId="43" fontId="9" fillId="0" borderId="0" xfId="14" applyFont="1" applyFill="1" applyBorder="1" applyAlignment="1" applyProtection="1">
      <alignment horizontal="right" vertical="center"/>
    </xf>
    <xf numFmtId="168" fontId="9" fillId="2" borderId="1" xfId="15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8" fontId="9" fillId="4" borderId="1" xfId="15" applyNumberFormat="1" applyFont="1" applyFill="1" applyBorder="1" applyAlignment="1">
      <alignment horizontal="right" vertical="center"/>
    </xf>
    <xf numFmtId="168" fontId="9" fillId="2" borderId="0" xfId="15" quotePrefix="1" applyNumberFormat="1" applyFont="1" applyFill="1" applyBorder="1" applyAlignment="1">
      <alignment horizontal="right" vertical="center"/>
    </xf>
    <xf numFmtId="164" fontId="9" fillId="0" borderId="21" xfId="2" quotePrefix="1" applyNumberFormat="1" applyFont="1" applyFill="1" applyBorder="1" applyAlignment="1">
      <alignment horizontal="right" vertical="center"/>
    </xf>
    <xf numFmtId="164" fontId="9" fillId="0" borderId="0" xfId="2" quotePrefix="1" applyNumberFormat="1" applyFont="1" applyFill="1" applyBorder="1" applyAlignment="1">
      <alignment horizontal="right" vertical="center"/>
    </xf>
    <xf numFmtId="164" fontId="9" fillId="0" borderId="2" xfId="13" quotePrefix="1" applyNumberFormat="1" applyFont="1" applyFill="1" applyBorder="1" applyAlignment="1">
      <alignment horizontal="right" vertical="center"/>
    </xf>
    <xf numFmtId="164" fontId="5" fillId="0" borderId="0" xfId="13" quotePrefix="1" applyNumberFormat="1" applyFont="1" applyFill="1" applyBorder="1" applyAlignment="1">
      <alignment horizontal="right" vertical="center"/>
    </xf>
    <xf numFmtId="0" fontId="9" fillId="0" borderId="0" xfId="8" applyFont="1" applyAlignment="1" applyProtection="1">
      <alignment horizontal="center" vertical="center"/>
      <protection locked="0"/>
    </xf>
    <xf numFmtId="0" fontId="23" fillId="0" borderId="0" xfId="8" applyFont="1" applyAlignment="1">
      <alignment horizontal="left" vertical="center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14" applyNumberFormat="1" applyFont="1" applyFill="1" applyBorder="1" applyAlignment="1" applyProtection="1">
      <alignment horizontal="right" vertical="center"/>
      <protection locked="0"/>
    </xf>
    <xf numFmtId="165" fontId="9" fillId="2" borderId="1" xfId="14" applyNumberFormat="1" applyFont="1" applyFill="1" applyBorder="1" applyAlignment="1" applyProtection="1">
      <alignment horizontal="right" vertical="center"/>
      <protection locked="0"/>
    </xf>
    <xf numFmtId="164" fontId="9" fillId="2" borderId="0" xfId="13" applyNumberFormat="1" applyFont="1" applyFill="1" applyBorder="1" applyAlignment="1" applyProtection="1">
      <alignment horizontal="center" vertical="center"/>
    </xf>
    <xf numFmtId="165" fontId="9" fillId="2" borderId="0" xfId="1" applyNumberFormat="1" applyFont="1" applyFill="1" applyBorder="1" applyAlignment="1" applyProtection="1">
      <alignment horizontal="center" vertical="center"/>
    </xf>
    <xf numFmtId="164" fontId="9" fillId="0" borderId="21" xfId="13" applyNumberFormat="1" applyFont="1" applyFill="1" applyBorder="1" applyAlignment="1" applyProtection="1">
      <alignment horizontal="center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165" fontId="9" fillId="0" borderId="0" xfId="14" applyNumberFormat="1" applyFont="1" applyFill="1" applyAlignment="1" applyProtection="1">
      <alignment horizontal="right" vertical="center"/>
    </xf>
    <xf numFmtId="165" fontId="5" fillId="2" borderId="1" xfId="14" applyNumberFormat="1" applyFont="1" applyFill="1" applyBorder="1" applyAlignment="1" applyProtection="1">
      <alignment horizontal="right" vertical="center"/>
      <protection locked="0"/>
    </xf>
    <xf numFmtId="165" fontId="9" fillId="0" borderId="0" xfId="14" applyNumberFormat="1" applyFont="1" applyFill="1" applyBorder="1" applyAlignment="1" applyProtection="1">
      <alignment horizontal="center" vertical="center"/>
    </xf>
    <xf numFmtId="164" fontId="9" fillId="2" borderId="0" xfId="2" applyNumberFormat="1" applyFont="1" applyFill="1" applyBorder="1" applyAlignment="1" applyProtection="1">
      <alignment horizontal="center" vertical="center"/>
    </xf>
    <xf numFmtId="164" fontId="5" fillId="0" borderId="2" xfId="13" applyNumberFormat="1" applyFont="1" applyFill="1" applyBorder="1" applyAlignment="1" applyProtection="1">
      <alignment horizontal="right" vertical="center"/>
    </xf>
    <xf numFmtId="0" fontId="9" fillId="0" borderId="0" xfId="8" quotePrefix="1" applyFont="1" applyAlignment="1">
      <alignment horizontal="center" vertical="center"/>
    </xf>
    <xf numFmtId="6" fontId="12" fillId="0" borderId="0" xfId="8" applyNumberFormat="1" applyFont="1" applyAlignment="1">
      <alignment horizontal="left" vertical="center"/>
    </xf>
    <xf numFmtId="165" fontId="9" fillId="2" borderId="0" xfId="14" applyNumberFormat="1" applyFont="1" applyFill="1" applyAlignment="1" applyProtection="1">
      <alignment horizontal="right" vertical="center"/>
    </xf>
    <xf numFmtId="6" fontId="9" fillId="0" borderId="0" xfId="8" applyNumberFormat="1" applyFont="1" applyAlignment="1">
      <alignment vertical="center"/>
    </xf>
    <xf numFmtId="10" fontId="9" fillId="0" borderId="0" xfId="15" applyNumberFormat="1" applyFont="1" applyAlignment="1">
      <alignment vertical="center"/>
    </xf>
    <xf numFmtId="164" fontId="9" fillId="0" borderId="20" xfId="13" applyNumberFormat="1" applyFont="1" applyFill="1" applyBorder="1" applyAlignment="1" applyProtection="1">
      <alignment horizontal="right" vertical="center"/>
    </xf>
    <xf numFmtId="165" fontId="9" fillId="0" borderId="1" xfId="14" applyNumberFormat="1" applyFont="1" applyFill="1" applyBorder="1" applyAlignment="1" applyProtection="1">
      <alignment horizontal="right" vertical="center"/>
    </xf>
    <xf numFmtId="164" fontId="9" fillId="0" borderId="19" xfId="13" applyNumberFormat="1" applyFont="1" applyFill="1" applyBorder="1" applyAlignment="1" applyProtection="1">
      <alignment horizontal="right" vertical="center"/>
    </xf>
    <xf numFmtId="164" fontId="9" fillId="0" borderId="2" xfId="2" applyNumberFormat="1" applyFont="1" applyFill="1" applyBorder="1" applyAlignment="1" applyProtection="1">
      <alignment horizontal="right" vertical="center"/>
    </xf>
    <xf numFmtId="164" fontId="9" fillId="0" borderId="0" xfId="8" applyNumberFormat="1" applyFont="1" applyAlignment="1">
      <alignment vertical="center"/>
    </xf>
    <xf numFmtId="164" fontId="9" fillId="0" borderId="2" xfId="13" applyNumberFormat="1" applyFont="1" applyFill="1" applyBorder="1" applyAlignment="1" applyProtection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164" fontId="9" fillId="2" borderId="0" xfId="13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5" fillId="3" borderId="0" xfId="1" applyNumberFormat="1" applyFont="1" applyFill="1" applyBorder="1" applyAlignment="1">
      <alignment vertical="center"/>
    </xf>
    <xf numFmtId="164" fontId="5" fillId="0" borderId="21" xfId="2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5" fontId="12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5" fillId="3" borderId="1" xfId="1" applyNumberFormat="1" applyFont="1" applyFill="1" applyBorder="1" applyAlignment="1" applyProtection="1">
      <alignment vertical="center"/>
      <protection locked="0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5" fontId="9" fillId="3" borderId="1" xfId="1" applyNumberFormat="1" applyFont="1" applyFill="1" applyBorder="1" applyAlignment="1" applyProtection="1">
      <alignment vertical="center"/>
      <protection locked="0"/>
    </xf>
    <xf numFmtId="10" fontId="9" fillId="2" borderId="1" xfId="0" applyNumberFormat="1" applyFont="1" applyFill="1" applyBorder="1" applyAlignment="1">
      <alignment horizontal="right" vertical="center"/>
    </xf>
    <xf numFmtId="164" fontId="5" fillId="0" borderId="21" xfId="2" applyNumberFormat="1" applyFont="1" applyBorder="1" applyAlignment="1">
      <alignment horizontal="right" vertical="center"/>
    </xf>
    <xf numFmtId="165" fontId="9" fillId="0" borderId="1" xfId="1" applyNumberFormat="1" applyFont="1" applyFill="1" applyBorder="1" applyAlignment="1" applyProtection="1">
      <alignment vertical="center"/>
      <protection locked="0"/>
    </xf>
    <xf numFmtId="164" fontId="5" fillId="0" borderId="2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9" xfId="2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5" fontId="9" fillId="2" borderId="1" xfId="1" applyNumberFormat="1" applyFont="1" applyFill="1" applyBorder="1" applyAlignment="1">
      <alignment vertical="center"/>
    </xf>
    <xf numFmtId="164" fontId="9" fillId="0" borderId="19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2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20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5" fontId="9" fillId="0" borderId="0" xfId="1" quotePrefix="1" applyNumberFormat="1" applyFont="1" applyBorder="1" applyAlignment="1">
      <alignment horizontal="centerContinuous" vertical="center"/>
    </xf>
    <xf numFmtId="49" fontId="5" fillId="0" borderId="22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2" xfId="0" quotePrefix="1" applyFont="1" applyBorder="1" applyAlignment="1">
      <alignment horizontal="center" vertical="center"/>
    </xf>
    <xf numFmtId="165" fontId="5" fillId="0" borderId="12" xfId="1" quotePrefix="1" applyNumberFormat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23" xfId="0" quotePrefix="1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49" fontId="5" fillId="0" borderId="2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38" fontId="5" fillId="0" borderId="16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38" fontId="5" fillId="0" borderId="28" xfId="1" applyNumberFormat="1" applyFont="1" applyBorder="1" applyAlignment="1">
      <alignment vertical="center"/>
    </xf>
    <xf numFmtId="38" fontId="5" fillId="0" borderId="29" xfId="1" applyNumberFormat="1" applyFont="1" applyBorder="1" applyAlignment="1">
      <alignment vertical="center"/>
    </xf>
    <xf numFmtId="38" fontId="5" fillId="0" borderId="11" xfId="1" applyNumberFormat="1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164" fontId="9" fillId="0" borderId="16" xfId="2" applyNumberFormat="1" applyFont="1" applyFill="1" applyBorder="1" applyAlignment="1">
      <alignment vertical="center"/>
    </xf>
    <xf numFmtId="164" fontId="9" fillId="0" borderId="25" xfId="2" applyNumberFormat="1" applyFont="1" applyFill="1" applyBorder="1" applyAlignment="1">
      <alignment vertical="center"/>
    </xf>
    <xf numFmtId="38" fontId="9" fillId="0" borderId="11" xfId="1" applyNumberFormat="1" applyFont="1" applyBorder="1" applyAlignment="1">
      <alignment horizontal="center" vertical="center"/>
    </xf>
    <xf numFmtId="165" fontId="9" fillId="0" borderId="16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25" xfId="1" applyNumberFormat="1" applyFont="1" applyFill="1" applyBorder="1" applyAlignment="1">
      <alignment vertical="center"/>
    </xf>
    <xf numFmtId="165" fontId="9" fillId="0" borderId="17" xfId="1" applyNumberFormat="1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165" fontId="5" fillId="0" borderId="16" xfId="1" applyNumberFormat="1" applyFont="1" applyFill="1" applyBorder="1" applyAlignment="1">
      <alignment vertical="center"/>
    </xf>
    <xf numFmtId="165" fontId="9" fillId="0" borderId="13" xfId="1" applyNumberFormat="1" applyFont="1" applyFill="1" applyBorder="1" applyAlignment="1">
      <alignment vertical="center"/>
    </xf>
    <xf numFmtId="165" fontId="9" fillId="0" borderId="15" xfId="1" applyNumberFormat="1" applyFont="1" applyFill="1" applyBorder="1" applyAlignment="1">
      <alignment vertical="center"/>
    </xf>
    <xf numFmtId="165" fontId="9" fillId="0" borderId="27" xfId="1" applyNumberFormat="1" applyFont="1" applyFill="1" applyBorder="1" applyAlignment="1">
      <alignment vertical="center"/>
    </xf>
    <xf numFmtId="49" fontId="9" fillId="0" borderId="30" xfId="0" applyNumberFormat="1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164" fontId="9" fillId="0" borderId="9" xfId="2" applyNumberFormat="1" applyFont="1" applyFill="1" applyBorder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0" fontId="20" fillId="0" borderId="31" xfId="0" applyFont="1" applyBorder="1" applyAlignment="1">
      <alignment horizontal="center"/>
    </xf>
    <xf numFmtId="164" fontId="5" fillId="0" borderId="32" xfId="2" applyNumberFormat="1" applyFont="1" applyFill="1" applyBorder="1" applyAlignment="1">
      <alignment vertical="center"/>
    </xf>
    <xf numFmtId="38" fontId="9" fillId="0" borderId="8" xfId="1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166" fontId="9" fillId="0" borderId="16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9" fillId="0" borderId="17" xfId="1" applyNumberFormat="1" applyFont="1" applyFill="1" applyBorder="1" applyAlignment="1">
      <alignment vertical="center"/>
    </xf>
    <xf numFmtId="166" fontId="9" fillId="0" borderId="25" xfId="1" applyNumberFormat="1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vertical="center"/>
    </xf>
    <xf numFmtId="165" fontId="9" fillId="0" borderId="29" xfId="1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4" fontId="9" fillId="0" borderId="13" xfId="2" applyNumberFormat="1" applyFont="1" applyFill="1" applyBorder="1" applyAlignment="1">
      <alignment vertical="center"/>
    </xf>
    <xf numFmtId="164" fontId="9" fillId="0" borderId="15" xfId="2" applyNumberFormat="1" applyFont="1" applyFill="1" applyBorder="1" applyAlignment="1">
      <alignment vertical="center"/>
    </xf>
    <xf numFmtId="164" fontId="9" fillId="0" borderId="27" xfId="2" applyNumberFormat="1" applyFont="1" applyFill="1" applyBorder="1" applyAlignment="1">
      <alignment vertical="center"/>
    </xf>
    <xf numFmtId="164" fontId="5" fillId="0" borderId="29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25" xfId="2" applyNumberFormat="1" applyFont="1" applyFill="1" applyBorder="1" applyAlignment="1">
      <alignment vertical="center"/>
    </xf>
    <xf numFmtId="164" fontId="5" fillId="0" borderId="16" xfId="2" applyNumberFormat="1" applyFont="1" applyFill="1" applyBorder="1" applyAlignment="1">
      <alignment vertical="center"/>
    </xf>
    <xf numFmtId="164" fontId="5" fillId="0" borderId="18" xfId="2" applyNumberFormat="1" applyFont="1" applyFill="1" applyBorder="1" applyAlignment="1">
      <alignment vertical="center"/>
    </xf>
    <xf numFmtId="0" fontId="20" fillId="0" borderId="33" xfId="0" applyFont="1" applyBorder="1" applyAlignment="1">
      <alignment horizontal="center"/>
    </xf>
    <xf numFmtId="164" fontId="5" fillId="0" borderId="34" xfId="2" applyNumberFormat="1" applyFont="1" applyFill="1" applyBorder="1" applyAlignment="1">
      <alignment vertical="center"/>
    </xf>
    <xf numFmtId="49" fontId="9" fillId="0" borderId="3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166" fontId="9" fillId="0" borderId="32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9" fillId="0" borderId="10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0" fontId="9" fillId="0" borderId="11" xfId="0" applyFont="1" applyBorder="1" applyAlignment="1">
      <alignment vertical="center"/>
    </xf>
    <xf numFmtId="49" fontId="19" fillId="0" borderId="10" xfId="0" applyNumberFormat="1" applyFont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horizontal="left" vertical="center"/>
    </xf>
    <xf numFmtId="170" fontId="9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left" vertical="center"/>
    </xf>
    <xf numFmtId="164" fontId="5" fillId="0" borderId="2" xfId="2" applyNumberFormat="1" applyFont="1" applyFill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/>
    </xf>
    <xf numFmtId="165" fontId="9" fillId="0" borderId="3" xfId="1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5" fillId="0" borderId="22" xfId="0" applyNumberFormat="1" applyFont="1" applyBorder="1" applyAlignment="1">
      <alignment horizontal="center" vertical="center"/>
    </xf>
    <xf numFmtId="37" fontId="5" fillId="0" borderId="6" xfId="0" applyNumberFormat="1" applyFont="1" applyBorder="1" applyAlignment="1">
      <alignment vertical="center"/>
    </xf>
    <xf numFmtId="37" fontId="5" fillId="0" borderId="12" xfId="0" quotePrefix="1" applyNumberFormat="1" applyFont="1" applyBorder="1" applyAlignment="1">
      <alignment horizontal="center" vertical="center"/>
    </xf>
    <xf numFmtId="37" fontId="5" fillId="0" borderId="6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6" xfId="16" applyNumberFormat="1" applyFont="1" applyBorder="1" applyAlignment="1">
      <alignment horizontal="center" vertical="center"/>
    </xf>
    <xf numFmtId="37" fontId="5" fillId="0" borderId="0" xfId="16" applyNumberFormat="1" applyFont="1" applyAlignment="1">
      <alignment horizontal="center"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30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9" xfId="16" applyNumberFormat="1" applyFont="1" applyBorder="1" applyAlignment="1">
      <alignment horizontal="center" vertical="center"/>
    </xf>
    <xf numFmtId="37" fontId="5" fillId="0" borderId="3" xfId="16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37" fontId="5" fillId="0" borderId="8" xfId="0" applyNumberFormat="1" applyFont="1" applyBorder="1" applyAlignment="1">
      <alignment horizontal="center" vertical="center"/>
    </xf>
    <xf numFmtId="37" fontId="9" fillId="0" borderId="24" xfId="0" applyNumberFormat="1" applyFont="1" applyBorder="1" applyAlignment="1">
      <alignment horizontal="center" vertical="center"/>
    </xf>
    <xf numFmtId="37" fontId="26" fillId="0" borderId="0" xfId="0" applyNumberFormat="1" applyFont="1" applyAlignment="1">
      <alignment vertical="center"/>
    </xf>
    <xf numFmtId="37" fontId="10" fillId="0" borderId="16" xfId="16" applyNumberFormat="1" applyFont="1" applyBorder="1" applyAlignment="1">
      <alignment horizontal="left" vertical="center"/>
    </xf>
    <xf numFmtId="37" fontId="9" fillId="0" borderId="16" xfId="16" applyNumberFormat="1" applyFont="1" applyBorder="1" applyAlignment="1">
      <alignment horizontal="center" vertical="center"/>
    </xf>
    <xf numFmtId="37" fontId="9" fillId="0" borderId="0" xfId="16" applyNumberFormat="1" applyFont="1" applyAlignment="1">
      <alignment horizontal="center" vertical="center"/>
    </xf>
    <xf numFmtId="37" fontId="9" fillId="0" borderId="23" xfId="16" applyNumberFormat="1" applyFont="1" applyBorder="1" applyAlignment="1">
      <alignment horizontal="center" vertical="center"/>
    </xf>
    <xf numFmtId="37" fontId="9" fillId="0" borderId="12" xfId="16" applyNumberFormat="1" applyFont="1" applyBorder="1" applyAlignment="1">
      <alignment horizontal="center" vertical="center"/>
    </xf>
    <xf numFmtId="37" fontId="9" fillId="0" borderId="11" xfId="16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5" fontId="9" fillId="0" borderId="16" xfId="1" applyNumberFormat="1" applyFont="1" applyFill="1" applyBorder="1" applyAlignment="1">
      <alignment horizontal="right" vertical="center"/>
    </xf>
    <xf numFmtId="165" fontId="5" fillId="0" borderId="25" xfId="1" applyNumberFormat="1" applyFont="1" applyFill="1" applyBorder="1"/>
    <xf numFmtId="167" fontId="9" fillId="0" borderId="24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9" fillId="0" borderId="25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164" fontId="5" fillId="0" borderId="18" xfId="2" applyNumberFormat="1" applyFont="1" applyBorder="1" applyAlignment="1">
      <alignment vertical="center"/>
    </xf>
    <xf numFmtId="37" fontId="9" fillId="0" borderId="11" xfId="0" applyNumberFormat="1" applyFont="1" applyBorder="1" applyAlignment="1">
      <alignment horizontal="center" vertical="center"/>
    </xf>
    <xf numFmtId="37" fontId="9" fillId="0" borderId="30" xfId="0" applyNumberFormat="1" applyFont="1" applyBorder="1" applyAlignment="1">
      <alignment vertical="center"/>
    </xf>
    <xf numFmtId="37" fontId="9" fillId="0" borderId="9" xfId="1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7" fontId="9" fillId="0" borderId="8" xfId="0" applyNumberFormat="1" applyFont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9" fillId="0" borderId="6" xfId="0" applyNumberFormat="1" applyFont="1" applyBorder="1" applyAlignment="1">
      <alignment vertical="center"/>
    </xf>
    <xf numFmtId="37" fontId="9" fillId="0" borderId="6" xfId="1" applyNumberFormat="1" applyFont="1" applyBorder="1" applyAlignment="1">
      <alignment vertical="center"/>
    </xf>
    <xf numFmtId="37" fontId="9" fillId="0" borderId="6" xfId="1" applyNumberFormat="1" applyFont="1" applyFill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19" fillId="0" borderId="10" xfId="0" applyNumberFormat="1" applyFont="1" applyBorder="1" applyAlignment="1">
      <alignment horizontal="left" vertical="center"/>
    </xf>
    <xf numFmtId="37" fontId="9" fillId="0" borderId="10" xfId="11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37" fontId="9" fillId="0" borderId="0" xfId="0" applyNumberFormat="1" applyFont="1" applyAlignment="1">
      <alignment vertical="top"/>
    </xf>
    <xf numFmtId="37" fontId="9" fillId="0" borderId="0" xfId="0" applyNumberFormat="1" applyFont="1" applyAlignment="1">
      <alignment horizontal="left" vertical="top"/>
    </xf>
    <xf numFmtId="37" fontId="27" fillId="0" borderId="0" xfId="0" applyNumberFormat="1" applyFont="1"/>
    <xf numFmtId="37" fontId="10" fillId="0" borderId="0" xfId="0" applyNumberFormat="1" applyFont="1" applyAlignment="1">
      <alignment horizontal="right" vertical="center"/>
    </xf>
    <xf numFmtId="37" fontId="10" fillId="0" borderId="11" xfId="0" applyNumberFormat="1" applyFont="1" applyBorder="1" applyAlignment="1">
      <alignment vertical="center"/>
    </xf>
    <xf numFmtId="43" fontId="27" fillId="0" borderId="0" xfId="1" applyFont="1" applyFill="1" applyBorder="1"/>
    <xf numFmtId="165" fontId="27" fillId="0" borderId="0" xfId="1" applyNumberFormat="1" applyFont="1" applyFill="1" applyBorder="1"/>
    <xf numFmtId="37" fontId="9" fillId="0" borderId="10" xfId="11" applyNumberFormat="1" applyFont="1" applyBorder="1" applyAlignment="1">
      <alignment horizontal="center" vertical="top"/>
    </xf>
    <xf numFmtId="165" fontId="9" fillId="0" borderId="1" xfId="1" applyNumberFormat="1" applyFont="1" applyFill="1" applyBorder="1" applyAlignment="1"/>
    <xf numFmtId="165" fontId="9" fillId="0" borderId="0" xfId="1" applyNumberFormat="1" applyFont="1" applyFill="1" applyBorder="1" applyAlignment="1">
      <alignment vertical="top"/>
    </xf>
    <xf numFmtId="167" fontId="9" fillId="0" borderId="10" xfId="11" applyNumberFormat="1" applyFont="1" applyBorder="1" applyAlignment="1">
      <alignment horizontal="center" wrapText="1"/>
    </xf>
    <xf numFmtId="165" fontId="27" fillId="0" borderId="0" xfId="1" applyNumberFormat="1" applyFont="1" applyFill="1" applyBorder="1" applyAlignment="1">
      <alignment vertical="top"/>
    </xf>
    <xf numFmtId="165" fontId="9" fillId="0" borderId="1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wrapText="1"/>
    </xf>
    <xf numFmtId="37" fontId="9" fillId="0" borderId="10" xfId="17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43" fontId="10" fillId="0" borderId="0" xfId="1" applyFont="1" applyFill="1" applyBorder="1" applyAlignment="1">
      <alignment horizontal="right" vertical="center"/>
    </xf>
    <xf numFmtId="37" fontId="9" fillId="0" borderId="10" xfId="0" applyNumberFormat="1" applyFont="1" applyBorder="1" applyAlignment="1">
      <alignment vertical="center"/>
    </xf>
    <xf numFmtId="37" fontId="5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7" fontId="9" fillId="0" borderId="7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18" applyNumberFormat="1" applyFont="1" applyAlignment="1" applyProtection="1">
      <alignment horizontal="center" vertical="center"/>
      <protection locked="0"/>
    </xf>
    <xf numFmtId="37" fontId="5" fillId="0" borderId="0" xfId="18" applyNumberFormat="1" applyFont="1" applyAlignment="1">
      <alignment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15" fontId="9" fillId="0" borderId="1" xfId="11" applyNumberFormat="1" applyFont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164" fontId="9" fillId="0" borderId="0" xfId="7" applyNumberFormat="1" applyFont="1" applyBorder="1" applyAlignment="1" applyProtection="1">
      <alignment vertical="center"/>
      <protection locked="0"/>
    </xf>
    <xf numFmtId="5" fontId="5" fillId="0" borderId="0" xfId="11" applyNumberFormat="1" applyFont="1" applyAlignment="1" applyProtection="1">
      <alignment horizontal="center" vertical="center"/>
      <protection locked="0"/>
    </xf>
    <xf numFmtId="164" fontId="9" fillId="3" borderId="0" xfId="7" applyNumberFormat="1" applyFont="1" applyFill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10" fontId="9" fillId="2" borderId="1" xfId="11" applyNumberFormat="1" applyFont="1" applyFill="1" applyBorder="1" applyAlignment="1" applyProtection="1">
      <alignment horizontal="right" vertical="center"/>
      <protection locked="0"/>
    </xf>
    <xf numFmtId="164" fontId="9" fillId="0" borderId="0" xfId="7" applyNumberFormat="1" applyFont="1" applyBorder="1" applyAlignment="1" applyProtection="1">
      <alignment horizontal="right" vertical="center"/>
      <protection locked="0"/>
    </xf>
    <xf numFmtId="164" fontId="9" fillId="0" borderId="2" xfId="7" applyNumberFormat="1" applyFont="1" applyBorder="1" applyAlignment="1" applyProtection="1">
      <alignment horizontal="right" vertical="center"/>
      <protection locked="0"/>
    </xf>
    <xf numFmtId="164" fontId="9" fillId="0" borderId="0" xfId="7" applyNumberFormat="1" applyFont="1" applyBorder="1" applyAlignment="1">
      <alignment vertical="center"/>
    </xf>
    <xf numFmtId="164" fontId="9" fillId="3" borderId="1" xfId="7" applyNumberFormat="1" applyFont="1" applyFill="1" applyBorder="1" applyAlignment="1" applyProtection="1">
      <alignment horizontal="center" vertical="center"/>
      <protection locked="0"/>
    </xf>
    <xf numFmtId="0" fontId="23" fillId="0" borderId="0" xfId="11" applyFont="1" applyAlignment="1">
      <alignment vertical="center"/>
    </xf>
    <xf numFmtId="164" fontId="5" fillId="2" borderId="0" xfId="7" applyNumberFormat="1" applyFont="1" applyFill="1" applyAlignment="1" applyProtection="1">
      <alignment vertical="center"/>
      <protection locked="0"/>
    </xf>
    <xf numFmtId="164" fontId="9" fillId="0" borderId="0" xfId="7" applyNumberFormat="1" applyFont="1" applyFill="1" applyBorder="1" applyAlignment="1" applyProtection="1">
      <alignment vertical="center"/>
      <protection locked="0"/>
    </xf>
    <xf numFmtId="165" fontId="9" fillId="2" borderId="1" xfId="1" applyNumberFormat="1" applyFont="1" applyFill="1" applyBorder="1" applyAlignment="1" applyProtection="1">
      <alignment vertical="center"/>
      <protection locked="0"/>
    </xf>
    <xf numFmtId="164" fontId="5" fillId="0" borderId="0" xfId="7" applyNumberFormat="1" applyFont="1" applyAlignment="1">
      <alignment horizontal="right" vertical="center"/>
    </xf>
    <xf numFmtId="10" fontId="9" fillId="3" borderId="1" xfId="10" applyNumberFormat="1" applyFont="1" applyFill="1" applyBorder="1" applyAlignment="1">
      <alignment vertical="center"/>
    </xf>
    <xf numFmtId="10" fontId="9" fillId="0" borderId="0" xfId="10" applyNumberFormat="1" applyFont="1" applyBorder="1" applyAlignment="1">
      <alignment vertical="center"/>
    </xf>
    <xf numFmtId="164" fontId="5" fillId="0" borderId="2" xfId="7" applyNumberFormat="1" applyFont="1" applyBorder="1" applyAlignment="1" applyProtection="1">
      <alignment horizontal="right" vertical="center"/>
      <protection locked="0"/>
    </xf>
    <xf numFmtId="164" fontId="5" fillId="0" borderId="0" xfId="7" applyNumberFormat="1" applyFont="1" applyFill="1" applyAlignment="1" applyProtection="1">
      <alignment vertical="center"/>
      <protection locked="0"/>
    </xf>
    <xf numFmtId="10" fontId="9" fillId="0" borderId="1" xfId="10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168" fontId="9" fillId="2" borderId="1" xfId="10" applyNumberFormat="1" applyFont="1" applyFill="1" applyBorder="1" applyAlignment="1">
      <alignment horizontal="right" vertical="center"/>
    </xf>
    <xf numFmtId="164" fontId="9" fillId="0" borderId="2" xfId="2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11" quotePrefix="1" applyFont="1" applyAlignment="1">
      <alignment horizontal="center" vertical="center"/>
    </xf>
    <xf numFmtId="165" fontId="9" fillId="0" borderId="0" xfId="9" applyNumberFormat="1" applyFont="1" applyBorder="1" applyAlignment="1">
      <alignment vertical="center"/>
    </xf>
    <xf numFmtId="165" fontId="9" fillId="0" borderId="0" xfId="9" applyNumberFormat="1" applyFont="1" applyBorder="1" applyAlignment="1" applyProtection="1">
      <alignment vertical="center"/>
      <protection locked="0"/>
    </xf>
    <xf numFmtId="165" fontId="9" fillId="0" borderId="0" xfId="9" applyNumberFormat="1" applyFont="1" applyAlignment="1" applyProtection="1">
      <alignment vertical="center"/>
      <protection locked="0"/>
    </xf>
    <xf numFmtId="165" fontId="5" fillId="2" borderId="0" xfId="9" applyNumberFormat="1" applyFont="1" applyFill="1" applyBorder="1" applyAlignment="1" applyProtection="1">
      <alignment horizontal="right" vertical="center"/>
      <protection locked="0"/>
    </xf>
    <xf numFmtId="165" fontId="9" fillId="0" borderId="0" xfId="9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9" fillId="3" borderId="0" xfId="2" applyNumberFormat="1" applyFont="1" applyFill="1" applyAlignment="1" applyProtection="1">
      <alignment vertical="center"/>
      <protection locked="0"/>
    </xf>
    <xf numFmtId="0" fontId="28" fillId="0" borderId="0" xfId="0" applyFont="1" applyAlignment="1">
      <alignment horizontal="center" vertical="center" wrapText="1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21" xfId="2" applyNumberFormat="1" applyFont="1" applyBorder="1" applyAlignment="1">
      <alignment vertical="center"/>
    </xf>
    <xf numFmtId="0" fontId="29" fillId="0" borderId="0" xfId="0" applyFont="1" applyAlignment="1">
      <alignment horizontal="center" vertical="center" wrapText="1"/>
    </xf>
    <xf numFmtId="164" fontId="9" fillId="0" borderId="20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4" fontId="9" fillId="3" borderId="1" xfId="2" applyNumberFormat="1" applyFont="1" applyFill="1" applyBorder="1" applyAlignment="1" applyProtection="1">
      <alignment vertical="center"/>
      <protection locked="0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9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0" borderId="0" xfId="0" applyNumberFormat="1" applyFont="1" applyAlignment="1">
      <alignment vertical="center"/>
    </xf>
    <xf numFmtId="10" fontId="9" fillId="0" borderId="1" xfId="3" applyNumberFormat="1" applyFont="1" applyBorder="1" applyAlignment="1">
      <alignment horizontal="right" vertical="center"/>
    </xf>
    <xf numFmtId="164" fontId="9" fillId="0" borderId="19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23" fillId="0" borderId="3" xfId="0" applyFont="1" applyBorder="1" applyAlignment="1">
      <alignment vertical="center"/>
    </xf>
    <xf numFmtId="10" fontId="9" fillId="0" borderId="3" xfId="3" applyNumberFormat="1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171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9" fillId="3" borderId="1" xfId="3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2" borderId="1" xfId="3" applyNumberFormat="1" applyFont="1" applyFill="1" applyBorder="1" applyAlignment="1">
      <alignment horizontal="right" vertical="center"/>
    </xf>
    <xf numFmtId="168" fontId="9" fillId="0" borderId="2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8" fontId="9" fillId="0" borderId="0" xfId="0" applyNumberFormat="1" applyFont="1" applyAlignment="1">
      <alignment vertical="center"/>
    </xf>
    <xf numFmtId="164" fontId="9" fillId="4" borderId="0" xfId="2" applyNumberFormat="1" applyFont="1" applyFill="1" applyAlignment="1">
      <alignment horizontal="right" vertical="center"/>
    </xf>
    <xf numFmtId="172" fontId="9" fillId="0" borderId="0" xfId="0" applyNumberFormat="1" applyFont="1" applyAlignment="1">
      <alignment vertical="center"/>
    </xf>
    <xf numFmtId="168" fontId="9" fillId="0" borderId="1" xfId="3" applyNumberFormat="1" applyFont="1" applyFill="1" applyBorder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9" fontId="9" fillId="2" borderId="1" xfId="3" applyFont="1" applyFill="1" applyBorder="1" applyAlignment="1">
      <alignment horizontal="right" vertical="center"/>
    </xf>
    <xf numFmtId="10" fontId="9" fillId="2" borderId="1" xfId="3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horizontal="right" vertical="center"/>
    </xf>
    <xf numFmtId="168" fontId="9" fillId="0" borderId="2" xfId="0" applyNumberFormat="1" applyFont="1" applyBorder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8" fontId="9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 applyBorder="1"/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32" fillId="0" borderId="10" xfId="0" applyFont="1" applyBorder="1" applyAlignment="1">
      <alignment horizontal="center" vertical="center"/>
    </xf>
    <xf numFmtId="167" fontId="5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5" fontId="33" fillId="0" borderId="25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14" fillId="0" borderId="25" xfId="1" applyNumberFormat="1" applyFont="1" applyFill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37" fontId="9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1" xfId="1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64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 vertical="center"/>
    </xf>
    <xf numFmtId="10" fontId="7" fillId="0" borderId="0" xfId="3" applyNumberFormat="1" applyFont="1" applyAlignment="1">
      <alignment vertical="center"/>
    </xf>
    <xf numFmtId="173" fontId="7" fillId="0" borderId="0" xfId="3" applyNumberFormat="1" applyFont="1" applyAlignment="1">
      <alignment vertical="center"/>
    </xf>
    <xf numFmtId="0" fontId="9" fillId="0" borderId="1" xfId="11" applyFont="1" applyBorder="1" applyAlignment="1">
      <alignment horizontal="left" vertical="center"/>
    </xf>
    <xf numFmtId="1" fontId="9" fillId="0" borderId="1" xfId="11" applyNumberFormat="1" applyFont="1" applyBorder="1" applyAlignment="1">
      <alignment horizontal="center" vertical="center"/>
    </xf>
    <xf numFmtId="165" fontId="7" fillId="0" borderId="1" xfId="1" applyNumberFormat="1" applyFont="1" applyFill="1" applyBorder="1" applyAlignment="1">
      <alignment vertical="center"/>
    </xf>
    <xf numFmtId="10" fontId="9" fillId="3" borderId="1" xfId="3" applyNumberFormat="1" applyFont="1" applyFill="1" applyBorder="1"/>
    <xf numFmtId="165" fontId="7" fillId="0" borderId="1" xfId="1" applyNumberFormat="1" applyFont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right" vertical="center"/>
    </xf>
    <xf numFmtId="165" fontId="7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right" vertical="center"/>
    </xf>
    <xf numFmtId="164" fontId="7" fillId="0" borderId="19" xfId="2" applyNumberFormat="1" applyFont="1" applyFill="1" applyBorder="1" applyAlignment="1">
      <alignment vertical="center"/>
    </xf>
    <xf numFmtId="174" fontId="7" fillId="0" borderId="2" xfId="2" applyNumberFormat="1" applyFont="1" applyBorder="1" applyAlignment="1">
      <alignment vertical="center"/>
    </xf>
    <xf numFmtId="174" fontId="7" fillId="0" borderId="0" xfId="2" applyNumberFormat="1" applyFont="1" applyAlignment="1">
      <alignment vertical="center"/>
    </xf>
    <xf numFmtId="164" fontId="9" fillId="0" borderId="19" xfId="2" applyNumberFormat="1" applyFont="1" applyFill="1" applyBorder="1" applyAlignment="1">
      <alignment vertical="center"/>
    </xf>
    <xf numFmtId="174" fontId="9" fillId="0" borderId="0" xfId="2" applyNumberFormat="1" applyFont="1" applyFill="1" applyAlignment="1">
      <alignment vertical="center"/>
    </xf>
    <xf numFmtId="175" fontId="7" fillId="0" borderId="0" xfId="0" applyNumberFormat="1" applyFont="1" applyAlignment="1">
      <alignment vertical="center"/>
    </xf>
    <xf numFmtId="175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4" fillId="0" borderId="0" xfId="2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9" fillId="0" borderId="0" xfId="0" applyNumberFormat="1" applyFont="1"/>
    <xf numFmtId="164" fontId="5" fillId="0" borderId="2" xfId="7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16" fillId="0" borderId="0" xfId="0" applyFont="1" applyAlignment="1"/>
    <xf numFmtId="0" fontId="5" fillId="2" borderId="0" xfId="8" applyFont="1" applyFill="1" applyAlignment="1">
      <alignment horizontal="center" vertical="center"/>
    </xf>
    <xf numFmtId="0" fontId="5" fillId="2" borderId="0" xfId="8" applyFont="1" applyFill="1" applyAlignment="1">
      <alignment vertical="center"/>
    </xf>
    <xf numFmtId="0" fontId="5" fillId="0" borderId="0" xfId="8" quotePrefix="1" applyFont="1" applyAlignment="1">
      <alignment horizontal="center" vertical="center"/>
    </xf>
    <xf numFmtId="0" fontId="5" fillId="0" borderId="0" xfId="8" applyFont="1" applyAlignment="1">
      <alignment vertical="center"/>
    </xf>
    <xf numFmtId="0" fontId="5" fillId="0" borderId="0" xfId="8" applyFont="1" applyAlignment="1">
      <alignment horizontal="center" vertical="center"/>
    </xf>
    <xf numFmtId="0" fontId="9" fillId="0" borderId="0" xfId="8" applyFont="1" applyAlignment="1">
      <alignment vertical="center"/>
    </xf>
    <xf numFmtId="0" fontId="5" fillId="3" borderId="0" xfId="8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0" fillId="0" borderId="0" xfId="0" applyFont="1" applyBorder="1" applyAlignment="1">
      <alignment horizontal="center"/>
    </xf>
  </cellXfs>
  <cellStyles count="21">
    <cellStyle name="Comma" xfId="1" builtinId="3"/>
    <cellStyle name="Comma 2" xfId="9" xr:uid="{E218AF85-C6C9-44D7-9826-DAAE82C52D81}"/>
    <cellStyle name="Comma 2 2" xfId="14" xr:uid="{AF071F67-3B0C-4EA1-BB2D-77CA586E1771}"/>
    <cellStyle name="Comma 4" xfId="6" xr:uid="{B22F5E81-ABE4-4EEE-9861-61D4A72D0EC8}"/>
    <cellStyle name="Currency" xfId="2" builtinId="4"/>
    <cellStyle name="Currency 2" xfId="7" xr:uid="{2FB3A6EC-A591-418E-AE53-135728C8FF55}"/>
    <cellStyle name="Currency 2 2" xfId="13" xr:uid="{BE5CA40B-4EF2-46C0-ACCA-0BF3AC0AF312}"/>
    <cellStyle name="Currency 4" xfId="5" xr:uid="{0A571740-701C-4662-8164-0257FFEF0B5F}"/>
    <cellStyle name="Normal" xfId="0" builtinId="0"/>
    <cellStyle name="Normal 10 18" xfId="20" xr:uid="{6714C7A9-328D-43BE-AE34-69D262437185}"/>
    <cellStyle name="Normal 2" xfId="11" xr:uid="{CF6AB890-B773-46E7-BCE6-08FB6AEB0DA0}"/>
    <cellStyle name="Normal 2 2 2" xfId="17" xr:uid="{92A4FFDA-8860-4BAD-9EAB-44F0DE9FCFF8}"/>
    <cellStyle name="Normal 3 2" xfId="18" xr:uid="{03100693-46EF-4B5B-9F9D-D6D3C25C0406}"/>
    <cellStyle name="Normal 4" xfId="4" xr:uid="{43D116BF-F776-4CC1-8D01-7D68022FBD06}"/>
    <cellStyle name="Normal 8" xfId="12" xr:uid="{58534AD9-7916-478A-A9F1-0462037A1FEC}"/>
    <cellStyle name="Normal 9" xfId="8" xr:uid="{93A86AC0-49E3-4B08-85E9-0569D134CF47}"/>
    <cellStyle name="Normal 9 8" xfId="19" xr:uid="{E8116638-ACA0-4EAE-A6F9-9DF2DDCE6240}"/>
    <cellStyle name="Normal_A&amp;gallc1999" xfId="16" xr:uid="{2FFB1A0F-1F23-429E-960E-C59C7E6D56EA}"/>
    <cellStyle name="Percent" xfId="3" builtinId="5"/>
    <cellStyle name="Percent 2" xfId="10" xr:uid="{68EB3EBF-0DBC-4DCD-9C99-F0A5ACE39AE1}"/>
    <cellStyle name="Percent 3" xfId="15" xr:uid="{FBAD6B6B-6164-430F-99AF-69F81C056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1047750</xdr:colOff>
      <xdr:row>13</xdr:row>
      <xdr:rowOff>11907</xdr:rowOff>
    </xdr:from>
    <xdr:to>
      <xdr:col>8</xdr:col>
      <xdr:colOff>35721</xdr:colOff>
      <xdr:row>14</xdr:row>
      <xdr:rowOff>219076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E54F51A-18B4-48DD-9751-4750C70C56D2}"/>
            </a:ext>
          </a:extLst>
        </xdr:cNvPr>
        <xdr:cNvSpPr/>
      </xdr:nvSpPr>
      <xdr:spPr>
        <a:xfrm>
          <a:off x="9798844" y="2726532"/>
          <a:ext cx="95252" cy="42148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538C4B79-FB4A-4232-8BAF-7B63F74795CE}"/>
            </a:ext>
          </a:extLst>
        </xdr:cNvPr>
        <xdr:cNvSpPr>
          <a:spLocks noChangeShapeType="1"/>
        </xdr:cNvSpPr>
      </xdr:nvSpPr>
      <xdr:spPr bwMode="auto">
        <a:xfrm>
          <a:off x="1903414" y="256270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427A77DC-6B28-493D-8592-E88CF42D6197}"/>
            </a:ext>
          </a:extLst>
        </xdr:cNvPr>
        <xdr:cNvSpPr>
          <a:spLocks noChangeShapeType="1"/>
        </xdr:cNvSpPr>
      </xdr:nvSpPr>
      <xdr:spPr bwMode="auto">
        <a:xfrm>
          <a:off x="1760542" y="2796539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205</xdr:row>
      <xdr:rowOff>9525</xdr:rowOff>
    </xdr:from>
    <xdr:to>
      <xdr:col>1</xdr:col>
      <xdr:colOff>3581077</xdr:colOff>
      <xdr:row>205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5253FC90-30F2-42AA-909B-5E35FD629090}"/>
            </a:ext>
          </a:extLst>
        </xdr:cNvPr>
        <xdr:cNvSpPr>
          <a:spLocks noChangeShapeType="1"/>
        </xdr:cNvSpPr>
      </xdr:nvSpPr>
      <xdr:spPr bwMode="auto">
        <a:xfrm>
          <a:off x="1903414" y="408193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205</xdr:row>
      <xdr:rowOff>9525</xdr:rowOff>
    </xdr:from>
    <xdr:to>
      <xdr:col>1</xdr:col>
      <xdr:colOff>3581077</xdr:colOff>
      <xdr:row>205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DC7A301-B46B-4E1E-AACC-EAF08A4586EE}"/>
            </a:ext>
          </a:extLst>
        </xdr:cNvPr>
        <xdr:cNvSpPr>
          <a:spLocks noChangeShapeType="1"/>
        </xdr:cNvSpPr>
      </xdr:nvSpPr>
      <xdr:spPr bwMode="auto">
        <a:xfrm>
          <a:off x="1903414" y="408193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217</xdr:row>
      <xdr:rowOff>-1</xdr:rowOff>
    </xdr:from>
    <xdr:to>
      <xdr:col>2</xdr:col>
      <xdr:colOff>312424</xdr:colOff>
      <xdr:row>217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45A3EF2-35A3-4358-BA64-2397712CDFB2}"/>
            </a:ext>
          </a:extLst>
        </xdr:cNvPr>
        <xdr:cNvSpPr>
          <a:spLocks noChangeShapeType="1"/>
        </xdr:cNvSpPr>
      </xdr:nvSpPr>
      <xdr:spPr bwMode="auto">
        <a:xfrm>
          <a:off x="1760542" y="4315301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8E7074E5-C172-4196-9F56-5E7D7ED96A01}"/>
            </a:ext>
          </a:extLst>
        </xdr:cNvPr>
        <xdr:cNvSpPr>
          <a:spLocks noChangeShapeType="1"/>
        </xdr:cNvSpPr>
      </xdr:nvSpPr>
      <xdr:spPr bwMode="auto">
        <a:xfrm>
          <a:off x="1903414" y="321516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46356E6E-A22B-463C-BA09-33D47B5B118F}"/>
            </a:ext>
          </a:extLst>
        </xdr:cNvPr>
        <xdr:cNvSpPr>
          <a:spLocks noChangeShapeType="1"/>
        </xdr:cNvSpPr>
      </xdr:nvSpPr>
      <xdr:spPr bwMode="auto">
        <a:xfrm>
          <a:off x="1760542" y="3449002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238</xdr:row>
      <xdr:rowOff>9525</xdr:rowOff>
    </xdr:from>
    <xdr:to>
      <xdr:col>1</xdr:col>
      <xdr:colOff>3581077</xdr:colOff>
      <xdr:row>238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F1E4A9FB-CEF9-46DA-A3D3-8E81293FFDE8}"/>
            </a:ext>
          </a:extLst>
        </xdr:cNvPr>
        <xdr:cNvSpPr>
          <a:spLocks noChangeShapeType="1"/>
        </xdr:cNvSpPr>
      </xdr:nvSpPr>
      <xdr:spPr bwMode="auto">
        <a:xfrm>
          <a:off x="1903414" y="473344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238</xdr:row>
      <xdr:rowOff>9525</xdr:rowOff>
    </xdr:from>
    <xdr:to>
      <xdr:col>1</xdr:col>
      <xdr:colOff>3581077</xdr:colOff>
      <xdr:row>238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7F2973D3-4A83-4B91-B52D-CF8AA8DB9CC9}"/>
            </a:ext>
          </a:extLst>
        </xdr:cNvPr>
        <xdr:cNvSpPr>
          <a:spLocks noChangeShapeType="1"/>
        </xdr:cNvSpPr>
      </xdr:nvSpPr>
      <xdr:spPr bwMode="auto">
        <a:xfrm>
          <a:off x="1903414" y="473344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250</xdr:row>
      <xdr:rowOff>-1</xdr:rowOff>
    </xdr:from>
    <xdr:to>
      <xdr:col>2</xdr:col>
      <xdr:colOff>312424</xdr:colOff>
      <xdr:row>250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FDC0B9CE-A432-4FAF-BD55-1B2436BA8327}"/>
            </a:ext>
          </a:extLst>
        </xdr:cNvPr>
        <xdr:cNvSpPr>
          <a:spLocks noChangeShapeType="1"/>
        </xdr:cNvSpPr>
      </xdr:nvSpPr>
      <xdr:spPr bwMode="auto">
        <a:xfrm>
          <a:off x="1760542" y="4966811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238</xdr:row>
      <xdr:rowOff>9525</xdr:rowOff>
    </xdr:from>
    <xdr:to>
      <xdr:col>1</xdr:col>
      <xdr:colOff>3581077</xdr:colOff>
      <xdr:row>238</xdr:row>
      <xdr:rowOff>9525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B1536B26-CE39-44CC-9D54-07F2394A640B}"/>
            </a:ext>
          </a:extLst>
        </xdr:cNvPr>
        <xdr:cNvSpPr>
          <a:spLocks noChangeShapeType="1"/>
        </xdr:cNvSpPr>
      </xdr:nvSpPr>
      <xdr:spPr bwMode="auto">
        <a:xfrm>
          <a:off x="1903414" y="473344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249</xdr:row>
      <xdr:rowOff>202405</xdr:rowOff>
    </xdr:from>
    <xdr:to>
      <xdr:col>2</xdr:col>
      <xdr:colOff>312424</xdr:colOff>
      <xdr:row>250</xdr:row>
      <xdr:rowOff>7936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DBDE611-E5AB-465A-937A-A07287954F29}"/>
            </a:ext>
          </a:extLst>
        </xdr:cNvPr>
        <xdr:cNvSpPr>
          <a:spLocks noChangeShapeType="1"/>
        </xdr:cNvSpPr>
      </xdr:nvSpPr>
      <xdr:spPr bwMode="auto">
        <a:xfrm>
          <a:off x="1760542" y="49670493"/>
          <a:ext cx="28857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3"/>
  <sheetViews>
    <sheetView zoomScale="80" zoomScaleNormal="80" workbookViewId="0">
      <selection activeCell="B26" sqref="B26"/>
    </sheetView>
  </sheetViews>
  <sheetFormatPr defaultColWidth="9.1796875" defaultRowHeight="14.5" x14ac:dyDescent="0.35"/>
  <cols>
    <col min="1" max="1" width="4.81640625" style="1" bestFit="1" customWidth="1"/>
    <col min="2" max="2" width="71.54296875" style="1" customWidth="1"/>
    <col min="3" max="3" width="1.54296875" style="1" customWidth="1"/>
    <col min="4" max="4" width="20.81640625" style="1" customWidth="1"/>
    <col min="5" max="5" width="1.54296875" style="1" customWidth="1"/>
    <col min="6" max="6" width="40.54296875" style="1" customWidth="1"/>
    <col min="7" max="7" width="4.81640625" style="1" customWidth="1"/>
    <col min="8" max="8" width="9.1796875" style="1"/>
    <col min="9" max="9" width="13.1796875" style="1" customWidth="1"/>
    <col min="10" max="16384" width="9.1796875" style="1"/>
  </cols>
  <sheetData>
    <row r="2" spans="1:8" ht="17.5" x14ac:dyDescent="0.35">
      <c r="B2" s="2" t="s">
        <v>0</v>
      </c>
      <c r="C2" s="2"/>
      <c r="D2" s="3"/>
      <c r="E2" s="3"/>
      <c r="F2" s="3"/>
    </row>
    <row r="3" spans="1:8" ht="20" x14ac:dyDescent="0.35">
      <c r="B3" s="541" t="s">
        <v>1</v>
      </c>
      <c r="C3" s="2"/>
      <c r="D3" s="3"/>
      <c r="E3" s="3"/>
      <c r="F3" s="3"/>
    </row>
    <row r="4" spans="1:8" ht="17.5" x14ac:dyDescent="0.35">
      <c r="B4" s="544" t="s">
        <v>2</v>
      </c>
      <c r="C4" s="2"/>
      <c r="D4" s="2"/>
      <c r="E4" s="2"/>
      <c r="F4" s="2"/>
    </row>
    <row r="5" spans="1:8" ht="15.5" x14ac:dyDescent="0.35">
      <c r="B5" s="597" t="s">
        <v>3</v>
      </c>
      <c r="C5" s="597"/>
      <c r="D5" s="597"/>
      <c r="E5" s="597"/>
      <c r="F5" s="597"/>
      <c r="G5" s="4"/>
      <c r="H5" s="4"/>
    </row>
    <row r="6" spans="1:8" ht="15.5" x14ac:dyDescent="0.35">
      <c r="B6" s="5"/>
      <c r="C6" s="5"/>
      <c r="D6" s="6"/>
      <c r="E6" s="7"/>
      <c r="F6" s="5"/>
      <c r="G6" s="5"/>
    </row>
    <row r="7" spans="1:8" ht="15.5" x14ac:dyDescent="0.35">
      <c r="A7" s="8" t="s">
        <v>4</v>
      </c>
      <c r="G7" s="8" t="s">
        <v>4</v>
      </c>
    </row>
    <row r="8" spans="1:8" ht="15.5" x14ac:dyDescent="0.35">
      <c r="A8" s="11" t="s">
        <v>5</v>
      </c>
      <c r="B8" s="9" t="s">
        <v>6</v>
      </c>
      <c r="C8" s="9"/>
      <c r="D8" s="9" t="s">
        <v>7</v>
      </c>
      <c r="E8" s="10"/>
      <c r="F8" s="9" t="s">
        <v>8</v>
      </c>
      <c r="G8" s="11" t="s">
        <v>5</v>
      </c>
    </row>
    <row r="9" spans="1:8" ht="15.5" x14ac:dyDescent="0.35">
      <c r="A9" s="8"/>
      <c r="B9" s="5"/>
      <c r="C9" s="5"/>
      <c r="D9" s="12"/>
      <c r="E9" s="12"/>
      <c r="F9" s="12"/>
      <c r="G9" s="8"/>
    </row>
    <row r="10" spans="1:8" ht="15.5" x14ac:dyDescent="0.35">
      <c r="A10" s="8">
        <v>1</v>
      </c>
      <c r="B10" s="7" t="s">
        <v>9</v>
      </c>
      <c r="C10" s="7"/>
      <c r="D10" s="12"/>
      <c r="E10" s="12"/>
      <c r="F10" s="12"/>
      <c r="G10" s="8">
        <v>1</v>
      </c>
    </row>
    <row r="11" spans="1:8" ht="15.5" x14ac:dyDescent="0.35">
      <c r="A11" s="8">
        <f>A10+1</f>
        <v>2</v>
      </c>
      <c r="B11" s="5" t="s">
        <v>10</v>
      </c>
      <c r="C11" s="13"/>
      <c r="D11" s="14">
        <f>'Pg2 BK-1 Comparison'!I93</f>
        <v>-2526.1828883000417</v>
      </c>
      <c r="E11" s="14"/>
      <c r="F11" s="12" t="s">
        <v>11</v>
      </c>
      <c r="G11" s="8">
        <f>G10+1</f>
        <v>2</v>
      </c>
    </row>
    <row r="12" spans="1:8" ht="15.5" x14ac:dyDescent="0.35">
      <c r="A12" s="8">
        <f t="shared" ref="A12:A23" si="0">A11+1</f>
        <v>3</v>
      </c>
      <c r="B12" s="5"/>
      <c r="C12" s="12"/>
      <c r="D12" s="14"/>
      <c r="E12" s="14"/>
      <c r="F12" s="12"/>
      <c r="G12" s="8">
        <f t="shared" ref="G12:G23" si="1">G11+1</f>
        <v>3</v>
      </c>
    </row>
    <row r="13" spans="1:8" ht="15.5" x14ac:dyDescent="0.35">
      <c r="A13" s="8">
        <f t="shared" si="0"/>
        <v>4</v>
      </c>
      <c r="B13" s="5" t="s">
        <v>12</v>
      </c>
      <c r="C13" s="12"/>
      <c r="D13" s="15">
        <f>'Pg8 TO5 C3 Int Calc'!G53</f>
        <v>-269.04257550895608</v>
      </c>
      <c r="E13" s="16"/>
      <c r="F13" s="12" t="s">
        <v>13</v>
      </c>
      <c r="G13" s="8">
        <f t="shared" si="1"/>
        <v>4</v>
      </c>
    </row>
    <row r="14" spans="1:8" ht="15.5" x14ac:dyDescent="0.35">
      <c r="A14" s="8">
        <f t="shared" si="0"/>
        <v>5</v>
      </c>
      <c r="B14" s="5"/>
      <c r="C14" s="12"/>
      <c r="D14" s="17"/>
      <c r="E14" s="17"/>
      <c r="F14" s="12"/>
      <c r="G14" s="8">
        <f t="shared" si="1"/>
        <v>5</v>
      </c>
    </row>
    <row r="15" spans="1:8" ht="15.5" x14ac:dyDescent="0.35">
      <c r="A15" s="8">
        <f t="shared" si="0"/>
        <v>6</v>
      </c>
      <c r="B15" s="545" t="s">
        <v>14</v>
      </c>
      <c r="C15" s="10"/>
      <c r="D15" s="542">
        <f>D11+D13</f>
        <v>-2795.2254638089976</v>
      </c>
      <c r="E15" s="14"/>
      <c r="F15" s="12" t="s">
        <v>15</v>
      </c>
      <c r="G15" s="8">
        <f t="shared" si="1"/>
        <v>6</v>
      </c>
    </row>
    <row r="16" spans="1:8" ht="15.5" x14ac:dyDescent="0.35">
      <c r="A16" s="8">
        <f t="shared" si="0"/>
        <v>7</v>
      </c>
      <c r="B16" s="5"/>
      <c r="C16" s="12"/>
      <c r="D16" s="543"/>
      <c r="E16" s="5"/>
      <c r="F16" s="5"/>
      <c r="G16" s="8">
        <f t="shared" si="1"/>
        <v>7</v>
      </c>
    </row>
    <row r="17" spans="1:7" ht="15.5" x14ac:dyDescent="0.35">
      <c r="A17" s="8">
        <f t="shared" si="0"/>
        <v>8</v>
      </c>
      <c r="B17" s="5" t="s">
        <v>16</v>
      </c>
      <c r="C17" s="13"/>
      <c r="D17" s="18">
        <f>ROUND(D15*0.010275,0)</f>
        <v>-29</v>
      </c>
      <c r="E17" s="5"/>
      <c r="F17" s="8" t="s">
        <v>17</v>
      </c>
      <c r="G17" s="8">
        <f t="shared" si="1"/>
        <v>8</v>
      </c>
    </row>
    <row r="18" spans="1:7" ht="15.5" x14ac:dyDescent="0.35">
      <c r="A18" s="8">
        <f t="shared" si="0"/>
        <v>9</v>
      </c>
      <c r="B18" s="5"/>
      <c r="C18" s="12"/>
      <c r="D18" s="543"/>
      <c r="E18" s="5"/>
      <c r="G18" s="8">
        <f t="shared" si="1"/>
        <v>9</v>
      </c>
    </row>
    <row r="19" spans="1:7" ht="15.5" x14ac:dyDescent="0.35">
      <c r="A19" s="8">
        <f t="shared" si="0"/>
        <v>10</v>
      </c>
      <c r="B19" s="19" t="s">
        <v>18</v>
      </c>
      <c r="C19" s="12"/>
      <c r="D19" s="543">
        <f>SUM(D15:D17)</f>
        <v>-2824.2254638089976</v>
      </c>
      <c r="E19" s="5"/>
      <c r="F19" s="12" t="s">
        <v>19</v>
      </c>
      <c r="G19" s="8">
        <f t="shared" si="1"/>
        <v>10</v>
      </c>
    </row>
    <row r="20" spans="1:7" ht="15.5" x14ac:dyDescent="0.35">
      <c r="A20" s="8">
        <f t="shared" si="0"/>
        <v>11</v>
      </c>
      <c r="B20" s="5"/>
      <c r="C20" s="12"/>
      <c r="D20" s="14"/>
      <c r="E20" s="5"/>
      <c r="G20" s="8">
        <f t="shared" si="1"/>
        <v>11</v>
      </c>
    </row>
    <row r="21" spans="1:7" ht="15.5" x14ac:dyDescent="0.35">
      <c r="A21" s="8">
        <f t="shared" si="0"/>
        <v>12</v>
      </c>
      <c r="B21" s="5" t="s">
        <v>20</v>
      </c>
      <c r="C21" s="13"/>
      <c r="D21" s="18">
        <f>ROUND(D15*0.00165,0)</f>
        <v>-5</v>
      </c>
      <c r="E21" s="5"/>
      <c r="F21" s="8" t="s">
        <v>21</v>
      </c>
      <c r="G21" s="8">
        <f t="shared" si="1"/>
        <v>12</v>
      </c>
    </row>
    <row r="22" spans="1:7" ht="15.5" x14ac:dyDescent="0.35">
      <c r="A22" s="8">
        <f t="shared" si="0"/>
        <v>13</v>
      </c>
      <c r="B22" s="5"/>
      <c r="C22" s="12"/>
      <c r="D22" s="20"/>
      <c r="E22" s="5"/>
      <c r="F22" s="8"/>
      <c r="G22" s="8">
        <f t="shared" si="1"/>
        <v>13</v>
      </c>
    </row>
    <row r="23" spans="1:7" ht="16" thickBot="1" x14ac:dyDescent="0.4">
      <c r="A23" s="8">
        <f t="shared" si="0"/>
        <v>14</v>
      </c>
      <c r="B23" s="19" t="s">
        <v>22</v>
      </c>
      <c r="C23" s="13"/>
      <c r="D23" s="21">
        <f>SUM(D19:D22)</f>
        <v>-2829.2254638089976</v>
      </c>
      <c r="E23" s="5"/>
      <c r="F23" s="12" t="s">
        <v>23</v>
      </c>
      <c r="G23" s="8">
        <f t="shared" si="1"/>
        <v>14</v>
      </c>
    </row>
    <row r="24" spans="1:7" ht="16" thickTop="1" x14ac:dyDescent="0.35">
      <c r="B24" s="5"/>
      <c r="C24" s="5"/>
      <c r="D24" s="5"/>
      <c r="E24" s="5"/>
      <c r="F24" s="5"/>
      <c r="G24" s="5"/>
    </row>
    <row r="25" spans="1:7" ht="15.5" x14ac:dyDescent="0.35">
      <c r="B25" s="5"/>
      <c r="C25" s="5"/>
      <c r="D25" s="5"/>
      <c r="E25" s="5"/>
      <c r="F25" s="5"/>
      <c r="G25" s="5"/>
    </row>
    <row r="26" spans="1:7" ht="17" x14ac:dyDescent="0.35">
      <c r="A26" s="22">
        <v>1</v>
      </c>
      <c r="B26" s="23" t="s">
        <v>24</v>
      </c>
      <c r="C26" s="5"/>
      <c r="D26" s="5"/>
      <c r="E26" s="5"/>
      <c r="F26" s="5"/>
      <c r="G26" s="5"/>
    </row>
    <row r="27" spans="1:7" ht="15.5" x14ac:dyDescent="0.35">
      <c r="B27" s="5" t="s">
        <v>25</v>
      </c>
      <c r="C27" s="5"/>
      <c r="D27" s="5"/>
      <c r="E27" s="5"/>
      <c r="F27" s="5"/>
      <c r="G27" s="5"/>
    </row>
    <row r="28" spans="1:7" ht="15.5" x14ac:dyDescent="0.35">
      <c r="B28" s="5"/>
      <c r="C28" s="5"/>
      <c r="D28" s="5"/>
      <c r="E28" s="5"/>
      <c r="F28" s="5"/>
      <c r="G28" s="5"/>
    </row>
    <row r="29" spans="1:7" ht="15.5" x14ac:dyDescent="0.35">
      <c r="B29" s="5"/>
      <c r="C29" s="5"/>
      <c r="D29" s="5"/>
      <c r="E29" s="5"/>
      <c r="F29" s="5"/>
      <c r="G29" s="5"/>
    </row>
    <row r="30" spans="1:7" ht="15.5" x14ac:dyDescent="0.35">
      <c r="B30" s="5"/>
      <c r="C30" s="5"/>
      <c r="D30" s="5"/>
      <c r="E30" s="5"/>
      <c r="F30" s="5"/>
      <c r="G30" s="5"/>
    </row>
    <row r="31" spans="1:7" ht="17" x14ac:dyDescent="0.35">
      <c r="A31" s="22"/>
      <c r="B31" s="5"/>
      <c r="C31" s="5"/>
      <c r="D31" s="5"/>
      <c r="E31" s="5"/>
      <c r="F31" s="5"/>
      <c r="G31" s="5"/>
    </row>
    <row r="32" spans="1:7" ht="15.5" x14ac:dyDescent="0.35">
      <c r="B32" s="5"/>
      <c r="C32" s="5"/>
      <c r="D32" s="5"/>
      <c r="E32" s="5"/>
      <c r="F32" s="5"/>
      <c r="G32" s="5"/>
    </row>
    <row r="33" spans="2:7" ht="15.5" x14ac:dyDescent="0.35">
      <c r="B33" s="5"/>
      <c r="C33" s="5"/>
      <c r="D33" s="5"/>
      <c r="E33" s="5"/>
      <c r="F33" s="5"/>
      <c r="G33" s="5"/>
    </row>
    <row r="34" spans="2:7" ht="15.5" x14ac:dyDescent="0.35">
      <c r="B34" s="5"/>
      <c r="C34" s="5"/>
      <c r="D34" s="5"/>
      <c r="E34" s="5"/>
      <c r="F34" s="5"/>
      <c r="G34" s="5"/>
    </row>
    <row r="35" spans="2:7" ht="15.5" x14ac:dyDescent="0.35">
      <c r="B35" s="5"/>
      <c r="C35" s="5"/>
      <c r="D35" s="5"/>
      <c r="E35" s="5"/>
      <c r="F35" s="5"/>
      <c r="G35" s="5"/>
    </row>
    <row r="36" spans="2:7" ht="15.5" x14ac:dyDescent="0.35">
      <c r="B36" s="5"/>
      <c r="C36" s="5"/>
      <c r="D36" s="5"/>
      <c r="E36" s="5"/>
      <c r="F36" s="5"/>
      <c r="G36" s="5"/>
    </row>
    <row r="37" spans="2:7" ht="15.5" x14ac:dyDescent="0.35">
      <c r="B37" s="5"/>
      <c r="C37" s="5"/>
      <c r="D37" s="5"/>
      <c r="E37" s="5"/>
      <c r="F37" s="5"/>
      <c r="G37" s="5"/>
    </row>
    <row r="38" spans="2:7" ht="15.5" x14ac:dyDescent="0.35">
      <c r="B38" s="5"/>
      <c r="C38" s="5"/>
      <c r="D38" s="5"/>
      <c r="E38" s="5"/>
      <c r="F38" s="5"/>
      <c r="G38" s="5"/>
    </row>
    <row r="39" spans="2:7" ht="15.5" x14ac:dyDescent="0.35">
      <c r="B39" s="5"/>
      <c r="C39" s="5"/>
      <c r="D39" s="5"/>
      <c r="E39" s="5"/>
      <c r="F39" s="5"/>
      <c r="G39" s="5"/>
    </row>
    <row r="40" spans="2:7" ht="15.5" x14ac:dyDescent="0.35">
      <c r="B40" s="5"/>
      <c r="C40" s="5"/>
      <c r="D40" s="5"/>
      <c r="E40" s="5"/>
      <c r="F40" s="5"/>
      <c r="G40" s="5"/>
    </row>
    <row r="41" spans="2:7" ht="15.5" x14ac:dyDescent="0.35">
      <c r="B41" s="5"/>
      <c r="C41" s="5"/>
      <c r="D41" s="5"/>
      <c r="E41" s="5"/>
      <c r="F41" s="5"/>
      <c r="G41" s="5"/>
    </row>
    <row r="42" spans="2:7" ht="15.5" x14ac:dyDescent="0.35">
      <c r="B42" s="5"/>
      <c r="C42" s="5"/>
      <c r="D42" s="5"/>
      <c r="E42" s="5"/>
      <c r="F42" s="5"/>
      <c r="G42" s="5"/>
    </row>
    <row r="43" spans="2:7" ht="15.5" x14ac:dyDescent="0.35">
      <c r="B43" s="5"/>
      <c r="C43" s="5"/>
      <c r="D43" s="5"/>
      <c r="E43" s="5"/>
      <c r="F43" s="5"/>
      <c r="G43" s="5"/>
    </row>
  </sheetData>
  <mergeCells count="1">
    <mergeCell ref="B5:F5"/>
  </mergeCells>
  <printOptions horizontalCentered="1"/>
  <pageMargins left="0.25" right="0.25" top="0.5" bottom="0.5" header="0.25" footer="0.25"/>
  <pageSetup orientation="portrait" r:id="rId1"/>
  <headerFooter scaleWithDoc="0" alignWithMargins="0">
    <oddFooter>&amp;CPage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71F7-785F-425E-9946-96824D8FD775}">
  <sheetPr>
    <pageSetUpPr fitToPage="1"/>
  </sheetPr>
  <dimension ref="A1:L59"/>
  <sheetViews>
    <sheetView zoomScale="80" zoomScaleNormal="80" workbookViewId="0">
      <selection activeCell="F10" sqref="F10"/>
    </sheetView>
  </sheetViews>
  <sheetFormatPr defaultColWidth="9.1796875" defaultRowHeight="15.5" x14ac:dyDescent="0.35"/>
  <cols>
    <col min="1" max="1" width="5.1796875" style="560" customWidth="1"/>
    <col min="2" max="2" width="12.54296875" style="468" customWidth="1"/>
    <col min="3" max="3" width="20" style="468" customWidth="1"/>
    <col min="4" max="8" width="21.54296875" style="468" customWidth="1"/>
    <col min="9" max="9" width="5.1796875" style="560" customWidth="1"/>
    <col min="10" max="10" width="13.54296875" style="468" customWidth="1"/>
    <col min="11" max="11" width="12.54296875" style="468" customWidth="1"/>
    <col min="12" max="16384" width="9.1796875" style="468"/>
  </cols>
  <sheetData>
    <row r="1" spans="1:9" x14ac:dyDescent="0.35">
      <c r="D1" s="561"/>
    </row>
    <row r="2" spans="1:9" x14ac:dyDescent="0.35">
      <c r="B2" s="618" t="s">
        <v>215</v>
      </c>
      <c r="C2" s="618"/>
      <c r="D2" s="618"/>
      <c r="E2" s="618"/>
      <c r="F2" s="618"/>
      <c r="G2" s="618"/>
      <c r="H2" s="618"/>
      <c r="I2" s="562"/>
    </row>
    <row r="3" spans="1:9" x14ac:dyDescent="0.35">
      <c r="B3" s="619" t="s">
        <v>712</v>
      </c>
      <c r="C3" s="619"/>
      <c r="D3" s="619"/>
      <c r="E3" s="619"/>
      <c r="F3" s="619"/>
      <c r="G3" s="619"/>
      <c r="H3" s="619"/>
      <c r="I3" s="562"/>
    </row>
    <row r="4" spans="1:9" x14ac:dyDescent="0.35">
      <c r="B4" s="619" t="s">
        <v>713</v>
      </c>
      <c r="C4" s="619"/>
      <c r="D4" s="619"/>
      <c r="E4" s="619"/>
      <c r="F4" s="619"/>
      <c r="G4" s="619"/>
      <c r="H4" s="619"/>
      <c r="I4" s="562"/>
    </row>
    <row r="5" spans="1:9" x14ac:dyDescent="0.35">
      <c r="B5" s="620" t="s">
        <v>3</v>
      </c>
      <c r="C5" s="620"/>
      <c r="D5" s="620"/>
      <c r="E5" s="620"/>
      <c r="F5" s="620"/>
      <c r="G5" s="620"/>
      <c r="H5" s="620"/>
      <c r="I5" s="562"/>
    </row>
    <row r="6" spans="1:9" x14ac:dyDescent="0.35">
      <c r="A6" s="562"/>
      <c r="B6" s="562"/>
      <c r="C6" s="562"/>
      <c r="D6" s="562"/>
      <c r="E6" s="562"/>
      <c r="F6" s="562"/>
      <c r="G6" s="562"/>
      <c r="H6" s="562"/>
      <c r="I6" s="562"/>
    </row>
    <row r="7" spans="1:9" x14ac:dyDescent="0.35">
      <c r="A7" s="210" t="s">
        <v>4</v>
      </c>
      <c r="B7" s="239"/>
      <c r="I7" s="210" t="s">
        <v>4</v>
      </c>
    </row>
    <row r="8" spans="1:9" x14ac:dyDescent="0.35">
      <c r="A8" s="215" t="s">
        <v>5</v>
      </c>
      <c r="B8" s="239"/>
      <c r="I8" s="215" t="s">
        <v>5</v>
      </c>
    </row>
    <row r="9" spans="1:9" x14ac:dyDescent="0.35">
      <c r="A9" s="210">
        <v>1</v>
      </c>
      <c r="C9" s="563" t="s">
        <v>714</v>
      </c>
      <c r="D9" s="563" t="s">
        <v>715</v>
      </c>
      <c r="E9" s="563" t="s">
        <v>716</v>
      </c>
      <c r="F9" s="563" t="s">
        <v>717</v>
      </c>
      <c r="G9" s="563" t="s">
        <v>718</v>
      </c>
      <c r="H9" s="563" t="s">
        <v>719</v>
      </c>
      <c r="I9" s="210">
        <v>1</v>
      </c>
    </row>
    <row r="10" spans="1:9" x14ac:dyDescent="0.35">
      <c r="A10" s="210">
        <f t="shared" ref="A10:A53" si="0">A9+1</f>
        <v>2</v>
      </c>
      <c r="B10" s="564" t="s">
        <v>720</v>
      </c>
      <c r="C10" s="210"/>
      <c r="D10" s="257" t="s">
        <v>721</v>
      </c>
      <c r="E10" s="210"/>
      <c r="F10" s="210" t="s">
        <v>722</v>
      </c>
      <c r="G10" s="210" t="s">
        <v>723</v>
      </c>
      <c r="H10" s="257" t="s">
        <v>724</v>
      </c>
      <c r="I10" s="210">
        <f t="shared" ref="I10:I53" si="1">I9+1</f>
        <v>2</v>
      </c>
    </row>
    <row r="11" spans="1:9" x14ac:dyDescent="0.35">
      <c r="A11" s="210">
        <f t="shared" si="0"/>
        <v>3</v>
      </c>
      <c r="B11" s="564"/>
      <c r="C11" s="210"/>
      <c r="D11" s="257"/>
      <c r="E11" s="210"/>
      <c r="F11" s="210"/>
      <c r="G11" s="210"/>
      <c r="H11" s="257"/>
      <c r="I11" s="210">
        <f t="shared" si="1"/>
        <v>3</v>
      </c>
    </row>
    <row r="12" spans="1:9" x14ac:dyDescent="0.35">
      <c r="A12" s="210">
        <f t="shared" si="0"/>
        <v>4</v>
      </c>
      <c r="C12" s="563"/>
      <c r="F12" s="548" t="s">
        <v>725</v>
      </c>
      <c r="H12" s="548" t="s">
        <v>725</v>
      </c>
      <c r="I12" s="210">
        <f t="shared" si="1"/>
        <v>4</v>
      </c>
    </row>
    <row r="13" spans="1:9" x14ac:dyDescent="0.35">
      <c r="A13" s="210">
        <f t="shared" si="0"/>
        <v>5</v>
      </c>
      <c r="C13" s="563"/>
      <c r="D13" s="548" t="s">
        <v>726</v>
      </c>
      <c r="E13" s="548"/>
      <c r="F13" s="548" t="s">
        <v>727</v>
      </c>
      <c r="H13" s="548" t="s">
        <v>727</v>
      </c>
      <c r="I13" s="210">
        <f t="shared" si="1"/>
        <v>5</v>
      </c>
    </row>
    <row r="14" spans="1:9" x14ac:dyDescent="0.35">
      <c r="A14" s="210">
        <f t="shared" si="0"/>
        <v>6</v>
      </c>
      <c r="C14" s="548"/>
      <c r="D14" s="548" t="s">
        <v>727</v>
      </c>
      <c r="E14" s="548" t="s">
        <v>726</v>
      </c>
      <c r="F14" s="548" t="s">
        <v>728</v>
      </c>
      <c r="H14" s="548" t="s">
        <v>728</v>
      </c>
      <c r="I14" s="210">
        <f t="shared" si="1"/>
        <v>6</v>
      </c>
    </row>
    <row r="15" spans="1:9" x14ac:dyDescent="0.35">
      <c r="A15" s="210">
        <f t="shared" si="0"/>
        <v>7</v>
      </c>
      <c r="C15" s="548"/>
      <c r="D15" s="548" t="s">
        <v>728</v>
      </c>
      <c r="E15" s="548" t="s">
        <v>729</v>
      </c>
      <c r="F15" s="548" t="s">
        <v>730</v>
      </c>
      <c r="G15" s="548"/>
      <c r="H15" s="548" t="s">
        <v>730</v>
      </c>
      <c r="I15" s="210">
        <f t="shared" si="1"/>
        <v>7</v>
      </c>
    </row>
    <row r="16" spans="1:9" ht="18" x14ac:dyDescent="0.35">
      <c r="A16" s="210">
        <f t="shared" si="0"/>
        <v>8</v>
      </c>
      <c r="B16" s="565" t="s">
        <v>731</v>
      </c>
      <c r="C16" s="565" t="s">
        <v>732</v>
      </c>
      <c r="D16" s="273" t="s">
        <v>730</v>
      </c>
      <c r="E16" s="273" t="s">
        <v>733</v>
      </c>
      <c r="F16" s="273" t="s">
        <v>734</v>
      </c>
      <c r="G16" s="566" t="s">
        <v>729</v>
      </c>
      <c r="H16" s="273" t="s">
        <v>735</v>
      </c>
      <c r="I16" s="210">
        <f t="shared" si="1"/>
        <v>8</v>
      </c>
    </row>
    <row r="17" spans="1:12" x14ac:dyDescent="0.35">
      <c r="A17" s="210">
        <f t="shared" si="0"/>
        <v>9</v>
      </c>
      <c r="B17" s="456" t="s">
        <v>736</v>
      </c>
      <c r="C17" s="567">
        <v>2019</v>
      </c>
      <c r="D17" s="568">
        <f>'Pg2 BK-1 Comparison'!I93/12</f>
        <v>-210.51524069167013</v>
      </c>
      <c r="E17" s="569">
        <v>4.4000000000000003E-3</v>
      </c>
      <c r="F17" s="570">
        <f>D17</f>
        <v>-210.51524069167013</v>
      </c>
      <c r="G17" s="571">
        <f>(D17/2)*E17</f>
        <v>-0.4631335295216743</v>
      </c>
      <c r="H17" s="571">
        <f t="shared" ref="H17:H52" si="2">F17+G17</f>
        <v>-210.97837422119181</v>
      </c>
      <c r="I17" s="210">
        <f t="shared" si="1"/>
        <v>9</v>
      </c>
      <c r="J17" s="572"/>
    </row>
    <row r="18" spans="1:12" x14ac:dyDescent="0.35">
      <c r="A18" s="210">
        <f t="shared" si="0"/>
        <v>10</v>
      </c>
      <c r="B18" s="456" t="s">
        <v>737</v>
      </c>
      <c r="C18" s="567">
        <f>C17</f>
        <v>2019</v>
      </c>
      <c r="D18" s="568">
        <f>D17</f>
        <v>-210.51524069167013</v>
      </c>
      <c r="E18" s="569">
        <v>4.0000000000000001E-3</v>
      </c>
      <c r="F18" s="573">
        <f>H17+D18</f>
        <v>-421.49361491286197</v>
      </c>
      <c r="G18" s="574">
        <f t="shared" ref="G18:G52" si="3">(H17+F18)/2*E18</f>
        <v>-1.2649439782681076</v>
      </c>
      <c r="H18" s="574">
        <f t="shared" si="2"/>
        <v>-422.75855889113006</v>
      </c>
      <c r="I18" s="210">
        <f t="shared" si="1"/>
        <v>10</v>
      </c>
      <c r="J18" s="575"/>
    </row>
    <row r="19" spans="1:12" x14ac:dyDescent="0.35">
      <c r="A19" s="210">
        <f t="shared" si="0"/>
        <v>11</v>
      </c>
      <c r="B19" s="456" t="s">
        <v>738</v>
      </c>
      <c r="C19" s="567">
        <f t="shared" ref="C19:D28" si="4">C18</f>
        <v>2019</v>
      </c>
      <c r="D19" s="568">
        <f t="shared" si="4"/>
        <v>-210.51524069167013</v>
      </c>
      <c r="E19" s="569">
        <v>4.4000000000000003E-3</v>
      </c>
      <c r="F19" s="573">
        <f>H18+D19</f>
        <v>-633.27379958280017</v>
      </c>
      <c r="G19" s="574">
        <f>(H18+F19)/2*E19</f>
        <v>-2.3232711886426469</v>
      </c>
      <c r="H19" s="574">
        <f t="shared" si="2"/>
        <v>-635.59707077144276</v>
      </c>
      <c r="I19" s="210">
        <f t="shared" si="1"/>
        <v>11</v>
      </c>
      <c r="J19" s="575"/>
    </row>
    <row r="20" spans="1:12" x14ac:dyDescent="0.35">
      <c r="A20" s="210">
        <f t="shared" si="0"/>
        <v>12</v>
      </c>
      <c r="B20" s="456" t="s">
        <v>739</v>
      </c>
      <c r="C20" s="567">
        <f t="shared" si="4"/>
        <v>2019</v>
      </c>
      <c r="D20" s="568">
        <f t="shared" si="4"/>
        <v>-210.51524069167013</v>
      </c>
      <c r="E20" s="569">
        <v>4.4999999999999997E-3</v>
      </c>
      <c r="F20" s="573">
        <f>H19+D20</f>
        <v>-846.11231146311286</v>
      </c>
      <c r="G20" s="574">
        <f>(H19+F20)/2*E20</f>
        <v>-3.3338461100277494</v>
      </c>
      <c r="H20" s="574">
        <f t="shared" si="2"/>
        <v>-849.44615757314057</v>
      </c>
      <c r="I20" s="210">
        <f t="shared" si="1"/>
        <v>12</v>
      </c>
      <c r="J20" s="575"/>
      <c r="L20" s="576"/>
    </row>
    <row r="21" spans="1:12" x14ac:dyDescent="0.35">
      <c r="A21" s="210">
        <f t="shared" si="0"/>
        <v>13</v>
      </c>
      <c r="B21" s="456" t="s">
        <v>740</v>
      </c>
      <c r="C21" s="567">
        <f t="shared" si="4"/>
        <v>2019</v>
      </c>
      <c r="D21" s="568">
        <f t="shared" si="4"/>
        <v>-210.51524069167013</v>
      </c>
      <c r="E21" s="569">
        <v>4.5999999999999999E-3</v>
      </c>
      <c r="F21" s="573">
        <f t="shared" ref="F21:F52" si="5">H20+D21</f>
        <v>-1059.9613982648107</v>
      </c>
      <c r="G21" s="574">
        <f t="shared" si="3"/>
        <v>-4.391637378427288</v>
      </c>
      <c r="H21" s="574">
        <f t="shared" si="2"/>
        <v>-1064.3530356432379</v>
      </c>
      <c r="I21" s="210">
        <f t="shared" si="1"/>
        <v>13</v>
      </c>
      <c r="J21" s="575"/>
    </row>
    <row r="22" spans="1:12" x14ac:dyDescent="0.35">
      <c r="A22" s="210">
        <f t="shared" si="0"/>
        <v>14</v>
      </c>
      <c r="B22" s="456" t="s">
        <v>741</v>
      </c>
      <c r="C22" s="567">
        <f t="shared" si="4"/>
        <v>2019</v>
      </c>
      <c r="D22" s="568">
        <f t="shared" si="4"/>
        <v>-210.51524069167013</v>
      </c>
      <c r="E22" s="569">
        <v>4.4999999999999997E-3</v>
      </c>
      <c r="F22" s="573">
        <f t="shared" si="5"/>
        <v>-1274.8682763349082</v>
      </c>
      <c r="G22" s="574">
        <f>(H21+F22)/2*E22</f>
        <v>-5.2632479519508291</v>
      </c>
      <c r="H22" s="574">
        <f t="shared" si="2"/>
        <v>-1280.1315242868591</v>
      </c>
      <c r="I22" s="210">
        <f t="shared" si="1"/>
        <v>14</v>
      </c>
      <c r="J22" s="575"/>
    </row>
    <row r="23" spans="1:12" x14ac:dyDescent="0.35">
      <c r="A23" s="210">
        <f t="shared" si="0"/>
        <v>15</v>
      </c>
      <c r="B23" s="456" t="s">
        <v>742</v>
      </c>
      <c r="C23" s="567">
        <f t="shared" si="4"/>
        <v>2019</v>
      </c>
      <c r="D23" s="568">
        <f t="shared" si="4"/>
        <v>-210.51524069167013</v>
      </c>
      <c r="E23" s="569">
        <v>4.7000000000000002E-3</v>
      </c>
      <c r="F23" s="573">
        <f t="shared" si="5"/>
        <v>-1490.6467649785293</v>
      </c>
      <c r="G23" s="574">
        <f t="shared" si="3"/>
        <v>-6.5113289797736638</v>
      </c>
      <c r="H23" s="574">
        <f t="shared" si="2"/>
        <v>-1497.158093958303</v>
      </c>
      <c r="I23" s="210">
        <f t="shared" si="1"/>
        <v>15</v>
      </c>
      <c r="J23" s="575"/>
    </row>
    <row r="24" spans="1:12" x14ac:dyDescent="0.35">
      <c r="A24" s="210">
        <f t="shared" si="0"/>
        <v>16</v>
      </c>
      <c r="B24" s="456" t="s">
        <v>743</v>
      </c>
      <c r="C24" s="567">
        <f t="shared" si="4"/>
        <v>2019</v>
      </c>
      <c r="D24" s="568">
        <f t="shared" si="4"/>
        <v>-210.51524069167013</v>
      </c>
      <c r="E24" s="569">
        <v>4.7000000000000002E-3</v>
      </c>
      <c r="F24" s="573">
        <f t="shared" si="5"/>
        <v>-1707.6733346499732</v>
      </c>
      <c r="G24" s="574">
        <f t="shared" si="3"/>
        <v>-7.5313538572294485</v>
      </c>
      <c r="H24" s="574">
        <f t="shared" si="2"/>
        <v>-1715.2046885072027</v>
      </c>
      <c r="I24" s="210">
        <f t="shared" si="1"/>
        <v>16</v>
      </c>
      <c r="J24" s="575"/>
    </row>
    <row r="25" spans="1:12" x14ac:dyDescent="0.35">
      <c r="A25" s="210">
        <f t="shared" si="0"/>
        <v>17</v>
      </c>
      <c r="B25" s="456" t="s">
        <v>744</v>
      </c>
      <c r="C25" s="567">
        <f t="shared" si="4"/>
        <v>2019</v>
      </c>
      <c r="D25" s="568">
        <f t="shared" si="4"/>
        <v>-210.51524069167013</v>
      </c>
      <c r="E25" s="569">
        <v>4.4999999999999997E-3</v>
      </c>
      <c r="F25" s="573">
        <f t="shared" si="5"/>
        <v>-1925.7199291988729</v>
      </c>
      <c r="G25" s="574">
        <f t="shared" si="3"/>
        <v>-8.1920803898386705</v>
      </c>
      <c r="H25" s="574">
        <f t="shared" si="2"/>
        <v>-1933.9120095887115</v>
      </c>
      <c r="I25" s="210">
        <f t="shared" si="1"/>
        <v>17</v>
      </c>
      <c r="J25" s="575"/>
    </row>
    <row r="26" spans="1:12" x14ac:dyDescent="0.35">
      <c r="A26" s="210">
        <f t="shared" si="0"/>
        <v>18</v>
      </c>
      <c r="B26" s="456" t="s">
        <v>745</v>
      </c>
      <c r="C26" s="567">
        <f t="shared" si="4"/>
        <v>2019</v>
      </c>
      <c r="D26" s="568">
        <f t="shared" si="4"/>
        <v>-210.51524069167013</v>
      </c>
      <c r="E26" s="569">
        <v>4.5999999999999999E-3</v>
      </c>
      <c r="F26" s="573">
        <f t="shared" si="5"/>
        <v>-2144.4272502803815</v>
      </c>
      <c r="G26" s="574">
        <f t="shared" si="3"/>
        <v>-9.3801802976989137</v>
      </c>
      <c r="H26" s="574">
        <f t="shared" si="2"/>
        <v>-2153.8074305780806</v>
      </c>
      <c r="I26" s="210">
        <f t="shared" si="1"/>
        <v>18</v>
      </c>
      <c r="J26" s="575"/>
    </row>
    <row r="27" spans="1:12" x14ac:dyDescent="0.35">
      <c r="A27" s="210">
        <f t="shared" si="0"/>
        <v>19</v>
      </c>
      <c r="B27" s="456" t="s">
        <v>746</v>
      </c>
      <c r="C27" s="567">
        <f t="shared" si="4"/>
        <v>2019</v>
      </c>
      <c r="D27" s="568">
        <f t="shared" si="4"/>
        <v>-210.51524069167013</v>
      </c>
      <c r="E27" s="569">
        <v>4.4999999999999997E-3</v>
      </c>
      <c r="F27" s="573">
        <f t="shared" si="5"/>
        <v>-2364.3226712697506</v>
      </c>
      <c r="G27" s="175">
        <f t="shared" si="3"/>
        <v>-10.165792729157621</v>
      </c>
      <c r="H27" s="175">
        <f t="shared" si="2"/>
        <v>-2374.4884639989082</v>
      </c>
      <c r="I27" s="210">
        <f t="shared" si="1"/>
        <v>19</v>
      </c>
      <c r="J27" s="575"/>
    </row>
    <row r="28" spans="1:12" x14ac:dyDescent="0.35">
      <c r="A28" s="210">
        <f t="shared" si="0"/>
        <v>20</v>
      </c>
      <c r="B28" s="577" t="s">
        <v>747</v>
      </c>
      <c r="C28" s="578">
        <f>C27</f>
        <v>2019</v>
      </c>
      <c r="D28" s="579">
        <f t="shared" si="4"/>
        <v>-210.51524069167013</v>
      </c>
      <c r="E28" s="580">
        <v>4.5999999999999999E-3</v>
      </c>
      <c r="F28" s="581">
        <f t="shared" si="5"/>
        <v>-2585.0037046905782</v>
      </c>
      <c r="G28" s="582">
        <f t="shared" si="3"/>
        <v>-11.40683198798582</v>
      </c>
      <c r="H28" s="582">
        <f t="shared" si="2"/>
        <v>-2596.4105366785639</v>
      </c>
      <c r="I28" s="210">
        <f t="shared" si="1"/>
        <v>20</v>
      </c>
      <c r="J28" s="575"/>
    </row>
    <row r="29" spans="1:12" x14ac:dyDescent="0.35">
      <c r="A29" s="210">
        <f t="shared" si="0"/>
        <v>21</v>
      </c>
      <c r="B29" s="456" t="s">
        <v>736</v>
      </c>
      <c r="C29" s="567">
        <f>C28+1</f>
        <v>2020</v>
      </c>
      <c r="D29" s="568"/>
      <c r="E29" s="569">
        <v>4.1999999999999997E-3</v>
      </c>
      <c r="F29" s="583">
        <f t="shared" si="5"/>
        <v>-2596.4105366785639</v>
      </c>
      <c r="G29" s="584">
        <f t="shared" si="3"/>
        <v>-10.904924254049968</v>
      </c>
      <c r="H29" s="584">
        <f t="shared" si="2"/>
        <v>-2607.3154609326139</v>
      </c>
      <c r="I29" s="210">
        <f t="shared" si="1"/>
        <v>21</v>
      </c>
      <c r="J29" s="575"/>
    </row>
    <row r="30" spans="1:12" x14ac:dyDescent="0.35">
      <c r="A30" s="210">
        <f t="shared" si="0"/>
        <v>22</v>
      </c>
      <c r="B30" s="456" t="s">
        <v>737</v>
      </c>
      <c r="C30" s="567">
        <f>C29</f>
        <v>2020</v>
      </c>
      <c r="D30" s="568"/>
      <c r="E30" s="569">
        <v>3.8999999999999998E-3</v>
      </c>
      <c r="F30" s="583">
        <f t="shared" si="5"/>
        <v>-2607.3154609326139</v>
      </c>
      <c r="G30" s="584">
        <f t="shared" si="3"/>
        <v>-10.168530297637194</v>
      </c>
      <c r="H30" s="584">
        <f t="shared" si="2"/>
        <v>-2617.4839912302509</v>
      </c>
      <c r="I30" s="210">
        <f t="shared" si="1"/>
        <v>22</v>
      </c>
      <c r="J30" s="575"/>
    </row>
    <row r="31" spans="1:12" x14ac:dyDescent="0.35">
      <c r="A31" s="210">
        <f t="shared" si="0"/>
        <v>23</v>
      </c>
      <c r="B31" s="456" t="s">
        <v>738</v>
      </c>
      <c r="C31" s="567">
        <f t="shared" ref="C31:C39" si="6">C30</f>
        <v>2020</v>
      </c>
      <c r="D31" s="568"/>
      <c r="E31" s="569">
        <v>4.1999999999999997E-3</v>
      </c>
      <c r="F31" s="583">
        <f t="shared" si="5"/>
        <v>-2617.4839912302509</v>
      </c>
      <c r="G31" s="584">
        <f t="shared" si="3"/>
        <v>-10.993432763167053</v>
      </c>
      <c r="H31" s="584">
        <f t="shared" si="2"/>
        <v>-2628.4774239934181</v>
      </c>
      <c r="I31" s="210">
        <f t="shared" si="1"/>
        <v>23</v>
      </c>
      <c r="J31" s="575"/>
    </row>
    <row r="32" spans="1:12" x14ac:dyDescent="0.35">
      <c r="A32" s="210">
        <f t="shared" si="0"/>
        <v>24</v>
      </c>
      <c r="B32" s="456" t="s">
        <v>739</v>
      </c>
      <c r="C32" s="567">
        <f t="shared" si="6"/>
        <v>2020</v>
      </c>
      <c r="D32" s="568"/>
      <c r="E32" s="569">
        <v>3.8999999999999998E-3</v>
      </c>
      <c r="F32" s="583">
        <f t="shared" si="5"/>
        <v>-2628.4774239934181</v>
      </c>
      <c r="G32" s="584">
        <f t="shared" si="3"/>
        <v>-10.251061953574331</v>
      </c>
      <c r="H32" s="584">
        <f t="shared" si="2"/>
        <v>-2638.7284859469924</v>
      </c>
      <c r="I32" s="210">
        <f t="shared" si="1"/>
        <v>24</v>
      </c>
      <c r="J32" s="575"/>
    </row>
    <row r="33" spans="1:10" x14ac:dyDescent="0.35">
      <c r="A33" s="210">
        <f t="shared" si="0"/>
        <v>25</v>
      </c>
      <c r="B33" s="456" t="s">
        <v>740</v>
      </c>
      <c r="C33" s="567">
        <f t="shared" si="6"/>
        <v>2020</v>
      </c>
      <c r="D33" s="568"/>
      <c r="E33" s="569">
        <v>4.0000000000000001E-3</v>
      </c>
      <c r="F33" s="583">
        <f t="shared" si="5"/>
        <v>-2638.7284859469924</v>
      </c>
      <c r="G33" s="584">
        <f t="shared" si="3"/>
        <v>-10.55491394378797</v>
      </c>
      <c r="H33" s="584">
        <f t="shared" si="2"/>
        <v>-2649.2833998907804</v>
      </c>
      <c r="I33" s="210">
        <f t="shared" si="1"/>
        <v>25</v>
      </c>
      <c r="J33" s="575"/>
    </row>
    <row r="34" spans="1:10" x14ac:dyDescent="0.35">
      <c r="A34" s="210">
        <f t="shared" si="0"/>
        <v>26</v>
      </c>
      <c r="B34" s="456" t="s">
        <v>741</v>
      </c>
      <c r="C34" s="567">
        <f t="shared" si="6"/>
        <v>2020</v>
      </c>
      <c r="D34" s="568"/>
      <c r="E34" s="569">
        <v>3.8999999999999998E-3</v>
      </c>
      <c r="F34" s="583">
        <f t="shared" si="5"/>
        <v>-2649.2833998907804</v>
      </c>
      <c r="G34" s="584">
        <f t="shared" si="3"/>
        <v>-10.332205259574042</v>
      </c>
      <c r="H34" s="584">
        <f t="shared" si="2"/>
        <v>-2659.6156051503544</v>
      </c>
      <c r="I34" s="210">
        <f t="shared" si="1"/>
        <v>26</v>
      </c>
      <c r="J34" s="575"/>
    </row>
    <row r="35" spans="1:10" x14ac:dyDescent="0.35">
      <c r="A35" s="210">
        <f t="shared" si="0"/>
        <v>27</v>
      </c>
      <c r="B35" s="456" t="s">
        <v>742</v>
      </c>
      <c r="C35" s="567">
        <f t="shared" si="6"/>
        <v>2020</v>
      </c>
      <c r="D35" s="568"/>
      <c r="E35" s="569">
        <v>2.8999999999999998E-3</v>
      </c>
      <c r="F35" s="583">
        <f t="shared" si="5"/>
        <v>-2659.6156051503544</v>
      </c>
      <c r="G35" s="584">
        <f t="shared" si="3"/>
        <v>-7.7128852549360269</v>
      </c>
      <c r="H35" s="584">
        <f t="shared" si="2"/>
        <v>-2667.3284904052903</v>
      </c>
      <c r="I35" s="210">
        <f t="shared" si="1"/>
        <v>27</v>
      </c>
      <c r="J35" s="575"/>
    </row>
    <row r="36" spans="1:10" x14ac:dyDescent="0.35">
      <c r="A36" s="210">
        <f t="shared" si="0"/>
        <v>28</v>
      </c>
      <c r="B36" s="456" t="s">
        <v>743</v>
      </c>
      <c r="C36" s="567">
        <f t="shared" si="6"/>
        <v>2020</v>
      </c>
      <c r="D36" s="568"/>
      <c r="E36" s="569">
        <v>2.8999999999999998E-3</v>
      </c>
      <c r="F36" s="583">
        <f t="shared" si="5"/>
        <v>-2667.3284904052903</v>
      </c>
      <c r="G36" s="584">
        <f t="shared" si="3"/>
        <v>-7.7352526221753415</v>
      </c>
      <c r="H36" s="584">
        <f t="shared" si="2"/>
        <v>-2675.0637430274655</v>
      </c>
      <c r="I36" s="210">
        <f t="shared" si="1"/>
        <v>28</v>
      </c>
      <c r="J36" s="575"/>
    </row>
    <row r="37" spans="1:10" x14ac:dyDescent="0.35">
      <c r="A37" s="210">
        <f t="shared" si="0"/>
        <v>29</v>
      </c>
      <c r="B37" s="456" t="s">
        <v>744</v>
      </c>
      <c r="C37" s="567">
        <f t="shared" si="6"/>
        <v>2020</v>
      </c>
      <c r="D37" s="568"/>
      <c r="E37" s="569">
        <v>2.8E-3</v>
      </c>
      <c r="F37" s="583">
        <f t="shared" si="5"/>
        <v>-2675.0637430274655</v>
      </c>
      <c r="G37" s="584">
        <f t="shared" si="3"/>
        <v>-7.4901784804769038</v>
      </c>
      <c r="H37" s="584">
        <f t="shared" si="2"/>
        <v>-2682.5539215079425</v>
      </c>
      <c r="I37" s="210">
        <f t="shared" si="1"/>
        <v>29</v>
      </c>
      <c r="J37" s="575"/>
    </row>
    <row r="38" spans="1:10" x14ac:dyDescent="0.35">
      <c r="A38" s="210">
        <f t="shared" si="0"/>
        <v>30</v>
      </c>
      <c r="B38" s="456" t="s">
        <v>745</v>
      </c>
      <c r="C38" s="567">
        <f t="shared" si="6"/>
        <v>2020</v>
      </c>
      <c r="D38" s="568"/>
      <c r="E38" s="569">
        <v>2.8E-3</v>
      </c>
      <c r="F38" s="583">
        <f t="shared" si="5"/>
        <v>-2682.5539215079425</v>
      </c>
      <c r="G38" s="584">
        <f t="shared" si="3"/>
        <v>-7.5111509802222391</v>
      </c>
      <c r="H38" s="584">
        <f t="shared" si="2"/>
        <v>-2690.0650724881648</v>
      </c>
      <c r="I38" s="210">
        <f t="shared" si="1"/>
        <v>30</v>
      </c>
      <c r="J38" s="575"/>
    </row>
    <row r="39" spans="1:10" x14ac:dyDescent="0.35">
      <c r="A39" s="210">
        <f t="shared" si="0"/>
        <v>31</v>
      </c>
      <c r="B39" s="456" t="s">
        <v>746</v>
      </c>
      <c r="C39" s="567">
        <f t="shared" si="6"/>
        <v>2020</v>
      </c>
      <c r="D39" s="568"/>
      <c r="E39" s="569">
        <v>2.7000000000000001E-3</v>
      </c>
      <c r="F39" s="583">
        <f t="shared" si="5"/>
        <v>-2690.0650724881648</v>
      </c>
      <c r="G39" s="584">
        <f t="shared" si="3"/>
        <v>-7.2631756957180453</v>
      </c>
      <c r="H39" s="584">
        <f t="shared" si="2"/>
        <v>-2697.3282481838828</v>
      </c>
      <c r="I39" s="210">
        <f t="shared" si="1"/>
        <v>31</v>
      </c>
      <c r="J39" s="575"/>
    </row>
    <row r="40" spans="1:10" x14ac:dyDescent="0.35">
      <c r="A40" s="210">
        <f t="shared" si="0"/>
        <v>32</v>
      </c>
      <c r="B40" s="577" t="s">
        <v>747</v>
      </c>
      <c r="C40" s="578">
        <f>C39</f>
        <v>2020</v>
      </c>
      <c r="D40" s="579"/>
      <c r="E40" s="580">
        <v>2.8E-3</v>
      </c>
      <c r="F40" s="581">
        <f t="shared" si="5"/>
        <v>-2697.3282481838828</v>
      </c>
      <c r="G40" s="582">
        <f t="shared" si="3"/>
        <v>-7.5525190949148717</v>
      </c>
      <c r="H40" s="582">
        <f t="shared" si="2"/>
        <v>-2704.8807672787975</v>
      </c>
      <c r="I40" s="210">
        <f t="shared" si="1"/>
        <v>32</v>
      </c>
      <c r="J40" s="575"/>
    </row>
    <row r="41" spans="1:10" x14ac:dyDescent="0.35">
      <c r="A41" s="210">
        <f t="shared" si="0"/>
        <v>33</v>
      </c>
      <c r="B41" s="456" t="s">
        <v>736</v>
      </c>
      <c r="C41" s="567">
        <f>C40+1</f>
        <v>2021</v>
      </c>
      <c r="D41" s="568"/>
      <c r="E41" s="569">
        <v>2.8E-3</v>
      </c>
      <c r="F41" s="583">
        <f t="shared" si="5"/>
        <v>-2704.8807672787975</v>
      </c>
      <c r="G41" s="584">
        <f t="shared" si="3"/>
        <v>-7.5736661483806333</v>
      </c>
      <c r="H41" s="584">
        <f t="shared" si="2"/>
        <v>-2712.4544334271782</v>
      </c>
      <c r="I41" s="210">
        <f t="shared" si="1"/>
        <v>33</v>
      </c>
      <c r="J41" s="575"/>
    </row>
    <row r="42" spans="1:10" x14ac:dyDescent="0.35">
      <c r="A42" s="210">
        <f t="shared" si="0"/>
        <v>34</v>
      </c>
      <c r="B42" s="456" t="s">
        <v>737</v>
      </c>
      <c r="C42" s="567">
        <f>C41</f>
        <v>2021</v>
      </c>
      <c r="D42" s="568"/>
      <c r="E42" s="569">
        <v>2.5000000000000001E-3</v>
      </c>
      <c r="F42" s="583">
        <f t="shared" si="5"/>
        <v>-2712.4544334271782</v>
      </c>
      <c r="G42" s="584">
        <f t="shared" si="3"/>
        <v>-6.7811360835679455</v>
      </c>
      <c r="H42" s="584">
        <f t="shared" si="2"/>
        <v>-2719.2355695107462</v>
      </c>
      <c r="I42" s="210">
        <f t="shared" si="1"/>
        <v>34</v>
      </c>
      <c r="J42" s="575"/>
    </row>
    <row r="43" spans="1:10" x14ac:dyDescent="0.35">
      <c r="A43" s="210">
        <f t="shared" si="0"/>
        <v>35</v>
      </c>
      <c r="B43" s="456" t="s">
        <v>738</v>
      </c>
      <c r="C43" s="567">
        <f t="shared" ref="C43:C51" si="7">C42</f>
        <v>2021</v>
      </c>
      <c r="D43" s="568"/>
      <c r="E43" s="569">
        <v>2.8E-3</v>
      </c>
      <c r="F43" s="583">
        <f t="shared" si="5"/>
        <v>-2719.2355695107462</v>
      </c>
      <c r="G43" s="584">
        <f t="shared" si="3"/>
        <v>-7.6138595946300898</v>
      </c>
      <c r="H43" s="584">
        <f t="shared" si="2"/>
        <v>-2726.8494291053762</v>
      </c>
      <c r="I43" s="210">
        <f t="shared" si="1"/>
        <v>35</v>
      </c>
      <c r="J43" s="575"/>
    </row>
    <row r="44" spans="1:10" x14ac:dyDescent="0.35">
      <c r="A44" s="210">
        <f t="shared" si="0"/>
        <v>36</v>
      </c>
      <c r="B44" s="456" t="s">
        <v>739</v>
      </c>
      <c r="C44" s="567">
        <f t="shared" si="7"/>
        <v>2021</v>
      </c>
      <c r="D44" s="568"/>
      <c r="E44" s="569">
        <v>2.7000000000000001E-3</v>
      </c>
      <c r="F44" s="583">
        <f t="shared" si="5"/>
        <v>-2726.8494291053762</v>
      </c>
      <c r="G44" s="584">
        <f t="shared" si="3"/>
        <v>-7.3624934585845159</v>
      </c>
      <c r="H44" s="584">
        <f t="shared" si="2"/>
        <v>-2734.2119225639608</v>
      </c>
      <c r="I44" s="210">
        <f t="shared" si="1"/>
        <v>36</v>
      </c>
      <c r="J44" s="575"/>
    </row>
    <row r="45" spans="1:10" x14ac:dyDescent="0.35">
      <c r="A45" s="210">
        <f t="shared" si="0"/>
        <v>37</v>
      </c>
      <c r="B45" s="456" t="s">
        <v>740</v>
      </c>
      <c r="C45" s="567">
        <f t="shared" si="7"/>
        <v>2021</v>
      </c>
      <c r="D45" s="568"/>
      <c r="E45" s="569">
        <v>2.8E-3</v>
      </c>
      <c r="F45" s="583">
        <f t="shared" si="5"/>
        <v>-2734.2119225639608</v>
      </c>
      <c r="G45" s="584">
        <f t="shared" si="3"/>
        <v>-7.6557933831790903</v>
      </c>
      <c r="H45" s="584">
        <f t="shared" si="2"/>
        <v>-2741.8677159471399</v>
      </c>
      <c r="I45" s="210">
        <f t="shared" si="1"/>
        <v>37</v>
      </c>
      <c r="J45" s="575"/>
    </row>
    <row r="46" spans="1:10" x14ac:dyDescent="0.35">
      <c r="A46" s="210">
        <f t="shared" si="0"/>
        <v>38</v>
      </c>
      <c r="B46" s="456" t="s">
        <v>741</v>
      </c>
      <c r="C46" s="567">
        <f t="shared" si="7"/>
        <v>2021</v>
      </c>
      <c r="D46" s="568"/>
      <c r="E46" s="569">
        <v>2.7000000000000001E-3</v>
      </c>
      <c r="F46" s="583">
        <f t="shared" si="5"/>
        <v>-2741.8677159471399</v>
      </c>
      <c r="G46" s="584">
        <f t="shared" si="3"/>
        <v>-7.4030428330572784</v>
      </c>
      <c r="H46" s="584">
        <f t="shared" si="2"/>
        <v>-2749.2707587801974</v>
      </c>
      <c r="I46" s="210">
        <f t="shared" si="1"/>
        <v>38</v>
      </c>
      <c r="J46" s="575"/>
    </row>
    <row r="47" spans="1:10" x14ac:dyDescent="0.35">
      <c r="A47" s="210">
        <f t="shared" si="0"/>
        <v>39</v>
      </c>
      <c r="B47" s="456" t="s">
        <v>742</v>
      </c>
      <c r="C47" s="567">
        <f t="shared" si="7"/>
        <v>2021</v>
      </c>
      <c r="D47" s="568"/>
      <c r="E47" s="569">
        <v>2.8E-3</v>
      </c>
      <c r="F47" s="583">
        <f t="shared" si="5"/>
        <v>-2749.2707587801974</v>
      </c>
      <c r="G47" s="584">
        <f t="shared" si="3"/>
        <v>-7.6979581245845523</v>
      </c>
      <c r="H47" s="584">
        <f t="shared" si="2"/>
        <v>-2756.968716904782</v>
      </c>
      <c r="I47" s="210">
        <f t="shared" si="1"/>
        <v>39</v>
      </c>
      <c r="J47" s="575"/>
    </row>
    <row r="48" spans="1:10" x14ac:dyDescent="0.35">
      <c r="A48" s="210">
        <f t="shared" si="0"/>
        <v>40</v>
      </c>
      <c r="B48" s="456" t="s">
        <v>743</v>
      </c>
      <c r="C48" s="567">
        <f t="shared" si="7"/>
        <v>2021</v>
      </c>
      <c r="D48" s="568"/>
      <c r="E48" s="569">
        <v>2.8E-3</v>
      </c>
      <c r="F48" s="583">
        <f t="shared" si="5"/>
        <v>-2756.968716904782</v>
      </c>
      <c r="G48" s="584">
        <f t="shared" si="3"/>
        <v>-7.7195124073333892</v>
      </c>
      <c r="H48" s="584">
        <f t="shared" si="2"/>
        <v>-2764.6882293121153</v>
      </c>
      <c r="I48" s="210">
        <f t="shared" si="1"/>
        <v>40</v>
      </c>
      <c r="J48" s="575"/>
    </row>
    <row r="49" spans="1:10" x14ac:dyDescent="0.35">
      <c r="A49" s="210">
        <f t="shared" si="0"/>
        <v>41</v>
      </c>
      <c r="B49" s="456" t="s">
        <v>744</v>
      </c>
      <c r="C49" s="567">
        <f t="shared" si="7"/>
        <v>2021</v>
      </c>
      <c r="D49" s="568"/>
      <c r="E49" s="569">
        <v>2.7000000000000001E-3</v>
      </c>
      <c r="F49" s="583">
        <f t="shared" si="5"/>
        <v>-2764.6882293121153</v>
      </c>
      <c r="G49" s="584">
        <f t="shared" si="3"/>
        <v>-7.464658219142712</v>
      </c>
      <c r="H49" s="584">
        <f t="shared" si="2"/>
        <v>-2772.1528875312579</v>
      </c>
      <c r="I49" s="210">
        <f t="shared" si="1"/>
        <v>41</v>
      </c>
      <c r="J49" s="575"/>
    </row>
    <row r="50" spans="1:10" x14ac:dyDescent="0.35">
      <c r="A50" s="210">
        <f t="shared" si="0"/>
        <v>42</v>
      </c>
      <c r="B50" s="456" t="s">
        <v>745</v>
      </c>
      <c r="C50" s="567">
        <f t="shared" si="7"/>
        <v>2021</v>
      </c>
      <c r="D50" s="568"/>
      <c r="E50" s="569">
        <v>2.8E-3</v>
      </c>
      <c r="F50" s="583">
        <f t="shared" si="5"/>
        <v>-2772.1528875312579</v>
      </c>
      <c r="G50" s="584">
        <f t="shared" si="3"/>
        <v>-7.7620280850875218</v>
      </c>
      <c r="H50" s="584">
        <f t="shared" si="2"/>
        <v>-2779.9149156163453</v>
      </c>
      <c r="I50" s="210">
        <f t="shared" si="1"/>
        <v>42</v>
      </c>
      <c r="J50" s="575"/>
    </row>
    <row r="51" spans="1:10" x14ac:dyDescent="0.35">
      <c r="A51" s="210">
        <f t="shared" si="0"/>
        <v>43</v>
      </c>
      <c r="B51" s="456" t="s">
        <v>746</v>
      </c>
      <c r="C51" s="567">
        <f t="shared" si="7"/>
        <v>2021</v>
      </c>
      <c r="D51" s="568"/>
      <c r="E51" s="569">
        <v>2.7000000000000001E-3</v>
      </c>
      <c r="F51" s="583">
        <f t="shared" si="5"/>
        <v>-2779.9149156163453</v>
      </c>
      <c r="G51" s="584">
        <f t="shared" si="3"/>
        <v>-7.5057702721641331</v>
      </c>
      <c r="H51" s="584">
        <f t="shared" si="2"/>
        <v>-2787.4206858885095</v>
      </c>
      <c r="I51" s="210">
        <f t="shared" si="1"/>
        <v>43</v>
      </c>
      <c r="J51" s="575"/>
    </row>
    <row r="52" spans="1:10" x14ac:dyDescent="0.35">
      <c r="A52" s="210">
        <f t="shared" si="0"/>
        <v>44</v>
      </c>
      <c r="B52" s="577" t="s">
        <v>747</v>
      </c>
      <c r="C52" s="578">
        <f>C51</f>
        <v>2021</v>
      </c>
      <c r="D52" s="579"/>
      <c r="E52" s="580">
        <v>2.8E-3</v>
      </c>
      <c r="F52" s="581">
        <f t="shared" si="5"/>
        <v>-2787.4206858885095</v>
      </c>
      <c r="G52" s="582">
        <f t="shared" si="3"/>
        <v>-7.8047779204878269</v>
      </c>
      <c r="H52" s="582">
        <f t="shared" si="2"/>
        <v>-2795.2254638089976</v>
      </c>
      <c r="I52" s="210">
        <f t="shared" si="1"/>
        <v>44</v>
      </c>
      <c r="J52" s="575"/>
    </row>
    <row r="53" spans="1:10" ht="16" thickBot="1" x14ac:dyDescent="0.4">
      <c r="A53" s="210">
        <f t="shared" si="0"/>
        <v>45</v>
      </c>
      <c r="D53" s="585">
        <f>SUM(D17:D28)</f>
        <v>-2526.1828883000417</v>
      </c>
      <c r="E53" s="586"/>
      <c r="F53" s="587"/>
      <c r="G53" s="588">
        <f>SUM(G17:G52)</f>
        <v>-269.04257550895608</v>
      </c>
      <c r="H53" s="589"/>
      <c r="I53" s="210">
        <f t="shared" si="1"/>
        <v>45</v>
      </c>
    </row>
    <row r="54" spans="1:10" ht="16" thickTop="1" x14ac:dyDescent="0.35">
      <c r="D54" s="590"/>
      <c r="E54" s="590"/>
      <c r="F54" s="590"/>
      <c r="G54" s="591"/>
      <c r="H54" s="591"/>
    </row>
    <row r="55" spans="1:10" x14ac:dyDescent="0.35">
      <c r="B55" s="592"/>
    </row>
    <row r="56" spans="1:10" ht="18" x14ac:dyDescent="0.35">
      <c r="A56" s="593">
        <v>1</v>
      </c>
      <c r="B56" s="468" t="s">
        <v>748</v>
      </c>
      <c r="C56" s="594"/>
    </row>
    <row r="57" spans="1:10" ht="18" x14ac:dyDescent="0.35">
      <c r="A57" s="593">
        <v>2</v>
      </c>
      <c r="B57" s="468" t="s">
        <v>749</v>
      </c>
    </row>
    <row r="58" spans="1:10" ht="18" x14ac:dyDescent="0.35">
      <c r="A58" s="593">
        <v>3</v>
      </c>
      <c r="B58" s="468" t="s">
        <v>750</v>
      </c>
    </row>
    <row r="59" spans="1:10" x14ac:dyDescent="0.35">
      <c r="B59" s="468" t="s">
        <v>751</v>
      </c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&amp;CPage 8.1&amp;R&amp;F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9B34-516A-419B-BBA3-1127527939AF}">
  <sheetPr codeName="Sheet2"/>
  <dimension ref="A1:M231"/>
  <sheetViews>
    <sheetView zoomScale="80" zoomScaleNormal="80" workbookViewId="0">
      <selection activeCell="B39" sqref="B39"/>
    </sheetView>
  </sheetViews>
  <sheetFormatPr defaultColWidth="9.1796875" defaultRowHeight="15.5" x14ac:dyDescent="0.35"/>
  <cols>
    <col min="1" max="1" width="4.7265625" style="30" bestFit="1" customWidth="1"/>
    <col min="2" max="2" width="86.1796875" style="30" customWidth="1"/>
    <col min="3" max="3" width="9.26953125" style="30" customWidth="1"/>
    <col min="4" max="4" width="1.7265625" style="30" customWidth="1"/>
    <col min="5" max="5" width="13.7265625" style="30" bestFit="1" customWidth="1"/>
    <col min="6" max="6" width="1.7265625" style="30" customWidth="1"/>
    <col min="7" max="7" width="13.26953125" style="30" customWidth="1"/>
    <col min="8" max="8" width="1.54296875" style="30" customWidth="1"/>
    <col min="9" max="9" width="10.453125" style="30" bestFit="1" customWidth="1"/>
    <col min="10" max="10" width="35.54296875" style="30" customWidth="1"/>
    <col min="11" max="11" width="4.7265625" style="124" bestFit="1" customWidth="1"/>
    <col min="12" max="12" width="10.7265625" style="30" bestFit="1" customWidth="1"/>
    <col min="13" max="16384" width="9.1796875" style="30"/>
  </cols>
  <sheetData>
    <row r="1" spans="1:13" x14ac:dyDescent="0.35">
      <c r="A1" s="24"/>
      <c r="B1" s="24"/>
      <c r="C1" s="24"/>
      <c r="D1" s="24"/>
      <c r="E1" s="24"/>
      <c r="F1" s="24"/>
      <c r="G1" s="24"/>
      <c r="H1" s="24"/>
      <c r="I1" s="24"/>
      <c r="J1" s="8"/>
      <c r="K1" s="8"/>
    </row>
    <row r="2" spans="1:13" x14ac:dyDescent="0.35">
      <c r="A2" s="8"/>
      <c r="B2" s="599" t="s">
        <v>0</v>
      </c>
      <c r="C2" s="598"/>
      <c r="D2" s="598"/>
      <c r="E2" s="598"/>
      <c r="F2" s="598"/>
      <c r="G2" s="598"/>
      <c r="H2" s="598"/>
      <c r="I2" s="598"/>
      <c r="J2" s="598"/>
      <c r="K2" s="8"/>
    </row>
    <row r="3" spans="1:13" x14ac:dyDescent="0.35">
      <c r="A3" s="8"/>
      <c r="B3" s="599" t="s">
        <v>26</v>
      </c>
      <c r="C3" s="599"/>
      <c r="D3" s="599"/>
      <c r="E3" s="599"/>
      <c r="F3" s="599"/>
      <c r="G3" s="599"/>
      <c r="H3" s="599"/>
      <c r="I3" s="599"/>
      <c r="J3" s="599"/>
      <c r="K3" s="8"/>
    </row>
    <row r="4" spans="1:13" x14ac:dyDescent="0.35">
      <c r="A4" s="8"/>
      <c r="B4" s="599" t="s">
        <v>27</v>
      </c>
      <c r="C4" s="600"/>
      <c r="D4" s="600"/>
      <c r="E4" s="600"/>
      <c r="F4" s="600"/>
      <c r="G4" s="600"/>
      <c r="H4" s="600"/>
      <c r="I4" s="600"/>
      <c r="J4" s="600"/>
      <c r="K4" s="8"/>
    </row>
    <row r="5" spans="1:13" x14ac:dyDescent="0.35">
      <c r="A5" s="8"/>
      <c r="B5" s="597" t="s">
        <v>3</v>
      </c>
      <c r="C5" s="598"/>
      <c r="D5" s="598"/>
      <c r="E5" s="598"/>
      <c r="F5" s="598"/>
      <c r="G5" s="598"/>
      <c r="H5" s="598"/>
      <c r="I5" s="598"/>
      <c r="J5" s="598"/>
      <c r="K5" s="8"/>
    </row>
    <row r="6" spans="1:13" x14ac:dyDescent="0.35">
      <c r="A6" s="8"/>
      <c r="B6" s="29"/>
      <c r="C6" s="4"/>
      <c r="D6" s="4"/>
      <c r="E6" s="125"/>
      <c r="F6" s="126"/>
      <c r="G6" s="125"/>
      <c r="H6" s="4"/>
      <c r="J6" s="4"/>
      <c r="K6" s="8"/>
    </row>
    <row r="7" spans="1:13" x14ac:dyDescent="0.35">
      <c r="A7" s="8"/>
      <c r="B7" s="29"/>
      <c r="C7" s="4"/>
      <c r="D7" s="4"/>
      <c r="E7" s="31" t="s">
        <v>28</v>
      </c>
      <c r="F7"/>
      <c r="G7" s="31" t="s">
        <v>29</v>
      </c>
      <c r="H7"/>
      <c r="I7" s="31" t="s">
        <v>30</v>
      </c>
      <c r="J7" s="4"/>
      <c r="K7" s="8"/>
    </row>
    <row r="8" spans="1:13" ht="45.5" x14ac:dyDescent="0.35">
      <c r="A8" s="8" t="s">
        <v>4</v>
      </c>
      <c r="B8" s="24"/>
      <c r="C8" s="24"/>
      <c r="D8" s="24"/>
      <c r="E8" s="32" t="s">
        <v>31</v>
      </c>
      <c r="F8" s="33"/>
      <c r="G8" s="32" t="s">
        <v>32</v>
      </c>
      <c r="H8" s="33"/>
      <c r="I8" s="34" t="s">
        <v>33</v>
      </c>
      <c r="J8" s="8"/>
      <c r="K8" s="8" t="s">
        <v>4</v>
      </c>
      <c r="M8" s="32"/>
    </row>
    <row r="9" spans="1:13" x14ac:dyDescent="0.35">
      <c r="A9" s="11" t="s">
        <v>5</v>
      </c>
      <c r="B9" s="33" t="s">
        <v>34</v>
      </c>
      <c r="C9" s="24"/>
      <c r="D9" s="24"/>
      <c r="E9" s="35" t="s">
        <v>35</v>
      </c>
      <c r="F9" s="24"/>
      <c r="G9" s="35" t="s">
        <v>35</v>
      </c>
      <c r="H9" s="24"/>
      <c r="I9" s="36" t="s">
        <v>36</v>
      </c>
      <c r="J9" s="11" t="s">
        <v>8</v>
      </c>
      <c r="K9" s="11" t="s">
        <v>5</v>
      </c>
    </row>
    <row r="10" spans="1:13" x14ac:dyDescent="0.35">
      <c r="A10" s="8"/>
      <c r="B10" s="37" t="s">
        <v>37</v>
      </c>
      <c r="C10" s="38"/>
      <c r="D10" s="38"/>
      <c r="E10" s="24"/>
      <c r="F10" s="24"/>
      <c r="G10" s="24"/>
      <c r="H10" s="24"/>
      <c r="I10" s="24"/>
      <c r="J10" s="8"/>
      <c r="K10" s="8"/>
    </row>
    <row r="11" spans="1:13" x14ac:dyDescent="0.35">
      <c r="A11" s="8">
        <f t="shared" ref="A11:A40" si="0">A10+1</f>
        <v>1</v>
      </c>
      <c r="B11" s="39" t="s">
        <v>38</v>
      </c>
      <c r="C11" s="40"/>
      <c r="D11" s="40"/>
      <c r="E11" s="41">
        <f>'Pg3 BK-1 Rev TO5 C3-Cost Adj'!E11</f>
        <v>83304.476179999998</v>
      </c>
      <c r="F11" s="42" t="s">
        <v>39</v>
      </c>
      <c r="G11" s="43">
        <f>'Pg4 As Filed BK-1 Retail TRR '!E11</f>
        <v>85599.206179999994</v>
      </c>
      <c r="H11" s="24"/>
      <c r="I11" s="44">
        <f>E11-G11</f>
        <v>-2294.7299999999959</v>
      </c>
      <c r="J11" s="8" t="s">
        <v>40</v>
      </c>
      <c r="K11" s="8">
        <f>K10+1</f>
        <v>1</v>
      </c>
    </row>
    <row r="12" spans="1:13" x14ac:dyDescent="0.35">
      <c r="A12" s="8">
        <f t="shared" si="0"/>
        <v>2</v>
      </c>
      <c r="B12" s="39" t="s">
        <v>34</v>
      </c>
      <c r="C12" s="40"/>
      <c r="D12" s="40"/>
      <c r="E12" s="24" t="s">
        <v>34</v>
      </c>
      <c r="F12" s="24"/>
      <c r="G12" s="24" t="s">
        <v>34</v>
      </c>
      <c r="H12" s="24"/>
      <c r="I12" s="24"/>
      <c r="J12" s="8"/>
      <c r="K12" s="8">
        <f>K11+1</f>
        <v>2</v>
      </c>
    </row>
    <row r="13" spans="1:13" x14ac:dyDescent="0.35">
      <c r="A13" s="8">
        <f t="shared" si="0"/>
        <v>3</v>
      </c>
      <c r="B13" s="39" t="s">
        <v>41</v>
      </c>
      <c r="C13" s="40"/>
      <c r="D13" s="40"/>
      <c r="E13" s="45">
        <f>'Pg3 BK-1 Rev TO5 C3-Cost Adj'!E13</f>
        <v>69749.205339611188</v>
      </c>
      <c r="F13" s="42" t="s">
        <v>39</v>
      </c>
      <c r="G13" s="46">
        <f>'Pg4 As Filed BK-1 Retail TRR '!E13</f>
        <v>69948.407184679614</v>
      </c>
      <c r="I13" s="47">
        <f>E13-G13</f>
        <v>-199.20184506842634</v>
      </c>
      <c r="J13" s="8" t="s">
        <v>42</v>
      </c>
      <c r="K13" s="8">
        <f>K12+1</f>
        <v>3</v>
      </c>
    </row>
    <row r="14" spans="1:13" x14ac:dyDescent="0.35">
      <c r="A14" s="8">
        <f t="shared" si="0"/>
        <v>4</v>
      </c>
      <c r="B14" s="39"/>
      <c r="C14" s="40"/>
      <c r="D14" s="40"/>
      <c r="E14" s="24"/>
      <c r="F14" s="33"/>
      <c r="G14" s="24"/>
      <c r="H14" s="33"/>
      <c r="I14" s="24"/>
      <c r="J14" s="8"/>
      <c r="K14" s="8">
        <f t="shared" ref="K14:K40" si="1">K13+1</f>
        <v>4</v>
      </c>
    </row>
    <row r="15" spans="1:13" x14ac:dyDescent="0.35">
      <c r="A15" s="8">
        <f t="shared" si="0"/>
        <v>5</v>
      </c>
      <c r="B15" s="39" t="s">
        <v>43</v>
      </c>
      <c r="C15" s="40"/>
      <c r="D15" s="40"/>
      <c r="E15" s="54">
        <f>'Pg3 BK-1 Rev TO5 C3-Cost Adj'!E15</f>
        <v>0</v>
      </c>
      <c r="F15" s="24"/>
      <c r="G15" s="54">
        <f>'Pg4 As Filed BK-1 Retail TRR '!E15</f>
        <v>0</v>
      </c>
      <c r="H15" s="24"/>
      <c r="I15" s="94">
        <f>E15-G15</f>
        <v>0</v>
      </c>
      <c r="J15" s="8" t="s">
        <v>44</v>
      </c>
      <c r="K15" s="8">
        <f t="shared" si="1"/>
        <v>5</v>
      </c>
    </row>
    <row r="16" spans="1:13" x14ac:dyDescent="0.35">
      <c r="A16" s="8">
        <f t="shared" si="0"/>
        <v>6</v>
      </c>
      <c r="B16" s="39" t="s">
        <v>45</v>
      </c>
      <c r="C16" s="40"/>
      <c r="D16" s="40"/>
      <c r="E16" s="49">
        <f>E11+E13+E15</f>
        <v>153053.68151961119</v>
      </c>
      <c r="F16" s="42" t="s">
        <v>39</v>
      </c>
      <c r="G16" s="50">
        <f>G11+G13+G15</f>
        <v>155547.61336467962</v>
      </c>
      <c r="H16" s="24"/>
      <c r="I16" s="49">
        <f>I11+I13+I15</f>
        <v>-2493.9318450684223</v>
      </c>
      <c r="J16" s="8" t="s">
        <v>46</v>
      </c>
      <c r="K16" s="8">
        <f t="shared" si="1"/>
        <v>6</v>
      </c>
    </row>
    <row r="17" spans="1:11" x14ac:dyDescent="0.35">
      <c r="A17" s="8">
        <f t="shared" si="0"/>
        <v>7</v>
      </c>
      <c r="B17" s="24"/>
      <c r="C17" s="24"/>
      <c r="D17" s="24"/>
      <c r="E17" s="24"/>
      <c r="F17" s="24"/>
      <c r="G17" s="24"/>
      <c r="H17" s="24"/>
      <c r="I17" s="24"/>
      <c r="J17" s="8"/>
      <c r="K17" s="8">
        <f t="shared" si="1"/>
        <v>7</v>
      </c>
    </row>
    <row r="18" spans="1:11" x14ac:dyDescent="0.35">
      <c r="A18" s="8">
        <f t="shared" si="0"/>
        <v>8</v>
      </c>
      <c r="B18" s="24" t="s">
        <v>47</v>
      </c>
      <c r="C18" s="40"/>
      <c r="D18" s="40"/>
      <c r="E18" s="46">
        <f>'Pg3 BK-1 Rev TO5 C3-Cost Adj'!E18</f>
        <v>193674.59996183356</v>
      </c>
      <c r="F18" s="51"/>
      <c r="G18" s="46">
        <f>'Pg4 As Filed BK-1 Retail TRR '!E18</f>
        <v>193674.59996183356</v>
      </c>
      <c r="H18" s="24"/>
      <c r="I18" s="595">
        <f>E18-G18</f>
        <v>0</v>
      </c>
      <c r="J18" s="8" t="s">
        <v>48</v>
      </c>
      <c r="K18" s="8">
        <f t="shared" si="1"/>
        <v>8</v>
      </c>
    </row>
    <row r="19" spans="1:11" x14ac:dyDescent="0.35">
      <c r="A19" s="8">
        <f t="shared" si="0"/>
        <v>9</v>
      </c>
      <c r="B19" s="24"/>
      <c r="C19" s="24"/>
      <c r="D19" s="24"/>
      <c r="E19" s="46" t="s">
        <v>34</v>
      </c>
      <c r="F19" s="24"/>
      <c r="G19" s="46" t="s">
        <v>34</v>
      </c>
      <c r="H19" s="24"/>
      <c r="I19" s="24"/>
      <c r="J19" s="8"/>
      <c r="K19" s="8">
        <f t="shared" si="1"/>
        <v>9</v>
      </c>
    </row>
    <row r="20" spans="1:11" ht="18" x14ac:dyDescent="0.35">
      <c r="A20" s="8">
        <f t="shared" si="0"/>
        <v>10</v>
      </c>
      <c r="B20" s="52" t="s">
        <v>49</v>
      </c>
      <c r="C20" s="24"/>
      <c r="D20" s="24"/>
      <c r="E20" s="46">
        <f>'Pg3 BK-1 Rev TO5 C3-Cost Adj'!E20</f>
        <v>0</v>
      </c>
      <c r="F20" s="24"/>
      <c r="G20" s="46">
        <f>'Pg4 As Filed BK-1 Retail TRR '!E20</f>
        <v>0</v>
      </c>
      <c r="H20" s="24"/>
      <c r="I20" s="595">
        <f>E20-G20</f>
        <v>0</v>
      </c>
      <c r="J20" s="8" t="s">
        <v>50</v>
      </c>
      <c r="K20" s="8">
        <f t="shared" si="1"/>
        <v>10</v>
      </c>
    </row>
    <row r="21" spans="1:11" x14ac:dyDescent="0.35">
      <c r="A21" s="8">
        <f t="shared" si="0"/>
        <v>11</v>
      </c>
      <c r="B21" s="24"/>
      <c r="C21" s="24"/>
      <c r="D21" s="24"/>
      <c r="E21" s="46"/>
      <c r="F21" s="24"/>
      <c r="G21" s="46"/>
      <c r="H21" s="24"/>
      <c r="I21" s="24"/>
      <c r="J21" s="8"/>
      <c r="K21" s="8">
        <f t="shared" si="1"/>
        <v>11</v>
      </c>
    </row>
    <row r="22" spans="1:11" x14ac:dyDescent="0.35">
      <c r="A22" s="8">
        <f t="shared" si="0"/>
        <v>12</v>
      </c>
      <c r="B22" s="24" t="s">
        <v>51</v>
      </c>
      <c r="C22" s="40"/>
      <c r="D22" s="40"/>
      <c r="E22" s="46">
        <f>'Pg3 BK-1 Rev TO5 C3-Cost Adj'!E22</f>
        <v>50572.921636797866</v>
      </c>
      <c r="F22" s="51"/>
      <c r="G22" s="46">
        <f>'Pg4 As Filed BK-1 Retail TRR '!E22</f>
        <v>50572.921636797866</v>
      </c>
      <c r="H22" s="33"/>
      <c r="I22" s="595">
        <f>E22-G22</f>
        <v>0</v>
      </c>
      <c r="J22" s="8" t="s">
        <v>52</v>
      </c>
      <c r="K22" s="8">
        <f t="shared" si="1"/>
        <v>12</v>
      </c>
    </row>
    <row r="23" spans="1:11" x14ac:dyDescent="0.35">
      <c r="A23" s="8">
        <f t="shared" si="0"/>
        <v>13</v>
      </c>
      <c r="B23" s="39"/>
      <c r="C23" s="40"/>
      <c r="D23" s="40"/>
      <c r="E23" s="46"/>
      <c r="F23" s="24"/>
      <c r="G23" s="46"/>
      <c r="H23" s="24"/>
      <c r="I23" s="24"/>
      <c r="J23" s="53"/>
      <c r="K23" s="8">
        <f t="shared" si="1"/>
        <v>13</v>
      </c>
    </row>
    <row r="24" spans="1:11" x14ac:dyDescent="0.35">
      <c r="A24" s="8">
        <f t="shared" si="0"/>
        <v>14</v>
      </c>
      <c r="B24" s="24" t="s">
        <v>53</v>
      </c>
      <c r="C24" s="40"/>
      <c r="D24" s="40"/>
      <c r="E24" s="54">
        <f>'Pg3 BK-1 Rev TO5 C3-Cost Adj'!E24</f>
        <v>2528.6095301464243</v>
      </c>
      <c r="F24" s="51"/>
      <c r="G24" s="54">
        <f>'Pg4 As Filed BK-1 Retail TRR '!E24</f>
        <v>2528.6095301464243</v>
      </c>
      <c r="H24" s="24"/>
      <c r="I24" s="94">
        <f>E24-G24</f>
        <v>0</v>
      </c>
      <c r="J24" s="8" t="s">
        <v>54</v>
      </c>
      <c r="K24" s="8">
        <f t="shared" si="1"/>
        <v>14</v>
      </c>
    </row>
    <row r="25" spans="1:11" x14ac:dyDescent="0.35">
      <c r="A25" s="8">
        <f t="shared" si="0"/>
        <v>15</v>
      </c>
      <c r="B25" s="39" t="s">
        <v>55</v>
      </c>
      <c r="C25" s="40"/>
      <c r="D25" s="40"/>
      <c r="E25" s="55">
        <f>SUM(E16:E24)</f>
        <v>399829.81264838896</v>
      </c>
      <c r="F25" s="51" t="s">
        <v>39</v>
      </c>
      <c r="G25" s="56">
        <f>SUM(G16:G24)</f>
        <v>402323.74449345743</v>
      </c>
      <c r="I25" s="55">
        <f>SUM(I16:I24)</f>
        <v>-2493.9318450684223</v>
      </c>
      <c r="J25" s="53" t="s">
        <v>56</v>
      </c>
      <c r="K25" s="8">
        <f t="shared" si="1"/>
        <v>15</v>
      </c>
    </row>
    <row r="26" spans="1:11" x14ac:dyDescent="0.35">
      <c r="A26" s="8">
        <f t="shared" si="0"/>
        <v>16</v>
      </c>
      <c r="B26" s="39"/>
      <c r="C26" s="40"/>
      <c r="D26" s="40"/>
      <c r="E26" s="33"/>
      <c r="F26" s="24"/>
      <c r="G26" s="24"/>
      <c r="I26" s="24"/>
      <c r="J26" s="8"/>
      <c r="K26" s="8">
        <f t="shared" si="1"/>
        <v>16</v>
      </c>
    </row>
    <row r="27" spans="1:11" ht="17.5" x14ac:dyDescent="0.45">
      <c r="A27" s="8">
        <f t="shared" si="0"/>
        <v>17</v>
      </c>
      <c r="B27" s="39" t="s">
        <v>57</v>
      </c>
      <c r="C27" s="40"/>
      <c r="D27" s="40"/>
      <c r="E27" s="57">
        <f>'Pg3 BK-1 Rev TO5 C3-Cost Adj'!E27</f>
        <v>9.8915203964587209E-2</v>
      </c>
      <c r="F27" s="51"/>
      <c r="G27" s="57">
        <f>'Pg4 As Filed BK-1 Retail TRR '!E27</f>
        <v>9.8915240188754625E-2</v>
      </c>
      <c r="I27" s="58">
        <f>E27-G27</f>
        <v>-3.6224167415666031E-8</v>
      </c>
      <c r="J27" s="8" t="s">
        <v>58</v>
      </c>
      <c r="K27" s="8">
        <f t="shared" si="1"/>
        <v>17</v>
      </c>
    </row>
    <row r="28" spans="1:11" x14ac:dyDescent="0.35">
      <c r="A28" s="8">
        <f t="shared" si="0"/>
        <v>18</v>
      </c>
      <c r="B28" s="39" t="s">
        <v>59</v>
      </c>
      <c r="C28" s="40"/>
      <c r="D28" s="40"/>
      <c r="E28" s="55">
        <f>'Pg3 BK-1 Rev TO5 C3-Cost Adj'!E28</f>
        <v>4341788.79395789</v>
      </c>
      <c r="F28" s="51" t="s">
        <v>39</v>
      </c>
      <c r="G28" s="56">
        <f>'Pg4 As Filed BK-1 Retail TRR '!E28</f>
        <v>4342100.5354385236</v>
      </c>
      <c r="I28" s="25">
        <f>E28-G28</f>
        <v>-311.74148063361645</v>
      </c>
      <c r="J28" s="8" t="s">
        <v>60</v>
      </c>
      <c r="K28" s="8">
        <f t="shared" si="1"/>
        <v>18</v>
      </c>
    </row>
    <row r="29" spans="1:11" x14ac:dyDescent="0.35">
      <c r="A29" s="8">
        <f t="shared" si="0"/>
        <v>19</v>
      </c>
      <c r="B29" s="52" t="s">
        <v>61</v>
      </c>
      <c r="C29" s="24"/>
      <c r="D29" s="24"/>
      <c r="E29" s="59">
        <f>E27*E28</f>
        <v>429468.92412550381</v>
      </c>
      <c r="F29" s="51" t="s">
        <v>39</v>
      </c>
      <c r="G29" s="60">
        <f>G27*G28</f>
        <v>429499.91738662164</v>
      </c>
      <c r="I29" s="61">
        <f>E29-G29</f>
        <v>-30.993261117837392</v>
      </c>
      <c r="J29" s="53" t="s">
        <v>62</v>
      </c>
      <c r="K29" s="8">
        <f t="shared" si="1"/>
        <v>19</v>
      </c>
    </row>
    <row r="30" spans="1:11" x14ac:dyDescent="0.35">
      <c r="A30" s="8">
        <f t="shared" si="0"/>
        <v>20</v>
      </c>
      <c r="B30" s="52"/>
      <c r="C30" s="24"/>
      <c r="D30" s="24"/>
      <c r="E30" s="59"/>
      <c r="F30" s="51"/>
      <c r="G30" s="60"/>
      <c r="I30" s="60"/>
      <c r="J30" s="53"/>
      <c r="K30" s="8">
        <f t="shared" si="1"/>
        <v>20</v>
      </c>
    </row>
    <row r="31" spans="1:11" ht="17.5" x14ac:dyDescent="0.35">
      <c r="A31" s="8">
        <f t="shared" si="0"/>
        <v>21</v>
      </c>
      <c r="B31" s="62" t="s">
        <v>63</v>
      </c>
      <c r="C31" s="24"/>
      <c r="D31" s="24"/>
      <c r="E31" s="63">
        <f>'Pg3 BK-1 Rev TO5 C3-Cost Adj'!E31</f>
        <v>4.0346960281741739E-3</v>
      </c>
      <c r="F31" s="51"/>
      <c r="G31" s="63">
        <f>'Pg4 As Filed BK-1 Retail TRR '!E31</f>
        <v>4.0346960281741739E-3</v>
      </c>
      <c r="I31" s="63">
        <f>E31-G31</f>
        <v>0</v>
      </c>
      <c r="J31" s="8" t="s">
        <v>64</v>
      </c>
      <c r="K31" s="8">
        <f t="shared" si="1"/>
        <v>21</v>
      </c>
    </row>
    <row r="32" spans="1:11" x14ac:dyDescent="0.35">
      <c r="A32" s="8">
        <f t="shared" si="0"/>
        <v>22</v>
      </c>
      <c r="B32" s="62" t="s">
        <v>59</v>
      </c>
      <c r="C32" s="24"/>
      <c r="D32" s="24"/>
      <c r="E32" s="55">
        <f>'Pg3 BK-1 Rev TO5 C3-Cost Adj'!E32</f>
        <v>4341788.79395789</v>
      </c>
      <c r="F32" s="51" t="s">
        <v>39</v>
      </c>
      <c r="G32" s="56">
        <f>'Pg4 As Filed BK-1 Retail TRR '!E32</f>
        <v>4342100.5354385236</v>
      </c>
      <c r="I32" s="64">
        <f>E32-G32</f>
        <v>-311.74148063361645</v>
      </c>
      <c r="J32" s="8" t="s">
        <v>65</v>
      </c>
      <c r="K32" s="8">
        <f t="shared" si="1"/>
        <v>22</v>
      </c>
    </row>
    <row r="33" spans="1:11" x14ac:dyDescent="0.35">
      <c r="A33" s="8">
        <f t="shared" si="0"/>
        <v>23</v>
      </c>
      <c r="B33" s="52" t="s">
        <v>66</v>
      </c>
      <c r="C33" s="24"/>
      <c r="D33" s="24"/>
      <c r="E33" s="59">
        <f>E31*E32</f>
        <v>17517.798002153035</v>
      </c>
      <c r="F33" s="51" t="s">
        <v>39</v>
      </c>
      <c r="G33" s="60">
        <f>G31*G32</f>
        <v>17519.055784266766</v>
      </c>
      <c r="I33" s="59">
        <f>E33-G33</f>
        <v>-1.2577821137310821</v>
      </c>
      <c r="J33" s="53" t="s">
        <v>67</v>
      </c>
      <c r="K33" s="8">
        <f t="shared" si="1"/>
        <v>23</v>
      </c>
    </row>
    <row r="34" spans="1:11" x14ac:dyDescent="0.35">
      <c r="A34" s="8">
        <f t="shared" si="0"/>
        <v>24</v>
      </c>
      <c r="B34" s="24"/>
      <c r="C34" s="24"/>
      <c r="D34" s="24"/>
      <c r="E34" s="59"/>
      <c r="F34" s="51"/>
      <c r="G34" s="60"/>
      <c r="I34" s="59"/>
      <c r="J34" s="8"/>
      <c r="K34" s="8">
        <f t="shared" si="1"/>
        <v>24</v>
      </c>
    </row>
    <row r="35" spans="1:11" x14ac:dyDescent="0.35">
      <c r="A35" s="8">
        <f t="shared" si="0"/>
        <v>25</v>
      </c>
      <c r="B35" s="52" t="s">
        <v>68</v>
      </c>
      <c r="C35" s="24"/>
      <c r="D35" s="24"/>
      <c r="E35" s="43">
        <f>'Pg3 BK-1 Rev TO5 C3-Cost Adj'!E35</f>
        <v>1346.7699665379248</v>
      </c>
      <c r="F35" s="46"/>
      <c r="G35" s="43">
        <f>'Pg4 As Filed BK-1 Retail TRR '!E35</f>
        <v>1346.7699665379248</v>
      </c>
      <c r="H35" s="46"/>
      <c r="I35" s="43">
        <f t="shared" ref="I35:I38" si="2">E35-G35</f>
        <v>0</v>
      </c>
      <c r="J35" s="8" t="s">
        <v>69</v>
      </c>
      <c r="K35" s="8">
        <f t="shared" si="1"/>
        <v>25</v>
      </c>
    </row>
    <row r="36" spans="1:11" x14ac:dyDescent="0.35">
      <c r="A36" s="8">
        <f t="shared" si="0"/>
        <v>26</v>
      </c>
      <c r="B36" s="52" t="s">
        <v>70</v>
      </c>
      <c r="C36" s="24"/>
      <c r="D36" s="24"/>
      <c r="E36" s="46">
        <f>'Pg3 BK-1 Rev TO5 C3-Cost Adj'!E36</f>
        <v>-5601.2001300000002</v>
      </c>
      <c r="F36" s="24"/>
      <c r="G36" s="46">
        <f>'Pg4 As Filed BK-1 Retail TRR '!E36</f>
        <v>-5601.2001300000002</v>
      </c>
      <c r="H36" s="24"/>
      <c r="I36" s="595">
        <f t="shared" si="2"/>
        <v>0</v>
      </c>
      <c r="J36" s="8" t="s">
        <v>71</v>
      </c>
      <c r="K36" s="8">
        <f t="shared" si="1"/>
        <v>26</v>
      </c>
    </row>
    <row r="37" spans="1:11" x14ac:dyDescent="0.35">
      <c r="A37" s="8">
        <f t="shared" si="0"/>
        <v>27</v>
      </c>
      <c r="B37" s="52" t="s">
        <v>72</v>
      </c>
      <c r="C37" s="24"/>
      <c r="D37" s="24"/>
      <c r="E37" s="46">
        <f>'Pg3 BK-1 Rev TO5 C3-Cost Adj'!E37</f>
        <v>0</v>
      </c>
      <c r="F37" s="24"/>
      <c r="G37" s="46">
        <f>'Pg4 As Filed BK-1 Retail TRR '!E37</f>
        <v>0</v>
      </c>
      <c r="H37" s="24"/>
      <c r="I37" s="595">
        <f t="shared" si="2"/>
        <v>0</v>
      </c>
      <c r="J37" s="8" t="s">
        <v>73</v>
      </c>
      <c r="K37" s="8">
        <f t="shared" si="1"/>
        <v>27</v>
      </c>
    </row>
    <row r="38" spans="1:11" x14ac:dyDescent="0.35">
      <c r="A38" s="8">
        <f t="shared" si="0"/>
        <v>28</v>
      </c>
      <c r="B38" s="65" t="s">
        <v>74</v>
      </c>
      <c r="C38" s="24"/>
      <c r="D38" s="24"/>
      <c r="E38" s="54">
        <f>'Pg3 BK-1 Rev TO5 C3-Cost Adj'!E38</f>
        <v>0</v>
      </c>
      <c r="F38" s="51"/>
      <c r="G38" s="54">
        <f>'Pg4 As Filed BK-1 Retail TRR '!E38</f>
        <v>0</v>
      </c>
      <c r="H38" s="24"/>
      <c r="I38" s="94">
        <f t="shared" si="2"/>
        <v>0</v>
      </c>
      <c r="J38" s="8" t="s">
        <v>75</v>
      </c>
      <c r="K38" s="8">
        <f t="shared" si="1"/>
        <v>28</v>
      </c>
    </row>
    <row r="39" spans="1:11" x14ac:dyDescent="0.35">
      <c r="A39" s="8">
        <f t="shared" si="0"/>
        <v>29</v>
      </c>
      <c r="B39" s="24"/>
      <c r="C39" s="24"/>
      <c r="D39" s="24"/>
      <c r="E39" s="24"/>
      <c r="F39" s="24"/>
      <c r="G39" s="24"/>
      <c r="H39" s="24"/>
      <c r="I39" s="24"/>
      <c r="J39" s="53"/>
      <c r="K39" s="8">
        <f t="shared" si="1"/>
        <v>29</v>
      </c>
    </row>
    <row r="40" spans="1:11" ht="31.5" thickBot="1" x14ac:dyDescent="0.4">
      <c r="A40" s="8">
        <f t="shared" si="0"/>
        <v>30</v>
      </c>
      <c r="B40" s="52" t="s">
        <v>76</v>
      </c>
      <c r="C40" s="40"/>
      <c r="D40" s="40"/>
      <c r="E40" s="66">
        <f>E25+E29+E33+SUM(E35:E38)</f>
        <v>842562.10461258376</v>
      </c>
      <c r="F40" s="51" t="s">
        <v>39</v>
      </c>
      <c r="G40" s="67">
        <f>G25+G29+G33+SUM(G35:G38)</f>
        <v>845088.2875008838</v>
      </c>
      <c r="I40" s="596">
        <f>I25+I29+I33+SUM(I35:I38)</f>
        <v>-2526.1828882999907</v>
      </c>
      <c r="J40" s="117" t="s">
        <v>77</v>
      </c>
      <c r="K40" s="8">
        <f t="shared" si="1"/>
        <v>30</v>
      </c>
    </row>
    <row r="41" spans="1:11" ht="16" thickTop="1" x14ac:dyDescent="0.35">
      <c r="A41" s="8"/>
      <c r="B41" s="24"/>
      <c r="C41" s="40"/>
      <c r="D41" s="40"/>
      <c r="E41" s="68"/>
      <c r="F41" s="51"/>
      <c r="G41" s="69"/>
      <c r="I41" s="69"/>
      <c r="J41" s="8"/>
      <c r="K41" s="8"/>
    </row>
    <row r="42" spans="1:11" x14ac:dyDescent="0.35">
      <c r="A42" s="42" t="s">
        <v>39</v>
      </c>
      <c r="B42" s="33" t="s">
        <v>78</v>
      </c>
      <c r="C42" s="40"/>
      <c r="D42" s="40"/>
      <c r="E42" s="24"/>
      <c r="F42" s="24"/>
      <c r="G42" s="24"/>
      <c r="H42" s="24"/>
      <c r="I42" s="24"/>
      <c r="J42" s="8"/>
      <c r="K42" s="8"/>
    </row>
    <row r="43" spans="1:11" ht="18" x14ac:dyDescent="0.35">
      <c r="A43" s="70">
        <v>1</v>
      </c>
      <c r="B43" s="52" t="s">
        <v>79</v>
      </c>
      <c r="C43" s="40"/>
      <c r="D43" s="40"/>
      <c r="E43" s="24"/>
      <c r="F43" s="24"/>
      <c r="G43" s="24"/>
      <c r="H43" s="24"/>
      <c r="I43" s="24"/>
      <c r="J43" s="8"/>
      <c r="K43" s="8"/>
    </row>
    <row r="44" spans="1:11" x14ac:dyDescent="0.35">
      <c r="A44" s="8"/>
      <c r="B44" s="33"/>
      <c r="C44" s="40"/>
      <c r="D44" s="40"/>
      <c r="E44" s="24"/>
      <c r="F44" s="24"/>
      <c r="G44" s="24"/>
      <c r="H44" s="24"/>
      <c r="I44" s="24"/>
      <c r="J44" s="8"/>
      <c r="K44" s="8"/>
    </row>
    <row r="45" spans="1:11" x14ac:dyDescent="0.35">
      <c r="A45" s="8"/>
      <c r="B45" s="33"/>
      <c r="C45" s="40"/>
      <c r="D45" s="40"/>
      <c r="E45" s="24"/>
      <c r="F45" s="24"/>
      <c r="G45" s="24"/>
      <c r="H45" s="24"/>
      <c r="I45" s="24"/>
      <c r="J45" s="8"/>
      <c r="K45" s="8"/>
    </row>
    <row r="46" spans="1:11" x14ac:dyDescent="0.35">
      <c r="A46" s="8"/>
      <c r="B46" s="599" t="s">
        <v>0</v>
      </c>
      <c r="C46" s="598"/>
      <c r="D46" s="598"/>
      <c r="E46" s="598"/>
      <c r="F46" s="598"/>
      <c r="G46" s="598"/>
      <c r="H46" s="598"/>
      <c r="I46" s="598"/>
      <c r="J46" s="598"/>
      <c r="K46" s="8"/>
    </row>
    <row r="47" spans="1:11" x14ac:dyDescent="0.35">
      <c r="A47" s="8"/>
      <c r="B47" s="599" t="str">
        <f>B3</f>
        <v xml:space="preserve">TO5 Cycle 4 Annual Informational Filing </v>
      </c>
      <c r="C47" s="598"/>
      <c r="D47" s="598"/>
      <c r="E47" s="598"/>
      <c r="F47" s="598"/>
      <c r="G47" s="598"/>
      <c r="H47" s="598"/>
      <c r="I47" s="598"/>
      <c r="J47" s="598"/>
      <c r="K47" s="8"/>
    </row>
    <row r="48" spans="1:11" x14ac:dyDescent="0.35">
      <c r="A48" s="8" t="s">
        <v>34</v>
      </c>
      <c r="B48" s="599" t="str">
        <f>B4</f>
        <v>Derivation of Other BTRR Adjustment Applicable to TO5 Cycle 3</v>
      </c>
      <c r="C48" s="600"/>
      <c r="D48" s="600"/>
      <c r="E48" s="600"/>
      <c r="F48" s="600"/>
      <c r="G48" s="600"/>
      <c r="H48" s="600"/>
      <c r="I48" s="600"/>
      <c r="J48" s="600"/>
      <c r="K48" s="8" t="s">
        <v>34</v>
      </c>
    </row>
    <row r="49" spans="1:11" x14ac:dyDescent="0.35">
      <c r="A49" s="8"/>
      <c r="B49" s="597" t="s">
        <v>3</v>
      </c>
      <c r="C49" s="598"/>
      <c r="D49" s="598"/>
      <c r="E49" s="598"/>
      <c r="F49" s="598"/>
      <c r="G49" s="598"/>
      <c r="H49" s="598"/>
      <c r="I49" s="598"/>
      <c r="J49" s="598"/>
      <c r="K49" s="8"/>
    </row>
    <row r="50" spans="1:11" x14ac:dyDescent="0.35">
      <c r="A50" s="8"/>
      <c r="B50" s="29"/>
      <c r="C50" s="4"/>
      <c r="D50" s="4"/>
      <c r="F50" s="4"/>
      <c r="H50" s="4"/>
      <c r="J50" s="4"/>
      <c r="K50" s="8"/>
    </row>
    <row r="51" spans="1:11" x14ac:dyDescent="0.35">
      <c r="A51" s="8"/>
      <c r="B51" s="29"/>
      <c r="C51" s="4"/>
      <c r="D51" s="4"/>
      <c r="E51" s="31" t="s">
        <v>28</v>
      </c>
      <c r="F51"/>
      <c r="G51" s="31" t="s">
        <v>29</v>
      </c>
      <c r="H51"/>
      <c r="I51" s="31" t="s">
        <v>30</v>
      </c>
      <c r="J51" s="4"/>
      <c r="K51" s="8"/>
    </row>
    <row r="52" spans="1:11" ht="46.15" customHeight="1" x14ac:dyDescent="0.35">
      <c r="A52" s="8" t="s">
        <v>4</v>
      </c>
      <c r="B52" s="24"/>
      <c r="C52" s="24"/>
      <c r="D52" s="24"/>
      <c r="E52" s="32" t="str">
        <f>E8</f>
        <v xml:space="preserve">Revised - TO5 C3 </v>
      </c>
      <c r="F52" s="33"/>
      <c r="G52" s="32" t="str">
        <f>G8</f>
        <v>As Filed - TO5 C3 per ER 21-526</v>
      </c>
      <c r="H52" s="33"/>
      <c r="I52" s="34" t="s">
        <v>33</v>
      </c>
      <c r="J52" s="8"/>
      <c r="K52" s="8" t="s">
        <v>4</v>
      </c>
    </row>
    <row r="53" spans="1:11" x14ac:dyDescent="0.35">
      <c r="A53" s="11" t="s">
        <v>5</v>
      </c>
      <c r="B53" s="33" t="s">
        <v>34</v>
      </c>
      <c r="C53" s="24"/>
      <c r="D53" s="24"/>
      <c r="E53" s="35" t="s">
        <v>7</v>
      </c>
      <c r="F53" s="24"/>
      <c r="G53" s="35" t="s">
        <v>7</v>
      </c>
      <c r="H53" s="24"/>
      <c r="I53" s="36" t="s">
        <v>36</v>
      </c>
      <c r="J53" s="11" t="s">
        <v>8</v>
      </c>
      <c r="K53" s="11" t="s">
        <v>5</v>
      </c>
    </row>
    <row r="54" spans="1:11" ht="18" x14ac:dyDescent="0.35">
      <c r="A54" s="8"/>
      <c r="B54" s="71" t="s">
        <v>80</v>
      </c>
      <c r="C54" s="40"/>
      <c r="D54" s="40"/>
      <c r="E54" s="24"/>
      <c r="F54" s="24"/>
      <c r="G54" s="24"/>
      <c r="H54" s="24"/>
      <c r="I54" s="24"/>
      <c r="J54" s="8"/>
      <c r="K54" s="8"/>
    </row>
    <row r="55" spans="1:11" x14ac:dyDescent="0.35">
      <c r="A55" s="8">
        <v>1</v>
      </c>
      <c r="B55" s="62" t="s">
        <v>81</v>
      </c>
      <c r="C55" s="40"/>
      <c r="D55" s="40"/>
      <c r="E55" s="72">
        <f>'Pg3 BK-1 Rev TO5 C3-Cost Adj'!E55</f>
        <v>0</v>
      </c>
      <c r="F55" s="24"/>
      <c r="G55" s="72">
        <f>'Pg4 As Filed BK-1 Retail TRR '!E54</f>
        <v>0</v>
      </c>
      <c r="H55" s="24"/>
      <c r="I55" s="73">
        <f>E55-G55</f>
        <v>0</v>
      </c>
      <c r="J55" s="8" t="s">
        <v>82</v>
      </c>
      <c r="K55" s="8">
        <v>1</v>
      </c>
    </row>
    <row r="56" spans="1:11" x14ac:dyDescent="0.35">
      <c r="A56" s="8">
        <f>A55+1</f>
        <v>2</v>
      </c>
      <c r="B56" s="62"/>
      <c r="C56" s="40"/>
      <c r="D56" s="40"/>
      <c r="E56" s="24"/>
      <c r="F56" s="24"/>
      <c r="G56" s="24"/>
      <c r="H56" s="24"/>
      <c r="I56" s="24"/>
      <c r="J56" s="53"/>
      <c r="K56" s="8">
        <f>K55+1</f>
        <v>2</v>
      </c>
    </row>
    <row r="57" spans="1:11" ht="17.5" x14ac:dyDescent="0.35">
      <c r="A57" s="8">
        <f t="shared" ref="A57:A93" si="3">A56+1</f>
        <v>3</v>
      </c>
      <c r="B57" s="62" t="s">
        <v>83</v>
      </c>
      <c r="C57" s="40"/>
      <c r="D57" s="40"/>
      <c r="E57" s="58">
        <f>'Pg3 BK-1 Rev TO5 C3-Cost Adj'!E57</f>
        <v>1.7918893594493838E-2</v>
      </c>
      <c r="F57" s="24"/>
      <c r="G57" s="58">
        <f>'Pg4 As Filed BK-1 Retail TRR '!E56</f>
        <v>1.7918893594493838E-2</v>
      </c>
      <c r="H57" s="24"/>
      <c r="I57" s="74">
        <f>E57-G57</f>
        <v>0</v>
      </c>
      <c r="J57" s="8" t="s">
        <v>84</v>
      </c>
      <c r="K57" s="8">
        <f t="shared" ref="K57:K93" si="4">K56+1</f>
        <v>3</v>
      </c>
    </row>
    <row r="58" spans="1:11" x14ac:dyDescent="0.35">
      <c r="A58" s="8">
        <f t="shared" si="3"/>
        <v>4</v>
      </c>
      <c r="B58" s="52" t="s">
        <v>85</v>
      </c>
      <c r="C58" s="40"/>
      <c r="D58" s="40"/>
      <c r="E58" s="75">
        <f>'Pg3 BK-1 Rev TO5 C3-Cost Adj'!E58</f>
        <v>0</v>
      </c>
      <c r="F58" s="24"/>
      <c r="G58" s="75">
        <f>'Pg4 As Filed BK-1 Retail TRR '!E57</f>
        <v>0</v>
      </c>
      <c r="H58" s="24"/>
      <c r="I58" s="75">
        <f>E58-G58</f>
        <v>0</v>
      </c>
      <c r="J58" s="8" t="s">
        <v>86</v>
      </c>
      <c r="K58" s="8">
        <f t="shared" si="4"/>
        <v>4</v>
      </c>
    </row>
    <row r="59" spans="1:11" x14ac:dyDescent="0.35">
      <c r="A59" s="8">
        <f t="shared" si="3"/>
        <v>5</v>
      </c>
      <c r="B59" s="52" t="s">
        <v>87</v>
      </c>
      <c r="C59" s="40"/>
      <c r="D59" s="40"/>
      <c r="E59" s="76">
        <f>E57*E58</f>
        <v>0</v>
      </c>
      <c r="F59" s="24"/>
      <c r="G59" s="76">
        <f>G57*G58</f>
        <v>0</v>
      </c>
      <c r="H59" s="24"/>
      <c r="I59" s="73">
        <f>E59-G59</f>
        <v>0</v>
      </c>
      <c r="J59" s="53" t="s">
        <v>88</v>
      </c>
      <c r="K59" s="8">
        <f t="shared" si="4"/>
        <v>5</v>
      </c>
    </row>
    <row r="60" spans="1:11" x14ac:dyDescent="0.35">
      <c r="A60" s="8">
        <f t="shared" si="3"/>
        <v>6</v>
      </c>
      <c r="B60" s="52"/>
      <c r="C60" s="40"/>
      <c r="D60" s="40"/>
      <c r="E60" s="24"/>
      <c r="F60" s="24"/>
      <c r="G60" s="24"/>
      <c r="H60" s="24"/>
      <c r="I60" s="24"/>
      <c r="J60" s="53"/>
      <c r="K60" s="8">
        <f t="shared" si="4"/>
        <v>6</v>
      </c>
    </row>
    <row r="61" spans="1:11" ht="17.5" x14ac:dyDescent="0.35">
      <c r="A61" s="8">
        <f t="shared" si="3"/>
        <v>7</v>
      </c>
      <c r="B61" s="62" t="s">
        <v>63</v>
      </c>
      <c r="C61" s="40"/>
      <c r="D61" s="40"/>
      <c r="E61" s="58">
        <f>'Pg3 BK-1 Rev TO5 C3-Cost Adj'!E61</f>
        <v>0</v>
      </c>
      <c r="F61" s="24"/>
      <c r="G61" s="58">
        <f>'Pg4 As Filed BK-1 Retail TRR '!E60</f>
        <v>0</v>
      </c>
      <c r="H61" s="24"/>
      <c r="I61" s="74">
        <f>E61-G61</f>
        <v>0</v>
      </c>
      <c r="J61" s="8" t="s">
        <v>89</v>
      </c>
      <c r="K61" s="8">
        <f t="shared" si="4"/>
        <v>7</v>
      </c>
    </row>
    <row r="62" spans="1:11" x14ac:dyDescent="0.35">
      <c r="A62" s="8">
        <f t="shared" si="3"/>
        <v>8</v>
      </c>
      <c r="B62" s="52" t="s">
        <v>85</v>
      </c>
      <c r="C62" s="40"/>
      <c r="D62" s="40"/>
      <c r="E62" s="75">
        <f>'Pg3 BK-1 Rev TO5 C3-Cost Adj'!E62</f>
        <v>0</v>
      </c>
      <c r="F62" s="24"/>
      <c r="G62" s="75">
        <f>'Pg4 As Filed BK-1 Retail TRR '!E61</f>
        <v>0</v>
      </c>
      <c r="H62" s="24"/>
      <c r="I62" s="75">
        <f>E62-G62</f>
        <v>0</v>
      </c>
      <c r="J62" s="8" t="s">
        <v>90</v>
      </c>
      <c r="K62" s="8">
        <f t="shared" si="4"/>
        <v>8</v>
      </c>
    </row>
    <row r="63" spans="1:11" x14ac:dyDescent="0.35">
      <c r="A63" s="8">
        <f t="shared" si="3"/>
        <v>9</v>
      </c>
      <c r="B63" s="52" t="s">
        <v>66</v>
      </c>
      <c r="C63" s="40"/>
      <c r="D63" s="40"/>
      <c r="E63" s="76">
        <f>E61*E62</f>
        <v>0</v>
      </c>
      <c r="F63" s="24"/>
      <c r="G63" s="76">
        <f>G61*G62</f>
        <v>0</v>
      </c>
      <c r="H63" s="24"/>
      <c r="I63" s="73">
        <f>E63-G63</f>
        <v>0</v>
      </c>
      <c r="J63" s="53" t="s">
        <v>91</v>
      </c>
      <c r="K63" s="8">
        <f t="shared" si="4"/>
        <v>9</v>
      </c>
    </row>
    <row r="64" spans="1:11" x14ac:dyDescent="0.35">
      <c r="A64" s="8">
        <f t="shared" si="3"/>
        <v>10</v>
      </c>
      <c r="B64" s="52"/>
      <c r="C64" s="40"/>
      <c r="D64" s="40"/>
      <c r="E64" s="24"/>
      <c r="F64" s="24"/>
      <c r="G64" s="24"/>
      <c r="H64" s="24"/>
      <c r="I64" s="24"/>
      <c r="J64" s="53"/>
      <c r="K64" s="8">
        <f t="shared" si="4"/>
        <v>10</v>
      </c>
    </row>
    <row r="65" spans="1:11" ht="16" thickBot="1" x14ac:dyDescent="0.4">
      <c r="A65" s="8">
        <f t="shared" si="3"/>
        <v>11</v>
      </c>
      <c r="B65" s="52" t="s">
        <v>92</v>
      </c>
      <c r="C65" s="40"/>
      <c r="D65" s="40"/>
      <c r="E65" s="77">
        <f>E55+E59+E63</f>
        <v>0</v>
      </c>
      <c r="F65" s="24"/>
      <c r="G65" s="77">
        <f>G55+G59+G63</f>
        <v>0</v>
      </c>
      <c r="H65" s="24"/>
      <c r="I65" s="77">
        <f>E65-G65</f>
        <v>0</v>
      </c>
      <c r="J65" s="53" t="s">
        <v>93</v>
      </c>
      <c r="K65" s="8">
        <f t="shared" si="4"/>
        <v>11</v>
      </c>
    </row>
    <row r="66" spans="1:11" ht="16" thickTop="1" x14ac:dyDescent="0.35">
      <c r="A66" s="8">
        <f t="shared" si="3"/>
        <v>12</v>
      </c>
      <c r="B66" s="52"/>
      <c r="C66" s="40"/>
      <c r="D66" s="40"/>
      <c r="E66" s="24"/>
      <c r="F66" s="24"/>
      <c r="G66" s="24"/>
      <c r="H66" s="24"/>
      <c r="I66" s="24"/>
      <c r="J66" s="53"/>
      <c r="K66" s="8">
        <f t="shared" si="4"/>
        <v>12</v>
      </c>
    </row>
    <row r="67" spans="1:11" ht="18" x14ac:dyDescent="0.35">
      <c r="A67" s="8">
        <f t="shared" si="3"/>
        <v>13</v>
      </c>
      <c r="B67" s="78" t="s">
        <v>94</v>
      </c>
      <c r="C67" s="40"/>
      <c r="D67" s="40"/>
      <c r="E67" s="24"/>
      <c r="F67" s="24"/>
      <c r="G67" s="24"/>
      <c r="H67" s="24"/>
      <c r="I67" s="24"/>
      <c r="J67" s="53"/>
      <c r="K67" s="8">
        <f t="shared" si="4"/>
        <v>13</v>
      </c>
    </row>
    <row r="68" spans="1:11" x14ac:dyDescent="0.35">
      <c r="A68" s="8">
        <f t="shared" si="3"/>
        <v>14</v>
      </c>
      <c r="B68" s="62" t="s">
        <v>95</v>
      </c>
      <c r="C68" s="40"/>
      <c r="D68" s="40"/>
      <c r="E68" s="72">
        <f>'Pg3 BK-1 Rev TO5 C3-Cost Adj'!E68</f>
        <v>0</v>
      </c>
      <c r="F68" s="24"/>
      <c r="G68" s="72">
        <f>'Pg4 As Filed BK-1 Retail TRR '!E67</f>
        <v>0</v>
      </c>
      <c r="H68" s="24"/>
      <c r="I68" s="73">
        <f>E68-G68</f>
        <v>0</v>
      </c>
      <c r="J68" s="8" t="s">
        <v>96</v>
      </c>
      <c r="K68" s="8">
        <f t="shared" si="4"/>
        <v>14</v>
      </c>
    </row>
    <row r="69" spans="1:11" x14ac:dyDescent="0.35">
      <c r="A69" s="8">
        <f t="shared" si="3"/>
        <v>15</v>
      </c>
      <c r="B69" s="62"/>
      <c r="C69" s="40"/>
      <c r="D69" s="40"/>
      <c r="E69" s="24"/>
      <c r="F69" s="24"/>
      <c r="G69" s="24"/>
      <c r="H69" s="24"/>
      <c r="I69" s="24"/>
      <c r="J69" s="53"/>
      <c r="K69" s="8">
        <f t="shared" si="4"/>
        <v>15</v>
      </c>
    </row>
    <row r="70" spans="1:11" x14ac:dyDescent="0.35">
      <c r="A70" s="8">
        <f t="shared" si="3"/>
        <v>16</v>
      </c>
      <c r="B70" s="62" t="s">
        <v>97</v>
      </c>
      <c r="C70" s="40"/>
      <c r="D70" s="40"/>
      <c r="E70" s="76">
        <f>'Pg3 BK-1 Rev TO5 C3-Cost Adj'!E70</f>
        <v>0</v>
      </c>
      <c r="F70" s="76"/>
      <c r="G70" s="76">
        <f>'Pg4 As Filed BK-1 Retail TRR '!E69</f>
        <v>0</v>
      </c>
      <c r="H70" s="76"/>
      <c r="I70" s="76">
        <f>E70-G70</f>
        <v>0</v>
      </c>
      <c r="J70" s="8" t="s">
        <v>98</v>
      </c>
      <c r="K70" s="8">
        <f t="shared" si="4"/>
        <v>16</v>
      </c>
    </row>
    <row r="71" spans="1:11" ht="17.5" x14ac:dyDescent="0.35">
      <c r="A71" s="8">
        <f t="shared" si="3"/>
        <v>17</v>
      </c>
      <c r="B71" s="62" t="s">
        <v>99</v>
      </c>
      <c r="C71" s="40"/>
      <c r="D71" s="40"/>
      <c r="E71" s="79">
        <f>'Pg3 BK-1 Rev TO5 C3-Cost Adj'!E71</f>
        <v>9.8915203964587209E-2</v>
      </c>
      <c r="F71" s="24"/>
      <c r="G71" s="80">
        <f>'Pg4 As Filed BK-1 Retail TRR '!E70</f>
        <v>9.8915211952382315E-2</v>
      </c>
      <c r="H71" s="24"/>
      <c r="I71" s="81">
        <f>E71-G71</f>
        <v>-7.9877951059126318E-9</v>
      </c>
      <c r="J71" s="8" t="s">
        <v>100</v>
      </c>
      <c r="K71" s="8">
        <f t="shared" si="4"/>
        <v>17</v>
      </c>
    </row>
    <row r="72" spans="1:11" x14ac:dyDescent="0.35">
      <c r="A72" s="8">
        <f t="shared" si="3"/>
        <v>18</v>
      </c>
      <c r="B72" s="52" t="s">
        <v>101</v>
      </c>
      <c r="C72" s="40"/>
      <c r="D72" s="40"/>
      <c r="E72" s="82">
        <f>E70*E71</f>
        <v>0</v>
      </c>
      <c r="F72" s="24"/>
      <c r="G72" s="82">
        <f>G70*G71</f>
        <v>0</v>
      </c>
      <c r="H72" s="24"/>
      <c r="I72" s="82">
        <f>E72-G72</f>
        <v>0</v>
      </c>
      <c r="J72" s="53" t="s">
        <v>102</v>
      </c>
      <c r="K72" s="8">
        <f t="shared" si="4"/>
        <v>18</v>
      </c>
    </row>
    <row r="73" spans="1:11" x14ac:dyDescent="0.35">
      <c r="A73" s="8">
        <f t="shared" si="3"/>
        <v>19</v>
      </c>
      <c r="B73" s="52"/>
      <c r="C73" s="40"/>
      <c r="D73" s="40"/>
      <c r="E73" s="24"/>
      <c r="F73" s="24"/>
      <c r="G73" s="24"/>
      <c r="H73" s="24"/>
      <c r="I73" s="24"/>
      <c r="J73" s="53"/>
      <c r="K73" s="8">
        <f t="shared" si="4"/>
        <v>19</v>
      </c>
    </row>
    <row r="74" spans="1:11" x14ac:dyDescent="0.35">
      <c r="A74" s="8">
        <f t="shared" si="3"/>
        <v>20</v>
      </c>
      <c r="B74" s="62" t="s">
        <v>97</v>
      </c>
      <c r="C74" s="40"/>
      <c r="D74" s="40"/>
      <c r="E74" s="28">
        <f>'Pg3 BK-1 Rev TO5 C3-Cost Adj'!E74</f>
        <v>0</v>
      </c>
      <c r="F74" s="24"/>
      <c r="G74" s="28">
        <f>'Pg4 As Filed BK-1 Retail TRR '!E73</f>
        <v>0</v>
      </c>
      <c r="H74" s="24"/>
      <c r="I74" s="28">
        <f>E74-G74</f>
        <v>0</v>
      </c>
      <c r="J74" s="8" t="s">
        <v>103</v>
      </c>
      <c r="K74" s="8">
        <f t="shared" si="4"/>
        <v>20</v>
      </c>
    </row>
    <row r="75" spans="1:11" ht="17.5" x14ac:dyDescent="0.35">
      <c r="A75" s="8">
        <f t="shared" si="3"/>
        <v>21</v>
      </c>
      <c r="B75" s="62" t="s">
        <v>63</v>
      </c>
      <c r="C75" s="40"/>
      <c r="D75" s="40"/>
      <c r="E75" s="80">
        <f>'Pg3 BK-1 Rev TO5 C3-Cost Adj'!E75</f>
        <v>0</v>
      </c>
      <c r="F75" s="24"/>
      <c r="G75" s="80">
        <f>'Pg4 As Filed BK-1 Retail TRR '!E74</f>
        <v>0</v>
      </c>
      <c r="H75" s="24"/>
      <c r="I75" s="81">
        <f>E75-G75</f>
        <v>0</v>
      </c>
      <c r="J75" s="8" t="s">
        <v>104</v>
      </c>
      <c r="K75" s="8">
        <f t="shared" si="4"/>
        <v>21</v>
      </c>
    </row>
    <row r="76" spans="1:11" x14ac:dyDescent="0.35">
      <c r="A76" s="8">
        <f t="shared" si="3"/>
        <v>22</v>
      </c>
      <c r="B76" s="52" t="s">
        <v>105</v>
      </c>
      <c r="C76" s="40"/>
      <c r="D76" s="40"/>
      <c r="E76" s="76">
        <f>E74*E75</f>
        <v>0</v>
      </c>
      <c r="F76" s="24"/>
      <c r="G76" s="76">
        <f>G74*G75</f>
        <v>0</v>
      </c>
      <c r="H76" s="24"/>
      <c r="I76" s="73">
        <f>E76-G76</f>
        <v>0</v>
      </c>
      <c r="J76" s="53" t="s">
        <v>106</v>
      </c>
      <c r="K76" s="8">
        <f t="shared" si="4"/>
        <v>22</v>
      </c>
    </row>
    <row r="77" spans="1:11" x14ac:dyDescent="0.35">
      <c r="A77" s="8">
        <f t="shared" si="3"/>
        <v>23</v>
      </c>
      <c r="B77" s="52"/>
      <c r="C77" s="40"/>
      <c r="D77" s="40"/>
      <c r="E77" s="24"/>
      <c r="F77" s="24"/>
      <c r="G77" s="24"/>
      <c r="H77" s="24"/>
      <c r="I77" s="24"/>
      <c r="J77" s="53"/>
      <c r="K77" s="8">
        <f t="shared" si="4"/>
        <v>23</v>
      </c>
    </row>
    <row r="78" spans="1:11" ht="16" thickBot="1" x14ac:dyDescent="0.4">
      <c r="A78" s="8">
        <f t="shared" si="3"/>
        <v>24</v>
      </c>
      <c r="B78" s="52" t="s">
        <v>107</v>
      </c>
      <c r="C78" s="40"/>
      <c r="D78" s="40"/>
      <c r="E78" s="83">
        <f>E68+E72+E76</f>
        <v>0</v>
      </c>
      <c r="F78" s="24"/>
      <c r="G78" s="83">
        <f>G68+G72+G76</f>
        <v>0</v>
      </c>
      <c r="H78" s="24"/>
      <c r="I78" s="83">
        <f>E78-G78</f>
        <v>0</v>
      </c>
      <c r="J78" s="53" t="s">
        <v>108</v>
      </c>
      <c r="K78" s="8">
        <f t="shared" si="4"/>
        <v>24</v>
      </c>
    </row>
    <row r="79" spans="1:11" ht="16" thickTop="1" x14ac:dyDescent="0.35">
      <c r="A79" s="8">
        <f t="shared" si="3"/>
        <v>25</v>
      </c>
      <c r="B79" s="52"/>
      <c r="C79" s="40"/>
      <c r="D79" s="40"/>
      <c r="E79" s="24"/>
      <c r="F79" s="24"/>
      <c r="G79" s="24"/>
      <c r="H79" s="24"/>
      <c r="I79" s="24"/>
      <c r="J79" s="53"/>
      <c r="K79" s="8">
        <f t="shared" si="4"/>
        <v>25</v>
      </c>
    </row>
    <row r="80" spans="1:11" ht="18" x14ac:dyDescent="0.35">
      <c r="A80" s="8">
        <f t="shared" si="3"/>
        <v>26</v>
      </c>
      <c r="B80" s="78" t="s">
        <v>109</v>
      </c>
      <c r="C80" s="40"/>
      <c r="D80" s="40"/>
      <c r="E80" s="24"/>
      <c r="F80" s="24"/>
      <c r="G80" s="24"/>
      <c r="H80" s="24"/>
      <c r="I80" s="24"/>
      <c r="J80" s="53"/>
      <c r="K80" s="8">
        <f t="shared" si="4"/>
        <v>26</v>
      </c>
    </row>
    <row r="81" spans="1:11" x14ac:dyDescent="0.35">
      <c r="A81" s="8">
        <f t="shared" si="3"/>
        <v>27</v>
      </c>
      <c r="B81" s="52" t="s">
        <v>110</v>
      </c>
      <c r="C81" s="40"/>
      <c r="D81" s="40"/>
      <c r="E81" s="28">
        <f>'Pg3 BK-1 Rev TO5 C3-Cost Adj'!E81</f>
        <v>0</v>
      </c>
      <c r="F81" s="24"/>
      <c r="G81" s="28">
        <f>'Pg4 As Filed BK-1 Retail TRR '!E80</f>
        <v>0</v>
      </c>
      <c r="H81" s="24"/>
      <c r="I81" s="28">
        <f>E81-G81</f>
        <v>0</v>
      </c>
      <c r="J81" s="8" t="s">
        <v>111</v>
      </c>
      <c r="K81" s="8">
        <f t="shared" si="4"/>
        <v>27</v>
      </c>
    </row>
    <row r="82" spans="1:11" ht="17.5" x14ac:dyDescent="0.35">
      <c r="A82" s="8">
        <f t="shared" si="3"/>
        <v>28</v>
      </c>
      <c r="B82" s="62" t="s">
        <v>99</v>
      </c>
      <c r="C82" s="40"/>
      <c r="D82" s="40"/>
      <c r="E82" s="81">
        <f>'Pg3 BK-1 Rev TO5 C3-Cost Adj'!E82</f>
        <v>9.8915203964587209E-2</v>
      </c>
      <c r="F82" s="24"/>
      <c r="G82" s="81">
        <f>'Pg4 As Filed BK-1 Retail TRR '!E81</f>
        <v>9.8915211952382315E-2</v>
      </c>
      <c r="H82" s="24"/>
      <c r="I82" s="81">
        <f>E82-G82</f>
        <v>-7.9877951059126318E-9</v>
      </c>
      <c r="J82" s="8" t="s">
        <v>112</v>
      </c>
      <c r="K82" s="8">
        <f t="shared" si="4"/>
        <v>28</v>
      </c>
    </row>
    <row r="83" spans="1:11" x14ac:dyDescent="0.35">
      <c r="A83" s="8">
        <f t="shared" si="3"/>
        <v>29</v>
      </c>
      <c r="B83" s="52" t="s">
        <v>113</v>
      </c>
      <c r="C83" s="40"/>
      <c r="D83" s="40"/>
      <c r="E83" s="76">
        <f>E81*E82</f>
        <v>0</v>
      </c>
      <c r="F83" s="24"/>
      <c r="G83" s="76">
        <f>G81*G82</f>
        <v>0</v>
      </c>
      <c r="H83" s="24"/>
      <c r="I83" s="73">
        <f>E83-G83</f>
        <v>0</v>
      </c>
      <c r="J83" s="53" t="s">
        <v>114</v>
      </c>
      <c r="K83" s="8">
        <f t="shared" si="4"/>
        <v>29</v>
      </c>
    </row>
    <row r="84" spans="1:11" x14ac:dyDescent="0.35">
      <c r="A84" s="8">
        <f t="shared" si="3"/>
        <v>30</v>
      </c>
      <c r="B84" s="52"/>
      <c r="C84" s="40"/>
      <c r="D84" s="40"/>
      <c r="E84" s="24"/>
      <c r="F84" s="24"/>
      <c r="G84" s="24"/>
      <c r="H84" s="24"/>
      <c r="I84" s="24"/>
      <c r="J84" s="53"/>
      <c r="K84" s="8">
        <f t="shared" si="4"/>
        <v>30</v>
      </c>
    </row>
    <row r="85" spans="1:11" x14ac:dyDescent="0.35">
      <c r="A85" s="8">
        <f t="shared" si="3"/>
        <v>31</v>
      </c>
      <c r="B85" s="52" t="s">
        <v>110</v>
      </c>
      <c r="C85" s="40"/>
      <c r="D85" s="40"/>
      <c r="E85" s="28">
        <f>'Pg3 BK-1 Rev TO5 C3-Cost Adj'!E85</f>
        <v>0</v>
      </c>
      <c r="F85" s="24"/>
      <c r="G85" s="28">
        <f>'Pg4 As Filed BK-1 Retail TRR '!E84</f>
        <v>0</v>
      </c>
      <c r="H85" s="24"/>
      <c r="I85" s="28">
        <f>E85-G85</f>
        <v>0</v>
      </c>
      <c r="J85" s="8" t="s">
        <v>115</v>
      </c>
      <c r="K85" s="8">
        <f t="shared" si="4"/>
        <v>31</v>
      </c>
    </row>
    <row r="86" spans="1:11" ht="17.5" x14ac:dyDescent="0.35">
      <c r="A86" s="8">
        <f t="shared" si="3"/>
        <v>32</v>
      </c>
      <c r="B86" s="62" t="s">
        <v>63</v>
      </c>
      <c r="C86" s="40"/>
      <c r="D86" s="40"/>
      <c r="E86" s="80">
        <f>'Pg3 BK-1 Rev TO5 C3-Cost Adj'!E86</f>
        <v>4.0346960281741739E-3</v>
      </c>
      <c r="F86" s="24"/>
      <c r="G86" s="80">
        <f>'Pg4 As Filed BK-1 Retail TRR '!E85</f>
        <v>4.0346960281741739E-3</v>
      </c>
      <c r="H86" s="24"/>
      <c r="I86" s="81">
        <f>E86-G86</f>
        <v>0</v>
      </c>
      <c r="J86" s="8" t="s">
        <v>116</v>
      </c>
      <c r="K86" s="8">
        <f t="shared" si="4"/>
        <v>32</v>
      </c>
    </row>
    <row r="87" spans="1:11" x14ac:dyDescent="0.35">
      <c r="A87" s="8">
        <f t="shared" si="3"/>
        <v>33</v>
      </c>
      <c r="B87" s="52" t="s">
        <v>117</v>
      </c>
      <c r="C87" s="40"/>
      <c r="D87" s="40"/>
      <c r="E87" s="76">
        <f>E85*E86</f>
        <v>0</v>
      </c>
      <c r="F87" s="24"/>
      <c r="G87" s="76">
        <f>G85*G86</f>
        <v>0</v>
      </c>
      <c r="H87" s="24"/>
      <c r="I87" s="73">
        <f>E87-G87</f>
        <v>0</v>
      </c>
      <c r="J87" s="53" t="s">
        <v>118</v>
      </c>
      <c r="K87" s="8">
        <f t="shared" si="4"/>
        <v>33</v>
      </c>
    </row>
    <row r="88" spans="1:11" x14ac:dyDescent="0.35">
      <c r="A88" s="8">
        <f t="shared" si="3"/>
        <v>34</v>
      </c>
      <c r="B88" s="52"/>
      <c r="C88" s="40"/>
      <c r="D88" s="40"/>
      <c r="E88" s="24"/>
      <c r="F88" s="24"/>
      <c r="G88" s="24"/>
      <c r="H88" s="24"/>
      <c r="I88" s="24"/>
      <c r="J88" s="53"/>
      <c r="K88" s="8">
        <f t="shared" si="4"/>
        <v>34</v>
      </c>
    </row>
    <row r="89" spans="1:11" ht="16" thickBot="1" x14ac:dyDescent="0.4">
      <c r="A89" s="8">
        <f t="shared" si="3"/>
        <v>35</v>
      </c>
      <c r="B89" s="52" t="s">
        <v>119</v>
      </c>
      <c r="C89" s="40"/>
      <c r="D89" s="40"/>
      <c r="E89" s="77">
        <f>E83+E87</f>
        <v>0</v>
      </c>
      <c r="F89" s="24"/>
      <c r="G89" s="77">
        <f>G83+G87</f>
        <v>0</v>
      </c>
      <c r="H89" s="24"/>
      <c r="I89" s="77">
        <f>E89-G89</f>
        <v>0</v>
      </c>
      <c r="J89" s="53" t="s">
        <v>120</v>
      </c>
      <c r="K89" s="8">
        <f t="shared" si="4"/>
        <v>35</v>
      </c>
    </row>
    <row r="90" spans="1:11" ht="16" thickTop="1" x14ac:dyDescent="0.35">
      <c r="A90" s="8">
        <f t="shared" si="3"/>
        <v>36</v>
      </c>
      <c r="B90" s="52"/>
      <c r="C90" s="40"/>
      <c r="D90" s="40"/>
      <c r="E90" s="24"/>
      <c r="F90" s="24"/>
      <c r="G90" s="24"/>
      <c r="H90" s="24"/>
      <c r="I90" s="24"/>
      <c r="J90" s="53"/>
      <c r="K90" s="8">
        <f t="shared" si="4"/>
        <v>36</v>
      </c>
    </row>
    <row r="91" spans="1:11" ht="18" thickBot="1" x14ac:dyDescent="0.4">
      <c r="A91" s="8">
        <f t="shared" si="3"/>
        <v>37</v>
      </c>
      <c r="B91" s="52" t="s">
        <v>121</v>
      </c>
      <c r="C91" s="40"/>
      <c r="D91" s="40"/>
      <c r="E91" s="84">
        <f>E65+E78+E89</f>
        <v>0</v>
      </c>
      <c r="F91" s="24"/>
      <c r="G91" s="84">
        <f>G65+G78+G89</f>
        <v>0</v>
      </c>
      <c r="H91" s="24"/>
      <c r="I91" s="84">
        <f>E91-G91</f>
        <v>0</v>
      </c>
      <c r="J91" s="53" t="s">
        <v>122</v>
      </c>
      <c r="K91" s="8">
        <f t="shared" si="4"/>
        <v>37</v>
      </c>
    </row>
    <row r="92" spans="1:11" ht="16" thickTop="1" x14ac:dyDescent="0.35">
      <c r="A92" s="8">
        <f t="shared" si="3"/>
        <v>38</v>
      </c>
      <c r="B92" s="52"/>
      <c r="C92" s="40"/>
      <c r="D92" s="40"/>
      <c r="E92" s="24"/>
      <c r="F92" s="24"/>
      <c r="G92" s="24"/>
      <c r="H92" s="24"/>
      <c r="I92" s="24"/>
      <c r="J92" s="53"/>
      <c r="K92" s="8">
        <f t="shared" si="4"/>
        <v>38</v>
      </c>
    </row>
    <row r="93" spans="1:11" ht="18.5" thickBot="1" x14ac:dyDescent="0.4">
      <c r="A93" s="8">
        <f t="shared" si="3"/>
        <v>39</v>
      </c>
      <c r="B93" s="78" t="s">
        <v>123</v>
      </c>
      <c r="C93" s="40"/>
      <c r="D93" s="40"/>
      <c r="E93" s="85">
        <f>E40+E91</f>
        <v>842562.10461258376</v>
      </c>
      <c r="F93" s="42" t="s">
        <v>39</v>
      </c>
      <c r="G93" s="86">
        <f>G40+G91</f>
        <v>845088.2875008838</v>
      </c>
      <c r="H93" s="24"/>
      <c r="I93" s="85">
        <f>E93-G93</f>
        <v>-2526.1828883000417</v>
      </c>
      <c r="J93" s="53" t="s">
        <v>124</v>
      </c>
      <c r="K93" s="8">
        <f t="shared" si="4"/>
        <v>39</v>
      </c>
    </row>
    <row r="94" spans="1:11" ht="16" thickTop="1" x14ac:dyDescent="0.35">
      <c r="A94" s="8"/>
      <c r="B94" s="24"/>
      <c r="C94" s="40"/>
      <c r="D94" s="40"/>
      <c r="E94" s="24"/>
      <c r="F94" s="24"/>
      <c r="G94" s="24"/>
      <c r="H94" s="24"/>
      <c r="I94" s="24"/>
      <c r="J94" s="8"/>
      <c r="K94" s="8"/>
    </row>
    <row r="95" spans="1:11" x14ac:dyDescent="0.35">
      <c r="A95" s="42" t="s">
        <v>39</v>
      </c>
      <c r="B95" s="33" t="str">
        <f>B42</f>
        <v>Items that are in BOLD have changed compared to the original TO5 Cycle 3 filing per ER21-526.</v>
      </c>
      <c r="C95" s="40"/>
      <c r="D95" s="40"/>
      <c r="E95" s="24"/>
      <c r="F95" s="24"/>
      <c r="G95" s="24"/>
      <c r="H95" s="24"/>
      <c r="I95" s="24"/>
      <c r="J95" s="8"/>
      <c r="K95" s="8"/>
    </row>
    <row r="96" spans="1:11" ht="18" x14ac:dyDescent="0.35">
      <c r="A96" s="70">
        <v>1</v>
      </c>
      <c r="B96" s="52" t="s">
        <v>79</v>
      </c>
      <c r="C96" s="40"/>
      <c r="D96" s="40"/>
      <c r="E96" s="24"/>
      <c r="F96" s="24"/>
      <c r="G96" s="24"/>
      <c r="H96" s="24"/>
      <c r="I96" s="24"/>
      <c r="J96" s="8"/>
      <c r="K96" s="8"/>
    </row>
    <row r="97" spans="1:11" ht="18" x14ac:dyDescent="0.35">
      <c r="A97" s="70">
        <v>2</v>
      </c>
      <c r="B97" s="52" t="s">
        <v>125</v>
      </c>
      <c r="C97" s="40"/>
      <c r="D97" s="40"/>
      <c r="E97" s="24"/>
      <c r="F97" s="24"/>
      <c r="G97" s="24"/>
      <c r="H97" s="24"/>
      <c r="I97" s="24"/>
      <c r="J97" s="8"/>
      <c r="K97" s="8"/>
    </row>
    <row r="98" spans="1:11" ht="18" x14ac:dyDescent="0.35">
      <c r="A98" s="70">
        <v>3</v>
      </c>
      <c r="B98" s="52" t="s">
        <v>126</v>
      </c>
      <c r="C98" s="40"/>
      <c r="D98" s="40"/>
      <c r="E98" s="24"/>
      <c r="F98" s="24"/>
      <c r="G98" s="24"/>
      <c r="H98" s="24"/>
      <c r="I98" s="24"/>
      <c r="J98" s="8"/>
      <c r="K98" s="8"/>
    </row>
    <row r="99" spans="1:11" x14ac:dyDescent="0.35">
      <c r="A99" s="8"/>
      <c r="B99" s="24"/>
      <c r="C99" s="40"/>
      <c r="D99" s="40"/>
      <c r="E99" s="24"/>
      <c r="F99" s="24"/>
      <c r="G99" s="24"/>
      <c r="H99" s="24"/>
      <c r="I99" s="24"/>
      <c r="J99" s="8"/>
      <c r="K99" s="8"/>
    </row>
    <row r="100" spans="1:11" x14ac:dyDescent="0.35">
      <c r="A100" s="8"/>
      <c r="B100" s="24"/>
      <c r="C100" s="40"/>
      <c r="D100" s="40"/>
      <c r="E100" s="24"/>
      <c r="F100" s="24"/>
      <c r="G100" s="24"/>
      <c r="H100" s="24"/>
      <c r="I100" s="24"/>
      <c r="J100" s="8"/>
      <c r="K100" s="8"/>
    </row>
    <row r="101" spans="1:11" x14ac:dyDescent="0.35">
      <c r="A101" s="8"/>
      <c r="B101" s="599" t="s">
        <v>0</v>
      </c>
      <c r="C101" s="598"/>
      <c r="D101" s="598"/>
      <c r="E101" s="598"/>
      <c r="F101" s="598"/>
      <c r="G101" s="598"/>
      <c r="H101" s="598"/>
      <c r="I101" s="598"/>
      <c r="J101" s="598"/>
      <c r="K101" s="8"/>
    </row>
    <row r="102" spans="1:11" x14ac:dyDescent="0.35">
      <c r="A102" s="8"/>
      <c r="B102" s="599" t="str">
        <f>B3</f>
        <v xml:space="preserve">TO5 Cycle 4 Annual Informational Filing </v>
      </c>
      <c r="C102" s="598"/>
      <c r="D102" s="598"/>
      <c r="E102" s="598"/>
      <c r="F102" s="598"/>
      <c r="G102" s="598"/>
      <c r="H102" s="598"/>
      <c r="I102" s="598"/>
      <c r="J102" s="598"/>
      <c r="K102" s="8"/>
    </row>
    <row r="103" spans="1:11" x14ac:dyDescent="0.35">
      <c r="A103" s="8" t="s">
        <v>34</v>
      </c>
      <c r="B103" s="599" t="str">
        <f>B4</f>
        <v>Derivation of Other BTRR Adjustment Applicable to TO5 Cycle 3</v>
      </c>
      <c r="C103" s="600"/>
      <c r="D103" s="600"/>
      <c r="E103" s="600"/>
      <c r="F103" s="600"/>
      <c r="G103" s="600"/>
      <c r="H103" s="600"/>
      <c r="I103" s="600"/>
      <c r="J103" s="600"/>
      <c r="K103" s="8" t="s">
        <v>34</v>
      </c>
    </row>
    <row r="104" spans="1:11" x14ac:dyDescent="0.35">
      <c r="A104" s="8"/>
      <c r="B104" s="597" t="s">
        <v>3</v>
      </c>
      <c r="C104" s="598"/>
      <c r="D104" s="598"/>
      <c r="E104" s="598"/>
      <c r="F104" s="598"/>
      <c r="G104" s="598"/>
      <c r="H104" s="598"/>
      <c r="I104" s="598"/>
      <c r="J104" s="598"/>
      <c r="K104" s="8"/>
    </row>
    <row r="105" spans="1:11" x14ac:dyDescent="0.35">
      <c r="A105" s="8"/>
      <c r="B105" s="29"/>
      <c r="C105" s="4"/>
      <c r="D105" s="4"/>
      <c r="F105" s="4"/>
      <c r="H105" s="4"/>
      <c r="J105" s="4"/>
      <c r="K105" s="8"/>
    </row>
    <row r="106" spans="1:11" x14ac:dyDescent="0.35">
      <c r="A106" s="8"/>
      <c r="B106" s="29"/>
      <c r="C106" s="4"/>
      <c r="D106" s="4"/>
      <c r="E106" s="31" t="s">
        <v>28</v>
      </c>
      <c r="F106"/>
      <c r="G106" s="31" t="s">
        <v>29</v>
      </c>
      <c r="H106"/>
      <c r="I106" s="31" t="s">
        <v>30</v>
      </c>
      <c r="J106" s="4"/>
      <c r="K106" s="8"/>
    </row>
    <row r="107" spans="1:11" ht="45.5" x14ac:dyDescent="0.35">
      <c r="A107" s="8" t="s">
        <v>4</v>
      </c>
      <c r="B107" s="24"/>
      <c r="C107" s="24"/>
      <c r="D107" s="24"/>
      <c r="E107" s="32" t="str">
        <f>E8</f>
        <v xml:space="preserve">Revised - TO5 C3 </v>
      </c>
      <c r="F107" s="33"/>
      <c r="G107" s="32" t="str">
        <f>G8</f>
        <v>As Filed - TO5 C3 per ER 21-526</v>
      </c>
      <c r="H107" s="33"/>
      <c r="I107" s="34" t="s">
        <v>33</v>
      </c>
      <c r="J107" s="8"/>
      <c r="K107" s="8" t="s">
        <v>4</v>
      </c>
    </row>
    <row r="108" spans="1:11" x14ac:dyDescent="0.35">
      <c r="A108" s="11" t="s">
        <v>5</v>
      </c>
      <c r="B108" s="33" t="s">
        <v>34</v>
      </c>
      <c r="C108" s="24"/>
      <c r="D108" s="24"/>
      <c r="E108" s="35" t="s">
        <v>7</v>
      </c>
      <c r="F108" s="24"/>
      <c r="G108" s="35" t="s">
        <v>7</v>
      </c>
      <c r="H108" s="24"/>
      <c r="I108" s="36" t="s">
        <v>36</v>
      </c>
      <c r="J108" s="11" t="s">
        <v>8</v>
      </c>
      <c r="K108" s="11" t="s">
        <v>5</v>
      </c>
    </row>
    <row r="109" spans="1:11" x14ac:dyDescent="0.35">
      <c r="A109" s="8"/>
      <c r="B109" s="37" t="s">
        <v>127</v>
      </c>
      <c r="C109" s="87"/>
      <c r="D109" s="87"/>
      <c r="E109" s="24"/>
      <c r="F109" s="24"/>
      <c r="G109" s="24"/>
      <c r="H109" s="24"/>
      <c r="I109" s="24"/>
      <c r="J109" s="8"/>
      <c r="K109" s="8"/>
    </row>
    <row r="110" spans="1:11" x14ac:dyDescent="0.35">
      <c r="A110" s="8">
        <v>1</v>
      </c>
      <c r="B110" s="88" t="s">
        <v>128</v>
      </c>
      <c r="C110" s="87"/>
      <c r="D110" s="87"/>
      <c r="E110" s="24"/>
      <c r="F110" s="24"/>
      <c r="G110" s="24"/>
      <c r="H110" s="24"/>
      <c r="I110" s="24"/>
      <c r="J110" s="8"/>
      <c r="K110" s="8">
        <v>1</v>
      </c>
    </row>
    <row r="111" spans="1:11" x14ac:dyDescent="0.35">
      <c r="A111" s="8">
        <f t="shared" ref="A111:A148" si="5">A110+1</f>
        <v>2</v>
      </c>
      <c r="B111" s="39" t="s">
        <v>129</v>
      </c>
      <c r="C111" s="87"/>
      <c r="D111" s="87"/>
      <c r="E111" s="89">
        <f>'Pg3 BK-1 Rev TO5 C3-Cost Adj'!E111</f>
        <v>4932894.8545753844</v>
      </c>
      <c r="F111" s="42"/>
      <c r="G111" s="89">
        <f>'Pg4 As Filed BK-1 Retail TRR '!E109</f>
        <v>4932894.8545753844</v>
      </c>
      <c r="H111" s="24"/>
      <c r="I111" s="28">
        <f>E111-G111</f>
        <v>0</v>
      </c>
      <c r="J111" s="8" t="s">
        <v>130</v>
      </c>
      <c r="K111" s="8">
        <f>K110+1</f>
        <v>2</v>
      </c>
    </row>
    <row r="112" spans="1:11" x14ac:dyDescent="0.35">
      <c r="A112" s="8">
        <f t="shared" si="5"/>
        <v>3</v>
      </c>
      <c r="B112" s="39" t="s">
        <v>131</v>
      </c>
      <c r="C112" s="87"/>
      <c r="D112" s="87"/>
      <c r="E112" s="90">
        <f>'Pg3 BK-1 Rev TO5 C3-Cost Adj'!E112</f>
        <v>7914.697483924625</v>
      </c>
      <c r="F112" s="51"/>
      <c r="G112" s="90">
        <f>'Pg4 As Filed BK-1 Retail TRR '!E110</f>
        <v>7914.697483924625</v>
      </c>
      <c r="I112" s="595">
        <f>E112-G112</f>
        <v>0</v>
      </c>
      <c r="J112" s="8" t="s">
        <v>132</v>
      </c>
      <c r="K112" s="8">
        <f>K111+1</f>
        <v>3</v>
      </c>
    </row>
    <row r="113" spans="1:11" x14ac:dyDescent="0.35">
      <c r="A113" s="8">
        <f t="shared" si="5"/>
        <v>4</v>
      </c>
      <c r="B113" s="39" t="s">
        <v>133</v>
      </c>
      <c r="C113" s="87"/>
      <c r="D113" s="87"/>
      <c r="E113" s="90">
        <f>'Pg3 BK-1 Rev TO5 C3-Cost Adj'!E113</f>
        <v>55357.114704499072</v>
      </c>
      <c r="F113" s="24"/>
      <c r="G113" s="90">
        <f>'Pg4 As Filed BK-1 Retail TRR '!E111</f>
        <v>55357.114704499072</v>
      </c>
      <c r="I113" s="595">
        <f t="shared" ref="I113:I114" si="6">E113-G113</f>
        <v>0</v>
      </c>
      <c r="J113" s="8" t="s">
        <v>134</v>
      </c>
      <c r="K113" s="8">
        <f>K112+1</f>
        <v>4</v>
      </c>
    </row>
    <row r="114" spans="1:11" x14ac:dyDescent="0.35">
      <c r="A114" s="8">
        <f t="shared" si="5"/>
        <v>5</v>
      </c>
      <c r="B114" s="39" t="s">
        <v>135</v>
      </c>
      <c r="C114" s="87"/>
      <c r="D114" s="87"/>
      <c r="E114" s="91">
        <f>'Pg3 BK-1 Rev TO5 C3-Cost Adj'!E114</f>
        <v>104050.017682017</v>
      </c>
      <c r="F114" s="24"/>
      <c r="G114" s="91">
        <f>'Pg4 As Filed BK-1 Retail TRR '!E112</f>
        <v>104050.017682017</v>
      </c>
      <c r="I114" s="94">
        <f t="shared" si="6"/>
        <v>0</v>
      </c>
      <c r="J114" s="8" t="s">
        <v>136</v>
      </c>
      <c r="K114" s="8">
        <f>K113+1</f>
        <v>5</v>
      </c>
    </row>
    <row r="115" spans="1:11" x14ac:dyDescent="0.35">
      <c r="A115" s="8">
        <f t="shared" si="5"/>
        <v>6</v>
      </c>
      <c r="B115" s="39" t="s">
        <v>137</v>
      </c>
      <c r="C115" s="8"/>
      <c r="D115" s="8"/>
      <c r="E115" s="60">
        <f>SUM(E111:E114)</f>
        <v>5100216.6844458245</v>
      </c>
      <c r="F115" s="42"/>
      <c r="G115" s="60">
        <f>SUM(G111:G114)</f>
        <v>5100216.6844458245</v>
      </c>
      <c r="I115" s="60">
        <f>SUM(I111:I114)</f>
        <v>0</v>
      </c>
      <c r="J115" s="8" t="s">
        <v>138</v>
      </c>
      <c r="K115" s="8">
        <f t="shared" ref="K115:K148" si="7">K114+1</f>
        <v>6</v>
      </c>
    </row>
    <row r="116" spans="1:11" x14ac:dyDescent="0.35">
      <c r="A116" s="8">
        <f t="shared" si="5"/>
        <v>7</v>
      </c>
      <c r="B116" s="39"/>
      <c r="C116" s="8"/>
      <c r="D116" s="8"/>
      <c r="E116" s="92"/>
      <c r="F116" s="24"/>
      <c r="G116" s="92"/>
      <c r="I116" s="24"/>
      <c r="J116" s="8"/>
      <c r="K116" s="8">
        <f t="shared" si="7"/>
        <v>7</v>
      </c>
    </row>
    <row r="117" spans="1:11" x14ac:dyDescent="0.35">
      <c r="A117" s="8">
        <f t="shared" si="5"/>
        <v>8</v>
      </c>
      <c r="B117" s="88" t="s">
        <v>139</v>
      </c>
      <c r="C117" s="8"/>
      <c r="D117" s="8"/>
      <c r="E117" s="60"/>
      <c r="F117" s="24"/>
      <c r="G117" s="60"/>
      <c r="I117" s="27"/>
      <c r="J117" s="8"/>
      <c r="K117" s="8">
        <f t="shared" si="7"/>
        <v>8</v>
      </c>
    </row>
    <row r="118" spans="1:11" x14ac:dyDescent="0.35">
      <c r="A118" s="8">
        <f t="shared" si="5"/>
        <v>9</v>
      </c>
      <c r="B118" s="39" t="s">
        <v>140</v>
      </c>
      <c r="C118" s="8"/>
      <c r="D118" s="8"/>
      <c r="E118" s="60">
        <f>'Pg3 BK-1 Rev TO5 C3-Cost Adj'!E118</f>
        <v>0</v>
      </c>
      <c r="F118" s="24"/>
      <c r="G118" s="60">
        <f>'Pg4 As Filed BK-1 Retail TRR '!E116</f>
        <v>0</v>
      </c>
      <c r="I118" s="27">
        <f>E118-G118</f>
        <v>0</v>
      </c>
      <c r="J118" s="8" t="s">
        <v>141</v>
      </c>
      <c r="K118" s="8">
        <f t="shared" si="7"/>
        <v>9</v>
      </c>
    </row>
    <row r="119" spans="1:11" x14ac:dyDescent="0.35">
      <c r="A119" s="8">
        <f t="shared" si="5"/>
        <v>10</v>
      </c>
      <c r="B119" s="39" t="s">
        <v>142</v>
      </c>
      <c r="C119" s="8"/>
      <c r="D119" s="8"/>
      <c r="E119" s="93">
        <f>'Pg3 BK-1 Rev TO5 C3-Cost Adj'!E119</f>
        <v>0</v>
      </c>
      <c r="F119" s="24"/>
      <c r="G119" s="93">
        <f>'Pg4 As Filed BK-1 Retail TRR '!E117</f>
        <v>0</v>
      </c>
      <c r="I119" s="94">
        <f>E119-G119</f>
        <v>0</v>
      </c>
      <c r="J119" s="8" t="s">
        <v>143</v>
      </c>
      <c r="K119" s="8">
        <f t="shared" si="7"/>
        <v>10</v>
      </c>
    </row>
    <row r="120" spans="1:11" x14ac:dyDescent="0.35">
      <c r="A120" s="8">
        <f t="shared" si="5"/>
        <v>11</v>
      </c>
      <c r="B120" s="39" t="s">
        <v>144</v>
      </c>
      <c r="C120" s="8"/>
      <c r="D120" s="8"/>
      <c r="E120" s="95">
        <f>SUM(E118:E119)</f>
        <v>0</v>
      </c>
      <c r="F120" s="24"/>
      <c r="G120" s="95">
        <f>SUM(G118:G119)</f>
        <v>0</v>
      </c>
      <c r="I120" s="95">
        <f>SUM(I118:I119)</f>
        <v>0</v>
      </c>
      <c r="J120" s="53" t="s">
        <v>145</v>
      </c>
      <c r="K120" s="8">
        <f t="shared" si="7"/>
        <v>11</v>
      </c>
    </row>
    <row r="121" spans="1:11" x14ac:dyDescent="0.35">
      <c r="A121" s="8">
        <f t="shared" si="5"/>
        <v>12</v>
      </c>
      <c r="B121" s="39"/>
      <c r="C121" s="8"/>
      <c r="D121" s="8"/>
      <c r="E121" s="92"/>
      <c r="F121" s="24"/>
      <c r="G121" s="92"/>
      <c r="I121" s="24"/>
      <c r="J121" s="8"/>
      <c r="K121" s="8">
        <f t="shared" si="7"/>
        <v>12</v>
      </c>
    </row>
    <row r="122" spans="1:11" x14ac:dyDescent="0.35">
      <c r="A122" s="8">
        <f t="shared" si="5"/>
        <v>13</v>
      </c>
      <c r="B122" s="88" t="s">
        <v>146</v>
      </c>
      <c r="C122" s="24"/>
      <c r="D122" s="24"/>
      <c r="E122" s="92"/>
      <c r="F122" s="24"/>
      <c r="G122" s="92"/>
      <c r="I122" s="24"/>
      <c r="J122" s="8"/>
      <c r="K122" s="8">
        <f t="shared" si="7"/>
        <v>13</v>
      </c>
    </row>
    <row r="123" spans="1:11" x14ac:dyDescent="0.35">
      <c r="A123" s="8">
        <f t="shared" si="5"/>
        <v>14</v>
      </c>
      <c r="B123" s="24" t="s">
        <v>147</v>
      </c>
      <c r="C123" s="8"/>
      <c r="D123" s="8"/>
      <c r="E123" s="60">
        <f>'Pg3 BK-1 Rev TO5 C3-Cost Adj'!E123</f>
        <v>-847325.9872005051</v>
      </c>
      <c r="F123" s="24"/>
      <c r="G123" s="60">
        <f>'Pg4 As Filed BK-1 Retail TRR '!E121</f>
        <v>-847325.9872005051</v>
      </c>
      <c r="I123" s="27">
        <f t="shared" ref="I123" si="8">E123-G123</f>
        <v>0</v>
      </c>
      <c r="J123" s="8" t="s">
        <v>148</v>
      </c>
      <c r="K123" s="8">
        <f t="shared" si="7"/>
        <v>14</v>
      </c>
    </row>
    <row r="124" spans="1:11" x14ac:dyDescent="0.35">
      <c r="A124" s="8">
        <f t="shared" si="5"/>
        <v>15</v>
      </c>
      <c r="B124" s="24" t="s">
        <v>149</v>
      </c>
      <c r="C124" s="8"/>
      <c r="D124" s="8"/>
      <c r="E124" s="96">
        <f>'Pg3 BK-1 Rev TO5 C3-Cost Adj'!E124</f>
        <v>0</v>
      </c>
      <c r="F124" s="24"/>
      <c r="G124" s="96">
        <f>'Pg4 As Filed BK-1 Retail TRR '!E122</f>
        <v>0</v>
      </c>
      <c r="I124" s="97">
        <f>E124-G124</f>
        <v>0</v>
      </c>
      <c r="J124" s="8" t="s">
        <v>150</v>
      </c>
      <c r="K124" s="8">
        <f t="shared" si="7"/>
        <v>15</v>
      </c>
    </row>
    <row r="125" spans="1:11" x14ac:dyDescent="0.35">
      <c r="A125" s="8">
        <f t="shared" si="5"/>
        <v>16</v>
      </c>
      <c r="B125" s="24" t="s">
        <v>151</v>
      </c>
      <c r="C125" s="8"/>
      <c r="D125" s="8"/>
      <c r="E125" s="60">
        <f>SUM(E123:E124)</f>
        <v>-847325.9872005051</v>
      </c>
      <c r="F125" s="24"/>
      <c r="G125" s="60">
        <f>SUM(G123:G124)</f>
        <v>-847325.9872005051</v>
      </c>
      <c r="I125" s="27">
        <f>SUM(I123:I124)</f>
        <v>0</v>
      </c>
      <c r="J125" s="53" t="s">
        <v>152</v>
      </c>
      <c r="K125" s="8">
        <f t="shared" si="7"/>
        <v>16</v>
      </c>
    </row>
    <row r="126" spans="1:11" x14ac:dyDescent="0.35">
      <c r="A126" s="8">
        <f t="shared" si="5"/>
        <v>17</v>
      </c>
      <c r="B126" s="24"/>
      <c r="C126" s="8"/>
      <c r="D126" s="8"/>
      <c r="E126" s="60"/>
      <c r="F126" s="24"/>
      <c r="G126" s="60"/>
      <c r="I126" s="27"/>
      <c r="J126" s="8"/>
      <c r="K126" s="8">
        <f t="shared" si="7"/>
        <v>17</v>
      </c>
    </row>
    <row r="127" spans="1:11" x14ac:dyDescent="0.35">
      <c r="A127" s="8">
        <f t="shared" si="5"/>
        <v>18</v>
      </c>
      <c r="B127" s="88" t="s">
        <v>153</v>
      </c>
      <c r="C127" s="8"/>
      <c r="D127" s="8"/>
      <c r="E127" s="98"/>
      <c r="F127" s="24"/>
      <c r="G127" s="98"/>
      <c r="I127" s="24"/>
      <c r="J127" s="8"/>
      <c r="K127" s="8">
        <f t="shared" si="7"/>
        <v>18</v>
      </c>
    </row>
    <row r="128" spans="1:11" x14ac:dyDescent="0.35">
      <c r="A128" s="8">
        <f t="shared" si="5"/>
        <v>19</v>
      </c>
      <c r="B128" s="39" t="s">
        <v>154</v>
      </c>
      <c r="C128" s="8"/>
      <c r="D128" s="8"/>
      <c r="E128" s="50">
        <f>'Pg3 BK-1 Rev TO5 C3-Cost Adj'!E128</f>
        <v>51690.430147887761</v>
      </c>
      <c r="G128" s="50">
        <f>'Pg4 As Filed BK-1 Retail TRR '!E126</f>
        <v>51690.430147887761</v>
      </c>
      <c r="I128" s="43">
        <f t="shared" ref="I128:I130" si="9">E128-G128</f>
        <v>0</v>
      </c>
      <c r="J128" s="8" t="s">
        <v>155</v>
      </c>
      <c r="K128" s="8">
        <f t="shared" si="7"/>
        <v>19</v>
      </c>
    </row>
    <row r="129" spans="1:11" x14ac:dyDescent="0.35">
      <c r="A129" s="8">
        <f t="shared" si="5"/>
        <v>20</v>
      </c>
      <c r="B129" s="39" t="s">
        <v>156</v>
      </c>
      <c r="C129" s="8"/>
      <c r="D129" s="8"/>
      <c r="E129" s="98">
        <f>'Pg3 BK-1 Rev TO5 C3-Cost Adj'!E129</f>
        <v>25891.153919452419</v>
      </c>
      <c r="F129" s="42"/>
      <c r="G129" s="98">
        <f>'Pg4 As Filed BK-1 Retail TRR '!E127</f>
        <v>25891.153919452419</v>
      </c>
      <c r="I129" s="595">
        <f t="shared" si="9"/>
        <v>0</v>
      </c>
      <c r="J129" s="8" t="s">
        <v>157</v>
      </c>
      <c r="K129" s="8">
        <f t="shared" si="7"/>
        <v>20</v>
      </c>
    </row>
    <row r="130" spans="1:11" x14ac:dyDescent="0.35">
      <c r="A130" s="8">
        <f t="shared" si="5"/>
        <v>21</v>
      </c>
      <c r="B130" s="39" t="s">
        <v>158</v>
      </c>
      <c r="C130" s="8"/>
      <c r="D130" s="8"/>
      <c r="E130" s="99">
        <f>'Pg3 BK-1 Rev TO5 C3-Cost Adj'!E130</f>
        <v>19131.710189951398</v>
      </c>
      <c r="F130" s="42" t="s">
        <v>39</v>
      </c>
      <c r="G130" s="100">
        <f>'Pg4 As Filed BK-1 Retail TRR '!E128</f>
        <v>19443.451670584953</v>
      </c>
      <c r="I130" s="48">
        <f t="shared" si="9"/>
        <v>-311.7414806335546</v>
      </c>
      <c r="J130" s="8" t="s">
        <v>159</v>
      </c>
      <c r="K130" s="8">
        <f t="shared" si="7"/>
        <v>21</v>
      </c>
    </row>
    <row r="131" spans="1:11" x14ac:dyDescent="0.35">
      <c r="A131" s="8">
        <f t="shared" si="5"/>
        <v>22</v>
      </c>
      <c r="B131" s="39" t="s">
        <v>160</v>
      </c>
      <c r="C131" s="24"/>
      <c r="D131" s="24"/>
      <c r="E131" s="59">
        <f>SUM(E128:E130)</f>
        <v>96713.294257291578</v>
      </c>
      <c r="F131" s="42" t="s">
        <v>39</v>
      </c>
      <c r="G131" s="60">
        <f>SUM(G128:G130)</f>
        <v>97025.035737925136</v>
      </c>
      <c r="I131" s="59">
        <f>SUM(I128:I130)</f>
        <v>-311.7414806335546</v>
      </c>
      <c r="J131" s="53" t="s">
        <v>161</v>
      </c>
      <c r="K131" s="8">
        <f t="shared" si="7"/>
        <v>22</v>
      </c>
    </row>
    <row r="132" spans="1:11" x14ac:dyDescent="0.35">
      <c r="A132" s="8">
        <f t="shared" si="5"/>
        <v>23</v>
      </c>
      <c r="B132" s="39"/>
      <c r="C132" s="24"/>
      <c r="D132" s="24"/>
      <c r="E132" s="59"/>
      <c r="F132" s="42"/>
      <c r="G132" s="60"/>
      <c r="I132" s="59"/>
      <c r="J132" s="8"/>
      <c r="K132" s="8">
        <f t="shared" si="7"/>
        <v>23</v>
      </c>
    </row>
    <row r="133" spans="1:11" x14ac:dyDescent="0.35">
      <c r="A133" s="8">
        <f t="shared" si="5"/>
        <v>24</v>
      </c>
      <c r="B133" s="39" t="s">
        <v>162</v>
      </c>
      <c r="C133" s="24"/>
      <c r="D133" s="24"/>
      <c r="E133" s="101">
        <f>'Pg3 BK-1 Rev TO5 C3-Cost Adj'!E133</f>
        <v>0</v>
      </c>
      <c r="F133" s="42"/>
      <c r="G133" s="101">
        <f>'Pg4 As Filed BK-1 Retail TRR '!E131</f>
        <v>0</v>
      </c>
      <c r="I133" s="102">
        <f>E133-G133</f>
        <v>0</v>
      </c>
      <c r="J133" s="8" t="s">
        <v>163</v>
      </c>
      <c r="K133" s="8">
        <f t="shared" si="7"/>
        <v>24</v>
      </c>
    </row>
    <row r="134" spans="1:11" x14ac:dyDescent="0.35">
      <c r="A134" s="8">
        <f t="shared" si="5"/>
        <v>25</v>
      </c>
      <c r="B134" s="39" t="s">
        <v>164</v>
      </c>
      <c r="C134" s="24"/>
      <c r="D134" s="24"/>
      <c r="E134" s="103">
        <f>'Pg3 BK-1 Rev TO5 C3-Cost Adj'!E134</f>
        <v>-7815.1975447212026</v>
      </c>
      <c r="F134" s="42"/>
      <c r="G134" s="103">
        <f>'Pg4 As Filed BK-1 Retail TRR '!E132</f>
        <v>-7815.1975447212026</v>
      </c>
      <c r="I134" s="104">
        <f>E134-G134</f>
        <v>0</v>
      </c>
      <c r="J134" s="8" t="s">
        <v>165</v>
      </c>
      <c r="K134" s="8">
        <f t="shared" si="7"/>
        <v>25</v>
      </c>
    </row>
    <row r="135" spans="1:11" x14ac:dyDescent="0.35">
      <c r="A135" s="8">
        <f t="shared" si="5"/>
        <v>26</v>
      </c>
      <c r="B135" s="39"/>
      <c r="C135" s="24"/>
      <c r="D135" s="24"/>
      <c r="E135" s="105"/>
      <c r="F135" s="24"/>
      <c r="G135" s="105"/>
      <c r="H135" s="24"/>
      <c r="I135" s="24"/>
      <c r="J135" s="53"/>
      <c r="K135" s="8">
        <f t="shared" si="7"/>
        <v>26</v>
      </c>
    </row>
    <row r="136" spans="1:11" ht="16" thickBot="1" x14ac:dyDescent="0.4">
      <c r="A136" s="8">
        <f t="shared" si="5"/>
        <v>27</v>
      </c>
      <c r="B136" s="62" t="s">
        <v>166</v>
      </c>
      <c r="C136" s="24"/>
      <c r="D136" s="24"/>
      <c r="E136" s="106">
        <f>E115+E120+E125+E131+E133+E134</f>
        <v>4341788.79395789</v>
      </c>
      <c r="F136" s="42" t="s">
        <v>39</v>
      </c>
      <c r="G136" s="107">
        <f>G115+G120+G125+G131+G133+G134</f>
        <v>4342100.5354385236</v>
      </c>
      <c r="I136" s="106">
        <f>E136-G136</f>
        <v>-311.74148063361645</v>
      </c>
      <c r="J136" s="53" t="s">
        <v>167</v>
      </c>
      <c r="K136" s="8">
        <f t="shared" si="7"/>
        <v>27</v>
      </c>
    </row>
    <row r="137" spans="1:11" ht="16" thickTop="1" x14ac:dyDescent="0.35">
      <c r="A137" s="8">
        <f t="shared" si="5"/>
        <v>28</v>
      </c>
      <c r="B137" s="39"/>
      <c r="C137" s="24"/>
      <c r="D137" s="24"/>
      <c r="E137" s="59"/>
      <c r="F137" s="42"/>
      <c r="G137" s="60"/>
      <c r="I137" s="59"/>
      <c r="J137" s="8"/>
      <c r="K137" s="8">
        <f t="shared" si="7"/>
        <v>28</v>
      </c>
    </row>
    <row r="138" spans="1:11" ht="18" x14ac:dyDescent="0.35">
      <c r="A138" s="8">
        <f t="shared" si="5"/>
        <v>29</v>
      </c>
      <c r="B138" s="71" t="s">
        <v>168</v>
      </c>
      <c r="C138" s="24"/>
      <c r="D138" s="24"/>
      <c r="E138" s="59"/>
      <c r="F138" s="42"/>
      <c r="G138" s="60"/>
      <c r="I138" s="59"/>
      <c r="J138" s="8"/>
      <c r="K138" s="8">
        <f t="shared" si="7"/>
        <v>29</v>
      </c>
    </row>
    <row r="139" spans="1:11" x14ac:dyDescent="0.35">
      <c r="A139" s="8">
        <f t="shared" si="5"/>
        <v>30</v>
      </c>
      <c r="B139" s="62" t="s">
        <v>169</v>
      </c>
      <c r="C139" s="24"/>
      <c r="D139" s="24"/>
      <c r="E139" s="60">
        <f>'Pg3 BK-1 Rev TO5 C3-Cost Adj'!E139</f>
        <v>0</v>
      </c>
      <c r="F139" s="42"/>
      <c r="G139" s="60">
        <f>'Pg4 As Filed BK-1 Retail TRR '!E137</f>
        <v>0</v>
      </c>
      <c r="I139" s="60">
        <f>E139-G139</f>
        <v>0</v>
      </c>
      <c r="J139" s="8" t="s">
        <v>170</v>
      </c>
      <c r="K139" s="8">
        <f t="shared" si="7"/>
        <v>30</v>
      </c>
    </row>
    <row r="140" spans="1:11" x14ac:dyDescent="0.35">
      <c r="A140" s="8">
        <f t="shared" si="5"/>
        <v>31</v>
      </c>
      <c r="B140" s="62" t="s">
        <v>171</v>
      </c>
      <c r="C140" s="24"/>
      <c r="D140" s="24"/>
      <c r="E140" s="96">
        <f>'Pg3 BK-1 Rev TO5 C3-Cost Adj'!E140</f>
        <v>0</v>
      </c>
      <c r="F140" s="108"/>
      <c r="G140" s="96">
        <f>'Pg4 As Filed BK-1 Retail TRR '!E138</f>
        <v>0</v>
      </c>
      <c r="I140" s="96">
        <f>E140-G140</f>
        <v>0</v>
      </c>
      <c r="J140" s="8" t="s">
        <v>172</v>
      </c>
      <c r="K140" s="8">
        <f t="shared" si="7"/>
        <v>31</v>
      </c>
    </row>
    <row r="141" spans="1:11" x14ac:dyDescent="0.35">
      <c r="A141" s="8">
        <f t="shared" si="5"/>
        <v>32</v>
      </c>
      <c r="B141" s="52" t="s">
        <v>173</v>
      </c>
      <c r="C141" s="24"/>
      <c r="D141" s="24"/>
      <c r="E141" s="60">
        <f>SUM(E139:E140)</f>
        <v>0</v>
      </c>
      <c r="F141" s="42"/>
      <c r="G141" s="60">
        <f>SUM(G139:G140)</f>
        <v>0</v>
      </c>
      <c r="I141" s="60">
        <f>SUM(I139:I140)</f>
        <v>0</v>
      </c>
      <c r="J141" s="53" t="s">
        <v>174</v>
      </c>
      <c r="K141" s="8">
        <f t="shared" si="7"/>
        <v>32</v>
      </c>
    </row>
    <row r="142" spans="1:11" x14ac:dyDescent="0.35">
      <c r="A142" s="8">
        <f t="shared" si="5"/>
        <v>33</v>
      </c>
      <c r="B142" s="62"/>
      <c r="C142" s="24"/>
      <c r="D142" s="24"/>
      <c r="E142" s="59"/>
      <c r="F142" s="42"/>
      <c r="G142" s="60"/>
      <c r="I142" s="59"/>
      <c r="J142" s="53"/>
      <c r="K142" s="8">
        <f t="shared" si="7"/>
        <v>33</v>
      </c>
    </row>
    <row r="143" spans="1:11" ht="18" x14ac:dyDescent="0.35">
      <c r="A143" s="8">
        <f t="shared" si="5"/>
        <v>34</v>
      </c>
      <c r="B143" s="71" t="s">
        <v>175</v>
      </c>
      <c r="C143" s="24"/>
      <c r="D143" s="24"/>
      <c r="E143" s="59"/>
      <c r="F143" s="42"/>
      <c r="G143" s="60"/>
      <c r="I143" s="59"/>
      <c r="J143" s="53"/>
      <c r="K143" s="8">
        <f t="shared" si="7"/>
        <v>34</v>
      </c>
    </row>
    <row r="144" spans="1:11" x14ac:dyDescent="0.35">
      <c r="A144" s="8">
        <f t="shared" si="5"/>
        <v>35</v>
      </c>
      <c r="B144" s="62" t="s">
        <v>176</v>
      </c>
      <c r="C144" s="24"/>
      <c r="D144" s="24"/>
      <c r="E144" s="60">
        <f>'Pg3 BK-1 Rev TO5 C3-Cost Adj'!E144</f>
        <v>0</v>
      </c>
      <c r="F144" s="42"/>
      <c r="G144" s="60">
        <f>'Pg4 As Filed BK-1 Retail TRR '!E142</f>
        <v>0</v>
      </c>
      <c r="I144" s="60">
        <f>E144-G144</f>
        <v>0</v>
      </c>
      <c r="J144" s="8" t="s">
        <v>177</v>
      </c>
      <c r="K144" s="8">
        <f t="shared" si="7"/>
        <v>35</v>
      </c>
    </row>
    <row r="145" spans="1:11" x14ac:dyDescent="0.35">
      <c r="A145" s="8">
        <f t="shared" si="5"/>
        <v>36</v>
      </c>
      <c r="B145" s="52" t="s">
        <v>178</v>
      </c>
      <c r="C145" s="24"/>
      <c r="D145" s="24"/>
      <c r="E145" s="96">
        <f>'Pg3 BK-1 Rev TO5 C3-Cost Adj'!E145</f>
        <v>0</v>
      </c>
      <c r="F145" s="42"/>
      <c r="G145" s="96">
        <f>'Pg4 As Filed BK-1 Retail TRR '!E143</f>
        <v>0</v>
      </c>
      <c r="I145" s="96">
        <f>E145-G145</f>
        <v>0</v>
      </c>
      <c r="J145" s="8" t="s">
        <v>179</v>
      </c>
      <c r="K145" s="8">
        <f t="shared" si="7"/>
        <v>36</v>
      </c>
    </row>
    <row r="146" spans="1:11" x14ac:dyDescent="0.35">
      <c r="A146" s="8">
        <f t="shared" si="5"/>
        <v>37</v>
      </c>
      <c r="B146" s="52" t="s">
        <v>180</v>
      </c>
      <c r="C146" s="24"/>
      <c r="D146" s="24"/>
      <c r="E146" s="60">
        <f>SUM(E144:E145)</f>
        <v>0</v>
      </c>
      <c r="F146" s="42"/>
      <c r="G146" s="60">
        <f>SUM(G144:G145)</f>
        <v>0</v>
      </c>
      <c r="I146" s="60">
        <f>SUM(I144:I145)</f>
        <v>0</v>
      </c>
      <c r="J146" s="53" t="s">
        <v>181</v>
      </c>
      <c r="K146" s="8">
        <f t="shared" si="7"/>
        <v>37</v>
      </c>
    </row>
    <row r="147" spans="1:11" x14ac:dyDescent="0.35">
      <c r="A147" s="8">
        <f t="shared" si="5"/>
        <v>38</v>
      </c>
      <c r="B147" s="62"/>
      <c r="C147" s="24"/>
      <c r="D147" s="24"/>
      <c r="E147" s="59"/>
      <c r="F147" s="42"/>
      <c r="G147" s="60"/>
      <c r="I147" s="59"/>
      <c r="J147" s="53"/>
      <c r="K147" s="8">
        <f t="shared" si="7"/>
        <v>38</v>
      </c>
    </row>
    <row r="148" spans="1:11" ht="18" x14ac:dyDescent="0.35">
      <c r="A148" s="8">
        <f t="shared" si="5"/>
        <v>39</v>
      </c>
      <c r="B148" s="71" t="s">
        <v>182</v>
      </c>
      <c r="C148" s="24"/>
      <c r="D148" s="24"/>
      <c r="E148" s="60">
        <f>'Pg3 BK-1 Rev TO5 C3-Cost Adj'!E148</f>
        <v>0</v>
      </c>
      <c r="F148" s="42"/>
      <c r="G148" s="60">
        <f>'Pg4 As Filed BK-1 Retail TRR '!E146</f>
        <v>0</v>
      </c>
      <c r="I148" s="60">
        <f>E148-G148</f>
        <v>0</v>
      </c>
      <c r="J148" s="8" t="s">
        <v>183</v>
      </c>
      <c r="K148" s="8">
        <f t="shared" si="7"/>
        <v>39</v>
      </c>
    </row>
    <row r="149" spans="1:11" x14ac:dyDescent="0.35">
      <c r="A149" s="8"/>
      <c r="B149" s="39"/>
      <c r="C149" s="24"/>
      <c r="D149" s="24"/>
      <c r="E149" s="59"/>
      <c r="F149" s="42"/>
      <c r="G149" s="60"/>
      <c r="I149" s="59"/>
      <c r="J149" s="8"/>
      <c r="K149" s="8"/>
    </row>
    <row r="150" spans="1:11" x14ac:dyDescent="0.35">
      <c r="A150" s="42" t="s">
        <v>39</v>
      </c>
      <c r="B150" s="33" t="str">
        <f>B42</f>
        <v>Items that are in BOLD have changed compared to the original TO5 Cycle 3 filing per ER21-526.</v>
      </c>
      <c r="C150" s="24"/>
      <c r="D150" s="24"/>
      <c r="E150" s="24"/>
      <c r="F150" s="24"/>
      <c r="G150" s="24"/>
      <c r="H150" s="24"/>
      <c r="I150" s="24"/>
      <c r="J150" s="8"/>
      <c r="K150" s="8"/>
    </row>
    <row r="151" spans="1:11" ht="18" x14ac:dyDescent="0.35">
      <c r="A151" s="70">
        <v>1</v>
      </c>
      <c r="B151" s="52" t="s">
        <v>125</v>
      </c>
      <c r="C151" s="24"/>
      <c r="D151" s="24"/>
      <c r="E151" s="24"/>
      <c r="F151" s="24"/>
      <c r="G151" s="24"/>
      <c r="H151" s="24"/>
      <c r="I151" s="24"/>
      <c r="J151" s="8"/>
      <c r="K151" s="8"/>
    </row>
    <row r="152" spans="1:11" x14ac:dyDescent="0.35">
      <c r="A152" s="8"/>
      <c r="B152" s="33"/>
      <c r="C152" s="24"/>
      <c r="D152" s="24"/>
      <c r="E152" s="24"/>
      <c r="F152" s="24"/>
      <c r="G152" s="24"/>
      <c r="H152" s="24"/>
      <c r="I152" s="24"/>
      <c r="J152" s="8"/>
      <c r="K152" s="8"/>
    </row>
    <row r="153" spans="1:11" x14ac:dyDescent="0.35">
      <c r="A153" s="8"/>
      <c r="B153" s="33"/>
      <c r="C153" s="24"/>
      <c r="D153" s="24"/>
      <c r="E153" s="24"/>
      <c r="F153" s="24"/>
      <c r="G153" s="24"/>
      <c r="H153" s="24"/>
      <c r="I153" s="24"/>
      <c r="J153" s="8"/>
      <c r="K153" s="8"/>
    </row>
    <row r="154" spans="1:11" x14ac:dyDescent="0.35">
      <c r="A154" s="8"/>
      <c r="B154" s="599" t="s">
        <v>0</v>
      </c>
      <c r="C154" s="598"/>
      <c r="D154" s="598"/>
      <c r="E154" s="598"/>
      <c r="F154" s="598"/>
      <c r="G154" s="598"/>
      <c r="H154" s="598"/>
      <c r="I154" s="598"/>
      <c r="J154" s="598"/>
      <c r="K154" s="8"/>
    </row>
    <row r="155" spans="1:11" x14ac:dyDescent="0.35">
      <c r="A155" s="8" t="s">
        <v>34</v>
      </c>
      <c r="B155" s="599" t="str">
        <f>B3</f>
        <v xml:space="preserve">TO5 Cycle 4 Annual Informational Filing </v>
      </c>
      <c r="C155" s="598"/>
      <c r="D155" s="598"/>
      <c r="E155" s="598"/>
      <c r="F155" s="598"/>
      <c r="G155" s="598"/>
      <c r="H155" s="598"/>
      <c r="I155" s="598"/>
      <c r="J155" s="598"/>
      <c r="K155" s="8"/>
    </row>
    <row r="156" spans="1:11" x14ac:dyDescent="0.35">
      <c r="A156" s="8"/>
      <c r="B156" s="599" t="str">
        <f>B4</f>
        <v>Derivation of Other BTRR Adjustment Applicable to TO5 Cycle 3</v>
      </c>
      <c r="C156" s="600"/>
      <c r="D156" s="600"/>
      <c r="E156" s="600"/>
      <c r="F156" s="600"/>
      <c r="G156" s="600"/>
      <c r="H156" s="600"/>
      <c r="I156" s="600"/>
      <c r="J156" s="600"/>
      <c r="K156" s="8"/>
    </row>
    <row r="157" spans="1:11" x14ac:dyDescent="0.35">
      <c r="A157" s="8"/>
      <c r="B157" s="597" t="s">
        <v>3</v>
      </c>
      <c r="C157" s="598"/>
      <c r="D157" s="598"/>
      <c r="E157" s="598"/>
      <c r="F157" s="598"/>
      <c r="G157" s="598"/>
      <c r="H157" s="598"/>
      <c r="I157" s="598"/>
      <c r="J157" s="598"/>
      <c r="K157" s="8"/>
    </row>
    <row r="158" spans="1:11" x14ac:dyDescent="0.35">
      <c r="A158" s="8"/>
      <c r="B158" s="29"/>
      <c r="C158" s="4"/>
      <c r="D158" s="4"/>
      <c r="F158" s="4"/>
      <c r="H158" s="4"/>
      <c r="J158" s="4"/>
      <c r="K158" s="8"/>
    </row>
    <row r="159" spans="1:11" x14ac:dyDescent="0.35">
      <c r="A159" s="8"/>
      <c r="B159" s="109"/>
      <c r="E159" s="31" t="s">
        <v>28</v>
      </c>
      <c r="F159"/>
      <c r="G159" s="31" t="s">
        <v>29</v>
      </c>
      <c r="H159"/>
      <c r="I159" s="31" t="s">
        <v>30</v>
      </c>
      <c r="K159" s="8"/>
    </row>
    <row r="160" spans="1:11" ht="45.5" x14ac:dyDescent="0.35">
      <c r="A160" s="8" t="s">
        <v>4</v>
      </c>
      <c r="B160" s="24"/>
      <c r="C160" s="24"/>
      <c r="D160" s="24"/>
      <c r="E160" s="32" t="str">
        <f>E8</f>
        <v xml:space="preserve">Revised - TO5 C3 </v>
      </c>
      <c r="F160" s="33"/>
      <c r="G160" s="32" t="str">
        <f>G8</f>
        <v>As Filed - TO5 C3 per ER 21-526</v>
      </c>
      <c r="H160" s="33"/>
      <c r="I160" s="34" t="s">
        <v>33</v>
      </c>
      <c r="J160" s="8"/>
      <c r="K160" s="8" t="s">
        <v>4</v>
      </c>
    </row>
    <row r="161" spans="1:12" x14ac:dyDescent="0.35">
      <c r="A161" s="11" t="s">
        <v>5</v>
      </c>
      <c r="B161" s="33" t="s">
        <v>34</v>
      </c>
      <c r="C161" s="24"/>
      <c r="D161" s="24"/>
      <c r="E161" s="35" t="s">
        <v>7</v>
      </c>
      <c r="F161" s="24"/>
      <c r="G161" s="35" t="s">
        <v>7</v>
      </c>
      <c r="H161" s="24"/>
      <c r="I161" s="36" t="s">
        <v>36</v>
      </c>
      <c r="J161" s="11" t="s">
        <v>8</v>
      </c>
      <c r="K161" s="11" t="s">
        <v>5</v>
      </c>
    </row>
    <row r="162" spans="1:12" x14ac:dyDescent="0.35">
      <c r="A162" s="8"/>
      <c r="B162" s="37" t="s">
        <v>184</v>
      </c>
      <c r="C162" s="24"/>
      <c r="D162" s="24"/>
      <c r="E162" s="24"/>
      <c r="F162" s="24"/>
      <c r="G162" s="24"/>
      <c r="H162" s="24"/>
      <c r="I162" s="24"/>
      <c r="J162" s="8"/>
      <c r="K162" s="8"/>
    </row>
    <row r="163" spans="1:12" x14ac:dyDescent="0.35">
      <c r="A163" s="8">
        <v>1</v>
      </c>
      <c r="B163" s="88" t="s">
        <v>185</v>
      </c>
      <c r="C163" s="24"/>
      <c r="D163" s="24"/>
      <c r="E163" s="24"/>
      <c r="F163" s="24"/>
      <c r="G163" s="24"/>
      <c r="H163" s="24"/>
      <c r="I163" s="24"/>
      <c r="J163" s="8"/>
      <c r="K163" s="8">
        <v>1</v>
      </c>
    </row>
    <row r="164" spans="1:12" x14ac:dyDescent="0.35">
      <c r="A164" s="8">
        <f t="shared" ref="A164:A187" si="10">A163+1</f>
        <v>2</v>
      </c>
      <c r="B164" s="39" t="s">
        <v>129</v>
      </c>
      <c r="C164" s="24"/>
      <c r="D164" s="24"/>
      <c r="E164" s="50">
        <f>'Pg3 BK-1 Rev TO5 C3-Cost Adj'!E164</f>
        <v>6183368.5495546153</v>
      </c>
      <c r="F164" s="42"/>
      <c r="G164" s="50">
        <f>'Pg4 As Filed BK-1 Retail TRR '!E161</f>
        <v>6183368.5495546153</v>
      </c>
      <c r="H164" s="33"/>
      <c r="I164" s="28">
        <f>E164-G164</f>
        <v>0</v>
      </c>
      <c r="J164" s="8" t="s">
        <v>186</v>
      </c>
      <c r="K164" s="8">
        <f t="shared" ref="K164:K187" si="11">K163+1</f>
        <v>2</v>
      </c>
    </row>
    <row r="165" spans="1:12" x14ac:dyDescent="0.35">
      <c r="A165" s="8">
        <f t="shared" si="10"/>
        <v>3</v>
      </c>
      <c r="B165" s="39" t="s">
        <v>131</v>
      </c>
      <c r="C165" s="24"/>
      <c r="D165" s="24"/>
      <c r="E165" s="98">
        <f>'Pg3 BK-1 Rev TO5 C3-Cost Adj'!E165</f>
        <v>34212.001588648454</v>
      </c>
      <c r="F165" s="51"/>
      <c r="G165" s="98">
        <f>'Pg4 As Filed BK-1 Retail TRR '!E162</f>
        <v>34212.001588648454</v>
      </c>
      <c r="I165" s="595">
        <f>E165-G165</f>
        <v>0</v>
      </c>
      <c r="J165" s="8" t="s">
        <v>187</v>
      </c>
      <c r="K165" s="8">
        <f t="shared" si="11"/>
        <v>3</v>
      </c>
    </row>
    <row r="166" spans="1:12" x14ac:dyDescent="0.35">
      <c r="A166" s="8">
        <f t="shared" si="10"/>
        <v>4</v>
      </c>
      <c r="B166" s="39" t="s">
        <v>133</v>
      </c>
      <c r="C166" s="24"/>
      <c r="D166" s="24"/>
      <c r="E166" s="98">
        <f>'Pg3 BK-1 Rev TO5 C3-Cost Adj'!E166</f>
        <v>88554.078751476511</v>
      </c>
      <c r="F166" s="33"/>
      <c r="G166" s="98">
        <f>'Pg4 As Filed BK-1 Retail TRR '!E163</f>
        <v>88554.078751476511</v>
      </c>
      <c r="I166" s="595">
        <f t="shared" ref="I166:I167" si="12">E166-G166</f>
        <v>0</v>
      </c>
      <c r="J166" s="8" t="s">
        <v>188</v>
      </c>
      <c r="K166" s="8">
        <f t="shared" si="11"/>
        <v>4</v>
      </c>
      <c r="L166" s="110"/>
    </row>
    <row r="167" spans="1:12" x14ac:dyDescent="0.35">
      <c r="A167" s="8">
        <f t="shared" si="10"/>
        <v>5</v>
      </c>
      <c r="B167" s="39" t="s">
        <v>135</v>
      </c>
      <c r="C167" s="8"/>
      <c r="D167" s="8"/>
      <c r="E167" s="100">
        <f>'Pg3 BK-1 Rev TO5 C3-Cost Adj'!E167</f>
        <v>198410.61716708422</v>
      </c>
      <c r="F167" s="33"/>
      <c r="G167" s="100">
        <f>'Pg4 As Filed BK-1 Retail TRR '!E164</f>
        <v>198410.61716708422</v>
      </c>
      <c r="I167" s="94">
        <f t="shared" si="12"/>
        <v>0</v>
      </c>
      <c r="J167" s="8" t="s">
        <v>189</v>
      </c>
      <c r="K167" s="8">
        <f t="shared" si="11"/>
        <v>5</v>
      </c>
    </row>
    <row r="168" spans="1:12" x14ac:dyDescent="0.35">
      <c r="A168" s="8">
        <f t="shared" si="10"/>
        <v>6</v>
      </c>
      <c r="B168" s="39" t="s">
        <v>190</v>
      </c>
      <c r="C168" s="24"/>
      <c r="D168" s="24"/>
      <c r="E168" s="60">
        <f>SUM(E164:E167)</f>
        <v>6504545.2470618244</v>
      </c>
      <c r="F168" s="42"/>
      <c r="G168" s="60">
        <f>SUM(G164:G167)</f>
        <v>6504545.2470618244</v>
      </c>
      <c r="I168" s="60">
        <f>SUM(I164:I167)</f>
        <v>0</v>
      </c>
      <c r="J168" s="53" t="s">
        <v>138</v>
      </c>
      <c r="K168" s="8">
        <f t="shared" si="11"/>
        <v>6</v>
      </c>
    </row>
    <row r="169" spans="1:12" x14ac:dyDescent="0.35">
      <c r="A169" s="8">
        <f t="shared" si="10"/>
        <v>7</v>
      </c>
      <c r="B169" s="24"/>
      <c r="C169" s="8"/>
      <c r="D169" s="8"/>
      <c r="E169" s="111"/>
      <c r="F169" s="24"/>
      <c r="G169" s="111"/>
      <c r="I169" s="24"/>
      <c r="J169" s="53"/>
      <c r="K169" s="8">
        <f t="shared" si="11"/>
        <v>7</v>
      </c>
    </row>
    <row r="170" spans="1:12" x14ac:dyDescent="0.35">
      <c r="A170" s="8">
        <f t="shared" si="10"/>
        <v>8</v>
      </c>
      <c r="B170" s="112" t="s">
        <v>191</v>
      </c>
      <c r="C170" s="24"/>
      <c r="D170" s="24"/>
      <c r="E170" s="111"/>
      <c r="F170" s="24"/>
      <c r="G170" s="111"/>
      <c r="I170" s="24"/>
      <c r="J170" s="53"/>
      <c r="K170" s="8">
        <f t="shared" si="11"/>
        <v>8</v>
      </c>
    </row>
    <row r="171" spans="1:12" x14ac:dyDescent="0.35">
      <c r="A171" s="8">
        <f t="shared" si="10"/>
        <v>9</v>
      </c>
      <c r="B171" s="24" t="s">
        <v>192</v>
      </c>
      <c r="C171" s="24"/>
      <c r="D171" s="24"/>
      <c r="E171" s="50">
        <f>'Pg3 BK-1 Rev TO5 C3-Cost Adj'!E171</f>
        <v>1250473.6949792309</v>
      </c>
      <c r="F171" s="42"/>
      <c r="G171" s="50">
        <f>'Pg4 As Filed BK-1 Retail TRR '!E168</f>
        <v>1250473.6949792309</v>
      </c>
      <c r="I171" s="28">
        <f>E171-G171</f>
        <v>0</v>
      </c>
      <c r="J171" s="8" t="s">
        <v>193</v>
      </c>
      <c r="K171" s="8">
        <f t="shared" si="11"/>
        <v>9</v>
      </c>
    </row>
    <row r="172" spans="1:12" x14ac:dyDescent="0.35">
      <c r="A172" s="8">
        <f t="shared" si="10"/>
        <v>10</v>
      </c>
      <c r="B172" s="24" t="s">
        <v>194</v>
      </c>
      <c r="C172" s="24"/>
      <c r="D172" s="24"/>
      <c r="E172" s="98">
        <f>'Pg3 BK-1 Rev TO5 C3-Cost Adj'!E172</f>
        <v>26297.304104723829</v>
      </c>
      <c r="F172" s="51"/>
      <c r="G172" s="98">
        <f>'Pg4 As Filed BK-1 Retail TRR '!E169</f>
        <v>26297.304104723829</v>
      </c>
      <c r="I172" s="595">
        <f t="shared" ref="I172:I174" si="13">E172-G172</f>
        <v>0</v>
      </c>
      <c r="J172" s="8" t="s">
        <v>195</v>
      </c>
      <c r="K172" s="8">
        <f t="shared" si="11"/>
        <v>10</v>
      </c>
    </row>
    <row r="173" spans="1:12" x14ac:dyDescent="0.35">
      <c r="A173" s="8">
        <f t="shared" si="10"/>
        <v>11</v>
      </c>
      <c r="B173" s="24" t="s">
        <v>196</v>
      </c>
      <c r="C173" s="24"/>
      <c r="D173" s="24"/>
      <c r="E173" s="98">
        <f>'Pg3 BK-1 Rev TO5 C3-Cost Adj'!E173</f>
        <v>33196.964046977439</v>
      </c>
      <c r="F173" s="33"/>
      <c r="G173" s="98">
        <f>'Pg4 As Filed BK-1 Retail TRR '!E170</f>
        <v>33196.964046977439</v>
      </c>
      <c r="I173" s="595">
        <f t="shared" si="13"/>
        <v>0</v>
      </c>
      <c r="J173" s="8" t="s">
        <v>197</v>
      </c>
      <c r="K173" s="8">
        <f t="shared" si="11"/>
        <v>11</v>
      </c>
    </row>
    <row r="174" spans="1:12" x14ac:dyDescent="0.35">
      <c r="A174" s="8">
        <f t="shared" si="10"/>
        <v>12</v>
      </c>
      <c r="B174" s="24" t="s">
        <v>198</v>
      </c>
      <c r="C174" s="24"/>
      <c r="D174" s="24"/>
      <c r="E174" s="98">
        <f>'Pg3 BK-1 Rev TO5 C3-Cost Adj'!E174</f>
        <v>94360.599485067214</v>
      </c>
      <c r="F174" s="33"/>
      <c r="G174" s="100">
        <f>'Pg4 As Filed BK-1 Retail TRR '!E171</f>
        <v>94360.599485067214</v>
      </c>
      <c r="I174" s="94">
        <f t="shared" si="13"/>
        <v>0</v>
      </c>
      <c r="J174" s="8" t="s">
        <v>199</v>
      </c>
      <c r="K174" s="8">
        <f t="shared" si="11"/>
        <v>12</v>
      </c>
    </row>
    <row r="175" spans="1:12" x14ac:dyDescent="0.35">
      <c r="A175" s="8">
        <f t="shared" si="10"/>
        <v>13</v>
      </c>
      <c r="B175" s="113" t="s">
        <v>200</v>
      </c>
      <c r="C175" s="113"/>
      <c r="D175" s="113"/>
      <c r="E175" s="114">
        <f>SUM(E171:E174)</f>
        <v>1404328.5626159993</v>
      </c>
      <c r="F175" s="42"/>
      <c r="G175" s="114">
        <f>SUM(G171:G174)</f>
        <v>1404328.5626159993</v>
      </c>
      <c r="I175" s="114">
        <f>SUM(I171:I174)</f>
        <v>0</v>
      </c>
      <c r="J175" s="53" t="s">
        <v>201</v>
      </c>
      <c r="K175" s="8">
        <f t="shared" si="11"/>
        <v>13</v>
      </c>
    </row>
    <row r="176" spans="1:12" x14ac:dyDescent="0.35">
      <c r="A176" s="8">
        <f t="shared" si="10"/>
        <v>14</v>
      </c>
      <c r="B176" s="113"/>
      <c r="C176" s="113"/>
      <c r="D176" s="113"/>
      <c r="E176" s="98"/>
      <c r="F176" s="24"/>
      <c r="G176" s="98"/>
      <c r="I176" s="24"/>
      <c r="J176" s="8"/>
      <c r="K176" s="8">
        <f t="shared" si="11"/>
        <v>14</v>
      </c>
    </row>
    <row r="177" spans="1:11" x14ac:dyDescent="0.35">
      <c r="A177" s="8">
        <f t="shared" si="10"/>
        <v>15</v>
      </c>
      <c r="B177" s="88" t="s">
        <v>128</v>
      </c>
      <c r="C177" s="113"/>
      <c r="D177" s="113"/>
      <c r="E177" s="98"/>
      <c r="F177" s="24"/>
      <c r="G177" s="98"/>
      <c r="I177" s="24"/>
      <c r="J177" s="8"/>
      <c r="K177" s="8">
        <f t="shared" si="11"/>
        <v>15</v>
      </c>
    </row>
    <row r="178" spans="1:11" x14ac:dyDescent="0.35">
      <c r="A178" s="8">
        <f t="shared" si="10"/>
        <v>16</v>
      </c>
      <c r="B178" s="39" t="s">
        <v>129</v>
      </c>
      <c r="C178" s="24"/>
      <c r="D178" s="24"/>
      <c r="E178" s="50">
        <f>'Pg3 BK-1 Rev TO5 C3-Cost Adj'!E178</f>
        <v>4932894.8545753844</v>
      </c>
      <c r="F178" s="42"/>
      <c r="G178" s="50">
        <f>'Pg4 As Filed BK-1 Retail TRR '!E175</f>
        <v>4932894.8545753844</v>
      </c>
      <c r="I178" s="28">
        <f>E178-G178</f>
        <v>0</v>
      </c>
      <c r="J178" s="8" t="s">
        <v>202</v>
      </c>
      <c r="K178" s="8">
        <f t="shared" si="11"/>
        <v>16</v>
      </c>
    </row>
    <row r="179" spans="1:11" x14ac:dyDescent="0.35">
      <c r="A179" s="8">
        <f t="shared" si="10"/>
        <v>17</v>
      </c>
      <c r="B179" s="39" t="s">
        <v>131</v>
      </c>
      <c r="C179" s="24"/>
      <c r="D179" s="24"/>
      <c r="E179" s="98">
        <f>'Pg3 BK-1 Rev TO5 C3-Cost Adj'!E179</f>
        <v>7914.697483924625</v>
      </c>
      <c r="F179" s="51"/>
      <c r="G179" s="98">
        <f>'Pg4 As Filed BK-1 Retail TRR '!E176</f>
        <v>7914.697483924625</v>
      </c>
      <c r="I179" s="595">
        <f t="shared" ref="I179:I181" si="14">E179-G179</f>
        <v>0</v>
      </c>
      <c r="J179" s="8" t="s">
        <v>203</v>
      </c>
      <c r="K179" s="8">
        <f t="shared" si="11"/>
        <v>17</v>
      </c>
    </row>
    <row r="180" spans="1:11" x14ac:dyDescent="0.35">
      <c r="A180" s="8">
        <f t="shared" si="10"/>
        <v>18</v>
      </c>
      <c r="B180" s="39" t="s">
        <v>133</v>
      </c>
      <c r="C180" s="24"/>
      <c r="D180" s="24"/>
      <c r="E180" s="98">
        <f>'Pg3 BK-1 Rev TO5 C3-Cost Adj'!E180</f>
        <v>55357.114704499072</v>
      </c>
      <c r="F180" s="24"/>
      <c r="G180" s="98">
        <f>'Pg4 As Filed BK-1 Retail TRR '!E177</f>
        <v>55357.114704499072</v>
      </c>
      <c r="I180" s="595">
        <f t="shared" si="14"/>
        <v>0</v>
      </c>
      <c r="J180" s="8" t="s">
        <v>204</v>
      </c>
      <c r="K180" s="8">
        <f t="shared" si="11"/>
        <v>18</v>
      </c>
    </row>
    <row r="181" spans="1:11" x14ac:dyDescent="0.35">
      <c r="A181" s="8">
        <f t="shared" si="10"/>
        <v>19</v>
      </c>
      <c r="B181" s="39" t="s">
        <v>135</v>
      </c>
      <c r="C181" s="24"/>
      <c r="D181" s="24"/>
      <c r="E181" s="100">
        <f>'Pg3 BK-1 Rev TO5 C3-Cost Adj'!E181</f>
        <v>104050.017682017</v>
      </c>
      <c r="F181" s="24"/>
      <c r="G181" s="100">
        <f>'Pg4 As Filed BK-1 Retail TRR '!E178</f>
        <v>104050.017682017</v>
      </c>
      <c r="I181" s="595">
        <f t="shared" si="14"/>
        <v>0</v>
      </c>
      <c r="J181" s="8" t="s">
        <v>205</v>
      </c>
      <c r="K181" s="8">
        <f t="shared" si="11"/>
        <v>19</v>
      </c>
    </row>
    <row r="182" spans="1:11" ht="16" thickBot="1" x14ac:dyDescent="0.4">
      <c r="A182" s="8">
        <f t="shared" si="10"/>
        <v>20</v>
      </c>
      <c r="B182" s="24" t="s">
        <v>137</v>
      </c>
      <c r="C182" s="24"/>
      <c r="D182" s="24"/>
      <c r="E182" s="115">
        <f>SUM(E178:E181)</f>
        <v>5100216.6844458245</v>
      </c>
      <c r="F182" s="42"/>
      <c r="G182" s="115">
        <f>SUM(G178:G181)</f>
        <v>5100216.6844458245</v>
      </c>
      <c r="I182" s="115">
        <f>SUM(I178:I181)</f>
        <v>0</v>
      </c>
      <c r="J182" s="8" t="s">
        <v>206</v>
      </c>
      <c r="K182" s="8">
        <f t="shared" si="11"/>
        <v>20</v>
      </c>
    </row>
    <row r="183" spans="1:11" ht="16" thickTop="1" x14ac:dyDescent="0.35">
      <c r="A183" s="8">
        <f t="shared" si="10"/>
        <v>21</v>
      </c>
      <c r="B183" s="24"/>
      <c r="C183" s="24"/>
      <c r="D183" s="24"/>
      <c r="E183" s="59"/>
      <c r="F183" s="42"/>
      <c r="G183" s="60"/>
      <c r="I183" s="59"/>
      <c r="J183" s="8"/>
      <c r="K183" s="8">
        <f t="shared" si="11"/>
        <v>21</v>
      </c>
    </row>
    <row r="184" spans="1:11" ht="18" x14ac:dyDescent="0.35">
      <c r="A184" s="8">
        <f t="shared" si="10"/>
        <v>22</v>
      </c>
      <c r="B184" s="71" t="s">
        <v>207</v>
      </c>
      <c r="C184" s="24"/>
      <c r="D184" s="24"/>
      <c r="E184" s="59"/>
      <c r="F184" s="42"/>
      <c r="G184" s="60"/>
      <c r="I184" s="59"/>
      <c r="J184" s="8"/>
      <c r="K184" s="8">
        <f t="shared" si="11"/>
        <v>22</v>
      </c>
    </row>
    <row r="185" spans="1:11" x14ac:dyDescent="0.35">
      <c r="A185" s="8">
        <f t="shared" si="10"/>
        <v>23</v>
      </c>
      <c r="B185" s="62" t="s">
        <v>208</v>
      </c>
      <c r="C185" s="24"/>
      <c r="D185" s="24"/>
      <c r="E185" s="60">
        <f>'Pg3 BK-1 Rev TO5 C3-Cost Adj'!E185</f>
        <v>0</v>
      </c>
      <c r="F185" s="42"/>
      <c r="G185" s="60">
        <f>'Pg4 As Filed BK-1 Retail TRR '!E182</f>
        <v>0</v>
      </c>
      <c r="I185" s="60">
        <f>E185-G185</f>
        <v>0</v>
      </c>
      <c r="J185" s="8" t="s">
        <v>209</v>
      </c>
      <c r="K185" s="8">
        <f t="shared" si="11"/>
        <v>23</v>
      </c>
    </row>
    <row r="186" spans="1:11" x14ac:dyDescent="0.35">
      <c r="A186" s="8">
        <f t="shared" si="10"/>
        <v>24</v>
      </c>
      <c r="B186" s="52" t="s">
        <v>210</v>
      </c>
      <c r="C186" s="24"/>
      <c r="D186" s="24"/>
      <c r="E186" s="96">
        <f>'Pg3 BK-1 Rev TO5 C3-Cost Adj'!E186</f>
        <v>0</v>
      </c>
      <c r="F186" s="108"/>
      <c r="G186" s="96">
        <f>'Pg4 As Filed BK-1 Retail TRR '!E183</f>
        <v>0</v>
      </c>
      <c r="I186" s="116">
        <f>E186-G186</f>
        <v>0</v>
      </c>
      <c r="J186" s="8" t="s">
        <v>211</v>
      </c>
      <c r="K186" s="8">
        <f t="shared" si="11"/>
        <v>24</v>
      </c>
    </row>
    <row r="187" spans="1:11" ht="16" thickBot="1" x14ac:dyDescent="0.4">
      <c r="A187" s="8">
        <f t="shared" si="10"/>
        <v>25</v>
      </c>
      <c r="B187" s="62" t="s">
        <v>212</v>
      </c>
      <c r="C187" s="24"/>
      <c r="D187" s="24"/>
      <c r="E187" s="107">
        <f>E185-E186</f>
        <v>0</v>
      </c>
      <c r="F187" s="42"/>
      <c r="G187" s="107">
        <f>G185-G186</f>
        <v>0</v>
      </c>
      <c r="I187" s="115">
        <f>E187-G187</f>
        <v>0</v>
      </c>
      <c r="J187" s="53" t="s">
        <v>213</v>
      </c>
      <c r="K187" s="8">
        <f t="shared" si="11"/>
        <v>25</v>
      </c>
    </row>
    <row r="188" spans="1:11" ht="16" thickTop="1" x14ac:dyDescent="0.35">
      <c r="A188" s="8"/>
      <c r="B188" s="24"/>
      <c r="C188" s="24"/>
      <c r="D188" s="24"/>
      <c r="E188" s="59"/>
      <c r="F188" s="42"/>
      <c r="G188" s="60"/>
      <c r="I188" s="59"/>
      <c r="J188" s="8"/>
      <c r="K188" s="8"/>
    </row>
    <row r="189" spans="1:11" ht="18" x14ac:dyDescent="0.35">
      <c r="A189" s="70">
        <v>1</v>
      </c>
      <c r="B189" s="52" t="s">
        <v>214</v>
      </c>
      <c r="C189" s="24"/>
      <c r="D189" s="24"/>
      <c r="E189" s="24"/>
      <c r="F189" s="24"/>
      <c r="G189" s="24"/>
      <c r="H189" s="24"/>
      <c r="I189" s="24"/>
      <c r="J189" s="8"/>
      <c r="K189" s="8"/>
    </row>
    <row r="190" spans="1:11" x14ac:dyDescent="0.35">
      <c r="A190" s="8"/>
      <c r="B190" s="33"/>
      <c r="C190" s="24"/>
      <c r="D190" s="24"/>
      <c r="E190" s="24"/>
      <c r="F190" s="24"/>
      <c r="G190" s="24"/>
      <c r="H190" s="24"/>
      <c r="I190" s="24"/>
      <c r="J190" s="8"/>
      <c r="K190" s="8"/>
    </row>
    <row r="191" spans="1:11" x14ac:dyDescent="0.3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8"/>
    </row>
    <row r="192" spans="1:11" x14ac:dyDescent="0.35">
      <c r="A192" s="24"/>
      <c r="B192" s="24" t="s">
        <v>34</v>
      </c>
      <c r="C192" s="24"/>
      <c r="D192" s="24"/>
      <c r="E192" s="24"/>
      <c r="F192" s="24"/>
      <c r="G192" s="24"/>
      <c r="H192" s="24"/>
      <c r="I192" s="24"/>
      <c r="J192" s="24"/>
      <c r="K192" s="8"/>
    </row>
    <row r="193" spans="1:11" x14ac:dyDescent="0.3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8"/>
    </row>
    <row r="194" spans="1:11" x14ac:dyDescent="0.3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8"/>
    </row>
    <row r="195" spans="1:11" x14ac:dyDescent="0.3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8"/>
    </row>
    <row r="196" spans="1:11" x14ac:dyDescent="0.3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8"/>
    </row>
    <row r="197" spans="1:11" x14ac:dyDescent="0.3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8"/>
    </row>
    <row r="198" spans="1:11" x14ac:dyDescent="0.3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8"/>
    </row>
    <row r="199" spans="1:11" x14ac:dyDescent="0.3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8"/>
    </row>
    <row r="200" spans="1:11" x14ac:dyDescent="0.3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8"/>
    </row>
    <row r="201" spans="1:11" x14ac:dyDescent="0.3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8"/>
    </row>
    <row r="202" spans="1:11" x14ac:dyDescent="0.3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8"/>
    </row>
    <row r="203" spans="1:11" x14ac:dyDescent="0.3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8"/>
    </row>
    <row r="204" spans="1:11" x14ac:dyDescent="0.3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8"/>
    </row>
    <row r="205" spans="1:11" x14ac:dyDescent="0.3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8"/>
    </row>
    <row r="206" spans="1:11" x14ac:dyDescent="0.3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8"/>
    </row>
    <row r="207" spans="1:11" x14ac:dyDescent="0.3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8"/>
    </row>
    <row r="208" spans="1:11" x14ac:dyDescent="0.3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8"/>
    </row>
    <row r="209" spans="1:11" x14ac:dyDescent="0.3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8"/>
    </row>
    <row r="210" spans="1:11" x14ac:dyDescent="0.3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8"/>
    </row>
    <row r="211" spans="1:11" x14ac:dyDescent="0.3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8"/>
    </row>
    <row r="212" spans="1:11" x14ac:dyDescent="0.3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8"/>
    </row>
    <row r="213" spans="1:11" x14ac:dyDescent="0.3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8"/>
    </row>
    <row r="214" spans="1:11" x14ac:dyDescent="0.3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8"/>
    </row>
    <row r="215" spans="1:11" x14ac:dyDescent="0.3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8"/>
    </row>
    <row r="216" spans="1:11" x14ac:dyDescent="0.3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8"/>
    </row>
    <row r="217" spans="1:11" x14ac:dyDescent="0.3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8"/>
    </row>
    <row r="218" spans="1:11" x14ac:dyDescent="0.3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8"/>
    </row>
    <row r="219" spans="1:11" x14ac:dyDescent="0.3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8"/>
    </row>
    <row r="220" spans="1:11" x14ac:dyDescent="0.3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8"/>
    </row>
    <row r="221" spans="1:11" x14ac:dyDescent="0.3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8"/>
    </row>
    <row r="222" spans="1:11" x14ac:dyDescent="0.3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8"/>
    </row>
    <row r="223" spans="1:11" x14ac:dyDescent="0.3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8"/>
    </row>
    <row r="224" spans="1:11" x14ac:dyDescent="0.3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8"/>
    </row>
    <row r="225" spans="1:11" x14ac:dyDescent="0.3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8"/>
    </row>
    <row r="226" spans="1:11" x14ac:dyDescent="0.3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8"/>
    </row>
    <row r="227" spans="1:11" x14ac:dyDescent="0.3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8"/>
    </row>
    <row r="228" spans="1:11" x14ac:dyDescent="0.3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8"/>
    </row>
    <row r="229" spans="1:11" x14ac:dyDescent="0.3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8"/>
    </row>
    <row r="230" spans="1:11" x14ac:dyDescent="0.3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8"/>
    </row>
    <row r="231" spans="1:11" x14ac:dyDescent="0.3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8"/>
    </row>
  </sheetData>
  <mergeCells count="16">
    <mergeCell ref="B46:J46"/>
    <mergeCell ref="B2:J2"/>
    <mergeCell ref="B3:J3"/>
    <mergeCell ref="B4:J4"/>
    <mergeCell ref="B5:J5"/>
    <mergeCell ref="B157:J157"/>
    <mergeCell ref="B156:J156"/>
    <mergeCell ref="B47:J47"/>
    <mergeCell ref="B48:J48"/>
    <mergeCell ref="B49:J49"/>
    <mergeCell ref="B101:J101"/>
    <mergeCell ref="B102:J102"/>
    <mergeCell ref="B103:J103"/>
    <mergeCell ref="B104:J104"/>
    <mergeCell ref="B154:J154"/>
    <mergeCell ref="B155:J155"/>
  </mergeCells>
  <printOptions horizontalCentered="1"/>
  <pageMargins left="0" right="0" top="0.5" bottom="0.5" header="0.25" footer="0.25"/>
  <pageSetup scale="50" orientation="portrait" r:id="rId1"/>
  <headerFooter scaleWithDoc="0" alignWithMargins="0">
    <oddFooter>&amp;CPage 2.&amp;P &amp;R&amp;F</oddFooter>
  </headerFooter>
  <rowBreaks count="3" manualBreakCount="3">
    <brk id="44" max="16383" man="1"/>
    <brk id="99" max="16383" man="1"/>
    <brk id="1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866A-48B7-4D37-B0BE-CF93E2E9D084}">
  <sheetPr codeName="Sheet3"/>
  <dimension ref="A1:J190"/>
  <sheetViews>
    <sheetView zoomScale="80" zoomScaleNormal="80" workbookViewId="0"/>
  </sheetViews>
  <sheetFormatPr defaultColWidth="9.1796875" defaultRowHeight="15.5" x14ac:dyDescent="0.35"/>
  <cols>
    <col min="1" max="1" width="5.1796875" style="52" customWidth="1"/>
    <col min="2" max="2" width="86.1796875" style="52" customWidth="1"/>
    <col min="3" max="3" width="10.453125" style="52" customWidth="1"/>
    <col min="4" max="4" width="1.54296875" style="52" customWidth="1"/>
    <col min="5" max="5" width="16.81640625" style="52" customWidth="1"/>
    <col min="6" max="6" width="1.54296875" style="52" customWidth="1"/>
    <col min="7" max="7" width="51.453125" style="52" customWidth="1"/>
    <col min="8" max="8" width="5.1796875" style="53" customWidth="1"/>
    <col min="9" max="9" width="22.453125" style="52" customWidth="1"/>
    <col min="10" max="10" width="20.1796875" style="52" bestFit="1" customWidth="1"/>
    <col min="11" max="16384" width="9.1796875" style="52"/>
  </cols>
  <sheetData>
    <row r="1" spans="1:10" x14ac:dyDescent="0.3">
      <c r="G1" s="127"/>
    </row>
    <row r="2" spans="1:10" x14ac:dyDescent="0.35">
      <c r="A2" s="53"/>
      <c r="B2" s="605" t="s">
        <v>215</v>
      </c>
      <c r="C2" s="604"/>
      <c r="D2" s="604"/>
      <c r="E2" s="604"/>
      <c r="F2" s="604"/>
      <c r="G2" s="604"/>
    </row>
    <row r="3" spans="1:10" x14ac:dyDescent="0.35">
      <c r="A3" s="53" t="s">
        <v>34</v>
      </c>
      <c r="B3" s="605" t="s">
        <v>216</v>
      </c>
      <c r="C3" s="604"/>
      <c r="D3" s="604"/>
      <c r="E3" s="604"/>
      <c r="F3" s="604"/>
      <c r="G3" s="604"/>
    </row>
    <row r="4" spans="1:10" ht="18" x14ac:dyDescent="0.35">
      <c r="A4" s="53"/>
      <c r="B4" s="605" t="s">
        <v>217</v>
      </c>
      <c r="C4" s="606"/>
      <c r="D4" s="606"/>
      <c r="E4" s="606"/>
      <c r="F4" s="606"/>
      <c r="G4" s="606"/>
    </row>
    <row r="5" spans="1:10" x14ac:dyDescent="0.35">
      <c r="A5" s="53"/>
      <c r="B5" s="607" t="s">
        <v>218</v>
      </c>
      <c r="C5" s="607"/>
      <c r="D5" s="607"/>
      <c r="E5" s="607"/>
      <c r="F5" s="607"/>
      <c r="G5" s="607"/>
    </row>
    <row r="6" spans="1:10" x14ac:dyDescent="0.35">
      <c r="A6" s="53"/>
      <c r="B6" s="603" t="s">
        <v>3</v>
      </c>
      <c r="C6" s="604"/>
      <c r="D6" s="604"/>
      <c r="E6" s="604"/>
      <c r="F6" s="604"/>
      <c r="G6" s="604"/>
    </row>
    <row r="7" spans="1:10" x14ac:dyDescent="0.35">
      <c r="A7" s="53"/>
      <c r="B7" s="128"/>
      <c r="C7" s="122"/>
      <c r="D7" s="122"/>
      <c r="E7" s="122"/>
      <c r="F7" s="122"/>
      <c r="G7" s="122"/>
    </row>
    <row r="8" spans="1:10" x14ac:dyDescent="0.35">
      <c r="A8" s="53" t="s">
        <v>4</v>
      </c>
      <c r="E8" s="129"/>
      <c r="G8" s="53"/>
      <c r="H8" s="53" t="s">
        <v>4</v>
      </c>
    </row>
    <row r="9" spans="1:10" ht="15.75" customHeight="1" x14ac:dyDescent="0.35">
      <c r="A9" s="53" t="s">
        <v>5</v>
      </c>
      <c r="B9" s="122" t="s">
        <v>34</v>
      </c>
      <c r="E9" s="130" t="s">
        <v>7</v>
      </c>
      <c r="G9" s="131" t="s">
        <v>8</v>
      </c>
      <c r="H9" s="53" t="s">
        <v>5</v>
      </c>
    </row>
    <row r="10" spans="1:10" x14ac:dyDescent="0.35">
      <c r="A10" s="132"/>
      <c r="B10" s="71" t="s">
        <v>37</v>
      </c>
      <c r="E10" s="133"/>
      <c r="G10" s="53"/>
      <c r="H10" s="132"/>
    </row>
    <row r="11" spans="1:10" x14ac:dyDescent="0.35">
      <c r="A11" s="53">
        <v>1</v>
      </c>
      <c r="B11" s="62" t="s">
        <v>38</v>
      </c>
      <c r="C11" s="134"/>
      <c r="D11" s="134"/>
      <c r="E11" s="135">
        <f>'Pg5 Revised Stmt AH'!E20</f>
        <v>83304.476179999998</v>
      </c>
      <c r="F11" s="42" t="s">
        <v>39</v>
      </c>
      <c r="G11" s="53" t="s">
        <v>219</v>
      </c>
      <c r="H11" s="53">
        <f>A11</f>
        <v>1</v>
      </c>
      <c r="I11" s="136"/>
    </row>
    <row r="12" spans="1:10" x14ac:dyDescent="0.35">
      <c r="A12" s="53">
        <f t="shared" ref="A12:A40" si="0">A11+1</f>
        <v>2</v>
      </c>
      <c r="B12" s="62" t="s">
        <v>34</v>
      </c>
      <c r="C12" s="134"/>
      <c r="D12" s="134"/>
      <c r="E12" s="137" t="s">
        <v>34</v>
      </c>
      <c r="G12" s="53"/>
      <c r="H12" s="53">
        <f t="shared" ref="H12:H40" si="1">H11+1</f>
        <v>2</v>
      </c>
      <c r="I12" s="136"/>
    </row>
    <row r="13" spans="1:10" x14ac:dyDescent="0.35">
      <c r="A13" s="53">
        <f t="shared" si="0"/>
        <v>3</v>
      </c>
      <c r="B13" s="62" t="s">
        <v>41</v>
      </c>
      <c r="C13" s="134"/>
      <c r="D13" s="134"/>
      <c r="E13" s="138">
        <f>'Pg5 Revised Stmt AH'!E43</f>
        <v>69749.205339611188</v>
      </c>
      <c r="F13" s="42" t="s">
        <v>39</v>
      </c>
      <c r="G13" s="53" t="s">
        <v>220</v>
      </c>
      <c r="H13" s="53">
        <f t="shared" si="1"/>
        <v>3</v>
      </c>
      <c r="I13" s="136"/>
    </row>
    <row r="14" spans="1:10" x14ac:dyDescent="0.35">
      <c r="A14" s="53">
        <f t="shared" si="0"/>
        <v>4</v>
      </c>
      <c r="B14" s="62"/>
      <c r="C14" s="134"/>
      <c r="D14" s="134"/>
      <c r="E14" s="137"/>
      <c r="F14" s="122"/>
      <c r="G14" s="53"/>
      <c r="H14" s="53">
        <f t="shared" si="1"/>
        <v>4</v>
      </c>
      <c r="J14" s="139"/>
    </row>
    <row r="15" spans="1:10" x14ac:dyDescent="0.35">
      <c r="A15" s="53">
        <f t="shared" si="0"/>
        <v>5</v>
      </c>
      <c r="B15" s="62" t="s">
        <v>43</v>
      </c>
      <c r="C15" s="134"/>
      <c r="D15" s="134"/>
      <c r="E15" s="140">
        <f>-'Pg5 Revised Stmt AH'!E27</f>
        <v>0</v>
      </c>
      <c r="G15" s="53" t="s">
        <v>221</v>
      </c>
      <c r="H15" s="53">
        <f t="shared" si="1"/>
        <v>5</v>
      </c>
      <c r="J15" s="139"/>
    </row>
    <row r="16" spans="1:10" x14ac:dyDescent="0.35">
      <c r="A16" s="53">
        <f t="shared" si="0"/>
        <v>6</v>
      </c>
      <c r="B16" s="62" t="s">
        <v>45</v>
      </c>
      <c r="C16" s="134"/>
      <c r="D16" s="134"/>
      <c r="E16" s="141">
        <f>E11+E13+E15</f>
        <v>153053.68151961119</v>
      </c>
      <c r="F16" s="42" t="s">
        <v>39</v>
      </c>
      <c r="G16" s="53" t="s">
        <v>46</v>
      </c>
      <c r="H16" s="53">
        <f t="shared" si="1"/>
        <v>6</v>
      </c>
      <c r="I16" s="142"/>
      <c r="J16" s="139"/>
    </row>
    <row r="17" spans="1:9" x14ac:dyDescent="0.35">
      <c r="A17" s="53">
        <f t="shared" si="0"/>
        <v>7</v>
      </c>
      <c r="E17" s="143"/>
      <c r="G17" s="53"/>
      <c r="H17" s="53">
        <f t="shared" si="1"/>
        <v>7</v>
      </c>
    </row>
    <row r="18" spans="1:9" x14ac:dyDescent="0.35">
      <c r="A18" s="53">
        <f t="shared" si="0"/>
        <v>8</v>
      </c>
      <c r="B18" s="52" t="s">
        <v>47</v>
      </c>
      <c r="C18" s="134"/>
      <c r="D18" s="134"/>
      <c r="E18" s="144">
        <v>193674.59996183356</v>
      </c>
      <c r="F18" s="145"/>
      <c r="G18" s="53" t="s">
        <v>222</v>
      </c>
      <c r="H18" s="53">
        <f t="shared" si="1"/>
        <v>8</v>
      </c>
    </row>
    <row r="19" spans="1:9" x14ac:dyDescent="0.35">
      <c r="A19" s="53">
        <f t="shared" si="0"/>
        <v>9</v>
      </c>
      <c r="E19" s="146" t="s">
        <v>34</v>
      </c>
      <c r="G19" s="53"/>
      <c r="H19" s="53">
        <f t="shared" si="1"/>
        <v>9</v>
      </c>
    </row>
    <row r="20" spans="1:9" ht="18" x14ac:dyDescent="0.35">
      <c r="A20" s="53">
        <f t="shared" si="0"/>
        <v>10</v>
      </c>
      <c r="B20" s="52" t="s">
        <v>49</v>
      </c>
      <c r="E20" s="147">
        <v>0</v>
      </c>
      <c r="G20" s="53" t="s">
        <v>223</v>
      </c>
      <c r="H20" s="53">
        <f t="shared" si="1"/>
        <v>10</v>
      </c>
      <c r="I20" s="136"/>
    </row>
    <row r="21" spans="1:9" x14ac:dyDescent="0.35">
      <c r="A21" s="53">
        <f t="shared" si="0"/>
        <v>11</v>
      </c>
      <c r="E21" s="146"/>
      <c r="G21" s="53"/>
      <c r="H21" s="53">
        <f t="shared" si="1"/>
        <v>11</v>
      </c>
    </row>
    <row r="22" spans="1:9" x14ac:dyDescent="0.35">
      <c r="A22" s="53">
        <f t="shared" si="0"/>
        <v>12</v>
      </c>
      <c r="B22" s="52" t="s">
        <v>51</v>
      </c>
      <c r="C22" s="134"/>
      <c r="D22" s="134"/>
      <c r="E22" s="148">
        <v>50572.921636797866</v>
      </c>
      <c r="F22" s="122"/>
      <c r="G22" s="53" t="s">
        <v>224</v>
      </c>
      <c r="H22" s="53">
        <f t="shared" si="1"/>
        <v>12</v>
      </c>
      <c r="I22" s="136"/>
    </row>
    <row r="23" spans="1:9" x14ac:dyDescent="0.35">
      <c r="A23" s="53">
        <f t="shared" si="0"/>
        <v>13</v>
      </c>
      <c r="B23" s="62"/>
      <c r="C23" s="134"/>
      <c r="D23" s="134"/>
      <c r="E23" s="149"/>
      <c r="G23" s="53"/>
      <c r="H23" s="53">
        <f t="shared" si="1"/>
        <v>13</v>
      </c>
    </row>
    <row r="24" spans="1:9" x14ac:dyDescent="0.35">
      <c r="A24" s="53">
        <f t="shared" si="0"/>
        <v>14</v>
      </c>
      <c r="B24" s="52" t="s">
        <v>53</v>
      </c>
      <c r="C24" s="134"/>
      <c r="D24" s="134"/>
      <c r="E24" s="150">
        <v>2528.6095301464243</v>
      </c>
      <c r="F24" s="122"/>
      <c r="G24" s="53" t="s">
        <v>225</v>
      </c>
      <c r="H24" s="53">
        <f t="shared" si="1"/>
        <v>14</v>
      </c>
      <c r="I24" s="136"/>
    </row>
    <row r="25" spans="1:9" x14ac:dyDescent="0.35">
      <c r="A25" s="53">
        <f t="shared" si="0"/>
        <v>15</v>
      </c>
      <c r="B25" s="62" t="s">
        <v>55</v>
      </c>
      <c r="C25" s="134"/>
      <c r="D25" s="134"/>
      <c r="E25" s="151">
        <f>SUM(E16+E18+E20+E22+E24)</f>
        <v>399829.81264838896</v>
      </c>
      <c r="F25" s="42" t="s">
        <v>39</v>
      </c>
      <c r="G25" s="53" t="s">
        <v>56</v>
      </c>
      <c r="H25" s="53">
        <f t="shared" si="1"/>
        <v>15</v>
      </c>
    </row>
    <row r="26" spans="1:9" x14ac:dyDescent="0.35">
      <c r="A26" s="53">
        <f t="shared" si="0"/>
        <v>16</v>
      </c>
      <c r="B26" s="62"/>
      <c r="C26" s="134"/>
      <c r="D26" s="134"/>
      <c r="E26" s="152"/>
      <c r="G26" s="53"/>
      <c r="H26" s="53">
        <f t="shared" si="1"/>
        <v>16</v>
      </c>
    </row>
    <row r="27" spans="1:9" ht="17.5" x14ac:dyDescent="0.35">
      <c r="A27" s="53">
        <f t="shared" si="0"/>
        <v>17</v>
      </c>
      <c r="B27" s="62" t="s">
        <v>99</v>
      </c>
      <c r="C27" s="134"/>
      <c r="D27" s="134"/>
      <c r="E27" s="153">
        <f>'Pg7 Revised Stmt AV'!G147</f>
        <v>9.8915203964587209E-2</v>
      </c>
      <c r="G27" s="53" t="s">
        <v>226</v>
      </c>
      <c r="H27" s="53">
        <f t="shared" si="1"/>
        <v>17</v>
      </c>
    </row>
    <row r="28" spans="1:9" x14ac:dyDescent="0.35">
      <c r="A28" s="53">
        <f t="shared" si="0"/>
        <v>18</v>
      </c>
      <c r="B28" s="62" t="s">
        <v>59</v>
      </c>
      <c r="C28" s="134"/>
      <c r="D28" s="134"/>
      <c r="E28" s="154">
        <f>E136</f>
        <v>4341788.79395789</v>
      </c>
      <c r="F28" s="42" t="s">
        <v>39</v>
      </c>
      <c r="G28" s="53" t="s">
        <v>227</v>
      </c>
      <c r="H28" s="53">
        <f t="shared" si="1"/>
        <v>18</v>
      </c>
    </row>
    <row r="29" spans="1:9" x14ac:dyDescent="0.35">
      <c r="A29" s="53">
        <f t="shared" si="0"/>
        <v>19</v>
      </c>
      <c r="B29" s="52" t="s">
        <v>228</v>
      </c>
      <c r="C29" s="134"/>
      <c r="D29" s="134"/>
      <c r="E29" s="155">
        <f>E28*E27</f>
        <v>429468.92412550381</v>
      </c>
      <c r="F29" s="42" t="s">
        <v>39</v>
      </c>
      <c r="G29" s="53" t="s">
        <v>62</v>
      </c>
      <c r="H29" s="53">
        <f t="shared" si="1"/>
        <v>19</v>
      </c>
    </row>
    <row r="30" spans="1:9" x14ac:dyDescent="0.35">
      <c r="A30" s="53">
        <f t="shared" si="0"/>
        <v>20</v>
      </c>
      <c r="C30" s="134"/>
      <c r="D30" s="134"/>
      <c r="E30" s="152"/>
      <c r="G30" s="53"/>
      <c r="H30" s="53">
        <f t="shared" si="1"/>
        <v>20</v>
      </c>
    </row>
    <row r="31" spans="1:9" ht="17.5" x14ac:dyDescent="0.35">
      <c r="A31" s="53">
        <f t="shared" si="0"/>
        <v>21</v>
      </c>
      <c r="B31" s="62" t="s">
        <v>63</v>
      </c>
      <c r="C31" s="134"/>
      <c r="D31" s="137"/>
      <c r="E31" s="153">
        <f>'Pg7 Revised Stmt AV'!G180</f>
        <v>4.0346960281741739E-3</v>
      </c>
      <c r="F31" s="122"/>
      <c r="G31" s="53" t="s">
        <v>229</v>
      </c>
      <c r="H31" s="53">
        <f t="shared" si="1"/>
        <v>21</v>
      </c>
      <c r="I31" s="136"/>
    </row>
    <row r="32" spans="1:9" x14ac:dyDescent="0.35">
      <c r="A32" s="53">
        <f t="shared" si="0"/>
        <v>22</v>
      </c>
      <c r="B32" s="62" t="s">
        <v>59</v>
      </c>
      <c r="C32" s="134"/>
      <c r="D32" s="134"/>
      <c r="E32" s="154">
        <f>E136-E119</f>
        <v>4341788.79395789</v>
      </c>
      <c r="F32" s="42" t="s">
        <v>39</v>
      </c>
      <c r="G32" s="53" t="s">
        <v>230</v>
      </c>
      <c r="H32" s="53">
        <f t="shared" si="1"/>
        <v>22</v>
      </c>
    </row>
    <row r="33" spans="1:9" x14ac:dyDescent="0.35">
      <c r="A33" s="53">
        <f t="shared" si="0"/>
        <v>23</v>
      </c>
      <c r="B33" s="52" t="s">
        <v>66</v>
      </c>
      <c r="E33" s="155">
        <f>E32*E31</f>
        <v>17517.798002153035</v>
      </c>
      <c r="F33" s="42" t="s">
        <v>39</v>
      </c>
      <c r="G33" s="53" t="s">
        <v>67</v>
      </c>
      <c r="H33" s="53">
        <f t="shared" si="1"/>
        <v>23</v>
      </c>
    </row>
    <row r="34" spans="1:9" x14ac:dyDescent="0.35">
      <c r="A34" s="53">
        <f t="shared" si="0"/>
        <v>24</v>
      </c>
      <c r="E34" s="157"/>
      <c r="G34" s="53"/>
      <c r="H34" s="53">
        <f t="shared" si="1"/>
        <v>24</v>
      </c>
    </row>
    <row r="35" spans="1:9" x14ac:dyDescent="0.35">
      <c r="A35" s="53">
        <f t="shared" si="0"/>
        <v>25</v>
      </c>
      <c r="B35" s="52" t="s">
        <v>68</v>
      </c>
      <c r="E35" s="158">
        <v>1346.7699665379248</v>
      </c>
      <c r="G35" s="53" t="s">
        <v>231</v>
      </c>
      <c r="H35" s="53">
        <f t="shared" si="1"/>
        <v>25</v>
      </c>
      <c r="I35" s="136"/>
    </row>
    <row r="36" spans="1:9" x14ac:dyDescent="0.35">
      <c r="A36" s="53">
        <f t="shared" si="0"/>
        <v>26</v>
      </c>
      <c r="B36" s="52" t="s">
        <v>70</v>
      </c>
      <c r="E36" s="159">
        <v>-5601.2001300000002</v>
      </c>
      <c r="F36" s="122"/>
      <c r="G36" s="53" t="s">
        <v>232</v>
      </c>
      <c r="H36" s="53">
        <f t="shared" si="1"/>
        <v>26</v>
      </c>
      <c r="I36" s="136"/>
    </row>
    <row r="37" spans="1:9" x14ac:dyDescent="0.35">
      <c r="A37" s="53">
        <f t="shared" si="0"/>
        <v>27</v>
      </c>
      <c r="B37" s="52" t="s">
        <v>72</v>
      </c>
      <c r="E37" s="160">
        <v>0</v>
      </c>
      <c r="G37" s="53" t="s">
        <v>233</v>
      </c>
      <c r="H37" s="53">
        <f t="shared" si="1"/>
        <v>27</v>
      </c>
    </row>
    <row r="38" spans="1:9" x14ac:dyDescent="0.35">
      <c r="A38" s="53">
        <f t="shared" si="0"/>
        <v>28</v>
      </c>
      <c r="B38" s="65" t="s">
        <v>74</v>
      </c>
      <c r="E38" s="161">
        <v>0</v>
      </c>
      <c r="G38" s="53" t="s">
        <v>234</v>
      </c>
      <c r="H38" s="53">
        <f t="shared" si="1"/>
        <v>28</v>
      </c>
      <c r="I38" s="136"/>
    </row>
    <row r="39" spans="1:9" x14ac:dyDescent="0.35">
      <c r="A39" s="53">
        <f t="shared" si="0"/>
        <v>29</v>
      </c>
      <c r="E39" s="146" t="s">
        <v>34</v>
      </c>
      <c r="G39" s="53"/>
      <c r="H39" s="53">
        <f t="shared" si="1"/>
        <v>29</v>
      </c>
      <c r="I39" s="136"/>
    </row>
    <row r="40" spans="1:9" ht="18" thickBot="1" x14ac:dyDescent="0.4">
      <c r="A40" s="53">
        <f t="shared" si="0"/>
        <v>30</v>
      </c>
      <c r="B40" s="52" t="s">
        <v>76</v>
      </c>
      <c r="C40" s="134"/>
      <c r="D40" s="134"/>
      <c r="E40" s="162">
        <f>E29+E33+E25+SUM(E35:E38)</f>
        <v>842562.10461258376</v>
      </c>
      <c r="F40" s="42" t="s">
        <v>39</v>
      </c>
      <c r="G40" s="53" t="s">
        <v>77</v>
      </c>
      <c r="H40" s="53">
        <f t="shared" si="1"/>
        <v>30</v>
      </c>
      <c r="I40" s="136"/>
    </row>
    <row r="41" spans="1:9" ht="16" thickTop="1" x14ac:dyDescent="0.35">
      <c r="A41" s="132"/>
      <c r="C41" s="134"/>
      <c r="D41" s="134"/>
      <c r="E41" s="163"/>
      <c r="F41" s="122"/>
      <c r="G41" s="132"/>
      <c r="H41" s="132"/>
      <c r="I41" s="136"/>
    </row>
    <row r="42" spans="1:9" x14ac:dyDescent="0.35">
      <c r="A42" s="42" t="s">
        <v>39</v>
      </c>
      <c r="B42" s="33" t="s">
        <v>235</v>
      </c>
      <c r="C42" s="134"/>
      <c r="D42" s="134"/>
      <c r="E42" s="163"/>
      <c r="F42" s="122"/>
      <c r="G42" s="132"/>
      <c r="H42" s="132"/>
      <c r="I42" s="136"/>
    </row>
    <row r="43" spans="1:9" ht="18" x14ac:dyDescent="0.35">
      <c r="A43" s="70">
        <v>1</v>
      </c>
      <c r="B43" s="52" t="s">
        <v>79</v>
      </c>
      <c r="C43" s="134"/>
      <c r="D43" s="134"/>
      <c r="E43" s="163"/>
      <c r="F43" s="122"/>
      <c r="G43" s="132"/>
      <c r="H43" s="132"/>
      <c r="I43" s="136"/>
    </row>
    <row r="44" spans="1:9" ht="18" x14ac:dyDescent="0.35">
      <c r="A44" s="70"/>
      <c r="C44" s="134"/>
      <c r="D44" s="134"/>
      <c r="E44" s="163"/>
      <c r="F44" s="122"/>
      <c r="G44" s="132"/>
      <c r="H44" s="132"/>
      <c r="I44" s="136"/>
    </row>
    <row r="45" spans="1:9" x14ac:dyDescent="0.3">
      <c r="A45" s="132"/>
      <c r="C45" s="134"/>
      <c r="D45" s="134"/>
      <c r="E45" s="163"/>
      <c r="F45" s="122"/>
      <c r="G45" s="127"/>
      <c r="H45" s="132"/>
      <c r="I45" s="136"/>
    </row>
    <row r="46" spans="1:9" x14ac:dyDescent="0.35">
      <c r="A46" s="132"/>
      <c r="B46" s="605" t="s">
        <v>215</v>
      </c>
      <c r="C46" s="604"/>
      <c r="D46" s="604"/>
      <c r="E46" s="604"/>
      <c r="F46" s="604"/>
      <c r="G46" s="604"/>
      <c r="H46" s="132"/>
      <c r="I46" s="136"/>
    </row>
    <row r="47" spans="1:9" x14ac:dyDescent="0.35">
      <c r="A47" s="132"/>
      <c r="B47" s="605" t="s">
        <v>216</v>
      </c>
      <c r="C47" s="604"/>
      <c r="D47" s="604"/>
      <c r="E47" s="604"/>
      <c r="F47" s="604"/>
      <c r="G47" s="604"/>
      <c r="H47" s="132"/>
      <c r="I47" s="136"/>
    </row>
    <row r="48" spans="1:9" ht="18" x14ac:dyDescent="0.35">
      <c r="A48" s="132"/>
      <c r="B48" s="605" t="s">
        <v>217</v>
      </c>
      <c r="C48" s="606"/>
      <c r="D48" s="606"/>
      <c r="E48" s="606"/>
      <c r="F48" s="606"/>
      <c r="G48" s="606"/>
      <c r="H48" s="132"/>
      <c r="I48" s="136"/>
    </row>
    <row r="49" spans="1:9" x14ac:dyDescent="0.35">
      <c r="A49" s="132"/>
      <c r="B49" s="601" t="str">
        <f>B5</f>
        <v>For the Base Period &amp; True-Up Period Ending December 31, 2019</v>
      </c>
      <c r="C49" s="602"/>
      <c r="D49" s="602"/>
      <c r="E49" s="602"/>
      <c r="F49" s="602"/>
      <c r="G49" s="602"/>
      <c r="H49" s="132"/>
      <c r="I49" s="136"/>
    </row>
    <row r="50" spans="1:9" x14ac:dyDescent="0.35">
      <c r="A50" s="132"/>
      <c r="B50" s="603" t="s">
        <v>3</v>
      </c>
      <c r="C50" s="604"/>
      <c r="D50" s="604"/>
      <c r="E50" s="604"/>
      <c r="F50" s="604"/>
      <c r="G50" s="604"/>
      <c r="H50" s="132"/>
      <c r="I50" s="136"/>
    </row>
    <row r="51" spans="1:9" x14ac:dyDescent="0.35">
      <c r="A51" s="132"/>
      <c r="C51" s="134"/>
      <c r="D51" s="134"/>
      <c r="E51" s="163"/>
      <c r="F51" s="122"/>
      <c r="G51" s="132"/>
      <c r="H51" s="132"/>
      <c r="I51" s="136"/>
    </row>
    <row r="52" spans="1:9" x14ac:dyDescent="0.35">
      <c r="A52" s="53" t="s">
        <v>4</v>
      </c>
      <c r="E52" s="129"/>
      <c r="G52" s="53"/>
      <c r="H52" s="53" t="s">
        <v>4</v>
      </c>
      <c r="I52" s="136"/>
    </row>
    <row r="53" spans="1:9" x14ac:dyDescent="0.35">
      <c r="A53" s="53" t="s">
        <v>5</v>
      </c>
      <c r="B53" s="122" t="s">
        <v>34</v>
      </c>
      <c r="E53" s="130" t="s">
        <v>7</v>
      </c>
      <c r="G53" s="131" t="s">
        <v>8</v>
      </c>
      <c r="H53" s="53" t="s">
        <v>5</v>
      </c>
      <c r="I53" s="136"/>
    </row>
    <row r="54" spans="1:9" ht="18" x14ac:dyDescent="0.35">
      <c r="A54" s="132"/>
      <c r="B54" s="71" t="s">
        <v>80</v>
      </c>
      <c r="E54" s="53"/>
      <c r="G54" s="53"/>
      <c r="H54" s="132"/>
      <c r="I54" s="136"/>
    </row>
    <row r="55" spans="1:9" x14ac:dyDescent="0.35">
      <c r="A55" s="53">
        <v>1</v>
      </c>
      <c r="B55" s="62" t="s">
        <v>81</v>
      </c>
      <c r="C55" s="134"/>
      <c r="D55" s="134"/>
      <c r="E55" s="164">
        <v>0</v>
      </c>
      <c r="G55" s="53" t="s">
        <v>236</v>
      </c>
      <c r="H55" s="53">
        <f>A55</f>
        <v>1</v>
      </c>
      <c r="I55" s="136"/>
    </row>
    <row r="56" spans="1:9" x14ac:dyDescent="0.35">
      <c r="A56" s="53">
        <f t="shared" ref="A56:A93" si="2">A55+1</f>
        <v>2</v>
      </c>
      <c r="B56" s="62"/>
      <c r="C56" s="134"/>
      <c r="D56" s="134"/>
      <c r="E56" s="165"/>
      <c r="G56" s="53"/>
      <c r="H56" s="53">
        <f t="shared" ref="H56:H93" si="3">H55+1</f>
        <v>2</v>
      </c>
    </row>
    <row r="57" spans="1:9" ht="18" x14ac:dyDescent="0.35">
      <c r="A57" s="53">
        <f t="shared" si="2"/>
        <v>3</v>
      </c>
      <c r="B57" s="62" t="s">
        <v>83</v>
      </c>
      <c r="C57" s="134"/>
      <c r="D57" s="134"/>
      <c r="E57" s="153">
        <f>'Pg7 Revised Stmt AV'!G224</f>
        <v>1.7918893594493838E-2</v>
      </c>
      <c r="F57" s="166"/>
      <c r="G57" s="53" t="s">
        <v>237</v>
      </c>
      <c r="H57" s="53">
        <f t="shared" si="3"/>
        <v>3</v>
      </c>
    </row>
    <row r="58" spans="1:9" x14ac:dyDescent="0.35">
      <c r="A58" s="53">
        <f t="shared" si="2"/>
        <v>4</v>
      </c>
      <c r="B58" s="52" t="s">
        <v>85</v>
      </c>
      <c r="C58" s="134"/>
      <c r="D58" s="134"/>
      <c r="E58" s="167">
        <f>E141</f>
        <v>0</v>
      </c>
      <c r="G58" s="53" t="s">
        <v>238</v>
      </c>
      <c r="H58" s="53">
        <f t="shared" si="3"/>
        <v>4</v>
      </c>
    </row>
    <row r="59" spans="1:9" x14ac:dyDescent="0.35">
      <c r="A59" s="53">
        <f t="shared" si="2"/>
        <v>5</v>
      </c>
      <c r="B59" s="52" t="s">
        <v>87</v>
      </c>
      <c r="E59" s="168">
        <f>E58*E57</f>
        <v>0</v>
      </c>
      <c r="G59" s="53" t="s">
        <v>88</v>
      </c>
      <c r="H59" s="53">
        <f t="shared" si="3"/>
        <v>5</v>
      </c>
    </row>
    <row r="60" spans="1:9" x14ac:dyDescent="0.35">
      <c r="A60" s="53">
        <f t="shared" si="2"/>
        <v>6</v>
      </c>
      <c r="E60" s="169"/>
      <c r="G60" s="53"/>
      <c r="H60" s="53">
        <f t="shared" si="3"/>
        <v>6</v>
      </c>
    </row>
    <row r="61" spans="1:9" ht="17.5" x14ac:dyDescent="0.35">
      <c r="A61" s="53">
        <f t="shared" si="2"/>
        <v>7</v>
      </c>
      <c r="B61" s="62" t="s">
        <v>63</v>
      </c>
      <c r="E61" s="153">
        <f>'Pg7 Revised Stmt AV'!G257</f>
        <v>0</v>
      </c>
      <c r="G61" s="53" t="s">
        <v>239</v>
      </c>
      <c r="H61" s="53">
        <f t="shared" si="3"/>
        <v>7</v>
      </c>
    </row>
    <row r="62" spans="1:9" x14ac:dyDescent="0.35">
      <c r="A62" s="53">
        <f t="shared" si="2"/>
        <v>8</v>
      </c>
      <c r="B62" s="52" t="s">
        <v>85</v>
      </c>
      <c r="E62" s="167">
        <f>E141</f>
        <v>0</v>
      </c>
      <c r="G62" s="53" t="s">
        <v>238</v>
      </c>
      <c r="H62" s="53">
        <f t="shared" si="3"/>
        <v>8</v>
      </c>
    </row>
    <row r="63" spans="1:9" x14ac:dyDescent="0.35">
      <c r="A63" s="53">
        <f t="shared" si="2"/>
        <v>9</v>
      </c>
      <c r="B63" s="52" t="s">
        <v>66</v>
      </c>
      <c r="E63" s="168">
        <f>E62*E61</f>
        <v>0</v>
      </c>
      <c r="G63" s="53" t="s">
        <v>91</v>
      </c>
      <c r="H63" s="53">
        <f t="shared" si="3"/>
        <v>9</v>
      </c>
    </row>
    <row r="64" spans="1:9" x14ac:dyDescent="0.35">
      <c r="A64" s="53">
        <f t="shared" si="2"/>
        <v>10</v>
      </c>
      <c r="E64" s="169"/>
      <c r="G64" s="53"/>
      <c r="H64" s="53">
        <f t="shared" si="3"/>
        <v>10</v>
      </c>
    </row>
    <row r="65" spans="1:9" ht="16" thickBot="1" x14ac:dyDescent="0.4">
      <c r="A65" s="53">
        <f t="shared" si="2"/>
        <v>11</v>
      </c>
      <c r="B65" s="52" t="s">
        <v>92</v>
      </c>
      <c r="E65" s="170">
        <f>E55+E59+E63</f>
        <v>0</v>
      </c>
      <c r="G65" s="53" t="s">
        <v>93</v>
      </c>
      <c r="H65" s="53">
        <f t="shared" si="3"/>
        <v>11</v>
      </c>
    </row>
    <row r="66" spans="1:9" ht="16" thickTop="1" x14ac:dyDescent="0.35">
      <c r="A66" s="53">
        <f t="shared" si="2"/>
        <v>12</v>
      </c>
      <c r="E66" s="171"/>
      <c r="G66" s="53"/>
      <c r="H66" s="53">
        <f t="shared" si="3"/>
        <v>12</v>
      </c>
    </row>
    <row r="67" spans="1:9" ht="18" x14ac:dyDescent="0.35">
      <c r="A67" s="53">
        <f t="shared" si="2"/>
        <v>13</v>
      </c>
      <c r="B67" s="78" t="s">
        <v>94</v>
      </c>
      <c r="E67" s="171"/>
      <c r="G67" s="53"/>
      <c r="H67" s="53">
        <f t="shared" si="3"/>
        <v>13</v>
      </c>
    </row>
    <row r="68" spans="1:9" x14ac:dyDescent="0.35">
      <c r="A68" s="53">
        <f t="shared" si="2"/>
        <v>14</v>
      </c>
      <c r="B68" s="62" t="s">
        <v>95</v>
      </c>
      <c r="E68" s="172">
        <v>0</v>
      </c>
      <c r="G68" s="53" t="s">
        <v>240</v>
      </c>
      <c r="H68" s="53">
        <f t="shared" si="3"/>
        <v>14</v>
      </c>
    </row>
    <row r="69" spans="1:9" x14ac:dyDescent="0.35">
      <c r="A69" s="53">
        <f t="shared" si="2"/>
        <v>15</v>
      </c>
      <c r="B69" s="62"/>
      <c r="E69" s="173"/>
      <c r="G69" s="53"/>
      <c r="H69" s="53">
        <f t="shared" si="3"/>
        <v>15</v>
      </c>
    </row>
    <row r="70" spans="1:9" x14ac:dyDescent="0.35">
      <c r="A70" s="53">
        <f t="shared" si="2"/>
        <v>16</v>
      </c>
      <c r="B70" s="62" t="s">
        <v>97</v>
      </c>
      <c r="E70" s="172">
        <f>E146</f>
        <v>0</v>
      </c>
      <c r="G70" s="53" t="s">
        <v>241</v>
      </c>
      <c r="H70" s="53">
        <f t="shared" si="3"/>
        <v>16</v>
      </c>
    </row>
    <row r="71" spans="1:9" ht="17.5" x14ac:dyDescent="0.35">
      <c r="A71" s="53">
        <f t="shared" si="2"/>
        <v>17</v>
      </c>
      <c r="B71" s="62" t="s">
        <v>99</v>
      </c>
      <c r="C71" s="134"/>
      <c r="D71" s="137"/>
      <c r="E71" s="174">
        <f>'Pg7 Revised Stmt AV'!G147</f>
        <v>9.8915203964587209E-2</v>
      </c>
      <c r="F71" s="122"/>
      <c r="G71" s="53" t="s">
        <v>226</v>
      </c>
      <c r="H71" s="53">
        <f t="shared" si="3"/>
        <v>17</v>
      </c>
    </row>
    <row r="72" spans="1:9" x14ac:dyDescent="0.35">
      <c r="A72" s="53">
        <f t="shared" si="2"/>
        <v>18</v>
      </c>
      <c r="B72" s="52" t="s">
        <v>101</v>
      </c>
      <c r="E72" s="168">
        <f>E70*E71</f>
        <v>0</v>
      </c>
      <c r="G72" s="53" t="s">
        <v>102</v>
      </c>
      <c r="H72" s="53">
        <f t="shared" si="3"/>
        <v>18</v>
      </c>
    </row>
    <row r="73" spans="1:9" x14ac:dyDescent="0.35">
      <c r="A73" s="53">
        <f t="shared" si="2"/>
        <v>19</v>
      </c>
      <c r="E73" s="169"/>
      <c r="G73" s="53"/>
      <c r="H73" s="53">
        <f t="shared" si="3"/>
        <v>19</v>
      </c>
    </row>
    <row r="74" spans="1:9" x14ac:dyDescent="0.35">
      <c r="A74" s="53">
        <f t="shared" si="2"/>
        <v>20</v>
      </c>
      <c r="B74" s="62" t="s">
        <v>97</v>
      </c>
      <c r="E74" s="172">
        <f>E146</f>
        <v>0</v>
      </c>
      <c r="G74" s="53" t="s">
        <v>241</v>
      </c>
      <c r="H74" s="53">
        <f t="shared" si="3"/>
        <v>20</v>
      </c>
    </row>
    <row r="75" spans="1:9" ht="17.5" x14ac:dyDescent="0.35">
      <c r="A75" s="53">
        <f t="shared" si="2"/>
        <v>21</v>
      </c>
      <c r="B75" s="62" t="s">
        <v>63</v>
      </c>
      <c r="C75" s="175"/>
      <c r="D75" s="137"/>
      <c r="E75" s="176">
        <v>0</v>
      </c>
      <c r="F75" s="122"/>
      <c r="G75" s="53" t="s">
        <v>242</v>
      </c>
      <c r="H75" s="53">
        <f t="shared" si="3"/>
        <v>21</v>
      </c>
      <c r="I75" s="175"/>
    </row>
    <row r="76" spans="1:9" x14ac:dyDescent="0.35">
      <c r="A76" s="53">
        <f t="shared" si="2"/>
        <v>22</v>
      </c>
      <c r="B76" s="52" t="s">
        <v>105</v>
      </c>
      <c r="E76" s="168">
        <f>E74*E75</f>
        <v>0</v>
      </c>
      <c r="G76" s="53" t="s">
        <v>106</v>
      </c>
      <c r="H76" s="53">
        <f t="shared" si="3"/>
        <v>22</v>
      </c>
    </row>
    <row r="77" spans="1:9" x14ac:dyDescent="0.35">
      <c r="A77" s="53">
        <f t="shared" si="2"/>
        <v>23</v>
      </c>
      <c r="E77" s="171"/>
      <c r="G77" s="53"/>
      <c r="H77" s="53">
        <f t="shared" si="3"/>
        <v>23</v>
      </c>
    </row>
    <row r="78" spans="1:9" ht="16" thickBot="1" x14ac:dyDescent="0.4">
      <c r="A78" s="53">
        <f t="shared" si="2"/>
        <v>24</v>
      </c>
      <c r="B78" s="52" t="s">
        <v>107</v>
      </c>
      <c r="E78" s="170">
        <f>E68+E72+E76</f>
        <v>0</v>
      </c>
      <c r="G78" s="53" t="s">
        <v>108</v>
      </c>
      <c r="H78" s="53">
        <f t="shared" si="3"/>
        <v>24</v>
      </c>
    </row>
    <row r="79" spans="1:9" ht="16" thickTop="1" x14ac:dyDescent="0.35">
      <c r="A79" s="53">
        <f t="shared" si="2"/>
        <v>25</v>
      </c>
      <c r="E79" s="171"/>
      <c r="G79" s="53"/>
      <c r="H79" s="53">
        <f t="shared" si="3"/>
        <v>25</v>
      </c>
    </row>
    <row r="80" spans="1:9" ht="18" x14ac:dyDescent="0.35">
      <c r="A80" s="53">
        <f t="shared" si="2"/>
        <v>26</v>
      </c>
      <c r="B80" s="78" t="s">
        <v>109</v>
      </c>
      <c r="C80" s="134"/>
      <c r="D80" s="134"/>
      <c r="E80" s="165"/>
      <c r="G80" s="53"/>
      <c r="H80" s="53">
        <f t="shared" si="3"/>
        <v>26</v>
      </c>
    </row>
    <row r="81" spans="1:8" x14ac:dyDescent="0.35">
      <c r="A81" s="53">
        <f t="shared" si="2"/>
        <v>27</v>
      </c>
      <c r="B81" s="52" t="s">
        <v>110</v>
      </c>
      <c r="C81" s="134"/>
      <c r="D81" s="134"/>
      <c r="E81" s="164">
        <f>E148</f>
        <v>0</v>
      </c>
      <c r="G81" s="53" t="s">
        <v>243</v>
      </c>
      <c r="H81" s="53">
        <f t="shared" si="3"/>
        <v>27</v>
      </c>
    </row>
    <row r="82" spans="1:8" ht="17.5" x14ac:dyDescent="0.35">
      <c r="A82" s="53">
        <f t="shared" si="2"/>
        <v>28</v>
      </c>
      <c r="B82" s="62" t="s">
        <v>99</v>
      </c>
      <c r="C82" s="134"/>
      <c r="D82" s="134"/>
      <c r="E82" s="177">
        <f>'Pg7 Revised Stmt AV'!G147</f>
        <v>9.8915203964587209E-2</v>
      </c>
      <c r="F82" s="122"/>
      <c r="G82" s="53" t="s">
        <v>226</v>
      </c>
      <c r="H82" s="53">
        <f t="shared" si="3"/>
        <v>28</v>
      </c>
    </row>
    <row r="83" spans="1:8" x14ac:dyDescent="0.35">
      <c r="A83" s="53">
        <f t="shared" si="2"/>
        <v>29</v>
      </c>
      <c r="B83" s="52" t="s">
        <v>113</v>
      </c>
      <c r="C83" s="134"/>
      <c r="D83" s="134"/>
      <c r="E83" s="178">
        <f>E81*E82</f>
        <v>0</v>
      </c>
      <c r="G83" s="53" t="s">
        <v>114</v>
      </c>
      <c r="H83" s="53">
        <f t="shared" si="3"/>
        <v>29</v>
      </c>
    </row>
    <row r="84" spans="1:8" x14ac:dyDescent="0.35">
      <c r="A84" s="53">
        <f t="shared" si="2"/>
        <v>30</v>
      </c>
      <c r="C84" s="134"/>
      <c r="D84" s="134"/>
      <c r="E84" s="179"/>
      <c r="G84" s="53"/>
      <c r="H84" s="53">
        <f t="shared" si="3"/>
        <v>30</v>
      </c>
    </row>
    <row r="85" spans="1:8" x14ac:dyDescent="0.35">
      <c r="A85" s="53">
        <f t="shared" si="2"/>
        <v>31</v>
      </c>
      <c r="B85" s="52" t="s">
        <v>110</v>
      </c>
      <c r="C85" s="134"/>
      <c r="D85" s="134"/>
      <c r="E85" s="164">
        <f>E148</f>
        <v>0</v>
      </c>
      <c r="G85" s="53" t="s">
        <v>243</v>
      </c>
      <c r="H85" s="53">
        <f t="shared" si="3"/>
        <v>31</v>
      </c>
    </row>
    <row r="86" spans="1:8" ht="17.5" x14ac:dyDescent="0.35">
      <c r="A86" s="53">
        <f t="shared" si="2"/>
        <v>32</v>
      </c>
      <c r="B86" s="62" t="s">
        <v>63</v>
      </c>
      <c r="C86" s="134"/>
      <c r="D86" s="134"/>
      <c r="E86" s="177">
        <f>'Pg7 Revised Stmt AV'!G180</f>
        <v>4.0346960281741739E-3</v>
      </c>
      <c r="F86" s="122"/>
      <c r="G86" s="53" t="s">
        <v>229</v>
      </c>
      <c r="H86" s="53">
        <f t="shared" si="3"/>
        <v>32</v>
      </c>
    </row>
    <row r="87" spans="1:8" x14ac:dyDescent="0.35">
      <c r="A87" s="53">
        <f t="shared" si="2"/>
        <v>33</v>
      </c>
      <c r="B87" s="52" t="s">
        <v>117</v>
      </c>
      <c r="C87" s="134"/>
      <c r="D87" s="134"/>
      <c r="E87" s="178">
        <f>E85*E86</f>
        <v>0</v>
      </c>
      <c r="G87" s="53" t="s">
        <v>118</v>
      </c>
      <c r="H87" s="53">
        <f t="shared" si="3"/>
        <v>33</v>
      </c>
    </row>
    <row r="88" spans="1:8" x14ac:dyDescent="0.35">
      <c r="A88" s="53">
        <f t="shared" si="2"/>
        <v>34</v>
      </c>
      <c r="C88" s="134"/>
      <c r="D88" s="134"/>
      <c r="E88" s="179"/>
      <c r="G88" s="53"/>
      <c r="H88" s="53">
        <f t="shared" si="3"/>
        <v>34</v>
      </c>
    </row>
    <row r="89" spans="1:8" ht="16" thickBot="1" x14ac:dyDescent="0.4">
      <c r="A89" s="53">
        <f t="shared" si="2"/>
        <v>35</v>
      </c>
      <c r="B89" s="52" t="s">
        <v>119</v>
      </c>
      <c r="C89" s="134"/>
      <c r="D89" s="134"/>
      <c r="E89" s="170">
        <f>E83+E87</f>
        <v>0</v>
      </c>
      <c r="G89" s="53" t="s">
        <v>120</v>
      </c>
      <c r="H89" s="53">
        <f t="shared" si="3"/>
        <v>35</v>
      </c>
    </row>
    <row r="90" spans="1:8" ht="16" thickTop="1" x14ac:dyDescent="0.35">
      <c r="A90" s="53">
        <f t="shared" si="2"/>
        <v>36</v>
      </c>
      <c r="C90" s="134"/>
      <c r="D90" s="134"/>
      <c r="E90" s="165"/>
      <c r="G90" s="53"/>
      <c r="H90" s="53">
        <f t="shared" si="3"/>
        <v>36</v>
      </c>
    </row>
    <row r="91" spans="1:8" ht="18" thickBot="1" x14ac:dyDescent="0.4">
      <c r="A91" s="53">
        <f t="shared" si="2"/>
        <v>37</v>
      </c>
      <c r="B91" s="52" t="s">
        <v>121</v>
      </c>
      <c r="E91" s="180">
        <f>E65+E78+E89</f>
        <v>0</v>
      </c>
      <c r="G91" s="53" t="s">
        <v>122</v>
      </c>
      <c r="H91" s="53">
        <f t="shared" si="3"/>
        <v>37</v>
      </c>
    </row>
    <row r="92" spans="1:8" ht="16" thickTop="1" x14ac:dyDescent="0.35">
      <c r="A92" s="53">
        <f t="shared" si="2"/>
        <v>38</v>
      </c>
      <c r="C92" s="134"/>
      <c r="D92" s="134"/>
      <c r="E92" s="165"/>
      <c r="G92" s="53"/>
      <c r="H92" s="53">
        <f t="shared" si="3"/>
        <v>38</v>
      </c>
    </row>
    <row r="93" spans="1:8" ht="18.5" thickBot="1" x14ac:dyDescent="0.4">
      <c r="A93" s="53">
        <f t="shared" si="2"/>
        <v>39</v>
      </c>
      <c r="B93" s="78" t="s">
        <v>123</v>
      </c>
      <c r="C93" s="134"/>
      <c r="D93" s="134"/>
      <c r="E93" s="162">
        <f>+E40+E91</f>
        <v>842562.10461258376</v>
      </c>
      <c r="F93" s="42" t="s">
        <v>39</v>
      </c>
      <c r="G93" s="53" t="s">
        <v>124</v>
      </c>
      <c r="H93" s="53">
        <f t="shared" si="3"/>
        <v>39</v>
      </c>
    </row>
    <row r="94" spans="1:8" ht="16" thickTop="1" x14ac:dyDescent="0.35">
      <c r="A94" s="53"/>
      <c r="B94" s="78"/>
      <c r="C94" s="134"/>
      <c r="D94" s="134"/>
      <c r="E94" s="165"/>
      <c r="F94" s="122"/>
      <c r="G94" s="53"/>
    </row>
    <row r="95" spans="1:8" x14ac:dyDescent="0.35">
      <c r="A95" s="42" t="s">
        <v>39</v>
      </c>
      <c r="B95" s="33" t="s">
        <v>235</v>
      </c>
      <c r="C95" s="134"/>
      <c r="D95" s="134"/>
      <c r="E95" s="165"/>
      <c r="F95" s="122"/>
      <c r="G95" s="53"/>
    </row>
    <row r="96" spans="1:8" ht="18" x14ac:dyDescent="0.35">
      <c r="A96" s="70">
        <v>1</v>
      </c>
      <c r="B96" s="52" t="s">
        <v>79</v>
      </c>
      <c r="C96" s="134"/>
      <c r="D96" s="134"/>
      <c r="E96" s="165"/>
      <c r="G96" s="53"/>
    </row>
    <row r="97" spans="1:8" ht="18" x14ac:dyDescent="0.35">
      <c r="A97" s="70">
        <v>2</v>
      </c>
      <c r="B97" s="52" t="s">
        <v>125</v>
      </c>
      <c r="C97" s="134"/>
      <c r="D97" s="134"/>
      <c r="E97" s="181"/>
      <c r="F97" s="145"/>
      <c r="G97" s="53"/>
    </row>
    <row r="98" spans="1:8" ht="18" x14ac:dyDescent="0.35">
      <c r="A98" s="70">
        <v>3</v>
      </c>
      <c r="B98" s="52" t="s">
        <v>126</v>
      </c>
      <c r="C98" s="134"/>
      <c r="D98" s="134"/>
      <c r="E98" s="165"/>
      <c r="G98" s="53"/>
    </row>
    <row r="99" spans="1:8" x14ac:dyDescent="0.35">
      <c r="A99" s="53"/>
      <c r="B99" s="122"/>
      <c r="C99" s="134"/>
      <c r="D99" s="134"/>
      <c r="E99" s="165"/>
      <c r="G99" s="53"/>
    </row>
    <row r="100" spans="1:8" x14ac:dyDescent="0.3">
      <c r="A100" s="53"/>
      <c r="C100" s="134"/>
      <c r="D100" s="134"/>
      <c r="E100" s="165"/>
      <c r="G100" s="127"/>
    </row>
    <row r="101" spans="1:8" x14ac:dyDescent="0.35">
      <c r="A101" s="53"/>
      <c r="B101" s="605" t="s">
        <v>215</v>
      </c>
      <c r="C101" s="604"/>
      <c r="D101" s="604"/>
      <c r="E101" s="604"/>
      <c r="F101" s="604"/>
      <c r="G101" s="604"/>
    </row>
    <row r="102" spans="1:8" x14ac:dyDescent="0.35">
      <c r="A102" s="53"/>
      <c r="B102" s="605" t="s">
        <v>216</v>
      </c>
      <c r="C102" s="604"/>
      <c r="D102" s="604"/>
      <c r="E102" s="604"/>
      <c r="F102" s="604"/>
      <c r="G102" s="604"/>
    </row>
    <row r="103" spans="1:8" ht="18" x14ac:dyDescent="0.35">
      <c r="A103" s="53" t="s">
        <v>34</v>
      </c>
      <c r="B103" s="605" t="s">
        <v>217</v>
      </c>
      <c r="C103" s="606"/>
      <c r="D103" s="606"/>
      <c r="E103" s="606"/>
      <c r="F103" s="606"/>
      <c r="G103" s="606"/>
      <c r="H103" s="53" t="s">
        <v>34</v>
      </c>
    </row>
    <row r="104" spans="1:8" x14ac:dyDescent="0.35">
      <c r="A104" s="53"/>
      <c r="B104" s="601" t="str">
        <f>B5</f>
        <v>For the Base Period &amp; True-Up Period Ending December 31, 2019</v>
      </c>
      <c r="C104" s="602"/>
      <c r="D104" s="602"/>
      <c r="E104" s="602"/>
      <c r="F104" s="602"/>
      <c r="G104" s="602"/>
    </row>
    <row r="105" spans="1:8" x14ac:dyDescent="0.35">
      <c r="A105" s="53"/>
      <c r="B105" s="603" t="s">
        <v>3</v>
      </c>
      <c r="C105" s="604"/>
      <c r="D105" s="604"/>
      <c r="E105" s="604"/>
      <c r="F105" s="604"/>
      <c r="G105" s="604"/>
    </row>
    <row r="106" spans="1:8" x14ac:dyDescent="0.35">
      <c r="A106" s="53"/>
      <c r="B106" s="128"/>
      <c r="C106" s="122"/>
      <c r="D106" s="122"/>
      <c r="E106" s="122"/>
      <c r="F106" s="122"/>
      <c r="G106" s="122"/>
    </row>
    <row r="107" spans="1:8" x14ac:dyDescent="0.35">
      <c r="A107" s="53" t="s">
        <v>4</v>
      </c>
      <c r="E107" s="129"/>
      <c r="G107" s="53"/>
      <c r="H107" s="53" t="s">
        <v>4</v>
      </c>
    </row>
    <row r="108" spans="1:8" x14ac:dyDescent="0.35">
      <c r="A108" s="53" t="s">
        <v>5</v>
      </c>
      <c r="B108" s="122" t="s">
        <v>34</v>
      </c>
      <c r="E108" s="130" t="s">
        <v>7</v>
      </c>
      <c r="G108" s="131" t="s">
        <v>8</v>
      </c>
      <c r="H108" s="53" t="s">
        <v>5</v>
      </c>
    </row>
    <row r="109" spans="1:8" x14ac:dyDescent="0.35">
      <c r="A109" s="132"/>
      <c r="B109" s="71" t="s">
        <v>244</v>
      </c>
      <c r="C109" s="182"/>
      <c r="D109" s="182"/>
      <c r="E109" s="182"/>
      <c r="G109" s="53"/>
      <c r="H109" s="132"/>
    </row>
    <row r="110" spans="1:8" x14ac:dyDescent="0.35">
      <c r="A110" s="53">
        <v>1</v>
      </c>
      <c r="B110" s="183" t="s">
        <v>128</v>
      </c>
      <c r="C110" s="182"/>
      <c r="D110" s="182"/>
      <c r="E110" s="182"/>
      <c r="G110" s="53"/>
      <c r="H110" s="53">
        <f>A110</f>
        <v>1</v>
      </c>
    </row>
    <row r="111" spans="1:8" x14ac:dyDescent="0.35">
      <c r="A111" s="53">
        <f t="shared" ref="A111:A148" si="4">A110+1</f>
        <v>2</v>
      </c>
      <c r="B111" s="62" t="s">
        <v>129</v>
      </c>
      <c r="C111" s="182"/>
      <c r="D111" s="182"/>
      <c r="E111" s="184">
        <f>E178</f>
        <v>4932894.8545753844</v>
      </c>
      <c r="F111" s="145"/>
      <c r="G111" s="53" t="s">
        <v>245</v>
      </c>
      <c r="H111" s="53">
        <f t="shared" ref="H111:H147" si="5">H110+1</f>
        <v>2</v>
      </c>
    </row>
    <row r="112" spans="1:8" x14ac:dyDescent="0.35">
      <c r="A112" s="53">
        <f t="shared" si="4"/>
        <v>3</v>
      </c>
      <c r="B112" s="62" t="s">
        <v>131</v>
      </c>
      <c r="C112" s="182"/>
      <c r="D112" s="182"/>
      <c r="E112" s="185">
        <f>E179</f>
        <v>7914.697483924625</v>
      </c>
      <c r="F112" s="145"/>
      <c r="G112" s="53" t="s">
        <v>246</v>
      </c>
      <c r="H112" s="53">
        <f t="shared" si="5"/>
        <v>3</v>
      </c>
    </row>
    <row r="113" spans="1:8" x14ac:dyDescent="0.35">
      <c r="A113" s="53">
        <f t="shared" si="4"/>
        <v>4</v>
      </c>
      <c r="B113" s="62" t="s">
        <v>133</v>
      </c>
      <c r="C113" s="182"/>
      <c r="D113" s="182"/>
      <c r="E113" s="185">
        <f>E180</f>
        <v>55357.114704499072</v>
      </c>
      <c r="G113" s="53" t="s">
        <v>247</v>
      </c>
      <c r="H113" s="53">
        <f t="shared" si="5"/>
        <v>4</v>
      </c>
    </row>
    <row r="114" spans="1:8" x14ac:dyDescent="0.35">
      <c r="A114" s="53">
        <f t="shared" si="4"/>
        <v>5</v>
      </c>
      <c r="B114" s="62" t="s">
        <v>135</v>
      </c>
      <c r="C114" s="182"/>
      <c r="D114" s="182"/>
      <c r="E114" s="186">
        <f>E181</f>
        <v>104050.017682017</v>
      </c>
      <c r="G114" s="53" t="s">
        <v>248</v>
      </c>
      <c r="H114" s="53">
        <f t="shared" si="5"/>
        <v>5</v>
      </c>
    </row>
    <row r="115" spans="1:8" x14ac:dyDescent="0.35">
      <c r="A115" s="53">
        <f t="shared" si="4"/>
        <v>6</v>
      </c>
      <c r="B115" s="62" t="s">
        <v>137</v>
      </c>
      <c r="C115" s="53"/>
      <c r="D115" s="53"/>
      <c r="E115" s="156">
        <f>SUM(E111:E114)</f>
        <v>5100216.6844458245</v>
      </c>
      <c r="F115" s="145"/>
      <c r="G115" s="53" t="s">
        <v>138</v>
      </c>
      <c r="H115" s="53">
        <f t="shared" si="5"/>
        <v>6</v>
      </c>
    </row>
    <row r="116" spans="1:8" x14ac:dyDescent="0.35">
      <c r="A116" s="53">
        <f t="shared" si="4"/>
        <v>7</v>
      </c>
      <c r="C116" s="53"/>
      <c r="D116" s="53"/>
      <c r="E116" s="146"/>
      <c r="G116" s="53"/>
      <c r="H116" s="53">
        <f t="shared" si="5"/>
        <v>7</v>
      </c>
    </row>
    <row r="117" spans="1:8" x14ac:dyDescent="0.35">
      <c r="A117" s="53">
        <f t="shared" si="4"/>
        <v>8</v>
      </c>
      <c r="B117" s="183" t="s">
        <v>139</v>
      </c>
      <c r="C117" s="53"/>
      <c r="D117" s="53"/>
      <c r="E117" s="146"/>
      <c r="G117" s="53"/>
      <c r="H117" s="53">
        <f t="shared" si="5"/>
        <v>8</v>
      </c>
    </row>
    <row r="118" spans="1:8" x14ac:dyDescent="0.35">
      <c r="A118" s="53">
        <f t="shared" si="4"/>
        <v>9</v>
      </c>
      <c r="B118" s="62" t="s">
        <v>249</v>
      </c>
      <c r="C118" s="53"/>
      <c r="D118" s="53"/>
      <c r="E118" s="187">
        <v>0</v>
      </c>
      <c r="F118" s="145"/>
      <c r="G118" s="53" t="s">
        <v>250</v>
      </c>
      <c r="H118" s="53">
        <f t="shared" si="5"/>
        <v>9</v>
      </c>
    </row>
    <row r="119" spans="1:8" x14ac:dyDescent="0.35">
      <c r="A119" s="53">
        <f t="shared" si="4"/>
        <v>10</v>
      </c>
      <c r="B119" s="62" t="s">
        <v>142</v>
      </c>
      <c r="C119" s="53"/>
      <c r="D119" s="53"/>
      <c r="E119" s="188">
        <v>0</v>
      </c>
      <c r="G119" s="53" t="s">
        <v>251</v>
      </c>
      <c r="H119" s="53">
        <f t="shared" si="5"/>
        <v>10</v>
      </c>
    </row>
    <row r="120" spans="1:8" x14ac:dyDescent="0.35">
      <c r="A120" s="53">
        <f t="shared" si="4"/>
        <v>11</v>
      </c>
      <c r="B120" s="62" t="s">
        <v>144</v>
      </c>
      <c r="C120" s="53"/>
      <c r="D120" s="53"/>
      <c r="E120" s="189">
        <f>SUM(E118:E119)</f>
        <v>0</v>
      </c>
      <c r="F120" s="145"/>
      <c r="G120" s="53" t="s">
        <v>145</v>
      </c>
      <c r="H120" s="53">
        <f t="shared" si="5"/>
        <v>11</v>
      </c>
    </row>
    <row r="121" spans="1:8" x14ac:dyDescent="0.35">
      <c r="A121" s="53">
        <f t="shared" si="4"/>
        <v>12</v>
      </c>
      <c r="B121" s="62"/>
      <c r="C121" s="53"/>
      <c r="D121" s="53"/>
      <c r="E121" s="165"/>
      <c r="G121" s="53"/>
      <c r="H121" s="53">
        <f t="shared" si="5"/>
        <v>12</v>
      </c>
    </row>
    <row r="122" spans="1:8" x14ac:dyDescent="0.35">
      <c r="A122" s="53">
        <f t="shared" si="4"/>
        <v>13</v>
      </c>
      <c r="B122" s="183" t="s">
        <v>146</v>
      </c>
      <c r="E122" s="146"/>
      <c r="G122" s="53"/>
      <c r="H122" s="53">
        <f t="shared" si="5"/>
        <v>13</v>
      </c>
    </row>
    <row r="123" spans="1:8" x14ac:dyDescent="0.35">
      <c r="A123" s="53">
        <f t="shared" si="4"/>
        <v>14</v>
      </c>
      <c r="B123" s="52" t="s">
        <v>147</v>
      </c>
      <c r="C123" s="53"/>
      <c r="D123" s="53"/>
      <c r="E123" s="190">
        <v>-847325.9872005051</v>
      </c>
      <c r="G123" s="53" t="s">
        <v>252</v>
      </c>
      <c r="H123" s="53">
        <f t="shared" si="5"/>
        <v>14</v>
      </c>
    </row>
    <row r="124" spans="1:8" x14ac:dyDescent="0.35">
      <c r="A124" s="53">
        <f t="shared" si="4"/>
        <v>15</v>
      </c>
      <c r="B124" s="52" t="s">
        <v>149</v>
      </c>
      <c r="C124" s="53"/>
      <c r="D124" s="53"/>
      <c r="E124" s="160">
        <v>0</v>
      </c>
      <c r="G124" s="53" t="s">
        <v>253</v>
      </c>
      <c r="H124" s="53">
        <f t="shared" si="5"/>
        <v>15</v>
      </c>
    </row>
    <row r="125" spans="1:8" x14ac:dyDescent="0.35">
      <c r="A125" s="53">
        <f t="shared" si="4"/>
        <v>16</v>
      </c>
      <c r="B125" s="62" t="s">
        <v>151</v>
      </c>
      <c r="C125" s="53"/>
      <c r="D125" s="53"/>
      <c r="E125" s="156">
        <f>SUM(E123:E124)</f>
        <v>-847325.9872005051</v>
      </c>
      <c r="G125" s="53" t="s">
        <v>152</v>
      </c>
      <c r="H125" s="53">
        <f t="shared" si="5"/>
        <v>16</v>
      </c>
    </row>
    <row r="126" spans="1:8" x14ac:dyDescent="0.35">
      <c r="A126" s="53">
        <f t="shared" si="4"/>
        <v>17</v>
      </c>
      <c r="C126" s="53"/>
      <c r="D126" s="53"/>
      <c r="E126" s="191"/>
      <c r="G126" s="53"/>
      <c r="H126" s="53">
        <f t="shared" si="5"/>
        <v>17</v>
      </c>
    </row>
    <row r="127" spans="1:8" x14ac:dyDescent="0.35">
      <c r="A127" s="53">
        <f t="shared" si="4"/>
        <v>18</v>
      </c>
      <c r="B127" s="183" t="s">
        <v>153</v>
      </c>
      <c r="C127" s="53"/>
      <c r="D127" s="53"/>
      <c r="E127" s="191"/>
      <c r="G127" s="53"/>
      <c r="H127" s="53">
        <f t="shared" si="5"/>
        <v>18</v>
      </c>
    </row>
    <row r="128" spans="1:8" x14ac:dyDescent="0.35">
      <c r="A128" s="53">
        <f t="shared" si="4"/>
        <v>19</v>
      </c>
      <c r="B128" s="62" t="s">
        <v>254</v>
      </c>
      <c r="C128" s="53"/>
      <c r="D128" s="53"/>
      <c r="E128" s="184">
        <f>'Pg6 Revised Stmt AL'!G15</f>
        <v>51690.430147887761</v>
      </c>
      <c r="F128" s="145"/>
      <c r="G128" s="53" t="s">
        <v>255</v>
      </c>
      <c r="H128" s="53">
        <f t="shared" si="5"/>
        <v>19</v>
      </c>
    </row>
    <row r="129" spans="1:8" x14ac:dyDescent="0.35">
      <c r="A129" s="53">
        <f t="shared" si="4"/>
        <v>20</v>
      </c>
      <c r="B129" s="62" t="s">
        <v>156</v>
      </c>
      <c r="C129" s="53"/>
      <c r="D129" s="53"/>
      <c r="E129" s="185">
        <f>'Pg6 Revised Stmt AL'!G19</f>
        <v>25891.153919452419</v>
      </c>
      <c r="F129" s="145"/>
      <c r="G129" s="53" t="s">
        <v>256</v>
      </c>
      <c r="H129" s="53">
        <f t="shared" si="5"/>
        <v>20</v>
      </c>
    </row>
    <row r="130" spans="1:8" x14ac:dyDescent="0.35">
      <c r="A130" s="53">
        <f t="shared" si="4"/>
        <v>21</v>
      </c>
      <c r="B130" s="62" t="s">
        <v>158</v>
      </c>
      <c r="C130" s="53"/>
      <c r="D130" s="53"/>
      <c r="E130" s="192">
        <f>'Pg6 Revised Stmt AL'!E29</f>
        <v>19131.710189951398</v>
      </c>
      <c r="F130" s="42" t="s">
        <v>39</v>
      </c>
      <c r="G130" s="53" t="s">
        <v>257</v>
      </c>
      <c r="H130" s="53">
        <f t="shared" si="5"/>
        <v>21</v>
      </c>
    </row>
    <row r="131" spans="1:8" x14ac:dyDescent="0.35">
      <c r="A131" s="53">
        <f t="shared" si="4"/>
        <v>22</v>
      </c>
      <c r="B131" s="62" t="s">
        <v>258</v>
      </c>
      <c r="E131" s="155">
        <f>SUM(E128:E130)</f>
        <v>96713.294257291578</v>
      </c>
      <c r="F131" s="42" t="s">
        <v>39</v>
      </c>
      <c r="G131" s="53" t="s">
        <v>161</v>
      </c>
      <c r="H131" s="53">
        <f t="shared" si="5"/>
        <v>22</v>
      </c>
    </row>
    <row r="132" spans="1:8" x14ac:dyDescent="0.35">
      <c r="A132" s="53">
        <f t="shared" si="4"/>
        <v>23</v>
      </c>
      <c r="B132" s="62"/>
      <c r="E132" s="193"/>
      <c r="G132" s="53"/>
      <c r="H132" s="53">
        <f t="shared" si="5"/>
        <v>23</v>
      </c>
    </row>
    <row r="133" spans="1:8" x14ac:dyDescent="0.35">
      <c r="A133" s="53">
        <f t="shared" si="4"/>
        <v>24</v>
      </c>
      <c r="B133" s="62" t="s">
        <v>162</v>
      </c>
      <c r="E133" s="194">
        <v>0</v>
      </c>
      <c r="G133" s="53" t="s">
        <v>259</v>
      </c>
      <c r="H133" s="53">
        <f t="shared" si="5"/>
        <v>24</v>
      </c>
    </row>
    <row r="134" spans="1:8" x14ac:dyDescent="0.35">
      <c r="A134" s="53">
        <f t="shared" si="4"/>
        <v>25</v>
      </c>
      <c r="B134" s="62" t="s">
        <v>164</v>
      </c>
      <c r="E134" s="167">
        <v>-7815.1975447212026</v>
      </c>
      <c r="G134" s="53" t="s">
        <v>260</v>
      </c>
      <c r="H134" s="53">
        <f t="shared" si="5"/>
        <v>25</v>
      </c>
    </row>
    <row r="135" spans="1:8" x14ac:dyDescent="0.35">
      <c r="A135" s="53">
        <f t="shared" si="4"/>
        <v>26</v>
      </c>
      <c r="B135" s="62"/>
      <c r="E135" s="193"/>
      <c r="G135" s="53"/>
      <c r="H135" s="53">
        <f t="shared" si="5"/>
        <v>26</v>
      </c>
    </row>
    <row r="136" spans="1:8" ht="16" thickBot="1" x14ac:dyDescent="0.4">
      <c r="A136" s="53">
        <f t="shared" si="4"/>
        <v>27</v>
      </c>
      <c r="B136" s="62" t="s">
        <v>166</v>
      </c>
      <c r="E136" s="195">
        <f>E133+E131+E125+E120+E115+E134</f>
        <v>4341788.79395789</v>
      </c>
      <c r="F136" s="42" t="s">
        <v>39</v>
      </c>
      <c r="G136" s="53" t="s">
        <v>167</v>
      </c>
      <c r="H136" s="53">
        <f t="shared" si="5"/>
        <v>27</v>
      </c>
    </row>
    <row r="137" spans="1:8" ht="16" thickTop="1" x14ac:dyDescent="0.35">
      <c r="A137" s="53">
        <f t="shared" si="4"/>
        <v>28</v>
      </c>
      <c r="B137" s="62"/>
      <c r="E137" s="171"/>
      <c r="G137" s="53"/>
      <c r="H137" s="53">
        <f t="shared" si="5"/>
        <v>28</v>
      </c>
    </row>
    <row r="138" spans="1:8" ht="18" x14ac:dyDescent="0.35">
      <c r="A138" s="53">
        <f t="shared" si="4"/>
        <v>29</v>
      </c>
      <c r="B138" s="71" t="s">
        <v>168</v>
      </c>
      <c r="E138" s="171"/>
      <c r="G138" s="53"/>
      <c r="H138" s="53">
        <f t="shared" si="5"/>
        <v>29</v>
      </c>
    </row>
    <row r="139" spans="1:8" x14ac:dyDescent="0.35">
      <c r="A139" s="53">
        <f t="shared" si="4"/>
        <v>30</v>
      </c>
      <c r="B139" s="62" t="s">
        <v>169</v>
      </c>
      <c r="E139" s="172">
        <f>E187</f>
        <v>0</v>
      </c>
      <c r="G139" s="53" t="s">
        <v>261</v>
      </c>
      <c r="H139" s="53">
        <f t="shared" si="5"/>
        <v>30</v>
      </c>
    </row>
    <row r="140" spans="1:8" x14ac:dyDescent="0.35">
      <c r="A140" s="53">
        <f t="shared" si="4"/>
        <v>31</v>
      </c>
      <c r="B140" s="62" t="s">
        <v>171</v>
      </c>
      <c r="E140" s="160">
        <v>0</v>
      </c>
      <c r="G140" s="53" t="s">
        <v>262</v>
      </c>
      <c r="H140" s="53">
        <f t="shared" si="5"/>
        <v>31</v>
      </c>
    </row>
    <row r="141" spans="1:8" x14ac:dyDescent="0.35">
      <c r="A141" s="53">
        <f t="shared" si="4"/>
        <v>32</v>
      </c>
      <c r="B141" s="52" t="s">
        <v>173</v>
      </c>
      <c r="E141" s="168">
        <f>SUM(E139:E140)</f>
        <v>0</v>
      </c>
      <c r="G141" s="53" t="s">
        <v>174</v>
      </c>
      <c r="H141" s="53">
        <f t="shared" si="5"/>
        <v>32</v>
      </c>
    </row>
    <row r="142" spans="1:8" x14ac:dyDescent="0.35">
      <c r="A142" s="53">
        <f t="shared" si="4"/>
        <v>33</v>
      </c>
      <c r="B142" s="62"/>
      <c r="E142" s="171"/>
      <c r="G142" s="53"/>
      <c r="H142" s="53">
        <f t="shared" si="5"/>
        <v>33</v>
      </c>
    </row>
    <row r="143" spans="1:8" ht="18" x14ac:dyDescent="0.35">
      <c r="A143" s="53">
        <f t="shared" si="4"/>
        <v>34</v>
      </c>
      <c r="B143" s="71" t="s">
        <v>175</v>
      </c>
      <c r="E143" s="171"/>
      <c r="G143" s="53"/>
      <c r="H143" s="53">
        <f t="shared" si="5"/>
        <v>34</v>
      </c>
    </row>
    <row r="144" spans="1:8" x14ac:dyDescent="0.35">
      <c r="A144" s="53">
        <f t="shared" si="4"/>
        <v>35</v>
      </c>
      <c r="B144" s="62" t="s">
        <v>176</v>
      </c>
      <c r="E144" s="172">
        <v>0</v>
      </c>
      <c r="G144" s="53" t="s">
        <v>263</v>
      </c>
      <c r="H144" s="53">
        <f t="shared" si="5"/>
        <v>35</v>
      </c>
    </row>
    <row r="145" spans="1:8" x14ac:dyDescent="0.35">
      <c r="A145" s="53">
        <f t="shared" si="4"/>
        <v>36</v>
      </c>
      <c r="B145" s="52" t="s">
        <v>178</v>
      </c>
      <c r="E145" s="161">
        <v>0</v>
      </c>
      <c r="G145" s="53" t="s">
        <v>264</v>
      </c>
      <c r="H145" s="53">
        <f t="shared" si="5"/>
        <v>36</v>
      </c>
    </row>
    <row r="146" spans="1:8" x14ac:dyDescent="0.35">
      <c r="A146" s="53">
        <f t="shared" si="4"/>
        <v>37</v>
      </c>
      <c r="B146" s="52" t="s">
        <v>180</v>
      </c>
      <c r="E146" s="168">
        <f>SUM(E144:E145)</f>
        <v>0</v>
      </c>
      <c r="G146" s="53" t="s">
        <v>181</v>
      </c>
      <c r="H146" s="53">
        <f t="shared" si="5"/>
        <v>37</v>
      </c>
    </row>
    <row r="147" spans="1:8" x14ac:dyDescent="0.35">
      <c r="A147" s="53">
        <f t="shared" si="4"/>
        <v>38</v>
      </c>
      <c r="B147" s="62"/>
      <c r="E147" s="171"/>
      <c r="G147" s="53"/>
      <c r="H147" s="53">
        <f t="shared" si="5"/>
        <v>38</v>
      </c>
    </row>
    <row r="148" spans="1:8" ht="18" x14ac:dyDescent="0.35">
      <c r="A148" s="53">
        <f t="shared" si="4"/>
        <v>39</v>
      </c>
      <c r="B148" s="71" t="s">
        <v>182</v>
      </c>
      <c r="E148" s="172">
        <v>0</v>
      </c>
      <c r="G148" s="53" t="s">
        <v>265</v>
      </c>
      <c r="H148" s="53">
        <f>H147+1</f>
        <v>39</v>
      </c>
    </row>
    <row r="149" spans="1:8" x14ac:dyDescent="0.35">
      <c r="A149" s="53"/>
      <c r="B149" s="62"/>
      <c r="E149" s="171"/>
      <c r="G149" s="53"/>
    </row>
    <row r="150" spans="1:8" x14ac:dyDescent="0.35">
      <c r="A150" s="42" t="s">
        <v>39</v>
      </c>
      <c r="B150" s="33" t="s">
        <v>235</v>
      </c>
      <c r="E150" s="171"/>
      <c r="G150" s="53"/>
    </row>
    <row r="151" spans="1:8" ht="18" x14ac:dyDescent="0.35">
      <c r="A151" s="70">
        <v>1</v>
      </c>
      <c r="B151" s="52" t="s">
        <v>125</v>
      </c>
      <c r="E151" s="171"/>
      <c r="G151" s="53"/>
    </row>
    <row r="152" spans="1:8" x14ac:dyDescent="0.35">
      <c r="A152" s="53"/>
      <c r="B152" s="122"/>
      <c r="E152" s="171"/>
      <c r="G152" s="53"/>
    </row>
    <row r="153" spans="1:8" x14ac:dyDescent="0.35">
      <c r="A153" s="53"/>
      <c r="B153" s="122"/>
      <c r="E153" s="171"/>
      <c r="G153" s="53"/>
    </row>
    <row r="154" spans="1:8" x14ac:dyDescent="0.35">
      <c r="A154" s="53"/>
      <c r="B154" s="605" t="s">
        <v>215</v>
      </c>
      <c r="C154" s="604"/>
      <c r="D154" s="604"/>
      <c r="E154" s="604"/>
      <c r="F154" s="604"/>
      <c r="G154" s="604"/>
    </row>
    <row r="155" spans="1:8" x14ac:dyDescent="0.35">
      <c r="A155" s="53" t="s">
        <v>34</v>
      </c>
      <c r="B155" s="605" t="s">
        <v>216</v>
      </c>
      <c r="C155" s="604"/>
      <c r="D155" s="604"/>
      <c r="E155" s="604"/>
      <c r="F155" s="604"/>
      <c r="G155" s="604"/>
    </row>
    <row r="156" spans="1:8" ht="18" x14ac:dyDescent="0.35">
      <c r="A156" s="53"/>
      <c r="B156" s="605" t="s">
        <v>217</v>
      </c>
      <c r="C156" s="606"/>
      <c r="D156" s="606"/>
      <c r="E156" s="606"/>
      <c r="F156" s="606"/>
      <c r="G156" s="606"/>
    </row>
    <row r="157" spans="1:8" x14ac:dyDescent="0.35">
      <c r="A157" s="53"/>
      <c r="B157" s="601" t="str">
        <f>B5</f>
        <v>For the Base Period &amp; True-Up Period Ending December 31, 2019</v>
      </c>
      <c r="C157" s="602"/>
      <c r="D157" s="602"/>
      <c r="E157" s="602"/>
      <c r="F157" s="602"/>
      <c r="G157" s="602"/>
    </row>
    <row r="158" spans="1:8" x14ac:dyDescent="0.35">
      <c r="A158" s="53"/>
      <c r="B158" s="603" t="s">
        <v>3</v>
      </c>
      <c r="C158" s="604"/>
      <c r="D158" s="604"/>
      <c r="E158" s="604"/>
      <c r="F158" s="604"/>
      <c r="G158" s="604"/>
    </row>
    <row r="159" spans="1:8" x14ac:dyDescent="0.35">
      <c r="A159" s="53"/>
      <c r="B159" s="196"/>
    </row>
    <row r="160" spans="1:8" x14ac:dyDescent="0.35">
      <c r="A160" s="53" t="s">
        <v>4</v>
      </c>
      <c r="E160" s="129"/>
      <c r="G160" s="53"/>
      <c r="H160" s="53" t="s">
        <v>4</v>
      </c>
    </row>
    <row r="161" spans="1:10" x14ac:dyDescent="0.35">
      <c r="A161" s="53" t="s">
        <v>5</v>
      </c>
      <c r="B161" s="122" t="s">
        <v>34</v>
      </c>
      <c r="E161" s="130" t="s">
        <v>7</v>
      </c>
      <c r="G161" s="131" t="s">
        <v>8</v>
      </c>
      <c r="H161" s="53" t="s">
        <v>5</v>
      </c>
    </row>
    <row r="162" spans="1:10" x14ac:dyDescent="0.35">
      <c r="A162" s="132"/>
      <c r="B162" s="71" t="s">
        <v>266</v>
      </c>
      <c r="E162" s="129"/>
      <c r="G162" s="53"/>
      <c r="H162" s="132"/>
    </row>
    <row r="163" spans="1:10" x14ac:dyDescent="0.35">
      <c r="A163" s="53">
        <v>1</v>
      </c>
      <c r="B163" s="183" t="s">
        <v>185</v>
      </c>
      <c r="E163" s="129"/>
      <c r="G163" s="53"/>
      <c r="H163" s="53">
        <f>A163</f>
        <v>1</v>
      </c>
    </row>
    <row r="164" spans="1:10" x14ac:dyDescent="0.35">
      <c r="A164" s="53">
        <f t="shared" ref="A164:A187" si="6">A163+1</f>
        <v>2</v>
      </c>
      <c r="B164" s="62" t="s">
        <v>129</v>
      </c>
      <c r="E164" s="158">
        <v>6183368.5495546153</v>
      </c>
      <c r="F164" s="145"/>
      <c r="G164" s="53" t="s">
        <v>267</v>
      </c>
      <c r="H164" s="53">
        <f t="shared" ref="H164:H187" si="7">H163+1</f>
        <v>2</v>
      </c>
      <c r="I164" s="197"/>
    </row>
    <row r="165" spans="1:10" x14ac:dyDescent="0.35">
      <c r="A165" s="53">
        <f t="shared" si="6"/>
        <v>3</v>
      </c>
      <c r="B165" s="62" t="s">
        <v>268</v>
      </c>
      <c r="E165" s="198">
        <v>34212.001588648454</v>
      </c>
      <c r="F165" s="145"/>
      <c r="G165" s="53" t="s">
        <v>269</v>
      </c>
      <c r="H165" s="53">
        <f t="shared" si="7"/>
        <v>3</v>
      </c>
      <c r="I165" s="199"/>
    </row>
    <row r="166" spans="1:10" x14ac:dyDescent="0.35">
      <c r="A166" s="53">
        <f t="shared" si="6"/>
        <v>4</v>
      </c>
      <c r="B166" s="62" t="s">
        <v>133</v>
      </c>
      <c r="E166" s="198">
        <v>88554.078751476511</v>
      </c>
      <c r="F166" s="122"/>
      <c r="G166" s="53" t="s">
        <v>270</v>
      </c>
      <c r="H166" s="53">
        <f t="shared" si="7"/>
        <v>4</v>
      </c>
      <c r="J166" s="200"/>
    </row>
    <row r="167" spans="1:10" x14ac:dyDescent="0.35">
      <c r="A167" s="53">
        <f t="shared" si="6"/>
        <v>5</v>
      </c>
      <c r="B167" s="62" t="s">
        <v>135</v>
      </c>
      <c r="C167" s="53"/>
      <c r="D167" s="53"/>
      <c r="E167" s="150">
        <v>198410.61716708422</v>
      </c>
      <c r="F167" s="122"/>
      <c r="G167" s="53" t="s">
        <v>271</v>
      </c>
      <c r="H167" s="53">
        <f t="shared" si="7"/>
        <v>5</v>
      </c>
    </row>
    <row r="168" spans="1:10" x14ac:dyDescent="0.35">
      <c r="A168" s="53">
        <f t="shared" si="6"/>
        <v>6</v>
      </c>
      <c r="B168" s="62" t="s">
        <v>190</v>
      </c>
      <c r="E168" s="156">
        <f>SUM(E164:E167)</f>
        <v>6504545.2470618244</v>
      </c>
      <c r="F168" s="145"/>
      <c r="G168" s="53" t="s">
        <v>138</v>
      </c>
      <c r="H168" s="53">
        <f t="shared" si="7"/>
        <v>6</v>
      </c>
      <c r="I168" s="199"/>
    </row>
    <row r="169" spans="1:10" x14ac:dyDescent="0.35">
      <c r="A169" s="53">
        <f t="shared" si="6"/>
        <v>7</v>
      </c>
      <c r="C169" s="53"/>
      <c r="D169" s="53"/>
      <c r="E169" s="129"/>
      <c r="G169" s="53"/>
      <c r="H169" s="53">
        <f t="shared" si="7"/>
        <v>7</v>
      </c>
    </row>
    <row r="170" spans="1:10" x14ac:dyDescent="0.35">
      <c r="A170" s="53">
        <f t="shared" si="6"/>
        <v>8</v>
      </c>
      <c r="B170" s="118" t="s">
        <v>191</v>
      </c>
      <c r="E170" s="129"/>
      <c r="G170" s="53"/>
      <c r="H170" s="53">
        <f t="shared" si="7"/>
        <v>8</v>
      </c>
    </row>
    <row r="171" spans="1:10" x14ac:dyDescent="0.35">
      <c r="A171" s="53">
        <f t="shared" si="6"/>
        <v>9</v>
      </c>
      <c r="B171" s="52" t="s">
        <v>192</v>
      </c>
      <c r="E171" s="158">
        <v>1250473.6949792309</v>
      </c>
      <c r="F171" s="145"/>
      <c r="G171" s="53" t="s">
        <v>272</v>
      </c>
      <c r="H171" s="53">
        <f t="shared" si="7"/>
        <v>9</v>
      </c>
    </row>
    <row r="172" spans="1:10" x14ac:dyDescent="0.35">
      <c r="A172" s="53">
        <f t="shared" si="6"/>
        <v>10</v>
      </c>
      <c r="B172" s="52" t="s">
        <v>194</v>
      </c>
      <c r="E172" s="198">
        <v>26297.304104723829</v>
      </c>
      <c r="F172" s="145"/>
      <c r="G172" s="53" t="s">
        <v>273</v>
      </c>
      <c r="H172" s="53">
        <f t="shared" si="7"/>
        <v>10</v>
      </c>
    </row>
    <row r="173" spans="1:10" x14ac:dyDescent="0.35">
      <c r="A173" s="53">
        <f t="shared" si="6"/>
        <v>11</v>
      </c>
      <c r="B173" s="52" t="s">
        <v>196</v>
      </c>
      <c r="E173" s="198">
        <v>33196.964046977439</v>
      </c>
      <c r="F173" s="122"/>
      <c r="G173" s="53" t="s">
        <v>274</v>
      </c>
      <c r="H173" s="53">
        <f t="shared" si="7"/>
        <v>11</v>
      </c>
    </row>
    <row r="174" spans="1:10" x14ac:dyDescent="0.35">
      <c r="A174" s="53">
        <f t="shared" si="6"/>
        <v>12</v>
      </c>
      <c r="B174" s="52" t="s">
        <v>198</v>
      </c>
      <c r="E174" s="150">
        <v>94360.599485067214</v>
      </c>
      <c r="F174" s="122"/>
      <c r="G174" s="53" t="s">
        <v>275</v>
      </c>
      <c r="H174" s="53">
        <f t="shared" si="7"/>
        <v>12</v>
      </c>
    </row>
    <row r="175" spans="1:10" x14ac:dyDescent="0.35">
      <c r="A175" s="53">
        <f t="shared" si="6"/>
        <v>13</v>
      </c>
      <c r="B175" s="199" t="s">
        <v>200</v>
      </c>
      <c r="C175" s="199"/>
      <c r="D175" s="199"/>
      <c r="E175" s="201">
        <f>SUM(E171:E174)</f>
        <v>1404328.5626159993</v>
      </c>
      <c r="F175" s="145"/>
      <c r="G175" s="53" t="s">
        <v>201</v>
      </c>
      <c r="H175" s="53">
        <f t="shared" si="7"/>
        <v>13</v>
      </c>
    </row>
    <row r="176" spans="1:10" x14ac:dyDescent="0.35">
      <c r="A176" s="53">
        <f t="shared" si="6"/>
        <v>14</v>
      </c>
      <c r="B176" s="199"/>
      <c r="C176" s="199"/>
      <c r="D176" s="199"/>
      <c r="E176" s="191"/>
      <c r="G176" s="53"/>
      <c r="H176" s="53">
        <f t="shared" si="7"/>
        <v>14</v>
      </c>
    </row>
    <row r="177" spans="1:8" x14ac:dyDescent="0.35">
      <c r="A177" s="53">
        <f t="shared" si="6"/>
        <v>15</v>
      </c>
      <c r="B177" s="183" t="s">
        <v>128</v>
      </c>
      <c r="C177" s="199"/>
      <c r="D177" s="199"/>
      <c r="E177" s="191"/>
      <c r="G177" s="53"/>
      <c r="H177" s="53">
        <f t="shared" si="7"/>
        <v>15</v>
      </c>
    </row>
    <row r="178" spans="1:8" x14ac:dyDescent="0.35">
      <c r="A178" s="53">
        <f t="shared" si="6"/>
        <v>16</v>
      </c>
      <c r="B178" s="62" t="s">
        <v>129</v>
      </c>
      <c r="E178" s="171">
        <f>+E164-E171</f>
        <v>4932894.8545753844</v>
      </c>
      <c r="F178" s="145"/>
      <c r="G178" s="53" t="s">
        <v>276</v>
      </c>
      <c r="H178" s="53">
        <f t="shared" si="7"/>
        <v>16</v>
      </c>
    </row>
    <row r="179" spans="1:8" x14ac:dyDescent="0.35">
      <c r="A179" s="53">
        <f t="shared" si="6"/>
        <v>17</v>
      </c>
      <c r="B179" s="62" t="s">
        <v>131</v>
      </c>
      <c r="E179" s="149">
        <f>+E165-E172</f>
        <v>7914.697483924625</v>
      </c>
      <c r="F179" s="145"/>
      <c r="G179" s="53" t="s">
        <v>277</v>
      </c>
      <c r="H179" s="53">
        <f t="shared" si="7"/>
        <v>17</v>
      </c>
    </row>
    <row r="180" spans="1:8" x14ac:dyDescent="0.35">
      <c r="A180" s="53">
        <f t="shared" si="6"/>
        <v>18</v>
      </c>
      <c r="B180" s="62" t="s">
        <v>133</v>
      </c>
      <c r="E180" s="149">
        <f>+E166-E173</f>
        <v>55357.114704499072</v>
      </c>
      <c r="G180" s="53" t="s">
        <v>278</v>
      </c>
      <c r="H180" s="53">
        <f t="shared" si="7"/>
        <v>18</v>
      </c>
    </row>
    <row r="181" spans="1:8" x14ac:dyDescent="0.35">
      <c r="A181" s="53">
        <f t="shared" si="6"/>
        <v>19</v>
      </c>
      <c r="B181" s="62" t="s">
        <v>135</v>
      </c>
      <c r="E181" s="202">
        <f>+E167-E174</f>
        <v>104050.017682017</v>
      </c>
      <c r="G181" s="53" t="s">
        <v>279</v>
      </c>
      <c r="H181" s="53">
        <f t="shared" si="7"/>
        <v>19</v>
      </c>
    </row>
    <row r="182" spans="1:8" ht="16" thickBot="1" x14ac:dyDescent="0.4">
      <c r="A182" s="53">
        <f t="shared" si="6"/>
        <v>20</v>
      </c>
      <c r="B182" s="52" t="s">
        <v>137</v>
      </c>
      <c r="E182" s="203">
        <f>SUM(E178:E181)</f>
        <v>5100216.6844458245</v>
      </c>
      <c r="F182" s="145"/>
      <c r="G182" s="53" t="s">
        <v>206</v>
      </c>
      <c r="H182" s="53">
        <f t="shared" si="7"/>
        <v>20</v>
      </c>
    </row>
    <row r="183" spans="1:8" ht="16" thickTop="1" x14ac:dyDescent="0.35">
      <c r="A183" s="53">
        <f t="shared" si="6"/>
        <v>21</v>
      </c>
      <c r="E183" s="171"/>
      <c r="G183" s="53"/>
      <c r="H183" s="53">
        <f t="shared" si="7"/>
        <v>21</v>
      </c>
    </row>
    <row r="184" spans="1:8" ht="18" x14ac:dyDescent="0.35">
      <c r="A184" s="53">
        <f t="shared" si="6"/>
        <v>22</v>
      </c>
      <c r="B184" s="71" t="s">
        <v>207</v>
      </c>
      <c r="E184" s="171"/>
      <c r="G184" s="53"/>
      <c r="H184" s="53">
        <f t="shared" si="7"/>
        <v>22</v>
      </c>
    </row>
    <row r="185" spans="1:8" x14ac:dyDescent="0.35">
      <c r="A185" s="53">
        <f t="shared" si="6"/>
        <v>23</v>
      </c>
      <c r="B185" s="62" t="s">
        <v>208</v>
      </c>
      <c r="E185" s="172">
        <v>0</v>
      </c>
      <c r="G185" s="53" t="s">
        <v>280</v>
      </c>
      <c r="H185" s="53">
        <f t="shared" si="7"/>
        <v>23</v>
      </c>
    </row>
    <row r="186" spans="1:8" x14ac:dyDescent="0.35">
      <c r="A186" s="53">
        <f t="shared" si="6"/>
        <v>24</v>
      </c>
      <c r="B186" s="52" t="s">
        <v>210</v>
      </c>
      <c r="E186" s="161">
        <v>0</v>
      </c>
      <c r="G186" s="53" t="s">
        <v>281</v>
      </c>
      <c r="H186" s="53">
        <f t="shared" si="7"/>
        <v>24</v>
      </c>
    </row>
    <row r="187" spans="1:8" ht="16" thickBot="1" x14ac:dyDescent="0.4">
      <c r="A187" s="53">
        <f t="shared" si="6"/>
        <v>25</v>
      </c>
      <c r="B187" s="62" t="s">
        <v>212</v>
      </c>
      <c r="E187" s="204">
        <f>E185-E186</f>
        <v>0</v>
      </c>
      <c r="G187" s="53" t="s">
        <v>213</v>
      </c>
      <c r="H187" s="53">
        <f t="shared" si="7"/>
        <v>25</v>
      </c>
    </row>
    <row r="188" spans="1:8" ht="16" thickTop="1" x14ac:dyDescent="0.35">
      <c r="A188" s="53"/>
      <c r="B188" s="62"/>
      <c r="E188" s="171"/>
      <c r="G188" s="53"/>
    </row>
    <row r="189" spans="1:8" ht="18" x14ac:dyDescent="0.35">
      <c r="A189" s="70">
        <v>1</v>
      </c>
      <c r="B189" s="52" t="s">
        <v>214</v>
      </c>
      <c r="E189" s="171"/>
      <c r="G189" s="53"/>
    </row>
    <row r="190" spans="1:8" x14ac:dyDescent="0.35">
      <c r="E190" s="205"/>
    </row>
  </sheetData>
  <mergeCells count="20">
    <mergeCell ref="B46:G46"/>
    <mergeCell ref="B2:G2"/>
    <mergeCell ref="B3:G3"/>
    <mergeCell ref="B4:G4"/>
    <mergeCell ref="B5:G5"/>
    <mergeCell ref="B6:G6"/>
    <mergeCell ref="B157:G157"/>
    <mergeCell ref="B158:G158"/>
    <mergeCell ref="B156:G156"/>
    <mergeCell ref="B47:G47"/>
    <mergeCell ref="B48:G48"/>
    <mergeCell ref="B49:G49"/>
    <mergeCell ref="B50:G50"/>
    <mergeCell ref="B101:G101"/>
    <mergeCell ref="B102:G102"/>
    <mergeCell ref="B103:G103"/>
    <mergeCell ref="B104:G104"/>
    <mergeCell ref="B105:G105"/>
    <mergeCell ref="B154:G154"/>
    <mergeCell ref="B155:G155"/>
  </mergeCells>
  <printOptions horizontalCentered="1"/>
  <pageMargins left="0" right="0" top="0.5" bottom="0.5" header="0.35" footer="0.25"/>
  <pageSetup scale="50" orientation="portrait" r:id="rId1"/>
  <headerFooter scaleWithDoc="0" alignWithMargins="0">
    <oddHeader>&amp;C&amp;"Times New Roman,Bold"&amp;10REVISED</oddHeader>
    <oddFooter>&amp;CPage 3.&amp;P&amp;R&amp;F</oddFooter>
  </headerFooter>
  <rowBreaks count="3" manualBreakCount="3">
    <brk id="44" max="16383" man="1"/>
    <brk id="99" max="16383" man="1"/>
    <brk id="1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76AC-FE02-4302-ABD0-B6DAE70EB708}">
  <sheetPr codeName="Sheet4"/>
  <dimension ref="A2:J187"/>
  <sheetViews>
    <sheetView zoomScale="80" zoomScaleNormal="80" workbookViewId="0"/>
  </sheetViews>
  <sheetFormatPr defaultColWidth="9.1796875" defaultRowHeight="15.5" x14ac:dyDescent="0.35"/>
  <cols>
    <col min="1" max="1" width="5.1796875" style="52" customWidth="1"/>
    <col min="2" max="2" width="86.1796875" style="52" customWidth="1"/>
    <col min="3" max="3" width="10.453125" style="52" customWidth="1"/>
    <col min="4" max="4" width="1.54296875" style="52" customWidth="1"/>
    <col min="5" max="5" width="16.81640625" style="52" customWidth="1"/>
    <col min="6" max="6" width="1.54296875" style="52" customWidth="1"/>
    <col min="7" max="7" width="51.453125" style="52" customWidth="1"/>
    <col min="8" max="8" width="5.1796875" style="53" customWidth="1"/>
    <col min="9" max="9" width="22.453125" style="52" customWidth="1"/>
    <col min="10" max="10" width="20.1796875" style="52" bestFit="1" customWidth="1"/>
    <col min="11" max="16384" width="9.1796875" style="52"/>
  </cols>
  <sheetData>
    <row r="2" spans="1:10" x14ac:dyDescent="0.35">
      <c r="A2" s="53"/>
      <c r="B2" s="605" t="s">
        <v>215</v>
      </c>
      <c r="C2" s="604"/>
      <c r="D2" s="604"/>
      <c r="E2" s="604"/>
      <c r="F2" s="604"/>
      <c r="G2" s="604"/>
    </row>
    <row r="3" spans="1:10" x14ac:dyDescent="0.35">
      <c r="A3" s="53" t="s">
        <v>34</v>
      </c>
      <c r="B3" s="605" t="s">
        <v>216</v>
      </c>
      <c r="C3" s="604"/>
      <c r="D3" s="604"/>
      <c r="E3" s="604"/>
      <c r="F3" s="604"/>
      <c r="G3" s="604"/>
    </row>
    <row r="4" spans="1:10" ht="18" x14ac:dyDescent="0.35">
      <c r="A4" s="53"/>
      <c r="B4" s="605" t="s">
        <v>217</v>
      </c>
      <c r="C4" s="606"/>
      <c r="D4" s="606"/>
      <c r="E4" s="606"/>
      <c r="F4" s="606"/>
      <c r="G4" s="606"/>
    </row>
    <row r="5" spans="1:10" x14ac:dyDescent="0.35">
      <c r="A5" s="53"/>
      <c r="B5" s="607" t="s">
        <v>218</v>
      </c>
      <c r="C5" s="607"/>
      <c r="D5" s="607"/>
      <c r="E5" s="607"/>
      <c r="F5" s="607"/>
      <c r="G5" s="607"/>
    </row>
    <row r="6" spans="1:10" x14ac:dyDescent="0.35">
      <c r="A6" s="53"/>
      <c r="B6" s="603" t="s">
        <v>3</v>
      </c>
      <c r="C6" s="604"/>
      <c r="D6" s="604"/>
      <c r="E6" s="604"/>
      <c r="F6" s="604"/>
      <c r="G6" s="604"/>
    </row>
    <row r="7" spans="1:10" x14ac:dyDescent="0.35">
      <c r="A7" s="53"/>
      <c r="B7" s="128"/>
      <c r="C7" s="122"/>
      <c r="D7" s="122"/>
      <c r="E7" s="122"/>
      <c r="F7" s="122"/>
      <c r="G7" s="122"/>
    </row>
    <row r="8" spans="1:10" x14ac:dyDescent="0.35">
      <c r="A8" s="53" t="s">
        <v>4</v>
      </c>
      <c r="E8" s="129"/>
      <c r="G8" s="53"/>
      <c r="H8" s="53" t="s">
        <v>4</v>
      </c>
    </row>
    <row r="9" spans="1:10" ht="15.75" customHeight="1" x14ac:dyDescent="0.35">
      <c r="A9" s="131" t="s">
        <v>5</v>
      </c>
      <c r="B9" s="122" t="s">
        <v>34</v>
      </c>
      <c r="E9" s="130" t="s">
        <v>7</v>
      </c>
      <c r="G9" s="131" t="s">
        <v>8</v>
      </c>
      <c r="H9" s="131" t="s">
        <v>5</v>
      </c>
    </row>
    <row r="10" spans="1:10" x14ac:dyDescent="0.35">
      <c r="A10" s="132"/>
      <c r="B10" s="71" t="s">
        <v>37</v>
      </c>
      <c r="E10" s="133"/>
      <c r="G10" s="53"/>
      <c r="H10" s="132"/>
    </row>
    <row r="11" spans="1:10" x14ac:dyDescent="0.35">
      <c r="A11" s="53">
        <v>1</v>
      </c>
      <c r="B11" s="62" t="s">
        <v>38</v>
      </c>
      <c r="C11" s="134"/>
      <c r="D11" s="134"/>
      <c r="E11" s="209">
        <v>85599.206179999994</v>
      </c>
      <c r="G11" s="53" t="s">
        <v>282</v>
      </c>
      <c r="H11" s="53">
        <f>A11</f>
        <v>1</v>
      </c>
      <c r="I11" s="136"/>
    </row>
    <row r="12" spans="1:10" x14ac:dyDescent="0.35">
      <c r="A12" s="53">
        <f t="shared" ref="A12:A40" si="0">A11+1</f>
        <v>2</v>
      </c>
      <c r="B12" s="62" t="s">
        <v>34</v>
      </c>
      <c r="C12" s="134"/>
      <c r="D12" s="134"/>
      <c r="E12" s="137" t="s">
        <v>34</v>
      </c>
      <c r="G12" s="53"/>
      <c r="H12" s="53">
        <f t="shared" ref="H12:H40" si="1">H11+1</f>
        <v>2</v>
      </c>
      <c r="I12" s="136"/>
    </row>
    <row r="13" spans="1:10" x14ac:dyDescent="0.35">
      <c r="A13" s="53">
        <f t="shared" si="0"/>
        <v>3</v>
      </c>
      <c r="B13" s="62" t="s">
        <v>41</v>
      </c>
      <c r="C13" s="134"/>
      <c r="D13" s="134"/>
      <c r="E13" s="148">
        <v>69948.407184679614</v>
      </c>
      <c r="F13" s="122"/>
      <c r="G13" s="53" t="s">
        <v>283</v>
      </c>
      <c r="H13" s="53">
        <f t="shared" si="1"/>
        <v>3</v>
      </c>
      <c r="I13" s="136"/>
    </row>
    <row r="14" spans="1:10" x14ac:dyDescent="0.35">
      <c r="A14" s="53">
        <f t="shared" si="0"/>
        <v>4</v>
      </c>
      <c r="B14" s="62"/>
      <c r="C14" s="134"/>
      <c r="D14" s="134"/>
      <c r="E14" s="137"/>
      <c r="F14" s="122"/>
      <c r="G14" s="53"/>
      <c r="H14" s="53">
        <f t="shared" si="1"/>
        <v>4</v>
      </c>
      <c r="J14" s="139"/>
    </row>
    <row r="15" spans="1:10" x14ac:dyDescent="0.35">
      <c r="A15" s="53">
        <f t="shared" si="0"/>
        <v>5</v>
      </c>
      <c r="B15" s="62" t="s">
        <v>43</v>
      </c>
      <c r="C15" s="134"/>
      <c r="D15" s="134"/>
      <c r="E15" s="140">
        <v>0</v>
      </c>
      <c r="G15" s="53" t="s">
        <v>284</v>
      </c>
      <c r="H15" s="53">
        <f t="shared" si="1"/>
        <v>5</v>
      </c>
      <c r="J15" s="139"/>
    </row>
    <row r="16" spans="1:10" x14ac:dyDescent="0.35">
      <c r="A16" s="53">
        <f t="shared" si="0"/>
        <v>6</v>
      </c>
      <c r="B16" s="62" t="s">
        <v>45</v>
      </c>
      <c r="C16" s="134"/>
      <c r="D16" s="134"/>
      <c r="E16" s="157">
        <f>E11+E13+E15</f>
        <v>155547.61336467962</v>
      </c>
      <c r="F16" s="122"/>
      <c r="G16" s="53" t="s">
        <v>46</v>
      </c>
      <c r="H16" s="53">
        <f t="shared" si="1"/>
        <v>6</v>
      </c>
      <c r="I16" s="142"/>
      <c r="J16" s="139"/>
    </row>
    <row r="17" spans="1:9" x14ac:dyDescent="0.35">
      <c r="A17" s="53">
        <f t="shared" si="0"/>
        <v>7</v>
      </c>
      <c r="E17" s="143"/>
      <c r="G17" s="53"/>
      <c r="H17" s="53">
        <f t="shared" si="1"/>
        <v>7</v>
      </c>
    </row>
    <row r="18" spans="1:9" x14ac:dyDescent="0.35">
      <c r="A18" s="53">
        <f t="shared" si="0"/>
        <v>8</v>
      </c>
      <c r="B18" s="52" t="s">
        <v>47</v>
      </c>
      <c r="C18" s="134"/>
      <c r="D18" s="134"/>
      <c r="E18" s="144">
        <v>193674.59996183356</v>
      </c>
      <c r="F18" s="145"/>
      <c r="G18" s="53" t="s">
        <v>222</v>
      </c>
      <c r="H18" s="53">
        <f t="shared" si="1"/>
        <v>8</v>
      </c>
    </row>
    <row r="19" spans="1:9" x14ac:dyDescent="0.35">
      <c r="A19" s="53">
        <f t="shared" si="0"/>
        <v>9</v>
      </c>
      <c r="E19" s="146" t="s">
        <v>34</v>
      </c>
      <c r="G19" s="53"/>
      <c r="H19" s="53">
        <f t="shared" si="1"/>
        <v>9</v>
      </c>
    </row>
    <row r="20" spans="1:9" ht="18" x14ac:dyDescent="0.35">
      <c r="A20" s="53">
        <f t="shared" si="0"/>
        <v>10</v>
      </c>
      <c r="B20" s="52" t="s">
        <v>49</v>
      </c>
      <c r="E20" s="147">
        <v>0</v>
      </c>
      <c r="G20" s="53" t="s">
        <v>223</v>
      </c>
      <c r="H20" s="53">
        <f t="shared" si="1"/>
        <v>10</v>
      </c>
      <c r="I20" s="136"/>
    </row>
    <row r="21" spans="1:9" x14ac:dyDescent="0.35">
      <c r="A21" s="53">
        <f t="shared" si="0"/>
        <v>11</v>
      </c>
      <c r="E21" s="146"/>
      <c r="G21" s="53"/>
      <c r="H21" s="53">
        <f t="shared" si="1"/>
        <v>11</v>
      </c>
    </row>
    <row r="22" spans="1:9" x14ac:dyDescent="0.35">
      <c r="A22" s="53">
        <f t="shared" si="0"/>
        <v>12</v>
      </c>
      <c r="B22" s="52" t="s">
        <v>51</v>
      </c>
      <c r="C22" s="134"/>
      <c r="D22" s="134"/>
      <c r="E22" s="148">
        <v>50572.921636797866</v>
      </c>
      <c r="F22" s="122"/>
      <c r="G22" s="53" t="s">
        <v>224</v>
      </c>
      <c r="H22" s="53">
        <f t="shared" si="1"/>
        <v>12</v>
      </c>
      <c r="I22" s="136"/>
    </row>
    <row r="23" spans="1:9" x14ac:dyDescent="0.35">
      <c r="A23" s="53">
        <f t="shared" si="0"/>
        <v>13</v>
      </c>
      <c r="B23" s="62"/>
      <c r="C23" s="134"/>
      <c r="D23" s="134"/>
      <c r="E23" s="149"/>
      <c r="G23" s="53"/>
      <c r="H23" s="53">
        <f t="shared" si="1"/>
        <v>13</v>
      </c>
    </row>
    <row r="24" spans="1:9" x14ac:dyDescent="0.35">
      <c r="A24" s="53">
        <f t="shared" si="0"/>
        <v>14</v>
      </c>
      <c r="B24" s="52" t="s">
        <v>53</v>
      </c>
      <c r="C24" s="134"/>
      <c r="D24" s="134"/>
      <c r="E24" s="150">
        <v>2528.6095301464243</v>
      </c>
      <c r="F24" s="122"/>
      <c r="G24" s="53" t="s">
        <v>225</v>
      </c>
      <c r="H24" s="53">
        <f t="shared" si="1"/>
        <v>14</v>
      </c>
      <c r="I24" s="136"/>
    </row>
    <row r="25" spans="1:9" x14ac:dyDescent="0.35">
      <c r="A25" s="53">
        <f t="shared" si="0"/>
        <v>15</v>
      </c>
      <c r="B25" s="62" t="s">
        <v>55</v>
      </c>
      <c r="C25" s="134"/>
      <c r="D25" s="134"/>
      <c r="E25" s="171">
        <f>SUM(E16+E18+E20+E22+E24)</f>
        <v>402323.74449345743</v>
      </c>
      <c r="F25" s="122"/>
      <c r="G25" s="53" t="s">
        <v>56</v>
      </c>
      <c r="H25" s="53">
        <f t="shared" si="1"/>
        <v>15</v>
      </c>
    </row>
    <row r="26" spans="1:9" x14ac:dyDescent="0.35">
      <c r="A26" s="53">
        <f t="shared" si="0"/>
        <v>16</v>
      </c>
      <c r="B26" s="62"/>
      <c r="C26" s="134"/>
      <c r="D26" s="134"/>
      <c r="E26" s="152"/>
      <c r="G26" s="53"/>
      <c r="H26" s="53">
        <f t="shared" si="1"/>
        <v>16</v>
      </c>
    </row>
    <row r="27" spans="1:9" ht="17.5" x14ac:dyDescent="0.35">
      <c r="A27" s="53">
        <f t="shared" si="0"/>
        <v>17</v>
      </c>
      <c r="B27" s="62" t="s">
        <v>99</v>
      </c>
      <c r="C27" s="134"/>
      <c r="D27" s="134"/>
      <c r="E27" s="153">
        <v>9.8915240188754625E-2</v>
      </c>
      <c r="G27" s="53" t="s">
        <v>226</v>
      </c>
      <c r="H27" s="53">
        <f t="shared" si="1"/>
        <v>17</v>
      </c>
    </row>
    <row r="28" spans="1:9" x14ac:dyDescent="0.35">
      <c r="A28" s="53">
        <f t="shared" si="0"/>
        <v>18</v>
      </c>
      <c r="B28" s="62" t="s">
        <v>59</v>
      </c>
      <c r="C28" s="134"/>
      <c r="D28" s="134"/>
      <c r="E28" s="167">
        <f>E134</f>
        <v>4342100.5354385236</v>
      </c>
      <c r="G28" s="53" t="s">
        <v>227</v>
      </c>
      <c r="H28" s="53">
        <f t="shared" si="1"/>
        <v>18</v>
      </c>
    </row>
    <row r="29" spans="1:9" x14ac:dyDescent="0.35">
      <c r="A29" s="53">
        <f t="shared" si="0"/>
        <v>19</v>
      </c>
      <c r="B29" s="52" t="s">
        <v>228</v>
      </c>
      <c r="C29" s="134"/>
      <c r="D29" s="134"/>
      <c r="E29" s="156">
        <f>E28*E27</f>
        <v>429499.91738662164</v>
      </c>
      <c r="G29" s="53" t="s">
        <v>62</v>
      </c>
      <c r="H29" s="53">
        <f t="shared" si="1"/>
        <v>19</v>
      </c>
    </row>
    <row r="30" spans="1:9" x14ac:dyDescent="0.35">
      <c r="A30" s="53">
        <f t="shared" si="0"/>
        <v>20</v>
      </c>
      <c r="C30" s="134"/>
      <c r="D30" s="134"/>
      <c r="E30" s="152"/>
      <c r="G30" s="53"/>
      <c r="H30" s="53">
        <f t="shared" si="1"/>
        <v>20</v>
      </c>
    </row>
    <row r="31" spans="1:9" ht="17.5" x14ac:dyDescent="0.35">
      <c r="A31" s="53">
        <f t="shared" si="0"/>
        <v>21</v>
      </c>
      <c r="B31" s="62" t="s">
        <v>63</v>
      </c>
      <c r="C31" s="134"/>
      <c r="D31" s="137"/>
      <c r="E31" s="153">
        <v>4.0346960281741739E-3</v>
      </c>
      <c r="F31" s="122"/>
      <c r="G31" s="53" t="s">
        <v>229</v>
      </c>
      <c r="H31" s="53">
        <f t="shared" si="1"/>
        <v>21</v>
      </c>
      <c r="I31" s="136"/>
    </row>
    <row r="32" spans="1:9" x14ac:dyDescent="0.35">
      <c r="A32" s="53">
        <f t="shared" si="0"/>
        <v>22</v>
      </c>
      <c r="B32" s="62" t="s">
        <v>59</v>
      </c>
      <c r="C32" s="134"/>
      <c r="D32" s="134"/>
      <c r="E32" s="167">
        <f>E134-E117</f>
        <v>4342100.5354385236</v>
      </c>
      <c r="F32" s="122"/>
      <c r="G32" s="53" t="s">
        <v>230</v>
      </c>
      <c r="H32" s="53">
        <f t="shared" si="1"/>
        <v>22</v>
      </c>
    </row>
    <row r="33" spans="1:9" x14ac:dyDescent="0.35">
      <c r="A33" s="53">
        <f t="shared" si="0"/>
        <v>23</v>
      </c>
      <c r="B33" s="52" t="s">
        <v>66</v>
      </c>
      <c r="E33" s="156">
        <f>E32*E31</f>
        <v>17519.055784266766</v>
      </c>
      <c r="F33" s="122"/>
      <c r="G33" s="53" t="s">
        <v>67</v>
      </c>
      <c r="H33" s="53">
        <f t="shared" si="1"/>
        <v>23</v>
      </c>
    </row>
    <row r="34" spans="1:9" x14ac:dyDescent="0.35">
      <c r="A34" s="53">
        <f t="shared" si="0"/>
        <v>24</v>
      </c>
      <c r="E34" s="157"/>
      <c r="G34" s="53"/>
      <c r="H34" s="53">
        <f t="shared" si="1"/>
        <v>24</v>
      </c>
    </row>
    <row r="35" spans="1:9" x14ac:dyDescent="0.35">
      <c r="A35" s="53">
        <f t="shared" si="0"/>
        <v>25</v>
      </c>
      <c r="B35" s="52" t="s">
        <v>68</v>
      </c>
      <c r="E35" s="158">
        <v>1346.7699665379248</v>
      </c>
      <c r="G35" s="53" t="s">
        <v>231</v>
      </c>
      <c r="H35" s="53">
        <f t="shared" si="1"/>
        <v>25</v>
      </c>
      <c r="I35" s="136"/>
    </row>
    <row r="36" spans="1:9" x14ac:dyDescent="0.35">
      <c r="A36" s="53">
        <f t="shared" si="0"/>
        <v>26</v>
      </c>
      <c r="B36" s="52" t="s">
        <v>70</v>
      </c>
      <c r="E36" s="159">
        <v>-5601.2001300000002</v>
      </c>
      <c r="F36" s="122"/>
      <c r="G36" s="53" t="s">
        <v>232</v>
      </c>
      <c r="H36" s="53">
        <f t="shared" si="1"/>
        <v>26</v>
      </c>
      <c r="I36" s="136"/>
    </row>
    <row r="37" spans="1:9" x14ac:dyDescent="0.35">
      <c r="A37" s="53">
        <f t="shared" si="0"/>
        <v>27</v>
      </c>
      <c r="B37" s="52" t="s">
        <v>72</v>
      </c>
      <c r="E37" s="160">
        <v>0</v>
      </c>
      <c r="G37" s="53" t="s">
        <v>233</v>
      </c>
      <c r="H37" s="53">
        <f t="shared" si="1"/>
        <v>27</v>
      </c>
    </row>
    <row r="38" spans="1:9" x14ac:dyDescent="0.35">
      <c r="A38" s="53">
        <f t="shared" si="0"/>
        <v>28</v>
      </c>
      <c r="B38" s="65" t="s">
        <v>74</v>
      </c>
      <c r="E38" s="161">
        <v>0</v>
      </c>
      <c r="G38" s="53" t="s">
        <v>234</v>
      </c>
      <c r="H38" s="53">
        <f t="shared" si="1"/>
        <v>28</v>
      </c>
      <c r="I38" s="136"/>
    </row>
    <row r="39" spans="1:9" x14ac:dyDescent="0.35">
      <c r="A39" s="53">
        <f t="shared" si="0"/>
        <v>29</v>
      </c>
      <c r="E39" s="146" t="s">
        <v>34</v>
      </c>
      <c r="G39" s="53"/>
      <c r="H39" s="53">
        <f t="shared" si="1"/>
        <v>29</v>
      </c>
      <c r="I39" s="136"/>
    </row>
    <row r="40" spans="1:9" ht="18" thickBot="1" x14ac:dyDescent="0.4">
      <c r="A40" s="53">
        <f t="shared" si="0"/>
        <v>30</v>
      </c>
      <c r="B40" s="52" t="s">
        <v>76</v>
      </c>
      <c r="C40" s="134"/>
      <c r="D40" s="134"/>
      <c r="E40" s="180">
        <f>E29+E33+E25+SUM(E35:E38)</f>
        <v>845088.2875008838</v>
      </c>
      <c r="F40" s="122"/>
      <c r="G40" s="53" t="s">
        <v>77</v>
      </c>
      <c r="H40" s="53">
        <f t="shared" si="1"/>
        <v>30</v>
      </c>
      <c r="I40" s="136"/>
    </row>
    <row r="41" spans="1:9" ht="16" thickTop="1" x14ac:dyDescent="0.35">
      <c r="A41" s="132"/>
      <c r="C41" s="134"/>
      <c r="D41" s="134"/>
      <c r="E41" s="163"/>
      <c r="F41" s="122"/>
      <c r="G41" s="132"/>
      <c r="H41" s="132"/>
      <c r="I41" s="136"/>
    </row>
    <row r="42" spans="1:9" ht="18" x14ac:dyDescent="0.35">
      <c r="A42" s="70">
        <v>1</v>
      </c>
      <c r="B42" s="52" t="s">
        <v>79</v>
      </c>
      <c r="C42" s="134"/>
      <c r="D42" s="134"/>
      <c r="E42" s="163"/>
      <c r="F42" s="122"/>
      <c r="G42" s="132"/>
      <c r="H42" s="132"/>
      <c r="I42" s="136"/>
    </row>
    <row r="43" spans="1:9" ht="18" x14ac:dyDescent="0.35">
      <c r="A43" s="70"/>
      <c r="C43" s="134"/>
      <c r="D43" s="134"/>
      <c r="E43" s="163"/>
      <c r="F43" s="122"/>
      <c r="G43" s="132"/>
      <c r="H43" s="132"/>
      <c r="I43" s="136"/>
    </row>
    <row r="44" spans="1:9" x14ac:dyDescent="0.35">
      <c r="A44" s="132"/>
      <c r="C44" s="134"/>
      <c r="D44" s="134"/>
      <c r="E44" s="163"/>
      <c r="F44" s="122"/>
      <c r="G44" s="132"/>
      <c r="H44" s="132"/>
      <c r="I44" s="136"/>
    </row>
    <row r="45" spans="1:9" x14ac:dyDescent="0.35">
      <c r="A45" s="132"/>
      <c r="B45" s="605" t="s">
        <v>215</v>
      </c>
      <c r="C45" s="604"/>
      <c r="D45" s="604"/>
      <c r="E45" s="604"/>
      <c r="F45" s="604"/>
      <c r="G45" s="604"/>
      <c r="H45" s="132"/>
      <c r="I45" s="136"/>
    </row>
    <row r="46" spans="1:9" x14ac:dyDescent="0.35">
      <c r="A46" s="132"/>
      <c r="B46" s="605" t="s">
        <v>216</v>
      </c>
      <c r="C46" s="604"/>
      <c r="D46" s="604"/>
      <c r="E46" s="604"/>
      <c r="F46" s="604"/>
      <c r="G46" s="604"/>
      <c r="H46" s="132"/>
      <c r="I46" s="136"/>
    </row>
    <row r="47" spans="1:9" ht="18" x14ac:dyDescent="0.35">
      <c r="A47" s="132"/>
      <c r="B47" s="605" t="s">
        <v>217</v>
      </c>
      <c r="C47" s="606"/>
      <c r="D47" s="606"/>
      <c r="E47" s="606"/>
      <c r="F47" s="606"/>
      <c r="G47" s="606"/>
      <c r="H47" s="132"/>
      <c r="I47" s="136"/>
    </row>
    <row r="48" spans="1:9" x14ac:dyDescent="0.35">
      <c r="A48" s="132"/>
      <c r="B48" s="601" t="str">
        <f>B5</f>
        <v>For the Base Period &amp; True-Up Period Ending December 31, 2019</v>
      </c>
      <c r="C48" s="602"/>
      <c r="D48" s="602"/>
      <c r="E48" s="602"/>
      <c r="F48" s="602"/>
      <c r="G48" s="602"/>
      <c r="H48" s="132"/>
      <c r="I48" s="136"/>
    </row>
    <row r="49" spans="1:9" x14ac:dyDescent="0.35">
      <c r="A49" s="132"/>
      <c r="B49" s="603" t="s">
        <v>3</v>
      </c>
      <c r="C49" s="604"/>
      <c r="D49" s="604"/>
      <c r="E49" s="604"/>
      <c r="F49" s="604"/>
      <c r="G49" s="604"/>
      <c r="H49" s="132"/>
      <c r="I49" s="136"/>
    </row>
    <row r="50" spans="1:9" x14ac:dyDescent="0.35">
      <c r="A50" s="132"/>
      <c r="C50" s="134"/>
      <c r="D50" s="134"/>
      <c r="E50" s="163"/>
      <c r="F50" s="122"/>
      <c r="G50" s="132"/>
      <c r="H50" s="132"/>
      <c r="I50" s="136"/>
    </row>
    <row r="51" spans="1:9" x14ac:dyDescent="0.35">
      <c r="A51" s="53" t="s">
        <v>4</v>
      </c>
      <c r="E51" s="129"/>
      <c r="G51" s="53"/>
      <c r="H51" s="53" t="s">
        <v>4</v>
      </c>
      <c r="I51" s="136"/>
    </row>
    <row r="52" spans="1:9" x14ac:dyDescent="0.35">
      <c r="A52" s="53" t="s">
        <v>5</v>
      </c>
      <c r="B52" s="122" t="s">
        <v>34</v>
      </c>
      <c r="E52" s="130" t="s">
        <v>7</v>
      </c>
      <c r="G52" s="131" t="s">
        <v>8</v>
      </c>
      <c r="H52" s="53" t="s">
        <v>5</v>
      </c>
      <c r="I52" s="136"/>
    </row>
    <row r="53" spans="1:9" ht="18" x14ac:dyDescent="0.35">
      <c r="A53" s="132"/>
      <c r="B53" s="71" t="s">
        <v>80</v>
      </c>
      <c r="E53" s="53"/>
      <c r="G53" s="53"/>
      <c r="H53" s="132"/>
      <c r="I53" s="136"/>
    </row>
    <row r="54" spans="1:9" x14ac:dyDescent="0.35">
      <c r="A54" s="53">
        <v>1</v>
      </c>
      <c r="B54" s="62" t="s">
        <v>81</v>
      </c>
      <c r="C54" s="134"/>
      <c r="D54" s="134"/>
      <c r="E54" s="164">
        <v>0</v>
      </c>
      <c r="G54" s="53" t="s">
        <v>236</v>
      </c>
      <c r="H54" s="53">
        <f>A54</f>
        <v>1</v>
      </c>
      <c r="I54" s="136"/>
    </row>
    <row r="55" spans="1:9" x14ac:dyDescent="0.35">
      <c r="A55" s="53">
        <f t="shared" ref="A55:A92" si="2">A54+1</f>
        <v>2</v>
      </c>
      <c r="B55" s="62"/>
      <c r="C55" s="134"/>
      <c r="D55" s="134"/>
      <c r="E55" s="165"/>
      <c r="G55" s="53"/>
      <c r="H55" s="53">
        <f t="shared" ref="H55:H92" si="3">H54+1</f>
        <v>2</v>
      </c>
    </row>
    <row r="56" spans="1:9" ht="18" x14ac:dyDescent="0.35">
      <c r="A56" s="53">
        <f t="shared" si="2"/>
        <v>3</v>
      </c>
      <c r="B56" s="62" t="s">
        <v>83</v>
      </c>
      <c r="C56" s="134"/>
      <c r="D56" s="134"/>
      <c r="E56" s="153">
        <v>1.7918893594493838E-2</v>
      </c>
      <c r="F56" s="166"/>
      <c r="G56" s="53" t="s">
        <v>237</v>
      </c>
      <c r="H56" s="53">
        <f t="shared" si="3"/>
        <v>3</v>
      </c>
    </row>
    <row r="57" spans="1:9" x14ac:dyDescent="0.35">
      <c r="A57" s="53">
        <f t="shared" si="2"/>
        <v>4</v>
      </c>
      <c r="B57" s="52" t="s">
        <v>85</v>
      </c>
      <c r="C57" s="134"/>
      <c r="D57" s="134"/>
      <c r="E57" s="167">
        <f>E139</f>
        <v>0</v>
      </c>
      <c r="G57" s="53" t="s">
        <v>238</v>
      </c>
      <c r="H57" s="53">
        <f t="shared" si="3"/>
        <v>4</v>
      </c>
    </row>
    <row r="58" spans="1:9" x14ac:dyDescent="0.35">
      <c r="A58" s="53">
        <f t="shared" si="2"/>
        <v>5</v>
      </c>
      <c r="B58" s="52" t="s">
        <v>87</v>
      </c>
      <c r="E58" s="168">
        <f>E57*E56</f>
        <v>0</v>
      </c>
      <c r="G58" s="53" t="s">
        <v>88</v>
      </c>
      <c r="H58" s="53">
        <f t="shared" si="3"/>
        <v>5</v>
      </c>
    </row>
    <row r="59" spans="1:9" x14ac:dyDescent="0.35">
      <c r="A59" s="53">
        <f t="shared" si="2"/>
        <v>6</v>
      </c>
      <c r="E59" s="169"/>
      <c r="G59" s="53"/>
      <c r="H59" s="53">
        <f t="shared" si="3"/>
        <v>6</v>
      </c>
    </row>
    <row r="60" spans="1:9" ht="17.5" x14ac:dyDescent="0.35">
      <c r="A60" s="53">
        <f t="shared" si="2"/>
        <v>7</v>
      </c>
      <c r="B60" s="62" t="s">
        <v>63</v>
      </c>
      <c r="E60" s="153">
        <v>0</v>
      </c>
      <c r="G60" s="53" t="s">
        <v>239</v>
      </c>
      <c r="H60" s="53">
        <f t="shared" si="3"/>
        <v>7</v>
      </c>
    </row>
    <row r="61" spans="1:9" x14ac:dyDescent="0.35">
      <c r="A61" s="53">
        <f t="shared" si="2"/>
        <v>8</v>
      </c>
      <c r="B61" s="52" t="s">
        <v>85</v>
      </c>
      <c r="E61" s="167">
        <f>E139</f>
        <v>0</v>
      </c>
      <c r="G61" s="53" t="s">
        <v>238</v>
      </c>
      <c r="H61" s="53">
        <f t="shared" si="3"/>
        <v>8</v>
      </c>
    </row>
    <row r="62" spans="1:9" x14ac:dyDescent="0.35">
      <c r="A62" s="53">
        <f t="shared" si="2"/>
        <v>9</v>
      </c>
      <c r="B62" s="52" t="s">
        <v>66</v>
      </c>
      <c r="E62" s="168">
        <f>E61*E60</f>
        <v>0</v>
      </c>
      <c r="G62" s="53" t="s">
        <v>91</v>
      </c>
      <c r="H62" s="53">
        <f t="shared" si="3"/>
        <v>9</v>
      </c>
    </row>
    <row r="63" spans="1:9" x14ac:dyDescent="0.35">
      <c r="A63" s="53">
        <f t="shared" si="2"/>
        <v>10</v>
      </c>
      <c r="E63" s="169"/>
      <c r="G63" s="53"/>
      <c r="H63" s="53">
        <f t="shared" si="3"/>
        <v>10</v>
      </c>
    </row>
    <row r="64" spans="1:9" ht="16" thickBot="1" x14ac:dyDescent="0.4">
      <c r="A64" s="53">
        <f t="shared" si="2"/>
        <v>11</v>
      </c>
      <c r="B64" s="52" t="s">
        <v>92</v>
      </c>
      <c r="E64" s="170">
        <f>E54+E58+E62</f>
        <v>0</v>
      </c>
      <c r="G64" s="53" t="s">
        <v>93</v>
      </c>
      <c r="H64" s="53">
        <f t="shared" si="3"/>
        <v>11</v>
      </c>
    </row>
    <row r="65" spans="1:9" ht="16" thickTop="1" x14ac:dyDescent="0.35">
      <c r="A65" s="53">
        <f t="shared" si="2"/>
        <v>12</v>
      </c>
      <c r="E65" s="171"/>
      <c r="G65" s="53"/>
      <c r="H65" s="53">
        <f t="shared" si="3"/>
        <v>12</v>
      </c>
    </row>
    <row r="66" spans="1:9" ht="18" x14ac:dyDescent="0.35">
      <c r="A66" s="53">
        <f t="shared" si="2"/>
        <v>13</v>
      </c>
      <c r="B66" s="78" t="s">
        <v>94</v>
      </c>
      <c r="E66" s="171"/>
      <c r="G66" s="53"/>
      <c r="H66" s="53">
        <f t="shared" si="3"/>
        <v>13</v>
      </c>
    </row>
    <row r="67" spans="1:9" x14ac:dyDescent="0.35">
      <c r="A67" s="53">
        <f t="shared" si="2"/>
        <v>14</v>
      </c>
      <c r="B67" s="62" t="s">
        <v>95</v>
      </c>
      <c r="E67" s="172">
        <v>0</v>
      </c>
      <c r="G67" s="53" t="s">
        <v>240</v>
      </c>
      <c r="H67" s="53">
        <f t="shared" si="3"/>
        <v>14</v>
      </c>
    </row>
    <row r="68" spans="1:9" x14ac:dyDescent="0.35">
      <c r="A68" s="53">
        <f t="shared" si="2"/>
        <v>15</v>
      </c>
      <c r="B68" s="62"/>
      <c r="E68" s="173"/>
      <c r="G68" s="53"/>
      <c r="H68" s="53">
        <f t="shared" si="3"/>
        <v>15</v>
      </c>
    </row>
    <row r="69" spans="1:9" x14ac:dyDescent="0.35">
      <c r="A69" s="53">
        <f t="shared" si="2"/>
        <v>16</v>
      </c>
      <c r="B69" s="62" t="s">
        <v>97</v>
      </c>
      <c r="E69" s="172">
        <f>E144</f>
        <v>0</v>
      </c>
      <c r="G69" s="53" t="s">
        <v>241</v>
      </c>
      <c r="H69" s="53">
        <f t="shared" si="3"/>
        <v>16</v>
      </c>
    </row>
    <row r="70" spans="1:9" ht="17.5" x14ac:dyDescent="0.35">
      <c r="A70" s="53">
        <f t="shared" si="2"/>
        <v>17</v>
      </c>
      <c r="B70" s="62" t="s">
        <v>99</v>
      </c>
      <c r="C70" s="134"/>
      <c r="D70" s="137"/>
      <c r="E70" s="174">
        <v>9.8915211952382315E-2</v>
      </c>
      <c r="F70" s="122"/>
      <c r="G70" s="53" t="s">
        <v>226</v>
      </c>
      <c r="H70" s="53">
        <f t="shared" si="3"/>
        <v>17</v>
      </c>
    </row>
    <row r="71" spans="1:9" x14ac:dyDescent="0.35">
      <c r="A71" s="53">
        <f t="shared" si="2"/>
        <v>18</v>
      </c>
      <c r="B71" s="52" t="s">
        <v>101</v>
      </c>
      <c r="E71" s="168">
        <f>E69*E70</f>
        <v>0</v>
      </c>
      <c r="G71" s="53" t="s">
        <v>102</v>
      </c>
      <c r="H71" s="53">
        <f t="shared" si="3"/>
        <v>18</v>
      </c>
    </row>
    <row r="72" spans="1:9" x14ac:dyDescent="0.35">
      <c r="A72" s="53">
        <f t="shared" si="2"/>
        <v>19</v>
      </c>
      <c r="E72" s="169"/>
      <c r="G72" s="53"/>
      <c r="H72" s="53">
        <f t="shared" si="3"/>
        <v>19</v>
      </c>
    </row>
    <row r="73" spans="1:9" x14ac:dyDescent="0.35">
      <c r="A73" s="53">
        <f t="shared" si="2"/>
        <v>20</v>
      </c>
      <c r="B73" s="62" t="s">
        <v>97</v>
      </c>
      <c r="E73" s="172">
        <f>E144</f>
        <v>0</v>
      </c>
      <c r="G73" s="53" t="s">
        <v>241</v>
      </c>
      <c r="H73" s="53">
        <f t="shared" si="3"/>
        <v>20</v>
      </c>
    </row>
    <row r="74" spans="1:9" ht="17.5" x14ac:dyDescent="0.35">
      <c r="A74" s="53">
        <f t="shared" si="2"/>
        <v>21</v>
      </c>
      <c r="B74" s="62" t="s">
        <v>63</v>
      </c>
      <c r="C74" s="175"/>
      <c r="D74" s="137"/>
      <c r="E74" s="176">
        <v>0</v>
      </c>
      <c r="F74" s="122"/>
      <c r="G74" s="53" t="s">
        <v>242</v>
      </c>
      <c r="H74" s="53">
        <f t="shared" si="3"/>
        <v>21</v>
      </c>
      <c r="I74" s="175"/>
    </row>
    <row r="75" spans="1:9" x14ac:dyDescent="0.35">
      <c r="A75" s="53">
        <f t="shared" si="2"/>
        <v>22</v>
      </c>
      <c r="B75" s="52" t="s">
        <v>105</v>
      </c>
      <c r="E75" s="168">
        <f>E73*E74</f>
        <v>0</v>
      </c>
      <c r="G75" s="53" t="s">
        <v>106</v>
      </c>
      <c r="H75" s="53">
        <f t="shared" si="3"/>
        <v>22</v>
      </c>
    </row>
    <row r="76" spans="1:9" x14ac:dyDescent="0.35">
      <c r="A76" s="53">
        <f t="shared" si="2"/>
        <v>23</v>
      </c>
      <c r="E76" s="171"/>
      <c r="G76" s="53"/>
      <c r="H76" s="53">
        <f t="shared" si="3"/>
        <v>23</v>
      </c>
    </row>
    <row r="77" spans="1:9" ht="16" thickBot="1" x14ac:dyDescent="0.4">
      <c r="A77" s="53">
        <f t="shared" si="2"/>
        <v>24</v>
      </c>
      <c r="B77" s="52" t="s">
        <v>107</v>
      </c>
      <c r="E77" s="170">
        <f>E67+E71+E75</f>
        <v>0</v>
      </c>
      <c r="G77" s="53" t="s">
        <v>108</v>
      </c>
      <c r="H77" s="53">
        <f t="shared" si="3"/>
        <v>24</v>
      </c>
    </row>
    <row r="78" spans="1:9" ht="16" thickTop="1" x14ac:dyDescent="0.35">
      <c r="A78" s="53">
        <f t="shared" si="2"/>
        <v>25</v>
      </c>
      <c r="E78" s="171"/>
      <c r="G78" s="53"/>
      <c r="H78" s="53">
        <f t="shared" si="3"/>
        <v>25</v>
      </c>
    </row>
    <row r="79" spans="1:9" ht="18" x14ac:dyDescent="0.35">
      <c r="A79" s="53">
        <f t="shared" si="2"/>
        <v>26</v>
      </c>
      <c r="B79" s="78" t="s">
        <v>109</v>
      </c>
      <c r="C79" s="134"/>
      <c r="D79" s="134"/>
      <c r="E79" s="165"/>
      <c r="G79" s="53"/>
      <c r="H79" s="53">
        <f t="shared" si="3"/>
        <v>26</v>
      </c>
    </row>
    <row r="80" spans="1:9" x14ac:dyDescent="0.35">
      <c r="A80" s="53">
        <f t="shared" si="2"/>
        <v>27</v>
      </c>
      <c r="B80" s="52" t="s">
        <v>110</v>
      </c>
      <c r="C80" s="134"/>
      <c r="D80" s="134"/>
      <c r="E80" s="164">
        <f>E146</f>
        <v>0</v>
      </c>
      <c r="G80" s="53" t="s">
        <v>243</v>
      </c>
      <c r="H80" s="53">
        <f t="shared" si="3"/>
        <v>27</v>
      </c>
    </row>
    <row r="81" spans="1:8" ht="17.5" x14ac:dyDescent="0.35">
      <c r="A81" s="53">
        <f t="shared" si="2"/>
        <v>28</v>
      </c>
      <c r="B81" s="62" t="s">
        <v>99</v>
      </c>
      <c r="C81" s="134"/>
      <c r="D81" s="134"/>
      <c r="E81" s="177">
        <v>9.8915211952382315E-2</v>
      </c>
      <c r="F81" s="122"/>
      <c r="G81" s="53" t="s">
        <v>226</v>
      </c>
      <c r="H81" s="53">
        <f t="shared" si="3"/>
        <v>28</v>
      </c>
    </row>
    <row r="82" spans="1:8" x14ac:dyDescent="0.35">
      <c r="A82" s="53">
        <f t="shared" si="2"/>
        <v>29</v>
      </c>
      <c r="B82" s="52" t="s">
        <v>113</v>
      </c>
      <c r="C82" s="134"/>
      <c r="D82" s="134"/>
      <c r="E82" s="178">
        <f>E80*E81</f>
        <v>0</v>
      </c>
      <c r="G82" s="53" t="s">
        <v>114</v>
      </c>
      <c r="H82" s="53">
        <f t="shared" si="3"/>
        <v>29</v>
      </c>
    </row>
    <row r="83" spans="1:8" x14ac:dyDescent="0.35">
      <c r="A83" s="53">
        <f t="shared" si="2"/>
        <v>30</v>
      </c>
      <c r="C83" s="134"/>
      <c r="D83" s="134"/>
      <c r="E83" s="179"/>
      <c r="G83" s="53"/>
      <c r="H83" s="53">
        <f t="shared" si="3"/>
        <v>30</v>
      </c>
    </row>
    <row r="84" spans="1:8" x14ac:dyDescent="0.35">
      <c r="A84" s="53">
        <f t="shared" si="2"/>
        <v>31</v>
      </c>
      <c r="B84" s="52" t="s">
        <v>110</v>
      </c>
      <c r="C84" s="134"/>
      <c r="D84" s="134"/>
      <c r="E84" s="164">
        <f>E146</f>
        <v>0</v>
      </c>
      <c r="G84" s="53" t="s">
        <v>243</v>
      </c>
      <c r="H84" s="53">
        <f t="shared" si="3"/>
        <v>31</v>
      </c>
    </row>
    <row r="85" spans="1:8" ht="17.5" x14ac:dyDescent="0.35">
      <c r="A85" s="53">
        <f t="shared" si="2"/>
        <v>32</v>
      </c>
      <c r="B85" s="62" t="s">
        <v>63</v>
      </c>
      <c r="C85" s="134"/>
      <c r="D85" s="134"/>
      <c r="E85" s="177">
        <v>4.0346960281741739E-3</v>
      </c>
      <c r="F85" s="122"/>
      <c r="G85" s="53" t="s">
        <v>229</v>
      </c>
      <c r="H85" s="53">
        <f t="shared" si="3"/>
        <v>32</v>
      </c>
    </row>
    <row r="86" spans="1:8" x14ac:dyDescent="0.35">
      <c r="A86" s="53">
        <f t="shared" si="2"/>
        <v>33</v>
      </c>
      <c r="B86" s="52" t="s">
        <v>117</v>
      </c>
      <c r="C86" s="134"/>
      <c r="D86" s="134"/>
      <c r="E86" s="178">
        <f>E84*E85</f>
        <v>0</v>
      </c>
      <c r="G86" s="53" t="s">
        <v>118</v>
      </c>
      <c r="H86" s="53">
        <f t="shared" si="3"/>
        <v>33</v>
      </c>
    </row>
    <row r="87" spans="1:8" x14ac:dyDescent="0.35">
      <c r="A87" s="53">
        <f t="shared" si="2"/>
        <v>34</v>
      </c>
      <c r="C87" s="134"/>
      <c r="D87" s="134"/>
      <c r="E87" s="179"/>
      <c r="G87" s="53"/>
      <c r="H87" s="53">
        <f t="shared" si="3"/>
        <v>34</v>
      </c>
    </row>
    <row r="88" spans="1:8" ht="16" thickBot="1" x14ac:dyDescent="0.4">
      <c r="A88" s="53">
        <f t="shared" si="2"/>
        <v>35</v>
      </c>
      <c r="B88" s="52" t="s">
        <v>119</v>
      </c>
      <c r="C88" s="134"/>
      <c r="D88" s="134"/>
      <c r="E88" s="170">
        <f>E82+E86</f>
        <v>0</v>
      </c>
      <c r="G88" s="53" t="s">
        <v>120</v>
      </c>
      <c r="H88" s="53">
        <f t="shared" si="3"/>
        <v>35</v>
      </c>
    </row>
    <row r="89" spans="1:8" ht="16" thickTop="1" x14ac:dyDescent="0.35">
      <c r="A89" s="53">
        <f t="shared" si="2"/>
        <v>36</v>
      </c>
      <c r="C89" s="134"/>
      <c r="D89" s="134"/>
      <c r="E89" s="165"/>
      <c r="G89" s="53"/>
      <c r="H89" s="53">
        <f t="shared" si="3"/>
        <v>36</v>
      </c>
    </row>
    <row r="90" spans="1:8" ht="18" thickBot="1" x14ac:dyDescent="0.4">
      <c r="A90" s="53">
        <f t="shared" si="2"/>
        <v>37</v>
      </c>
      <c r="B90" s="52" t="s">
        <v>121</v>
      </c>
      <c r="E90" s="180">
        <f>E64+E77+E88</f>
        <v>0</v>
      </c>
      <c r="G90" s="53" t="s">
        <v>122</v>
      </c>
      <c r="H90" s="53">
        <f t="shared" si="3"/>
        <v>37</v>
      </c>
    </row>
    <row r="91" spans="1:8" ht="16" thickTop="1" x14ac:dyDescent="0.35">
      <c r="A91" s="53">
        <f t="shared" si="2"/>
        <v>38</v>
      </c>
      <c r="C91" s="134"/>
      <c r="D91" s="134"/>
      <c r="E91" s="165"/>
      <c r="G91" s="53"/>
      <c r="H91" s="53">
        <f t="shared" si="3"/>
        <v>38</v>
      </c>
    </row>
    <row r="92" spans="1:8" ht="18.5" thickBot="1" x14ac:dyDescent="0.4">
      <c r="A92" s="53">
        <f t="shared" si="2"/>
        <v>39</v>
      </c>
      <c r="B92" s="78" t="s">
        <v>123</v>
      </c>
      <c r="C92" s="134"/>
      <c r="D92" s="134"/>
      <c r="E92" s="180">
        <f>+E40+E90</f>
        <v>845088.2875008838</v>
      </c>
      <c r="F92" s="122"/>
      <c r="G92" s="53" t="s">
        <v>124</v>
      </c>
      <c r="H92" s="53">
        <f t="shared" si="3"/>
        <v>39</v>
      </c>
    </row>
    <row r="93" spans="1:8" ht="16" thickTop="1" x14ac:dyDescent="0.35">
      <c r="A93" s="53"/>
      <c r="B93" s="78"/>
      <c r="C93" s="134"/>
      <c r="D93" s="134"/>
      <c r="E93" s="165"/>
      <c r="F93" s="122"/>
      <c r="G93" s="53"/>
    </row>
    <row r="94" spans="1:8" ht="18" x14ac:dyDescent="0.35">
      <c r="A94" s="70">
        <v>1</v>
      </c>
      <c r="B94" s="52" t="s">
        <v>79</v>
      </c>
      <c r="C94" s="134"/>
      <c r="D94" s="134"/>
      <c r="E94" s="165"/>
      <c r="G94" s="53"/>
    </row>
    <row r="95" spans="1:8" ht="18" x14ac:dyDescent="0.35">
      <c r="A95" s="70">
        <v>2</v>
      </c>
      <c r="B95" s="52" t="s">
        <v>125</v>
      </c>
      <c r="C95" s="134"/>
      <c r="D95" s="134"/>
      <c r="E95" s="181"/>
      <c r="F95" s="145"/>
      <c r="G95" s="53"/>
    </row>
    <row r="96" spans="1:8" ht="18" x14ac:dyDescent="0.35">
      <c r="A96" s="70">
        <v>3</v>
      </c>
      <c r="B96" s="52" t="s">
        <v>126</v>
      </c>
      <c r="C96" s="134"/>
      <c r="D96" s="134"/>
      <c r="E96" s="165"/>
      <c r="G96" s="53"/>
    </row>
    <row r="97" spans="1:8" x14ac:dyDescent="0.35">
      <c r="A97" s="53"/>
      <c r="B97" s="122"/>
      <c r="C97" s="134"/>
      <c r="D97" s="134"/>
      <c r="E97" s="165"/>
      <c r="G97" s="53"/>
    </row>
    <row r="98" spans="1:8" x14ac:dyDescent="0.35">
      <c r="A98" s="53"/>
      <c r="C98" s="134"/>
      <c r="D98" s="134"/>
      <c r="E98" s="165"/>
      <c r="G98" s="53"/>
    </row>
    <row r="99" spans="1:8" x14ac:dyDescent="0.35">
      <c r="A99" s="53"/>
      <c r="B99" s="605" t="s">
        <v>215</v>
      </c>
      <c r="C99" s="604"/>
      <c r="D99" s="604"/>
      <c r="E99" s="604"/>
      <c r="F99" s="604"/>
      <c r="G99" s="604"/>
    </row>
    <row r="100" spans="1:8" x14ac:dyDescent="0.35">
      <c r="A100" s="53"/>
      <c r="B100" s="605" t="s">
        <v>216</v>
      </c>
      <c r="C100" s="604"/>
      <c r="D100" s="604"/>
      <c r="E100" s="604"/>
      <c r="F100" s="604"/>
      <c r="G100" s="604"/>
    </row>
    <row r="101" spans="1:8" ht="18" x14ac:dyDescent="0.35">
      <c r="A101" s="53" t="s">
        <v>34</v>
      </c>
      <c r="B101" s="605" t="s">
        <v>217</v>
      </c>
      <c r="C101" s="606"/>
      <c r="D101" s="606"/>
      <c r="E101" s="606"/>
      <c r="F101" s="606"/>
      <c r="G101" s="606"/>
      <c r="H101" s="53" t="s">
        <v>34</v>
      </c>
    </row>
    <row r="102" spans="1:8" x14ac:dyDescent="0.35">
      <c r="A102" s="53"/>
      <c r="B102" s="601" t="str">
        <f>B5</f>
        <v>For the Base Period &amp; True-Up Period Ending December 31, 2019</v>
      </c>
      <c r="C102" s="602"/>
      <c r="D102" s="602"/>
      <c r="E102" s="602"/>
      <c r="F102" s="602"/>
      <c r="G102" s="602"/>
    </row>
    <row r="103" spans="1:8" x14ac:dyDescent="0.35">
      <c r="A103" s="53"/>
      <c r="B103" s="603" t="s">
        <v>3</v>
      </c>
      <c r="C103" s="604"/>
      <c r="D103" s="604"/>
      <c r="E103" s="604"/>
      <c r="F103" s="604"/>
      <c r="G103" s="604"/>
    </row>
    <row r="104" spans="1:8" x14ac:dyDescent="0.35">
      <c r="A104" s="53"/>
      <c r="B104" s="128"/>
      <c r="C104" s="122"/>
      <c r="D104" s="122"/>
      <c r="E104" s="122"/>
      <c r="F104" s="122"/>
      <c r="G104" s="122"/>
    </row>
    <row r="105" spans="1:8" x14ac:dyDescent="0.35">
      <c r="A105" s="53" t="s">
        <v>4</v>
      </c>
      <c r="E105" s="129"/>
      <c r="G105" s="53"/>
      <c r="H105" s="53" t="s">
        <v>4</v>
      </c>
    </row>
    <row r="106" spans="1:8" x14ac:dyDescent="0.35">
      <c r="A106" s="53" t="s">
        <v>5</v>
      </c>
      <c r="B106" s="122" t="s">
        <v>34</v>
      </c>
      <c r="E106" s="130" t="s">
        <v>7</v>
      </c>
      <c r="G106" s="131" t="s">
        <v>8</v>
      </c>
      <c r="H106" s="53" t="s">
        <v>5</v>
      </c>
    </row>
    <row r="107" spans="1:8" x14ac:dyDescent="0.35">
      <c r="A107" s="132"/>
      <c r="B107" s="71" t="s">
        <v>244</v>
      </c>
      <c r="C107" s="182"/>
      <c r="D107" s="182"/>
      <c r="E107" s="182"/>
      <c r="G107" s="53"/>
      <c r="H107" s="132"/>
    </row>
    <row r="108" spans="1:8" x14ac:dyDescent="0.35">
      <c r="A108" s="53">
        <v>1</v>
      </c>
      <c r="B108" s="183" t="s">
        <v>128</v>
      </c>
      <c r="C108" s="182"/>
      <c r="D108" s="182"/>
      <c r="E108" s="182"/>
      <c r="G108" s="53"/>
      <c r="H108" s="53">
        <f>A108</f>
        <v>1</v>
      </c>
    </row>
    <row r="109" spans="1:8" x14ac:dyDescent="0.35">
      <c r="A109" s="53">
        <f t="shared" ref="A109:A146" si="4">A108+1</f>
        <v>2</v>
      </c>
      <c r="B109" s="62" t="s">
        <v>129</v>
      </c>
      <c r="C109" s="182"/>
      <c r="D109" s="182"/>
      <c r="E109" s="184">
        <f>E175</f>
        <v>4932894.8545753844</v>
      </c>
      <c r="F109" s="145"/>
      <c r="G109" s="53" t="s">
        <v>245</v>
      </c>
      <c r="H109" s="53">
        <f t="shared" ref="H109:H145" si="5">H108+1</f>
        <v>2</v>
      </c>
    </row>
    <row r="110" spans="1:8" x14ac:dyDescent="0.35">
      <c r="A110" s="53">
        <f t="shared" si="4"/>
        <v>3</v>
      </c>
      <c r="B110" s="62" t="s">
        <v>131</v>
      </c>
      <c r="C110" s="182"/>
      <c r="D110" s="182"/>
      <c r="E110" s="185">
        <f>E176</f>
        <v>7914.697483924625</v>
      </c>
      <c r="F110" s="145"/>
      <c r="G110" s="53" t="s">
        <v>246</v>
      </c>
      <c r="H110" s="53">
        <f t="shared" si="5"/>
        <v>3</v>
      </c>
    </row>
    <row r="111" spans="1:8" x14ac:dyDescent="0.35">
      <c r="A111" s="53">
        <f t="shared" si="4"/>
        <v>4</v>
      </c>
      <c r="B111" s="62" t="s">
        <v>133</v>
      </c>
      <c r="C111" s="182"/>
      <c r="D111" s="182"/>
      <c r="E111" s="185">
        <f>E177</f>
        <v>55357.114704499072</v>
      </c>
      <c r="G111" s="53" t="s">
        <v>247</v>
      </c>
      <c r="H111" s="53">
        <f t="shared" si="5"/>
        <v>4</v>
      </c>
    </row>
    <row r="112" spans="1:8" x14ac:dyDescent="0.35">
      <c r="A112" s="53">
        <f t="shared" si="4"/>
        <v>5</v>
      </c>
      <c r="B112" s="62" t="s">
        <v>135</v>
      </c>
      <c r="C112" s="182"/>
      <c r="D112" s="182"/>
      <c r="E112" s="186">
        <f>E178</f>
        <v>104050.017682017</v>
      </c>
      <c r="G112" s="53" t="s">
        <v>248</v>
      </c>
      <c r="H112" s="53">
        <f t="shared" si="5"/>
        <v>5</v>
      </c>
    </row>
    <row r="113" spans="1:8" x14ac:dyDescent="0.35">
      <c r="A113" s="53">
        <f t="shared" si="4"/>
        <v>6</v>
      </c>
      <c r="B113" s="62" t="s">
        <v>137</v>
      </c>
      <c r="C113" s="53"/>
      <c r="D113" s="53"/>
      <c r="E113" s="156">
        <f>SUM(E109:E112)</f>
        <v>5100216.6844458245</v>
      </c>
      <c r="F113" s="145"/>
      <c r="G113" s="53" t="s">
        <v>138</v>
      </c>
      <c r="H113" s="53">
        <f t="shared" si="5"/>
        <v>6</v>
      </c>
    </row>
    <row r="114" spans="1:8" x14ac:dyDescent="0.35">
      <c r="A114" s="53">
        <f t="shared" si="4"/>
        <v>7</v>
      </c>
      <c r="C114" s="53"/>
      <c r="D114" s="53"/>
      <c r="E114" s="146"/>
      <c r="G114" s="53"/>
      <c r="H114" s="53">
        <f t="shared" si="5"/>
        <v>7</v>
      </c>
    </row>
    <row r="115" spans="1:8" x14ac:dyDescent="0.35">
      <c r="A115" s="53">
        <f t="shared" si="4"/>
        <v>8</v>
      </c>
      <c r="B115" s="183" t="s">
        <v>139</v>
      </c>
      <c r="C115" s="53"/>
      <c r="D115" s="53"/>
      <c r="E115" s="146"/>
      <c r="G115" s="53"/>
      <c r="H115" s="53">
        <f t="shared" si="5"/>
        <v>8</v>
      </c>
    </row>
    <row r="116" spans="1:8" x14ac:dyDescent="0.35">
      <c r="A116" s="53">
        <f t="shared" si="4"/>
        <v>9</v>
      </c>
      <c r="B116" s="62" t="s">
        <v>249</v>
      </c>
      <c r="C116" s="53"/>
      <c r="D116" s="53"/>
      <c r="E116" s="187">
        <v>0</v>
      </c>
      <c r="F116" s="145"/>
      <c r="G116" s="53" t="s">
        <v>250</v>
      </c>
      <c r="H116" s="53">
        <f t="shared" si="5"/>
        <v>9</v>
      </c>
    </row>
    <row r="117" spans="1:8" x14ac:dyDescent="0.35">
      <c r="A117" s="53">
        <f t="shared" si="4"/>
        <v>10</v>
      </c>
      <c r="B117" s="62" t="s">
        <v>142</v>
      </c>
      <c r="C117" s="53"/>
      <c r="D117" s="53"/>
      <c r="E117" s="188">
        <v>0</v>
      </c>
      <c r="G117" s="53" t="s">
        <v>251</v>
      </c>
      <c r="H117" s="53">
        <f t="shared" si="5"/>
        <v>10</v>
      </c>
    </row>
    <row r="118" spans="1:8" x14ac:dyDescent="0.35">
      <c r="A118" s="53">
        <f t="shared" si="4"/>
        <v>11</v>
      </c>
      <c r="B118" s="62" t="s">
        <v>144</v>
      </c>
      <c r="C118" s="53"/>
      <c r="D118" s="53"/>
      <c r="E118" s="189">
        <f>SUM(E116:E117)</f>
        <v>0</v>
      </c>
      <c r="F118" s="145"/>
      <c r="G118" s="53" t="s">
        <v>145</v>
      </c>
      <c r="H118" s="53">
        <f t="shared" si="5"/>
        <v>11</v>
      </c>
    </row>
    <row r="119" spans="1:8" x14ac:dyDescent="0.35">
      <c r="A119" s="53">
        <f t="shared" si="4"/>
        <v>12</v>
      </c>
      <c r="B119" s="62"/>
      <c r="C119" s="53"/>
      <c r="D119" s="53"/>
      <c r="E119" s="165"/>
      <c r="G119" s="53"/>
      <c r="H119" s="53">
        <f t="shared" si="5"/>
        <v>12</v>
      </c>
    </row>
    <row r="120" spans="1:8" x14ac:dyDescent="0.35">
      <c r="A120" s="53">
        <f t="shared" si="4"/>
        <v>13</v>
      </c>
      <c r="B120" s="183" t="s">
        <v>146</v>
      </c>
      <c r="E120" s="146"/>
      <c r="G120" s="53"/>
      <c r="H120" s="53">
        <f t="shared" si="5"/>
        <v>13</v>
      </c>
    </row>
    <row r="121" spans="1:8" x14ac:dyDescent="0.35">
      <c r="A121" s="53">
        <f t="shared" si="4"/>
        <v>14</v>
      </c>
      <c r="B121" s="52" t="s">
        <v>147</v>
      </c>
      <c r="C121" s="53"/>
      <c r="D121" s="53"/>
      <c r="E121" s="190">
        <v>-847325.9872005051</v>
      </c>
      <c r="G121" s="53" t="s">
        <v>252</v>
      </c>
      <c r="H121" s="53">
        <f t="shared" si="5"/>
        <v>14</v>
      </c>
    </row>
    <row r="122" spans="1:8" x14ac:dyDescent="0.35">
      <c r="A122" s="53">
        <f t="shared" si="4"/>
        <v>15</v>
      </c>
      <c r="B122" s="52" t="s">
        <v>149</v>
      </c>
      <c r="C122" s="53"/>
      <c r="D122" s="53"/>
      <c r="E122" s="160">
        <v>0</v>
      </c>
      <c r="G122" s="53" t="s">
        <v>253</v>
      </c>
      <c r="H122" s="53">
        <f t="shared" si="5"/>
        <v>15</v>
      </c>
    </row>
    <row r="123" spans="1:8" x14ac:dyDescent="0.35">
      <c r="A123" s="53">
        <f t="shared" si="4"/>
        <v>16</v>
      </c>
      <c r="B123" s="62" t="s">
        <v>151</v>
      </c>
      <c r="C123" s="53"/>
      <c r="D123" s="53"/>
      <c r="E123" s="156">
        <f>SUM(E121:E122)</f>
        <v>-847325.9872005051</v>
      </c>
      <c r="G123" s="53" t="s">
        <v>152</v>
      </c>
      <c r="H123" s="53">
        <f t="shared" si="5"/>
        <v>16</v>
      </c>
    </row>
    <row r="124" spans="1:8" x14ac:dyDescent="0.35">
      <c r="A124" s="53">
        <f t="shared" si="4"/>
        <v>17</v>
      </c>
      <c r="C124" s="53"/>
      <c r="D124" s="53"/>
      <c r="E124" s="191"/>
      <c r="G124" s="53"/>
      <c r="H124" s="53">
        <f t="shared" si="5"/>
        <v>17</v>
      </c>
    </row>
    <row r="125" spans="1:8" x14ac:dyDescent="0.35">
      <c r="A125" s="53">
        <f t="shared" si="4"/>
        <v>18</v>
      </c>
      <c r="B125" s="183" t="s">
        <v>153</v>
      </c>
      <c r="C125" s="53"/>
      <c r="D125" s="53"/>
      <c r="E125" s="191"/>
      <c r="G125" s="53"/>
      <c r="H125" s="53">
        <f t="shared" si="5"/>
        <v>18</v>
      </c>
    </row>
    <row r="126" spans="1:8" x14ac:dyDescent="0.35">
      <c r="A126" s="53">
        <f t="shared" si="4"/>
        <v>19</v>
      </c>
      <c r="B126" s="62" t="s">
        <v>254</v>
      </c>
      <c r="C126" s="53"/>
      <c r="D126" s="53"/>
      <c r="E126" s="184">
        <v>51690.430147887761</v>
      </c>
      <c r="F126" s="145"/>
      <c r="G126" s="53" t="s">
        <v>255</v>
      </c>
      <c r="H126" s="53">
        <f t="shared" si="5"/>
        <v>19</v>
      </c>
    </row>
    <row r="127" spans="1:8" x14ac:dyDescent="0.35">
      <c r="A127" s="53">
        <f t="shared" si="4"/>
        <v>20</v>
      </c>
      <c r="B127" s="62" t="s">
        <v>156</v>
      </c>
      <c r="C127" s="53"/>
      <c r="D127" s="53"/>
      <c r="E127" s="185">
        <v>25891.153919452419</v>
      </c>
      <c r="F127" s="145"/>
      <c r="G127" s="53" t="s">
        <v>256</v>
      </c>
      <c r="H127" s="53">
        <f t="shared" si="5"/>
        <v>20</v>
      </c>
    </row>
    <row r="128" spans="1:8" x14ac:dyDescent="0.35">
      <c r="A128" s="53">
        <f t="shared" si="4"/>
        <v>21</v>
      </c>
      <c r="B128" s="62" t="s">
        <v>158</v>
      </c>
      <c r="C128" s="53"/>
      <c r="D128" s="53"/>
      <c r="E128" s="186">
        <v>19443.451670584953</v>
      </c>
      <c r="F128" s="122"/>
      <c r="G128" s="53" t="s">
        <v>257</v>
      </c>
      <c r="H128" s="53">
        <f t="shared" si="5"/>
        <v>21</v>
      </c>
    </row>
    <row r="129" spans="1:8" x14ac:dyDescent="0.35">
      <c r="A129" s="53">
        <f t="shared" si="4"/>
        <v>22</v>
      </c>
      <c r="B129" s="62" t="s">
        <v>258</v>
      </c>
      <c r="E129" s="156">
        <f>SUM(E126:E128)</f>
        <v>97025.035737925136</v>
      </c>
      <c r="F129" s="122"/>
      <c r="G129" s="53" t="s">
        <v>161</v>
      </c>
      <c r="H129" s="53">
        <f t="shared" si="5"/>
        <v>22</v>
      </c>
    </row>
    <row r="130" spans="1:8" x14ac:dyDescent="0.35">
      <c r="A130" s="53">
        <f t="shared" si="4"/>
        <v>23</v>
      </c>
      <c r="B130" s="62"/>
      <c r="E130" s="193"/>
      <c r="G130" s="53"/>
      <c r="H130" s="53">
        <f t="shared" si="5"/>
        <v>23</v>
      </c>
    </row>
    <row r="131" spans="1:8" x14ac:dyDescent="0.35">
      <c r="A131" s="53">
        <f t="shared" si="4"/>
        <v>24</v>
      </c>
      <c r="B131" s="62" t="s">
        <v>162</v>
      </c>
      <c r="E131" s="194">
        <v>0</v>
      </c>
      <c r="G131" s="53" t="s">
        <v>259</v>
      </c>
      <c r="H131" s="53">
        <f t="shared" si="5"/>
        <v>24</v>
      </c>
    </row>
    <row r="132" spans="1:8" x14ac:dyDescent="0.35">
      <c r="A132" s="53">
        <f t="shared" si="4"/>
        <v>25</v>
      </c>
      <c r="B132" s="62" t="s">
        <v>164</v>
      </c>
      <c r="E132" s="167">
        <v>-7815.1975447212026</v>
      </c>
      <c r="G132" s="53" t="s">
        <v>260</v>
      </c>
      <c r="H132" s="53">
        <f t="shared" si="5"/>
        <v>25</v>
      </c>
    </row>
    <row r="133" spans="1:8" x14ac:dyDescent="0.35">
      <c r="A133" s="53">
        <f t="shared" si="4"/>
        <v>26</v>
      </c>
      <c r="B133" s="62"/>
      <c r="E133" s="193"/>
      <c r="G133" s="53"/>
      <c r="H133" s="53">
        <f t="shared" si="5"/>
        <v>26</v>
      </c>
    </row>
    <row r="134" spans="1:8" ht="16" thickBot="1" x14ac:dyDescent="0.4">
      <c r="A134" s="53">
        <f t="shared" si="4"/>
        <v>27</v>
      </c>
      <c r="B134" s="62" t="s">
        <v>166</v>
      </c>
      <c r="E134" s="206">
        <f>E131+E129+E123+E118+E113+E132</f>
        <v>4342100.5354385236</v>
      </c>
      <c r="F134" s="122"/>
      <c r="G134" s="53" t="s">
        <v>167</v>
      </c>
      <c r="H134" s="53">
        <f t="shared" si="5"/>
        <v>27</v>
      </c>
    </row>
    <row r="135" spans="1:8" ht="16" thickTop="1" x14ac:dyDescent="0.35">
      <c r="A135" s="53">
        <f t="shared" si="4"/>
        <v>28</v>
      </c>
      <c r="B135" s="62"/>
      <c r="E135" s="171"/>
      <c r="G135" s="53"/>
      <c r="H135" s="53">
        <f t="shared" si="5"/>
        <v>28</v>
      </c>
    </row>
    <row r="136" spans="1:8" ht="18" x14ac:dyDescent="0.35">
      <c r="A136" s="53">
        <f t="shared" si="4"/>
        <v>29</v>
      </c>
      <c r="B136" s="71" t="s">
        <v>168</v>
      </c>
      <c r="E136" s="171"/>
      <c r="G136" s="53"/>
      <c r="H136" s="53">
        <f t="shared" si="5"/>
        <v>29</v>
      </c>
    </row>
    <row r="137" spans="1:8" x14ac:dyDescent="0.35">
      <c r="A137" s="53">
        <f t="shared" si="4"/>
        <v>30</v>
      </c>
      <c r="B137" s="62" t="s">
        <v>169</v>
      </c>
      <c r="E137" s="172">
        <f>E184</f>
        <v>0</v>
      </c>
      <c r="G137" s="53" t="s">
        <v>261</v>
      </c>
      <c r="H137" s="53">
        <f t="shared" si="5"/>
        <v>30</v>
      </c>
    </row>
    <row r="138" spans="1:8" x14ac:dyDescent="0.35">
      <c r="A138" s="53">
        <f t="shared" si="4"/>
        <v>31</v>
      </c>
      <c r="B138" s="62" t="s">
        <v>171</v>
      </c>
      <c r="E138" s="160">
        <v>0</v>
      </c>
      <c r="G138" s="53" t="s">
        <v>262</v>
      </c>
      <c r="H138" s="53">
        <f t="shared" si="5"/>
        <v>31</v>
      </c>
    </row>
    <row r="139" spans="1:8" x14ac:dyDescent="0.35">
      <c r="A139" s="53">
        <f t="shared" si="4"/>
        <v>32</v>
      </c>
      <c r="B139" s="52" t="s">
        <v>173</v>
      </c>
      <c r="E139" s="168">
        <f>SUM(E137:E138)</f>
        <v>0</v>
      </c>
      <c r="G139" s="53" t="s">
        <v>174</v>
      </c>
      <c r="H139" s="53">
        <f t="shared" si="5"/>
        <v>32</v>
      </c>
    </row>
    <row r="140" spans="1:8" x14ac:dyDescent="0.35">
      <c r="A140" s="53">
        <f t="shared" si="4"/>
        <v>33</v>
      </c>
      <c r="B140" s="62"/>
      <c r="E140" s="171"/>
      <c r="G140" s="53"/>
      <c r="H140" s="53">
        <f t="shared" si="5"/>
        <v>33</v>
      </c>
    </row>
    <row r="141" spans="1:8" ht="18" x14ac:dyDescent="0.35">
      <c r="A141" s="53">
        <f t="shared" si="4"/>
        <v>34</v>
      </c>
      <c r="B141" s="71" t="s">
        <v>175</v>
      </c>
      <c r="E141" s="171"/>
      <c r="G141" s="53"/>
      <c r="H141" s="53">
        <f t="shared" si="5"/>
        <v>34</v>
      </c>
    </row>
    <row r="142" spans="1:8" x14ac:dyDescent="0.35">
      <c r="A142" s="53">
        <f t="shared" si="4"/>
        <v>35</v>
      </c>
      <c r="B142" s="62" t="s">
        <v>176</v>
      </c>
      <c r="E142" s="172">
        <v>0</v>
      </c>
      <c r="G142" s="53" t="s">
        <v>263</v>
      </c>
      <c r="H142" s="53">
        <f t="shared" si="5"/>
        <v>35</v>
      </c>
    </row>
    <row r="143" spans="1:8" x14ac:dyDescent="0.35">
      <c r="A143" s="53">
        <f t="shared" si="4"/>
        <v>36</v>
      </c>
      <c r="B143" s="52" t="s">
        <v>178</v>
      </c>
      <c r="E143" s="161">
        <v>0</v>
      </c>
      <c r="G143" s="53" t="s">
        <v>264</v>
      </c>
      <c r="H143" s="53">
        <f t="shared" si="5"/>
        <v>36</v>
      </c>
    </row>
    <row r="144" spans="1:8" x14ac:dyDescent="0.35">
      <c r="A144" s="53">
        <f t="shared" si="4"/>
        <v>37</v>
      </c>
      <c r="B144" s="52" t="s">
        <v>180</v>
      </c>
      <c r="E144" s="168">
        <f>SUM(E142:E143)</f>
        <v>0</v>
      </c>
      <c r="G144" s="53" t="s">
        <v>181</v>
      </c>
      <c r="H144" s="53">
        <f t="shared" si="5"/>
        <v>37</v>
      </c>
    </row>
    <row r="145" spans="1:8" x14ac:dyDescent="0.35">
      <c r="A145" s="53">
        <f t="shared" si="4"/>
        <v>38</v>
      </c>
      <c r="B145" s="62"/>
      <c r="E145" s="171"/>
      <c r="G145" s="53"/>
      <c r="H145" s="53">
        <f t="shared" si="5"/>
        <v>38</v>
      </c>
    </row>
    <row r="146" spans="1:8" ht="18" x14ac:dyDescent="0.35">
      <c r="A146" s="53">
        <f t="shared" si="4"/>
        <v>39</v>
      </c>
      <c r="B146" s="71" t="s">
        <v>182</v>
      </c>
      <c r="E146" s="172">
        <v>0</v>
      </c>
      <c r="G146" s="53" t="s">
        <v>265</v>
      </c>
      <c r="H146" s="53">
        <f>H145+1</f>
        <v>39</v>
      </c>
    </row>
    <row r="147" spans="1:8" x14ac:dyDescent="0.35">
      <c r="A147" s="53"/>
      <c r="B147" s="62"/>
      <c r="E147" s="171"/>
      <c r="G147" s="53"/>
    </row>
    <row r="148" spans="1:8" ht="18" x14ac:dyDescent="0.35">
      <c r="A148" s="70">
        <v>1</v>
      </c>
      <c r="B148" s="52" t="s">
        <v>125</v>
      </c>
      <c r="E148" s="171"/>
      <c r="G148" s="53"/>
    </row>
    <row r="149" spans="1:8" x14ac:dyDescent="0.35">
      <c r="A149" s="53"/>
      <c r="B149" s="122"/>
      <c r="E149" s="171"/>
      <c r="G149" s="53"/>
    </row>
    <row r="150" spans="1:8" x14ac:dyDescent="0.35">
      <c r="A150" s="53"/>
      <c r="B150" s="122"/>
      <c r="E150" s="171"/>
      <c r="G150" s="53"/>
    </row>
    <row r="151" spans="1:8" x14ac:dyDescent="0.35">
      <c r="A151" s="53"/>
      <c r="B151" s="605" t="s">
        <v>215</v>
      </c>
      <c r="C151" s="604"/>
      <c r="D151" s="604"/>
      <c r="E151" s="604"/>
      <c r="F151" s="604"/>
      <c r="G151" s="604"/>
    </row>
    <row r="152" spans="1:8" x14ac:dyDescent="0.35">
      <c r="A152" s="53" t="s">
        <v>34</v>
      </c>
      <c r="B152" s="605" t="s">
        <v>216</v>
      </c>
      <c r="C152" s="604"/>
      <c r="D152" s="604"/>
      <c r="E152" s="604"/>
      <c r="F152" s="604"/>
      <c r="G152" s="604"/>
    </row>
    <row r="153" spans="1:8" ht="18" x14ac:dyDescent="0.35">
      <c r="A153" s="53"/>
      <c r="B153" s="605" t="s">
        <v>217</v>
      </c>
      <c r="C153" s="606"/>
      <c r="D153" s="606"/>
      <c r="E153" s="606"/>
      <c r="F153" s="606"/>
      <c r="G153" s="606"/>
    </row>
    <row r="154" spans="1:8" x14ac:dyDescent="0.35">
      <c r="A154" s="53"/>
      <c r="B154" s="601" t="str">
        <f>B5</f>
        <v>For the Base Period &amp; True-Up Period Ending December 31, 2019</v>
      </c>
      <c r="C154" s="602"/>
      <c r="D154" s="602"/>
      <c r="E154" s="602"/>
      <c r="F154" s="602"/>
      <c r="G154" s="602"/>
    </row>
    <row r="155" spans="1:8" x14ac:dyDescent="0.35">
      <c r="A155" s="53"/>
      <c r="B155" s="603" t="s">
        <v>3</v>
      </c>
      <c r="C155" s="604"/>
      <c r="D155" s="604"/>
      <c r="E155" s="604"/>
      <c r="F155" s="604"/>
      <c r="G155" s="604"/>
    </row>
    <row r="156" spans="1:8" x14ac:dyDescent="0.35">
      <c r="A156" s="53"/>
      <c r="B156" s="196"/>
    </row>
    <row r="157" spans="1:8" x14ac:dyDescent="0.35">
      <c r="A157" s="53" t="s">
        <v>4</v>
      </c>
      <c r="E157" s="129"/>
      <c r="G157" s="53"/>
      <c r="H157" s="53" t="s">
        <v>4</v>
      </c>
    </row>
    <row r="158" spans="1:8" x14ac:dyDescent="0.35">
      <c r="A158" s="53" t="s">
        <v>5</v>
      </c>
      <c r="B158" s="122" t="s">
        <v>34</v>
      </c>
      <c r="E158" s="130" t="s">
        <v>7</v>
      </c>
      <c r="G158" s="131" t="s">
        <v>8</v>
      </c>
      <c r="H158" s="53" t="s">
        <v>5</v>
      </c>
    </row>
    <row r="159" spans="1:8" x14ac:dyDescent="0.35">
      <c r="A159" s="132"/>
      <c r="B159" s="71" t="s">
        <v>266</v>
      </c>
      <c r="E159" s="129"/>
      <c r="G159" s="53"/>
      <c r="H159" s="132"/>
    </row>
    <row r="160" spans="1:8" x14ac:dyDescent="0.35">
      <c r="A160" s="53">
        <v>1</v>
      </c>
      <c r="B160" s="183" t="s">
        <v>185</v>
      </c>
      <c r="E160" s="129"/>
      <c r="G160" s="53"/>
      <c r="H160" s="53">
        <f>A160</f>
        <v>1</v>
      </c>
    </row>
    <row r="161" spans="1:10" x14ac:dyDescent="0.35">
      <c r="A161" s="53">
        <f t="shared" ref="A161:A184" si="6">A160+1</f>
        <v>2</v>
      </c>
      <c r="B161" s="62" t="s">
        <v>129</v>
      </c>
      <c r="E161" s="158">
        <v>6183368.5495546153</v>
      </c>
      <c r="F161" s="145"/>
      <c r="G161" s="53" t="s">
        <v>267</v>
      </c>
      <c r="H161" s="53">
        <f t="shared" ref="H161:H184" si="7">H160+1</f>
        <v>2</v>
      </c>
      <c r="I161" s="197"/>
    </row>
    <row r="162" spans="1:10" x14ac:dyDescent="0.35">
      <c r="A162" s="53">
        <f t="shared" si="6"/>
        <v>3</v>
      </c>
      <c r="B162" s="62" t="s">
        <v>268</v>
      </c>
      <c r="E162" s="198">
        <v>34212.001588648454</v>
      </c>
      <c r="F162" s="145"/>
      <c r="G162" s="53" t="s">
        <v>269</v>
      </c>
      <c r="H162" s="53">
        <f t="shared" si="7"/>
        <v>3</v>
      </c>
      <c r="I162" s="199"/>
    </row>
    <row r="163" spans="1:10" x14ac:dyDescent="0.35">
      <c r="A163" s="53">
        <f t="shared" si="6"/>
        <v>4</v>
      </c>
      <c r="B163" s="62" t="s">
        <v>133</v>
      </c>
      <c r="E163" s="198">
        <v>88554.078751476511</v>
      </c>
      <c r="F163" s="122"/>
      <c r="G163" s="53" t="s">
        <v>270</v>
      </c>
      <c r="H163" s="53">
        <f t="shared" si="7"/>
        <v>4</v>
      </c>
      <c r="J163" s="200"/>
    </row>
    <row r="164" spans="1:10" x14ac:dyDescent="0.35">
      <c r="A164" s="53">
        <f t="shared" si="6"/>
        <v>5</v>
      </c>
      <c r="B164" s="62" t="s">
        <v>135</v>
      </c>
      <c r="C164" s="53"/>
      <c r="D164" s="53"/>
      <c r="E164" s="150">
        <v>198410.61716708422</v>
      </c>
      <c r="F164" s="122"/>
      <c r="G164" s="53" t="s">
        <v>271</v>
      </c>
      <c r="H164" s="53">
        <f t="shared" si="7"/>
        <v>5</v>
      </c>
    </row>
    <row r="165" spans="1:10" x14ac:dyDescent="0.35">
      <c r="A165" s="53">
        <f t="shared" si="6"/>
        <v>6</v>
      </c>
      <c r="B165" s="62" t="s">
        <v>190</v>
      </c>
      <c r="E165" s="156">
        <f>SUM(E161:E164)</f>
        <v>6504545.2470618244</v>
      </c>
      <c r="F165" s="145"/>
      <c r="G165" s="53" t="s">
        <v>138</v>
      </c>
      <c r="H165" s="53">
        <f t="shared" si="7"/>
        <v>6</v>
      </c>
      <c r="I165" s="199"/>
    </row>
    <row r="166" spans="1:10" x14ac:dyDescent="0.35">
      <c r="A166" s="53">
        <f t="shared" si="6"/>
        <v>7</v>
      </c>
      <c r="C166" s="53"/>
      <c r="D166" s="53"/>
      <c r="E166" s="129"/>
      <c r="G166" s="53"/>
      <c r="H166" s="53">
        <f t="shared" si="7"/>
        <v>7</v>
      </c>
    </row>
    <row r="167" spans="1:10" x14ac:dyDescent="0.35">
      <c r="A167" s="53">
        <f t="shared" si="6"/>
        <v>8</v>
      </c>
      <c r="B167" s="118" t="s">
        <v>191</v>
      </c>
      <c r="E167" s="129"/>
      <c r="G167" s="53"/>
      <c r="H167" s="53">
        <f t="shared" si="7"/>
        <v>8</v>
      </c>
    </row>
    <row r="168" spans="1:10" x14ac:dyDescent="0.35">
      <c r="A168" s="53">
        <f t="shared" si="6"/>
        <v>9</v>
      </c>
      <c r="B168" s="52" t="s">
        <v>192</v>
      </c>
      <c r="E168" s="158">
        <v>1250473.6949792309</v>
      </c>
      <c r="F168" s="145"/>
      <c r="G168" s="53" t="s">
        <v>272</v>
      </c>
      <c r="H168" s="53">
        <f t="shared" si="7"/>
        <v>9</v>
      </c>
    </row>
    <row r="169" spans="1:10" x14ac:dyDescent="0.35">
      <c r="A169" s="53">
        <f t="shared" si="6"/>
        <v>10</v>
      </c>
      <c r="B169" s="52" t="s">
        <v>194</v>
      </c>
      <c r="E169" s="198">
        <v>26297.304104723829</v>
      </c>
      <c r="F169" s="145"/>
      <c r="G169" s="53" t="s">
        <v>273</v>
      </c>
      <c r="H169" s="53">
        <f t="shared" si="7"/>
        <v>10</v>
      </c>
    </row>
    <row r="170" spans="1:10" x14ac:dyDescent="0.35">
      <c r="A170" s="53">
        <f t="shared" si="6"/>
        <v>11</v>
      </c>
      <c r="B170" s="52" t="s">
        <v>196</v>
      </c>
      <c r="E170" s="198">
        <v>33196.964046977439</v>
      </c>
      <c r="F170" s="122"/>
      <c r="G170" s="53" t="s">
        <v>274</v>
      </c>
      <c r="H170" s="53">
        <f t="shared" si="7"/>
        <v>11</v>
      </c>
    </row>
    <row r="171" spans="1:10" x14ac:dyDescent="0.35">
      <c r="A171" s="53">
        <f t="shared" si="6"/>
        <v>12</v>
      </c>
      <c r="B171" s="52" t="s">
        <v>198</v>
      </c>
      <c r="E171" s="150">
        <v>94360.599485067214</v>
      </c>
      <c r="F171" s="122"/>
      <c r="G171" s="53" t="s">
        <v>275</v>
      </c>
      <c r="H171" s="53">
        <f t="shared" si="7"/>
        <v>12</v>
      </c>
    </row>
    <row r="172" spans="1:10" x14ac:dyDescent="0.35">
      <c r="A172" s="53">
        <f t="shared" si="6"/>
        <v>13</v>
      </c>
      <c r="B172" s="199" t="s">
        <v>200</v>
      </c>
      <c r="C172" s="199"/>
      <c r="D172" s="199"/>
      <c r="E172" s="201">
        <f>SUM(E168:E171)</f>
        <v>1404328.5626159993</v>
      </c>
      <c r="F172" s="145"/>
      <c r="G172" s="53" t="s">
        <v>201</v>
      </c>
      <c r="H172" s="53">
        <f t="shared" si="7"/>
        <v>13</v>
      </c>
    </row>
    <row r="173" spans="1:10" x14ac:dyDescent="0.35">
      <c r="A173" s="53">
        <f t="shared" si="6"/>
        <v>14</v>
      </c>
      <c r="B173" s="199"/>
      <c r="C173" s="199"/>
      <c r="D173" s="199"/>
      <c r="E173" s="191"/>
      <c r="G173" s="53"/>
      <c r="H173" s="53">
        <f t="shared" si="7"/>
        <v>14</v>
      </c>
    </row>
    <row r="174" spans="1:10" x14ac:dyDescent="0.35">
      <c r="A174" s="53">
        <f t="shared" si="6"/>
        <v>15</v>
      </c>
      <c r="B174" s="183" t="s">
        <v>128</v>
      </c>
      <c r="C174" s="199"/>
      <c r="D174" s="199"/>
      <c r="E174" s="191"/>
      <c r="G174" s="53"/>
      <c r="H174" s="53">
        <f t="shared" si="7"/>
        <v>15</v>
      </c>
    </row>
    <row r="175" spans="1:10" x14ac:dyDescent="0.35">
      <c r="A175" s="53">
        <f t="shared" si="6"/>
        <v>16</v>
      </c>
      <c r="B175" s="62" t="s">
        <v>129</v>
      </c>
      <c r="E175" s="171">
        <f>+E161-E168</f>
        <v>4932894.8545753844</v>
      </c>
      <c r="F175" s="145"/>
      <c r="G175" s="53" t="s">
        <v>276</v>
      </c>
      <c r="H175" s="53">
        <f t="shared" si="7"/>
        <v>16</v>
      </c>
    </row>
    <row r="176" spans="1:10" x14ac:dyDescent="0.35">
      <c r="A176" s="53">
        <f t="shared" si="6"/>
        <v>17</v>
      </c>
      <c r="B176" s="62" t="s">
        <v>131</v>
      </c>
      <c r="E176" s="149">
        <f>+E162-E169</f>
        <v>7914.697483924625</v>
      </c>
      <c r="F176" s="145"/>
      <c r="G176" s="53" t="s">
        <v>277</v>
      </c>
      <c r="H176" s="53">
        <f t="shared" si="7"/>
        <v>17</v>
      </c>
    </row>
    <row r="177" spans="1:8" x14ac:dyDescent="0.35">
      <c r="A177" s="53">
        <f t="shared" si="6"/>
        <v>18</v>
      </c>
      <c r="B177" s="62" t="s">
        <v>133</v>
      </c>
      <c r="E177" s="149">
        <f>+E163-E170</f>
        <v>55357.114704499072</v>
      </c>
      <c r="G177" s="53" t="s">
        <v>278</v>
      </c>
      <c r="H177" s="53">
        <f t="shared" si="7"/>
        <v>18</v>
      </c>
    </row>
    <row r="178" spans="1:8" x14ac:dyDescent="0.35">
      <c r="A178" s="53">
        <f t="shared" si="6"/>
        <v>19</v>
      </c>
      <c r="B178" s="62" t="s">
        <v>135</v>
      </c>
      <c r="E178" s="202">
        <f>+E164-E171</f>
        <v>104050.017682017</v>
      </c>
      <c r="G178" s="53" t="s">
        <v>279</v>
      </c>
      <c r="H178" s="53">
        <f t="shared" si="7"/>
        <v>19</v>
      </c>
    </row>
    <row r="179" spans="1:8" ht="16" thickBot="1" x14ac:dyDescent="0.4">
      <c r="A179" s="53">
        <f t="shared" si="6"/>
        <v>20</v>
      </c>
      <c r="B179" s="52" t="s">
        <v>137</v>
      </c>
      <c r="E179" s="203">
        <f>SUM(E175:E178)</f>
        <v>5100216.6844458245</v>
      </c>
      <c r="F179" s="145"/>
      <c r="G179" s="53" t="s">
        <v>206</v>
      </c>
      <c r="H179" s="53">
        <f t="shared" si="7"/>
        <v>20</v>
      </c>
    </row>
    <row r="180" spans="1:8" ht="16" thickTop="1" x14ac:dyDescent="0.35">
      <c r="A180" s="53">
        <f t="shared" si="6"/>
        <v>21</v>
      </c>
      <c r="E180" s="171"/>
      <c r="G180" s="53"/>
      <c r="H180" s="53">
        <f t="shared" si="7"/>
        <v>21</v>
      </c>
    </row>
    <row r="181" spans="1:8" ht="18" x14ac:dyDescent="0.35">
      <c r="A181" s="53">
        <f t="shared" si="6"/>
        <v>22</v>
      </c>
      <c r="B181" s="71" t="s">
        <v>207</v>
      </c>
      <c r="E181" s="171"/>
      <c r="G181" s="53"/>
      <c r="H181" s="53">
        <f t="shared" si="7"/>
        <v>22</v>
      </c>
    </row>
    <row r="182" spans="1:8" x14ac:dyDescent="0.35">
      <c r="A182" s="53">
        <f t="shared" si="6"/>
        <v>23</v>
      </c>
      <c r="B182" s="62" t="s">
        <v>208</v>
      </c>
      <c r="E182" s="172">
        <v>0</v>
      </c>
      <c r="G182" s="53" t="s">
        <v>280</v>
      </c>
      <c r="H182" s="53">
        <f t="shared" si="7"/>
        <v>23</v>
      </c>
    </row>
    <row r="183" spans="1:8" x14ac:dyDescent="0.35">
      <c r="A183" s="53">
        <f t="shared" si="6"/>
        <v>24</v>
      </c>
      <c r="B183" s="52" t="s">
        <v>210</v>
      </c>
      <c r="E183" s="161">
        <v>0</v>
      </c>
      <c r="G183" s="53" t="s">
        <v>281</v>
      </c>
      <c r="H183" s="53">
        <f t="shared" si="7"/>
        <v>24</v>
      </c>
    </row>
    <row r="184" spans="1:8" ht="16" thickBot="1" x14ac:dyDescent="0.4">
      <c r="A184" s="53">
        <f t="shared" si="6"/>
        <v>25</v>
      </c>
      <c r="B184" s="62" t="s">
        <v>212</v>
      </c>
      <c r="E184" s="204">
        <f>E182-E183</f>
        <v>0</v>
      </c>
      <c r="G184" s="53" t="s">
        <v>213</v>
      </c>
      <c r="H184" s="53">
        <f t="shared" si="7"/>
        <v>25</v>
      </c>
    </row>
    <row r="185" spans="1:8" ht="16" thickTop="1" x14ac:dyDescent="0.35">
      <c r="A185" s="53"/>
      <c r="B185" s="62"/>
      <c r="E185" s="171"/>
      <c r="G185" s="53"/>
    </row>
    <row r="186" spans="1:8" ht="18" x14ac:dyDescent="0.35">
      <c r="A186" s="70">
        <v>1</v>
      </c>
      <c r="B186" s="52" t="s">
        <v>214</v>
      </c>
      <c r="E186" s="171"/>
      <c r="G186" s="53"/>
    </row>
    <row r="187" spans="1:8" x14ac:dyDescent="0.35">
      <c r="E187" s="205"/>
    </row>
  </sheetData>
  <mergeCells count="20">
    <mergeCell ref="B45:G45"/>
    <mergeCell ref="B2:G2"/>
    <mergeCell ref="B3:G3"/>
    <mergeCell ref="B4:G4"/>
    <mergeCell ref="B5:G5"/>
    <mergeCell ref="B6:G6"/>
    <mergeCell ref="B154:G154"/>
    <mergeCell ref="B155:G155"/>
    <mergeCell ref="B153:G153"/>
    <mergeCell ref="B46:G46"/>
    <mergeCell ref="B47:G47"/>
    <mergeCell ref="B48:G48"/>
    <mergeCell ref="B49:G49"/>
    <mergeCell ref="B99:G99"/>
    <mergeCell ref="B100:G100"/>
    <mergeCell ref="B101:G101"/>
    <mergeCell ref="B102:G102"/>
    <mergeCell ref="B103:G103"/>
    <mergeCell ref="B151:G151"/>
    <mergeCell ref="B152:G152"/>
  </mergeCells>
  <printOptions horizontalCentered="1"/>
  <pageMargins left="0" right="0" top="0.5" bottom="0.5" header="0.35" footer="0.25"/>
  <pageSetup scale="50" orientation="portrait" r:id="rId1"/>
  <headerFooter scaleWithDoc="0" alignWithMargins="0">
    <oddHeader>&amp;C&amp;"Times New Roman,Bold"&amp;10AS FILED</oddHeader>
    <oddFooter>&amp;CPage 4.&amp;P&amp;R&amp;F</oddFooter>
  </headerFooter>
  <rowBreaks count="3" manualBreakCount="3">
    <brk id="43" max="16383" man="1"/>
    <brk id="97" max="16383" man="1"/>
    <brk id="1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2980-FB6B-435A-97D6-27BDB77D68CC}">
  <sheetPr codeName="Sheet5">
    <pageSetUpPr fitToPage="1"/>
  </sheetPr>
  <dimension ref="A1:J66"/>
  <sheetViews>
    <sheetView tabSelected="1" topLeftCell="A10" zoomScale="80" zoomScaleNormal="80" workbookViewId="0">
      <selection activeCell="A64" sqref="A64"/>
    </sheetView>
  </sheetViews>
  <sheetFormatPr defaultColWidth="8.81640625" defaultRowHeight="15.5" x14ac:dyDescent="0.35"/>
  <cols>
    <col min="1" max="1" width="5.1796875" style="210" bestFit="1" customWidth="1"/>
    <col min="2" max="2" width="78.453125" style="211" customWidth="1"/>
    <col min="3" max="3" width="21.1796875" style="211" customWidth="1"/>
    <col min="4" max="4" width="1.54296875" style="211" customWidth="1"/>
    <col min="5" max="5" width="16.81640625" style="211" customWidth="1"/>
    <col min="6" max="6" width="1.54296875" style="211" customWidth="1"/>
    <col min="7" max="7" width="43.54296875" style="211" customWidth="1"/>
    <col min="8" max="8" width="5.1796875" style="211" customWidth="1"/>
    <col min="9" max="9" width="8.81640625" style="211"/>
    <col min="10" max="10" width="20.453125" style="211" bestFit="1" customWidth="1"/>
    <col min="11" max="16384" width="8.81640625" style="211"/>
  </cols>
  <sheetData>
    <row r="1" spans="1:8" x14ac:dyDescent="0.35">
      <c r="G1" s="212"/>
      <c r="H1" s="210"/>
    </row>
    <row r="2" spans="1:8" x14ac:dyDescent="0.35">
      <c r="B2" s="608" t="s">
        <v>215</v>
      </c>
      <c r="C2" s="608"/>
      <c r="D2" s="608"/>
      <c r="E2" s="608"/>
      <c r="F2" s="608"/>
      <c r="G2" s="608"/>
      <c r="H2" s="210"/>
    </row>
    <row r="3" spans="1:8" x14ac:dyDescent="0.35">
      <c r="B3" s="608" t="s">
        <v>285</v>
      </c>
      <c r="C3" s="608"/>
      <c r="D3" s="608"/>
      <c r="E3" s="608"/>
      <c r="F3" s="608"/>
      <c r="G3" s="608"/>
      <c r="H3" s="210"/>
    </row>
    <row r="4" spans="1:8" x14ac:dyDescent="0.35">
      <c r="B4" s="608" t="s">
        <v>286</v>
      </c>
      <c r="C4" s="608"/>
      <c r="D4" s="608"/>
      <c r="E4" s="608"/>
      <c r="F4" s="608"/>
      <c r="G4" s="608"/>
      <c r="H4" s="210"/>
    </row>
    <row r="5" spans="1:8" x14ac:dyDescent="0.35">
      <c r="B5" s="609" t="s">
        <v>287</v>
      </c>
      <c r="C5" s="609"/>
      <c r="D5" s="609"/>
      <c r="E5" s="609"/>
      <c r="F5" s="609"/>
      <c r="G5" s="609"/>
      <c r="H5" s="210"/>
    </row>
    <row r="6" spans="1:8" x14ac:dyDescent="0.35">
      <c r="B6" s="610" t="s">
        <v>3</v>
      </c>
      <c r="C6" s="611"/>
      <c r="D6" s="611"/>
      <c r="E6" s="611"/>
      <c r="F6" s="611"/>
      <c r="G6" s="611"/>
      <c r="H6" s="210"/>
    </row>
    <row r="7" spans="1:8" x14ac:dyDescent="0.35">
      <c r="B7" s="210"/>
      <c r="C7" s="210"/>
      <c r="D7" s="210"/>
      <c r="E7" s="213"/>
      <c r="F7" s="213"/>
      <c r="G7" s="210"/>
      <c r="H7" s="210"/>
    </row>
    <row r="8" spans="1:8" x14ac:dyDescent="0.35">
      <c r="A8" s="210" t="s">
        <v>4</v>
      </c>
      <c r="B8" s="548"/>
      <c r="C8" s="210" t="s">
        <v>288</v>
      </c>
      <c r="D8" s="548"/>
      <c r="E8" s="214"/>
      <c r="F8" s="214"/>
      <c r="G8" s="210"/>
      <c r="H8" s="210" t="s">
        <v>4</v>
      </c>
    </row>
    <row r="9" spans="1:8" x14ac:dyDescent="0.35">
      <c r="A9" s="210" t="s">
        <v>5</v>
      </c>
      <c r="C9" s="215" t="s">
        <v>289</v>
      </c>
      <c r="D9" s="548"/>
      <c r="E9" s="216" t="s">
        <v>7</v>
      </c>
      <c r="F9" s="214"/>
      <c r="G9" s="215" t="s">
        <v>8</v>
      </c>
      <c r="H9" s="210" t="s">
        <v>5</v>
      </c>
    </row>
    <row r="10" spans="1:8" x14ac:dyDescent="0.35">
      <c r="C10" s="548"/>
      <c r="D10" s="548"/>
      <c r="E10" s="214"/>
      <c r="F10" s="214"/>
      <c r="G10" s="210"/>
      <c r="H10" s="210"/>
    </row>
    <row r="11" spans="1:8" x14ac:dyDescent="0.35">
      <c r="A11" s="210">
        <v>1</v>
      </c>
      <c r="B11" s="217" t="s">
        <v>290</v>
      </c>
      <c r="G11" s="210"/>
      <c r="H11" s="210">
        <f>A11</f>
        <v>1</v>
      </c>
    </row>
    <row r="12" spans="1:8" x14ac:dyDescent="0.35">
      <c r="A12" s="210">
        <f>+A11+1</f>
        <v>2</v>
      </c>
      <c r="B12" s="211" t="s">
        <v>291</v>
      </c>
      <c r="C12" s="210" t="s">
        <v>292</v>
      </c>
      <c r="E12" s="218">
        <f>'Pg5.1A Revised AH-1'!D43</f>
        <v>96429.353000000003</v>
      </c>
      <c r="G12" s="210" t="s">
        <v>293</v>
      </c>
      <c r="H12" s="210">
        <f t="shared" ref="H12:H49" si="0">+H11+1</f>
        <v>2</v>
      </c>
    </row>
    <row r="13" spans="1:8" x14ac:dyDescent="0.35">
      <c r="A13" s="210">
        <f t="shared" ref="A13:A62" si="1">+A12+1</f>
        <v>3</v>
      </c>
      <c r="B13" s="219" t="s">
        <v>294</v>
      </c>
      <c r="E13" s="220"/>
      <c r="G13" s="210"/>
      <c r="H13" s="210">
        <f t="shared" si="0"/>
        <v>3</v>
      </c>
    </row>
    <row r="14" spans="1:8" x14ac:dyDescent="0.35">
      <c r="A14" s="210">
        <f t="shared" si="1"/>
        <v>4</v>
      </c>
      <c r="B14" s="211" t="s">
        <v>295</v>
      </c>
      <c r="C14" s="221"/>
      <c r="E14" s="222">
        <f>-'Pg5.1A Revised AH-1'!E48</f>
        <v>-5093.2442599999995</v>
      </c>
      <c r="G14" s="210" t="s">
        <v>296</v>
      </c>
      <c r="H14" s="210">
        <f t="shared" si="0"/>
        <v>4</v>
      </c>
    </row>
    <row r="15" spans="1:8" x14ac:dyDescent="0.35">
      <c r="A15" s="210">
        <f t="shared" si="1"/>
        <v>5</v>
      </c>
      <c r="B15" s="211" t="s">
        <v>297</v>
      </c>
      <c r="E15" s="222">
        <f>-'Pg5.1A Revised AH-1'!E49</f>
        <v>-2418.7412800000002</v>
      </c>
      <c r="G15" s="210" t="s">
        <v>298</v>
      </c>
      <c r="H15" s="210">
        <f t="shared" si="0"/>
        <v>5</v>
      </c>
    </row>
    <row r="16" spans="1:8" x14ac:dyDescent="0.35">
      <c r="A16" s="210">
        <f t="shared" si="1"/>
        <v>6</v>
      </c>
      <c r="B16" s="211" t="s">
        <v>299</v>
      </c>
      <c r="E16" s="222">
        <f>-'Pg5.1A Revised AH-1'!E50</f>
        <v>0</v>
      </c>
      <c r="G16" s="210" t="s">
        <v>300</v>
      </c>
      <c r="H16" s="210">
        <f t="shared" si="0"/>
        <v>6</v>
      </c>
    </row>
    <row r="17" spans="1:10" x14ac:dyDescent="0.35">
      <c r="A17" s="210">
        <f t="shared" si="1"/>
        <v>7</v>
      </c>
      <c r="B17" s="211" t="s">
        <v>301</v>
      </c>
      <c r="E17" s="222">
        <f>-'Pg5.1A Revised AH-1'!E55</f>
        <v>-3186.0456599999998</v>
      </c>
      <c r="G17" s="210" t="s">
        <v>302</v>
      </c>
      <c r="H17" s="210">
        <f t="shared" si="0"/>
        <v>7</v>
      </c>
    </row>
    <row r="18" spans="1:10" x14ac:dyDescent="0.35">
      <c r="A18" s="210">
        <f t="shared" si="1"/>
        <v>8</v>
      </c>
      <c r="B18" s="211" t="s">
        <v>303</v>
      </c>
      <c r="E18" s="223">
        <f>-'Pg5.1A Revised AH-1'!E47</f>
        <v>-132.11562000000001</v>
      </c>
      <c r="G18" s="210" t="s">
        <v>304</v>
      </c>
      <c r="H18" s="210">
        <f t="shared" si="0"/>
        <v>8</v>
      </c>
    </row>
    <row r="19" spans="1:10" x14ac:dyDescent="0.35">
      <c r="A19" s="210">
        <f t="shared" si="1"/>
        <v>9</v>
      </c>
      <c r="B19" s="211" t="s">
        <v>305</v>
      </c>
      <c r="E19" s="224">
        <f>'Pg5.1A Revised AH-1'!H43</f>
        <v>-2294.73</v>
      </c>
      <c r="F19" s="42" t="s">
        <v>39</v>
      </c>
      <c r="G19" s="210" t="s">
        <v>306</v>
      </c>
      <c r="H19" s="210">
        <f t="shared" si="0"/>
        <v>9</v>
      </c>
    </row>
    <row r="20" spans="1:10" x14ac:dyDescent="0.35">
      <c r="A20" s="210">
        <f t="shared" si="1"/>
        <v>10</v>
      </c>
      <c r="B20" s="211" t="s">
        <v>307</v>
      </c>
      <c r="E20" s="225">
        <f>SUM(E12:E19)</f>
        <v>83304.476179999998</v>
      </c>
      <c r="F20" s="42" t="s">
        <v>39</v>
      </c>
      <c r="G20" s="142" t="s">
        <v>308</v>
      </c>
      <c r="H20" s="210">
        <f t="shared" si="0"/>
        <v>10</v>
      </c>
    </row>
    <row r="21" spans="1:10" x14ac:dyDescent="0.35">
      <c r="A21" s="210">
        <f t="shared" si="1"/>
        <v>11</v>
      </c>
      <c r="E21" s="208"/>
      <c r="H21" s="210">
        <f t="shared" si="0"/>
        <v>11</v>
      </c>
    </row>
    <row r="22" spans="1:10" x14ac:dyDescent="0.35">
      <c r="A22" s="210">
        <f t="shared" si="1"/>
        <v>12</v>
      </c>
      <c r="B22" s="226" t="s">
        <v>309</v>
      </c>
      <c r="E22" s="227"/>
      <c r="G22" s="210"/>
      <c r="H22" s="210">
        <f t="shared" si="0"/>
        <v>12</v>
      </c>
    </row>
    <row r="23" spans="1:10" x14ac:dyDescent="0.35">
      <c r="A23" s="210">
        <f t="shared" si="1"/>
        <v>13</v>
      </c>
      <c r="B23" s="219" t="s">
        <v>310</v>
      </c>
      <c r="C23" s="210" t="s">
        <v>311</v>
      </c>
      <c r="E23" s="218">
        <f>'Pg5.1B Revised AH-2'!D27</f>
        <v>498352.98056</v>
      </c>
      <c r="G23" s="210" t="s">
        <v>312</v>
      </c>
      <c r="H23" s="210">
        <f t="shared" si="0"/>
        <v>13</v>
      </c>
    </row>
    <row r="24" spans="1:10" x14ac:dyDescent="0.35">
      <c r="A24" s="210">
        <f t="shared" si="1"/>
        <v>14</v>
      </c>
      <c r="B24" s="219" t="s">
        <v>313</v>
      </c>
      <c r="E24" s="227" t="s">
        <v>34</v>
      </c>
      <c r="G24" s="210"/>
      <c r="H24" s="210">
        <f t="shared" si="0"/>
        <v>14</v>
      </c>
    </row>
    <row r="25" spans="1:10" x14ac:dyDescent="0.35">
      <c r="A25" s="210">
        <f t="shared" si="1"/>
        <v>15</v>
      </c>
      <c r="B25" s="219" t="s">
        <v>314</v>
      </c>
      <c r="E25" s="222">
        <f>-'Pg5.1B Revised AH-2'!D48</f>
        <v>-576.97162999999989</v>
      </c>
      <c r="G25" s="210" t="s">
        <v>315</v>
      </c>
      <c r="H25" s="210">
        <f t="shared" si="0"/>
        <v>15</v>
      </c>
    </row>
    <row r="26" spans="1:10" ht="31" x14ac:dyDescent="0.35">
      <c r="A26" s="210">
        <f t="shared" si="1"/>
        <v>16</v>
      </c>
      <c r="B26" s="219" t="s">
        <v>316</v>
      </c>
      <c r="E26" s="222">
        <f>-('Pg5.1B Revised AH-2'!E31+'Pg5.1B Revised AH-2'!E32+'Pg5.1B Revised AH-2'!D34+'Pg5.1B Revised AH-2'!D35+'Pg5.1B Revised AH-2'!D38+'Pg5.1B Revised AH-2'!D41+'Pg5.1B Revised AH-2'!D47+'Pg5.1B Revised AH-2'!D50)</f>
        <v>-2631.6195512479999</v>
      </c>
      <c r="G26" s="228" t="s">
        <v>317</v>
      </c>
      <c r="H26" s="210">
        <f t="shared" si="0"/>
        <v>16</v>
      </c>
      <c r="I26" s="229"/>
      <c r="J26" s="230"/>
    </row>
    <row r="27" spans="1:10" ht="18" x14ac:dyDescent="0.35">
      <c r="A27" s="210">
        <f t="shared" si="1"/>
        <v>17</v>
      </c>
      <c r="B27" s="219" t="s">
        <v>318</v>
      </c>
      <c r="E27" s="222">
        <f>-'Pg5.1B Revised AH-2'!D42</f>
        <v>0</v>
      </c>
      <c r="G27" s="210" t="s">
        <v>319</v>
      </c>
      <c r="H27" s="210">
        <f t="shared" si="0"/>
        <v>17</v>
      </c>
      <c r="I27" s="229"/>
      <c r="J27" s="231"/>
    </row>
    <row r="28" spans="1:10" x14ac:dyDescent="0.35">
      <c r="A28" s="210">
        <f t="shared" si="1"/>
        <v>18</v>
      </c>
      <c r="B28" s="219" t="s">
        <v>320</v>
      </c>
      <c r="E28" s="222">
        <f>-'Pg5.1B Revised AH-2'!D43</f>
        <v>-1212.49029</v>
      </c>
      <c r="G28" s="210" t="s">
        <v>321</v>
      </c>
      <c r="H28" s="210">
        <f t="shared" si="0"/>
        <v>18</v>
      </c>
    </row>
    <row r="29" spans="1:10" x14ac:dyDescent="0.35">
      <c r="A29" s="210">
        <f t="shared" si="1"/>
        <v>19</v>
      </c>
      <c r="B29" s="219" t="s">
        <v>322</v>
      </c>
      <c r="E29" s="222">
        <f>-'Pg5.1B Revised AH-2'!D44</f>
        <v>-9790.5481500000005</v>
      </c>
      <c r="G29" s="210" t="s">
        <v>323</v>
      </c>
      <c r="H29" s="210">
        <f t="shared" si="0"/>
        <v>19</v>
      </c>
      <c r="J29" s="230"/>
    </row>
    <row r="30" spans="1:10" x14ac:dyDescent="0.35">
      <c r="A30" s="210">
        <f t="shared" si="1"/>
        <v>20</v>
      </c>
      <c r="B30" s="219" t="s">
        <v>324</v>
      </c>
      <c r="E30" s="222">
        <f>-'Pg5.1B Revised AH-2'!D36</f>
        <v>0</v>
      </c>
      <c r="G30" s="228" t="s">
        <v>325</v>
      </c>
      <c r="H30" s="210">
        <f t="shared" si="0"/>
        <v>20</v>
      </c>
      <c r="I30" s="229"/>
      <c r="J30" s="230"/>
    </row>
    <row r="31" spans="1:10" x14ac:dyDescent="0.35">
      <c r="A31" s="210">
        <f t="shared" si="1"/>
        <v>21</v>
      </c>
      <c r="B31" s="219" t="s">
        <v>326</v>
      </c>
      <c r="E31" s="222">
        <f>-'Pg5.1B Revised AH-2'!E46</f>
        <v>-112.52861999999999</v>
      </c>
      <c r="G31" s="228" t="s">
        <v>327</v>
      </c>
      <c r="H31" s="210">
        <f t="shared" si="0"/>
        <v>21</v>
      </c>
      <c r="I31" s="229"/>
    </row>
    <row r="32" spans="1:10" x14ac:dyDescent="0.35">
      <c r="A32" s="210">
        <f t="shared" si="1"/>
        <v>22</v>
      </c>
      <c r="B32" s="219" t="s">
        <v>328</v>
      </c>
      <c r="E32" s="222">
        <f>-'Pg5.1B Revised AH-2'!E40</f>
        <v>-127615.79129000001</v>
      </c>
      <c r="G32" s="210" t="s">
        <v>329</v>
      </c>
      <c r="H32" s="210">
        <f t="shared" si="0"/>
        <v>22</v>
      </c>
    </row>
    <row r="33" spans="1:9" x14ac:dyDescent="0.35">
      <c r="A33" s="210">
        <f t="shared" si="1"/>
        <v>23</v>
      </c>
      <c r="B33" s="219" t="s">
        <v>330</v>
      </c>
      <c r="E33" s="222">
        <f>-'Pg5.1B Revised AH-2'!D49</f>
        <v>-39.414587415</v>
      </c>
      <c r="G33" s="228" t="s">
        <v>331</v>
      </c>
      <c r="H33" s="210">
        <f t="shared" si="0"/>
        <v>23</v>
      </c>
    </row>
    <row r="34" spans="1:9" x14ac:dyDescent="0.35">
      <c r="A34" s="210">
        <f t="shared" si="1"/>
        <v>24</v>
      </c>
      <c r="B34" s="219" t="s">
        <v>332</v>
      </c>
      <c r="E34" s="222">
        <f>-('Pg5.1B Revised AH-2'!D33+'Pg5.1B Revised AH-2'!D45)</f>
        <v>-205.81998999999999</v>
      </c>
      <c r="G34" s="228" t="s">
        <v>333</v>
      </c>
      <c r="H34" s="210">
        <f t="shared" si="0"/>
        <v>24</v>
      </c>
    </row>
    <row r="35" spans="1:9" x14ac:dyDescent="0.35">
      <c r="A35" s="210">
        <f t="shared" si="1"/>
        <v>25</v>
      </c>
      <c r="B35" s="219" t="s">
        <v>334</v>
      </c>
      <c r="E35" s="222">
        <f>-('Pg5.1B Revised AH-2'!D37+'Pg5.1B Revised AH-2'!D39)</f>
        <v>-250.33335</v>
      </c>
      <c r="G35" s="228" t="s">
        <v>335</v>
      </c>
      <c r="H35" s="210">
        <f t="shared" si="0"/>
        <v>25</v>
      </c>
    </row>
    <row r="36" spans="1:9" x14ac:dyDescent="0.35">
      <c r="A36" s="210">
        <f t="shared" si="1"/>
        <v>26</v>
      </c>
      <c r="B36" s="211" t="s">
        <v>305</v>
      </c>
      <c r="E36" s="232">
        <f>'Pg5.1B Revised AH-2'!H27</f>
        <v>-1040.0990000000002</v>
      </c>
      <c r="F36" s="42" t="s">
        <v>39</v>
      </c>
      <c r="G36" s="210" t="s">
        <v>336</v>
      </c>
      <c r="H36" s="210">
        <f t="shared" si="0"/>
        <v>26</v>
      </c>
    </row>
    <row r="37" spans="1:9" x14ac:dyDescent="0.35">
      <c r="A37" s="210">
        <f t="shared" si="1"/>
        <v>27</v>
      </c>
      <c r="B37" s="219" t="s">
        <v>337</v>
      </c>
      <c r="E37" s="233">
        <f>SUM(E23:E36)</f>
        <v>354877.36410133709</v>
      </c>
      <c r="F37" s="42" t="s">
        <v>39</v>
      </c>
      <c r="G37" s="210" t="s">
        <v>338</v>
      </c>
      <c r="H37" s="210">
        <f t="shared" si="0"/>
        <v>27</v>
      </c>
    </row>
    <row r="38" spans="1:9" x14ac:dyDescent="0.35">
      <c r="A38" s="210">
        <f t="shared" si="1"/>
        <v>28</v>
      </c>
      <c r="B38" s="219" t="s">
        <v>339</v>
      </c>
      <c r="E38" s="234">
        <f>-'Pg5.1B Revised AH-2'!F16</f>
        <v>-8305.6217899999992</v>
      </c>
      <c r="G38" s="210" t="s">
        <v>340</v>
      </c>
      <c r="H38" s="210">
        <f t="shared" si="0"/>
        <v>28</v>
      </c>
    </row>
    <row r="39" spans="1:9" x14ac:dyDescent="0.35">
      <c r="A39" s="210">
        <f t="shared" si="1"/>
        <v>29</v>
      </c>
      <c r="B39" s="219" t="s">
        <v>341</v>
      </c>
      <c r="E39" s="233">
        <f>SUM(E37:E38)</f>
        <v>346571.74231133709</v>
      </c>
      <c r="F39" s="42" t="s">
        <v>39</v>
      </c>
      <c r="G39" s="210" t="s">
        <v>342</v>
      </c>
      <c r="H39" s="210">
        <f t="shared" si="0"/>
        <v>29</v>
      </c>
    </row>
    <row r="40" spans="1:9" x14ac:dyDescent="0.35">
      <c r="A40" s="210">
        <f t="shared" si="1"/>
        <v>30</v>
      </c>
      <c r="B40" s="211" t="s">
        <v>343</v>
      </c>
      <c r="E40" s="235">
        <v>0.19152200422115631</v>
      </c>
      <c r="G40" s="142" t="s">
        <v>344</v>
      </c>
      <c r="H40" s="210">
        <f t="shared" si="0"/>
        <v>30</v>
      </c>
    </row>
    <row r="41" spans="1:9" x14ac:dyDescent="0.35">
      <c r="A41" s="210">
        <f t="shared" si="1"/>
        <v>31</v>
      </c>
      <c r="B41" s="219" t="s">
        <v>345</v>
      </c>
      <c r="E41" s="236">
        <f>E39*E40</f>
        <v>66376.114693885393</v>
      </c>
      <c r="F41" s="42" t="s">
        <v>39</v>
      </c>
      <c r="G41" s="210" t="s">
        <v>346</v>
      </c>
      <c r="H41" s="210">
        <f t="shared" si="0"/>
        <v>31</v>
      </c>
    </row>
    <row r="42" spans="1:9" x14ac:dyDescent="0.35">
      <c r="A42" s="210">
        <f t="shared" si="1"/>
        <v>32</v>
      </c>
      <c r="B42" s="211" t="s">
        <v>347</v>
      </c>
      <c r="E42" s="237">
        <f>E62*(-E38)</f>
        <v>3373.0906457258002</v>
      </c>
      <c r="F42" s="42"/>
      <c r="G42" s="210" t="s">
        <v>348</v>
      </c>
      <c r="H42" s="210">
        <f t="shared" si="0"/>
        <v>32</v>
      </c>
    </row>
    <row r="43" spans="1:9" ht="16" thickBot="1" x14ac:dyDescent="0.4">
      <c r="A43" s="210">
        <f t="shared" si="1"/>
        <v>33</v>
      </c>
      <c r="B43" s="219" t="s">
        <v>349</v>
      </c>
      <c r="E43" s="238">
        <f>E42+E41</f>
        <v>69749.205339611188</v>
      </c>
      <c r="F43" s="42" t="s">
        <v>39</v>
      </c>
      <c r="G43" s="210" t="s">
        <v>350</v>
      </c>
      <c r="H43" s="210">
        <f t="shared" si="0"/>
        <v>33</v>
      </c>
      <c r="I43" s="219"/>
    </row>
    <row r="44" spans="1:9" ht="16" thickTop="1" x14ac:dyDescent="0.35">
      <c r="A44" s="210">
        <f t="shared" si="1"/>
        <v>34</v>
      </c>
      <c r="B44" s="239"/>
      <c r="E44" s="240"/>
      <c r="G44" s="210"/>
      <c r="H44" s="210">
        <f t="shared" si="0"/>
        <v>34</v>
      </c>
    </row>
    <row r="45" spans="1:9" x14ac:dyDescent="0.35">
      <c r="A45" s="210">
        <f t="shared" si="1"/>
        <v>35</v>
      </c>
      <c r="B45" s="226" t="s">
        <v>351</v>
      </c>
      <c r="E45" s="241"/>
      <c r="G45" s="210"/>
      <c r="H45" s="210">
        <f t="shared" si="0"/>
        <v>35</v>
      </c>
    </row>
    <row r="46" spans="1:9" x14ac:dyDescent="0.35">
      <c r="A46" s="210">
        <f t="shared" si="1"/>
        <v>36</v>
      </c>
      <c r="B46" s="219" t="s">
        <v>352</v>
      </c>
      <c r="E46" s="144">
        <v>6183368.5495546153</v>
      </c>
      <c r="G46" s="210" t="s">
        <v>353</v>
      </c>
      <c r="H46" s="210">
        <f t="shared" si="0"/>
        <v>36</v>
      </c>
    </row>
    <row r="47" spans="1:9" x14ac:dyDescent="0.35">
      <c r="A47" s="210">
        <f t="shared" si="1"/>
        <v>37</v>
      </c>
      <c r="B47" s="219" t="s">
        <v>131</v>
      </c>
      <c r="E47" s="242">
        <v>0</v>
      </c>
      <c r="G47" s="210" t="s">
        <v>242</v>
      </c>
      <c r="H47" s="210">
        <f t="shared" si="0"/>
        <v>37</v>
      </c>
    </row>
    <row r="48" spans="1:9" x14ac:dyDescent="0.35">
      <c r="A48" s="210">
        <f t="shared" si="1"/>
        <v>38</v>
      </c>
      <c r="B48" s="219" t="s">
        <v>133</v>
      </c>
      <c r="E48" s="243">
        <v>88554.078751476511</v>
      </c>
      <c r="G48" s="244" t="s">
        <v>270</v>
      </c>
      <c r="H48" s="210">
        <f t="shared" si="0"/>
        <v>38</v>
      </c>
    </row>
    <row r="49" spans="1:9" x14ac:dyDescent="0.35">
      <c r="A49" s="210">
        <f t="shared" si="1"/>
        <v>39</v>
      </c>
      <c r="B49" s="219" t="s">
        <v>354</v>
      </c>
      <c r="E49" s="161">
        <v>198410.61716708422</v>
      </c>
      <c r="G49" s="244" t="s">
        <v>271</v>
      </c>
      <c r="H49" s="210">
        <f t="shared" si="0"/>
        <v>39</v>
      </c>
    </row>
    <row r="50" spans="1:9" ht="16" thickBot="1" x14ac:dyDescent="0.4">
      <c r="A50" s="210">
        <f t="shared" si="1"/>
        <v>40</v>
      </c>
      <c r="B50" s="219" t="s">
        <v>355</v>
      </c>
      <c r="E50" s="245">
        <f>SUM(E46:E49)</f>
        <v>6470333.2454731762</v>
      </c>
      <c r="G50" s="210" t="s">
        <v>356</v>
      </c>
      <c r="H50" s="210">
        <f>+H49+1</f>
        <v>40</v>
      </c>
      <c r="I50" s="246"/>
    </row>
    <row r="51" spans="1:9" ht="16" thickTop="1" x14ac:dyDescent="0.35">
      <c r="A51" s="210">
        <f t="shared" si="1"/>
        <v>41</v>
      </c>
      <c r="B51" s="239"/>
      <c r="E51" s="208"/>
      <c r="G51" s="210"/>
      <c r="H51" s="210">
        <f>+H50+1</f>
        <v>41</v>
      </c>
    </row>
    <row r="52" spans="1:9" x14ac:dyDescent="0.35">
      <c r="A52" s="210">
        <f t="shared" si="1"/>
        <v>42</v>
      </c>
      <c r="B52" s="219" t="s">
        <v>357</v>
      </c>
      <c r="E52" s="247">
        <f>E46</f>
        <v>6183368.5495546153</v>
      </c>
      <c r="G52" s="248" t="s">
        <v>358</v>
      </c>
      <c r="H52" s="210">
        <f>+H51+1</f>
        <v>42</v>
      </c>
    </row>
    <row r="53" spans="1:9" x14ac:dyDescent="0.35">
      <c r="A53" s="210">
        <f t="shared" si="1"/>
        <v>43</v>
      </c>
      <c r="B53" s="219" t="s">
        <v>359</v>
      </c>
      <c r="E53" s="147">
        <v>549685.71425000008</v>
      </c>
      <c r="G53" s="244" t="s">
        <v>360</v>
      </c>
      <c r="H53" s="210">
        <f t="shared" ref="H53:H60" si="2">+H52+1</f>
        <v>43</v>
      </c>
    </row>
    <row r="54" spans="1:9" x14ac:dyDescent="0.35">
      <c r="A54" s="210">
        <f t="shared" si="1"/>
        <v>44</v>
      </c>
      <c r="B54" s="219" t="s">
        <v>361</v>
      </c>
      <c r="E54" s="242">
        <v>0</v>
      </c>
      <c r="G54" s="210" t="s">
        <v>242</v>
      </c>
      <c r="H54" s="210">
        <f t="shared" si="2"/>
        <v>44</v>
      </c>
    </row>
    <row r="55" spans="1:9" x14ac:dyDescent="0.35">
      <c r="A55" s="210">
        <f t="shared" si="1"/>
        <v>45</v>
      </c>
      <c r="B55" s="219" t="s">
        <v>362</v>
      </c>
      <c r="E55" s="147">
        <v>523339.62325846136</v>
      </c>
      <c r="G55" s="244" t="s">
        <v>363</v>
      </c>
      <c r="H55" s="210">
        <f t="shared" si="2"/>
        <v>45</v>
      </c>
    </row>
    <row r="56" spans="1:9" x14ac:dyDescent="0.35">
      <c r="A56" s="210">
        <f t="shared" si="1"/>
        <v>46</v>
      </c>
      <c r="B56" s="219" t="s">
        <v>364</v>
      </c>
      <c r="E56" s="147">
        <v>7177286.0903050005</v>
      </c>
      <c r="G56" s="244" t="s">
        <v>365</v>
      </c>
      <c r="H56" s="210">
        <f t="shared" si="2"/>
        <v>46</v>
      </c>
    </row>
    <row r="57" spans="1:9" x14ac:dyDescent="0.35">
      <c r="A57" s="210">
        <f t="shared" si="1"/>
        <v>47</v>
      </c>
      <c r="B57" s="219" t="s">
        <v>131</v>
      </c>
      <c r="E57" s="242">
        <v>0</v>
      </c>
      <c r="G57" s="210" t="s">
        <v>242</v>
      </c>
      <c r="H57" s="210">
        <f t="shared" si="2"/>
        <v>47</v>
      </c>
    </row>
    <row r="58" spans="1:9" x14ac:dyDescent="0.35">
      <c r="A58" s="210">
        <f t="shared" si="1"/>
        <v>48</v>
      </c>
      <c r="B58" s="219" t="s">
        <v>366</v>
      </c>
      <c r="E58" s="147">
        <v>462370.25928999996</v>
      </c>
      <c r="G58" s="244" t="s">
        <v>367</v>
      </c>
      <c r="H58" s="210">
        <f t="shared" si="2"/>
        <v>48</v>
      </c>
    </row>
    <row r="59" spans="1:9" x14ac:dyDescent="0.35">
      <c r="A59" s="210">
        <f t="shared" si="1"/>
        <v>49</v>
      </c>
      <c r="B59" s="219" t="s">
        <v>368</v>
      </c>
      <c r="E59" s="249">
        <v>1035967.7363128124</v>
      </c>
      <c r="G59" s="244" t="s">
        <v>369</v>
      </c>
      <c r="H59" s="210">
        <f t="shared" si="2"/>
        <v>49</v>
      </c>
    </row>
    <row r="60" spans="1:9" ht="16" thickBot="1" x14ac:dyDescent="0.4">
      <c r="A60" s="210">
        <f t="shared" si="1"/>
        <v>50</v>
      </c>
      <c r="B60" s="219" t="s">
        <v>370</v>
      </c>
      <c r="E60" s="250">
        <f>SUM(E52:E59)</f>
        <v>15932017.97297089</v>
      </c>
      <c r="G60" s="210" t="s">
        <v>371</v>
      </c>
      <c r="H60" s="210">
        <f t="shared" si="2"/>
        <v>50</v>
      </c>
      <c r="I60" s="246"/>
    </row>
    <row r="61" spans="1:9" ht="16" thickTop="1" x14ac:dyDescent="0.35">
      <c r="A61" s="210">
        <f t="shared" si="1"/>
        <v>51</v>
      </c>
      <c r="E61" s="251"/>
      <c r="G61" s="210"/>
      <c r="H61" s="210">
        <f>+H60+1</f>
        <v>51</v>
      </c>
    </row>
    <row r="62" spans="1:9" ht="16" thickBot="1" x14ac:dyDescent="0.4">
      <c r="A62" s="210">
        <f t="shared" si="1"/>
        <v>52</v>
      </c>
      <c r="B62" s="219" t="s">
        <v>372</v>
      </c>
      <c r="E62" s="252">
        <f>E50/E60</f>
        <v>0.40612138753862043</v>
      </c>
      <c r="G62" s="210" t="s">
        <v>373</v>
      </c>
      <c r="H62" s="210">
        <f>+H61+1</f>
        <v>52</v>
      </c>
      <c r="I62" s="246"/>
    </row>
    <row r="63" spans="1:9" ht="16" thickTop="1" x14ac:dyDescent="0.35">
      <c r="B63" s="219" t="s">
        <v>34</v>
      </c>
      <c r="E63" s="253"/>
      <c r="G63" s="210"/>
      <c r="H63" s="210"/>
    </row>
    <row r="64" spans="1:9" x14ac:dyDescent="0.35">
      <c r="A64" s="621" t="s">
        <v>39</v>
      </c>
      <c r="B64" s="33" t="s">
        <v>235</v>
      </c>
      <c r="E64" s="253"/>
      <c r="F64" s="253"/>
      <c r="G64" s="210"/>
      <c r="H64" s="210"/>
    </row>
    <row r="65" spans="1:8" ht="18" x14ac:dyDescent="0.35">
      <c r="A65" s="255">
        <v>1</v>
      </c>
      <c r="B65" s="219" t="s">
        <v>374</v>
      </c>
      <c r="H65" s="210"/>
    </row>
    <row r="66" spans="1:8" x14ac:dyDescent="0.35">
      <c r="B66" s="219" t="s">
        <v>375</v>
      </c>
      <c r="E66" s="251"/>
      <c r="F66" s="251"/>
      <c r="G66" s="210"/>
      <c r="H66" s="210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Roman,Bold"&amp;10REVISED</oddHeader>
    <oddFooter>&amp;CPage 5.1&amp;R&amp;F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F1AF2-5E75-4BB9-993B-B665F4E89C45}">
  <sheetPr codeName="Sheet6">
    <pageSetUpPr fitToPage="1"/>
  </sheetPr>
  <dimension ref="A1:N417"/>
  <sheetViews>
    <sheetView zoomScale="80" zoomScaleNormal="80" workbookViewId="0">
      <selection activeCell="C53" sqref="C53"/>
    </sheetView>
  </sheetViews>
  <sheetFormatPr defaultColWidth="13.453125" defaultRowHeight="15.5" x14ac:dyDescent="0.35"/>
  <cols>
    <col min="1" max="1" width="5.26953125" style="210" bestFit="1" customWidth="1"/>
    <col min="2" max="2" width="7.26953125" style="256" customWidth="1"/>
    <col min="3" max="3" width="63.1796875" style="211" customWidth="1"/>
    <col min="4" max="4" width="12.54296875" style="211" customWidth="1"/>
    <col min="5" max="5" width="12.54296875" style="208" customWidth="1"/>
    <col min="6" max="6" width="12.54296875" style="211" customWidth="1"/>
    <col min="7" max="7" width="1.54296875" style="211" customWidth="1"/>
    <col min="8" max="8" width="15.453125" style="211" bestFit="1" customWidth="1"/>
    <col min="9" max="9" width="12.54296875" style="211" customWidth="1"/>
    <col min="10" max="10" width="29.7265625" style="211" customWidth="1"/>
    <col min="11" max="11" width="5.26953125" style="210" bestFit="1" customWidth="1"/>
    <col min="12" max="16384" width="13.453125" style="211"/>
  </cols>
  <sheetData>
    <row r="1" spans="1:14" x14ac:dyDescent="0.35">
      <c r="A1" s="548"/>
      <c r="J1" s="212"/>
    </row>
    <row r="2" spans="1:14" s="549" customFormat="1" ht="15" x14ac:dyDescent="0.35">
      <c r="A2" s="548"/>
      <c r="B2" s="608" t="s">
        <v>215</v>
      </c>
      <c r="C2" s="608"/>
      <c r="D2" s="608"/>
      <c r="E2" s="608"/>
      <c r="F2" s="608"/>
      <c r="G2" s="608"/>
      <c r="H2" s="608"/>
      <c r="I2" s="608"/>
      <c r="J2" s="608"/>
      <c r="K2" s="548"/>
    </row>
    <row r="3" spans="1:14" s="549" customFormat="1" ht="15" x14ac:dyDescent="0.35">
      <c r="A3" s="548"/>
      <c r="B3" s="608" t="s">
        <v>376</v>
      </c>
      <c r="C3" s="608"/>
      <c r="D3" s="608"/>
      <c r="E3" s="608"/>
      <c r="F3" s="608"/>
      <c r="G3" s="608"/>
      <c r="H3" s="608"/>
      <c r="I3" s="608"/>
      <c r="J3" s="608"/>
      <c r="K3" s="548"/>
    </row>
    <row r="4" spans="1:14" s="549" customFormat="1" ht="15" x14ac:dyDescent="0.35">
      <c r="A4" s="548"/>
      <c r="B4" s="608" t="s">
        <v>377</v>
      </c>
      <c r="C4" s="608"/>
      <c r="D4" s="608"/>
      <c r="E4" s="608"/>
      <c r="F4" s="608"/>
      <c r="G4" s="608"/>
      <c r="H4" s="608"/>
      <c r="I4" s="608"/>
      <c r="J4" s="608"/>
      <c r="K4" s="548"/>
    </row>
    <row r="5" spans="1:14" s="549" customFormat="1" ht="15" x14ac:dyDescent="0.35">
      <c r="A5" s="548"/>
      <c r="B5" s="610" t="s">
        <v>3</v>
      </c>
      <c r="C5" s="610"/>
      <c r="D5" s="610"/>
      <c r="E5" s="610"/>
      <c r="F5" s="610"/>
      <c r="G5" s="610"/>
      <c r="H5" s="610"/>
      <c r="I5" s="610"/>
      <c r="J5" s="610"/>
      <c r="K5" s="548"/>
    </row>
    <row r="6" spans="1:14" ht="16" thickBot="1" x14ac:dyDescent="0.4">
      <c r="A6" s="257"/>
      <c r="B6" s="258"/>
      <c r="C6" s="259"/>
      <c r="D6" s="259"/>
      <c r="E6" s="260"/>
      <c r="F6" s="259"/>
      <c r="G6" s="259"/>
      <c r="H6" s="259"/>
      <c r="I6" s="259"/>
      <c r="J6" s="259"/>
    </row>
    <row r="7" spans="1:14" s="549" customFormat="1" ht="18" x14ac:dyDescent="0.3">
      <c r="A7" s="210"/>
      <c r="B7" s="261"/>
      <c r="C7" s="262"/>
      <c r="D7" s="263" t="s">
        <v>378</v>
      </c>
      <c r="E7" s="264" t="s">
        <v>379</v>
      </c>
      <c r="F7" s="263" t="s">
        <v>380</v>
      </c>
      <c r="G7" s="265"/>
      <c r="H7" s="266" t="s">
        <v>381</v>
      </c>
      <c r="I7" s="266" t="s">
        <v>382</v>
      </c>
      <c r="J7" s="267"/>
      <c r="K7" s="210"/>
    </row>
    <row r="8" spans="1:14" s="549" customFormat="1" x14ac:dyDescent="0.3">
      <c r="A8" s="210" t="s">
        <v>4</v>
      </c>
      <c r="B8" s="268" t="s">
        <v>383</v>
      </c>
      <c r="D8" s="269" t="s">
        <v>384</v>
      </c>
      <c r="E8" s="269" t="s">
        <v>385</v>
      </c>
      <c r="F8" s="269" t="s">
        <v>384</v>
      </c>
      <c r="G8" s="548"/>
      <c r="H8" s="270" t="s">
        <v>386</v>
      </c>
      <c r="I8" s="270" t="s">
        <v>387</v>
      </c>
      <c r="J8" s="271"/>
      <c r="K8" s="210" t="s">
        <v>4</v>
      </c>
    </row>
    <row r="9" spans="1:14" s="549" customFormat="1" x14ac:dyDescent="0.3">
      <c r="A9" s="210" t="s">
        <v>5</v>
      </c>
      <c r="B9" s="272" t="s">
        <v>388</v>
      </c>
      <c r="C9" s="273" t="s">
        <v>6</v>
      </c>
      <c r="D9" s="274" t="s">
        <v>389</v>
      </c>
      <c r="E9" s="274" t="s">
        <v>390</v>
      </c>
      <c r="F9" s="274" t="s">
        <v>391</v>
      </c>
      <c r="G9" s="273"/>
      <c r="H9" s="275" t="s">
        <v>392</v>
      </c>
      <c r="I9" s="275" t="s">
        <v>393</v>
      </c>
      <c r="J9" s="276" t="s">
        <v>8</v>
      </c>
      <c r="K9" s="210" t="s">
        <v>5</v>
      </c>
    </row>
    <row r="10" spans="1:14" s="549" customFormat="1" x14ac:dyDescent="0.35">
      <c r="A10" s="210"/>
      <c r="B10" s="277"/>
      <c r="C10" s="278" t="s">
        <v>394</v>
      </c>
      <c r="D10" s="279"/>
      <c r="E10" s="279"/>
      <c r="F10" s="279"/>
      <c r="G10" s="280"/>
      <c r="H10" s="281"/>
      <c r="I10" s="282"/>
      <c r="J10" s="283"/>
      <c r="K10" s="210"/>
      <c r="M10" s="211"/>
      <c r="N10" s="211"/>
    </row>
    <row r="11" spans="1:14" s="549" customFormat="1" x14ac:dyDescent="0.35">
      <c r="A11" s="210">
        <v>1</v>
      </c>
      <c r="B11" s="284">
        <v>560</v>
      </c>
      <c r="C11" s="211" t="s">
        <v>395</v>
      </c>
      <c r="D11" s="285">
        <v>7279.0110000000004</v>
      </c>
      <c r="E11" s="285">
        <f>E47</f>
        <v>132.11562000000001</v>
      </c>
      <c r="F11" s="285">
        <f t="shared" ref="F11:F25" si="0">D11-E11</f>
        <v>7146.8953800000008</v>
      </c>
      <c r="G11" s="207"/>
      <c r="H11" s="286"/>
      <c r="I11" s="285">
        <f t="shared" ref="I11:I25" si="1">F11+H11</f>
        <v>7146.8953800000008</v>
      </c>
      <c r="J11" s="287" t="s">
        <v>396</v>
      </c>
      <c r="K11" s="210">
        <f>A11</f>
        <v>1</v>
      </c>
      <c r="M11" s="211"/>
      <c r="N11" s="211"/>
    </row>
    <row r="12" spans="1:14" s="549" customFormat="1" x14ac:dyDescent="0.35">
      <c r="A12" s="210">
        <f>A11+1</f>
        <v>2</v>
      </c>
      <c r="B12" s="284">
        <v>561.1</v>
      </c>
      <c r="C12" s="211" t="s">
        <v>397</v>
      </c>
      <c r="D12" s="288">
        <v>668.024</v>
      </c>
      <c r="E12" s="288">
        <v>0</v>
      </c>
      <c r="F12" s="288">
        <f t="shared" si="0"/>
        <v>668.024</v>
      </c>
      <c r="G12" s="289"/>
      <c r="H12" s="290"/>
      <c r="I12" s="288">
        <f t="shared" si="1"/>
        <v>668.024</v>
      </c>
      <c r="J12" s="287" t="s">
        <v>398</v>
      </c>
      <c r="K12" s="210">
        <f>K11+1</f>
        <v>2</v>
      </c>
      <c r="M12" s="211"/>
      <c r="N12" s="211"/>
    </row>
    <row r="13" spans="1:14" s="549" customFormat="1" x14ac:dyDescent="0.35">
      <c r="A13" s="210">
        <f t="shared" ref="A13:A62" si="2">A12+1</f>
        <v>3</v>
      </c>
      <c r="B13" s="284">
        <v>561.20000000000005</v>
      </c>
      <c r="C13" s="211" t="s">
        <v>399</v>
      </c>
      <c r="D13" s="288">
        <v>1351.6510000000001</v>
      </c>
      <c r="E13" s="288">
        <v>0</v>
      </c>
      <c r="F13" s="288">
        <f t="shared" si="0"/>
        <v>1351.6510000000001</v>
      </c>
      <c r="G13" s="289"/>
      <c r="H13" s="290"/>
      <c r="I13" s="288">
        <f t="shared" si="1"/>
        <v>1351.6510000000001</v>
      </c>
      <c r="J13" s="287" t="s">
        <v>400</v>
      </c>
      <c r="K13" s="210">
        <f t="shared" ref="K13:K62" si="3">K12+1</f>
        <v>3</v>
      </c>
      <c r="M13" s="211"/>
      <c r="N13" s="211"/>
    </row>
    <row r="14" spans="1:14" s="549" customFormat="1" x14ac:dyDescent="0.35">
      <c r="A14" s="210">
        <f t="shared" si="2"/>
        <v>4</v>
      </c>
      <c r="B14" s="284">
        <v>561.29999999999995</v>
      </c>
      <c r="C14" s="211" t="s">
        <v>401</v>
      </c>
      <c r="D14" s="288">
        <v>182.67599999999999</v>
      </c>
      <c r="E14" s="288">
        <v>0</v>
      </c>
      <c r="F14" s="288">
        <f t="shared" si="0"/>
        <v>182.67599999999999</v>
      </c>
      <c r="G14" s="289"/>
      <c r="H14" s="290"/>
      <c r="I14" s="288">
        <f t="shared" si="1"/>
        <v>182.67599999999999</v>
      </c>
      <c r="J14" s="287" t="s">
        <v>402</v>
      </c>
      <c r="K14" s="210">
        <f t="shared" si="3"/>
        <v>4</v>
      </c>
      <c r="M14" s="211"/>
      <c r="N14" s="211"/>
    </row>
    <row r="15" spans="1:14" s="549" customFormat="1" ht="17.25" customHeight="1" x14ac:dyDescent="0.35">
      <c r="A15" s="210">
        <f t="shared" si="2"/>
        <v>5</v>
      </c>
      <c r="B15" s="284">
        <v>561.4</v>
      </c>
      <c r="C15" s="211" t="s">
        <v>403</v>
      </c>
      <c r="D15" s="288">
        <v>5093.2439999999997</v>
      </c>
      <c r="E15" s="289">
        <f>E48</f>
        <v>5093.2442599999995</v>
      </c>
      <c r="F15" s="288">
        <f t="shared" si="0"/>
        <v>-2.5999999979831045E-4</v>
      </c>
      <c r="G15" s="289"/>
      <c r="H15" s="290"/>
      <c r="I15" s="288">
        <f t="shared" si="1"/>
        <v>-2.5999999979831045E-4</v>
      </c>
      <c r="J15" s="287" t="s">
        <v>404</v>
      </c>
      <c r="K15" s="210">
        <f t="shared" si="3"/>
        <v>5</v>
      </c>
      <c r="M15" s="211"/>
      <c r="N15" s="211"/>
    </row>
    <row r="16" spans="1:14" s="549" customFormat="1" x14ac:dyDescent="0.35">
      <c r="A16" s="210">
        <f t="shared" si="2"/>
        <v>6</v>
      </c>
      <c r="B16" s="284">
        <v>561.5</v>
      </c>
      <c r="C16" s="211" t="s">
        <v>405</v>
      </c>
      <c r="D16" s="288">
        <v>94.123999999999995</v>
      </c>
      <c r="E16" s="288">
        <v>0</v>
      </c>
      <c r="F16" s="288">
        <f t="shared" si="0"/>
        <v>94.123999999999995</v>
      </c>
      <c r="G16" s="289"/>
      <c r="H16" s="290"/>
      <c r="I16" s="288">
        <f t="shared" si="1"/>
        <v>94.123999999999995</v>
      </c>
      <c r="J16" s="287" t="s">
        <v>406</v>
      </c>
      <c r="K16" s="210">
        <f t="shared" si="3"/>
        <v>6</v>
      </c>
      <c r="M16" s="211"/>
      <c r="N16" s="211"/>
    </row>
    <row r="17" spans="1:14" s="549" customFormat="1" x14ac:dyDescent="0.35">
      <c r="A17" s="210">
        <f t="shared" si="2"/>
        <v>7</v>
      </c>
      <c r="B17" s="284">
        <v>561.6</v>
      </c>
      <c r="C17" s="211" t="s">
        <v>407</v>
      </c>
      <c r="D17" s="288">
        <v>0</v>
      </c>
      <c r="E17" s="288">
        <v>0</v>
      </c>
      <c r="F17" s="288">
        <f t="shared" si="0"/>
        <v>0</v>
      </c>
      <c r="G17" s="289"/>
      <c r="H17" s="290"/>
      <c r="I17" s="288">
        <f t="shared" si="1"/>
        <v>0</v>
      </c>
      <c r="J17" s="287" t="s">
        <v>408</v>
      </c>
      <c r="K17" s="210">
        <f t="shared" si="3"/>
        <v>7</v>
      </c>
      <c r="M17" s="211"/>
      <c r="N17" s="211"/>
    </row>
    <row r="18" spans="1:14" s="549" customFormat="1" x14ac:dyDescent="0.35">
      <c r="A18" s="210">
        <f t="shared" si="2"/>
        <v>8</v>
      </c>
      <c r="B18" s="284">
        <v>561.70000000000005</v>
      </c>
      <c r="C18" s="211" t="s">
        <v>409</v>
      </c>
      <c r="D18" s="288">
        <v>2.0979999999999999</v>
      </c>
      <c r="E18" s="288">
        <v>0</v>
      </c>
      <c r="F18" s="288">
        <f t="shared" si="0"/>
        <v>2.0979999999999999</v>
      </c>
      <c r="G18" s="291"/>
      <c r="H18" s="290"/>
      <c r="I18" s="288">
        <f t="shared" si="1"/>
        <v>2.0979999999999999</v>
      </c>
      <c r="J18" s="287" t="s">
        <v>410</v>
      </c>
      <c r="K18" s="210">
        <f t="shared" si="3"/>
        <v>8</v>
      </c>
      <c r="M18" s="211"/>
      <c r="N18" s="211"/>
    </row>
    <row r="19" spans="1:14" s="549" customFormat="1" x14ac:dyDescent="0.35">
      <c r="A19" s="210">
        <f t="shared" si="2"/>
        <v>9</v>
      </c>
      <c r="B19" s="284">
        <v>561.79999999999995</v>
      </c>
      <c r="C19" s="211" t="s">
        <v>411</v>
      </c>
      <c r="D19" s="288">
        <v>3079.7379999999998</v>
      </c>
      <c r="E19" s="289">
        <f>E49</f>
        <v>2418.7412800000002</v>
      </c>
      <c r="F19" s="288">
        <f t="shared" si="0"/>
        <v>660.99671999999964</v>
      </c>
      <c r="G19" s="291"/>
      <c r="H19" s="290"/>
      <c r="I19" s="288">
        <f t="shared" si="1"/>
        <v>660.99671999999964</v>
      </c>
      <c r="J19" s="287" t="s">
        <v>412</v>
      </c>
      <c r="K19" s="210">
        <f t="shared" si="3"/>
        <v>9</v>
      </c>
      <c r="M19" s="211"/>
      <c r="N19" s="211"/>
    </row>
    <row r="20" spans="1:14" s="549" customFormat="1" ht="15" customHeight="1" x14ac:dyDescent="0.35">
      <c r="A20" s="210">
        <f t="shared" si="2"/>
        <v>10</v>
      </c>
      <c r="B20" s="284">
        <v>562</v>
      </c>
      <c r="C20" s="211" t="s">
        <v>413</v>
      </c>
      <c r="D20" s="288">
        <v>6283.7089999999998</v>
      </c>
      <c r="E20" s="288">
        <v>0</v>
      </c>
      <c r="F20" s="288">
        <f t="shared" si="0"/>
        <v>6283.7089999999998</v>
      </c>
      <c r="G20" s="42"/>
      <c r="H20" s="119"/>
      <c r="I20" s="288">
        <f t="shared" si="1"/>
        <v>6283.7089999999998</v>
      </c>
      <c r="J20" s="287" t="s">
        <v>414</v>
      </c>
      <c r="K20" s="210">
        <f t="shared" si="3"/>
        <v>10</v>
      </c>
      <c r="M20" s="211"/>
      <c r="N20" s="211"/>
    </row>
    <row r="21" spans="1:14" s="549" customFormat="1" x14ac:dyDescent="0.35">
      <c r="A21" s="210">
        <f t="shared" si="2"/>
        <v>11</v>
      </c>
      <c r="B21" s="284">
        <v>563</v>
      </c>
      <c r="C21" s="211" t="s">
        <v>415</v>
      </c>
      <c r="D21" s="288">
        <v>8316.0300000000007</v>
      </c>
      <c r="E21" s="288">
        <v>0</v>
      </c>
      <c r="F21" s="288">
        <f t="shared" si="0"/>
        <v>8316.0300000000007</v>
      </c>
      <c r="G21" s="291"/>
      <c r="H21" s="290"/>
      <c r="I21" s="288">
        <f t="shared" si="1"/>
        <v>8316.0300000000007</v>
      </c>
      <c r="J21" s="287" t="s">
        <v>416</v>
      </c>
      <c r="K21" s="210">
        <f t="shared" si="3"/>
        <v>11</v>
      </c>
      <c r="M21" s="211"/>
      <c r="N21" s="211"/>
    </row>
    <row r="22" spans="1:14" s="549" customFormat="1" x14ac:dyDescent="0.35">
      <c r="A22" s="210">
        <f>A21+1</f>
        <v>12</v>
      </c>
      <c r="B22" s="284">
        <v>564</v>
      </c>
      <c r="C22" s="211" t="s">
        <v>417</v>
      </c>
      <c r="D22" s="288">
        <v>12.191000000000001</v>
      </c>
      <c r="E22" s="288">
        <v>0</v>
      </c>
      <c r="F22" s="288">
        <f t="shared" si="0"/>
        <v>12.191000000000001</v>
      </c>
      <c r="G22" s="291"/>
      <c r="H22" s="290"/>
      <c r="I22" s="288">
        <f t="shared" si="1"/>
        <v>12.191000000000001</v>
      </c>
      <c r="J22" s="287" t="s">
        <v>418</v>
      </c>
      <c r="K22" s="210">
        <f>K21+1</f>
        <v>12</v>
      </c>
      <c r="M22" s="211"/>
      <c r="N22" s="211"/>
    </row>
    <row r="23" spans="1:14" s="549" customFormat="1" x14ac:dyDescent="0.35">
      <c r="A23" s="210">
        <f t="shared" si="2"/>
        <v>13</v>
      </c>
      <c r="B23" s="284">
        <v>565</v>
      </c>
      <c r="C23" s="211" t="s">
        <v>419</v>
      </c>
      <c r="D23" s="288">
        <v>0</v>
      </c>
      <c r="E23" s="288">
        <v>0</v>
      </c>
      <c r="F23" s="288">
        <f t="shared" si="0"/>
        <v>0</v>
      </c>
      <c r="G23" s="291"/>
      <c r="H23" s="290"/>
      <c r="I23" s="288">
        <f t="shared" si="1"/>
        <v>0</v>
      </c>
      <c r="J23" s="287" t="s">
        <v>420</v>
      </c>
      <c r="K23" s="210">
        <f t="shared" si="3"/>
        <v>13</v>
      </c>
      <c r="M23" s="211"/>
      <c r="N23" s="211"/>
    </row>
    <row r="24" spans="1:14" s="549" customFormat="1" x14ac:dyDescent="0.35">
      <c r="A24" s="210">
        <f t="shared" si="2"/>
        <v>14</v>
      </c>
      <c r="B24" s="292">
        <v>566</v>
      </c>
      <c r="C24" s="211" t="s">
        <v>421</v>
      </c>
      <c r="D24" s="288">
        <v>20246.481</v>
      </c>
      <c r="E24" s="289">
        <f>E55</f>
        <v>3186.0456599999998</v>
      </c>
      <c r="F24" s="288">
        <f t="shared" si="0"/>
        <v>17060.43534</v>
      </c>
      <c r="G24" s="42" t="s">
        <v>39</v>
      </c>
      <c r="H24" s="119">
        <v>-2294.73</v>
      </c>
      <c r="I24" s="293">
        <f t="shared" si="1"/>
        <v>14765.70534</v>
      </c>
      <c r="J24" s="287" t="s">
        <v>422</v>
      </c>
      <c r="K24" s="210">
        <f t="shared" si="3"/>
        <v>14</v>
      </c>
      <c r="M24" s="211"/>
      <c r="N24" s="211"/>
    </row>
    <row r="25" spans="1:14" s="549" customFormat="1" x14ac:dyDescent="0.35">
      <c r="A25" s="210">
        <f>A24+1</f>
        <v>15</v>
      </c>
      <c r="B25" s="284">
        <v>567</v>
      </c>
      <c r="C25" s="211" t="s">
        <v>423</v>
      </c>
      <c r="D25" s="294">
        <v>2829.8249999999998</v>
      </c>
      <c r="E25" s="294">
        <v>0</v>
      </c>
      <c r="F25" s="294">
        <f t="shared" si="0"/>
        <v>2829.8249999999998</v>
      </c>
      <c r="G25" s="295"/>
      <c r="H25" s="296"/>
      <c r="I25" s="294">
        <f t="shared" si="1"/>
        <v>2829.8249999999998</v>
      </c>
      <c r="J25" s="287" t="s">
        <v>424</v>
      </c>
      <c r="K25" s="210">
        <f t="shared" si="3"/>
        <v>15</v>
      </c>
      <c r="M25" s="211"/>
      <c r="N25" s="211"/>
    </row>
    <row r="26" spans="1:14" s="549" customFormat="1" x14ac:dyDescent="0.35">
      <c r="A26" s="210">
        <f>A25+1</f>
        <v>16</v>
      </c>
      <c r="B26" s="284"/>
      <c r="C26" s="211"/>
      <c r="D26" s="288"/>
      <c r="E26" s="289"/>
      <c r="F26" s="288"/>
      <c r="G26" s="289"/>
      <c r="H26" s="290"/>
      <c r="I26" s="288"/>
      <c r="J26" s="287"/>
      <c r="K26" s="210">
        <f>K25+1</f>
        <v>16</v>
      </c>
      <c r="M26" s="211"/>
      <c r="N26" s="211"/>
    </row>
    <row r="27" spans="1:14" s="549" customFormat="1" ht="16" thickBot="1" x14ac:dyDescent="0.4">
      <c r="A27" s="210">
        <f>A26+1</f>
        <v>17</v>
      </c>
      <c r="B27" s="297"/>
      <c r="C27" s="298" t="s">
        <v>425</v>
      </c>
      <c r="D27" s="299">
        <f>SUM(D11:D25)</f>
        <v>55438.801999999996</v>
      </c>
      <c r="E27" s="300">
        <f>SUM(E11:E25)</f>
        <v>10830.146819999998</v>
      </c>
      <c r="F27" s="299">
        <f>SUM(F11:F25)</f>
        <v>44608.655180000002</v>
      </c>
      <c r="G27" s="301" t="s">
        <v>39</v>
      </c>
      <c r="H27" s="302">
        <f t="shared" ref="H27:I27" si="4">SUM(H11:H25)</f>
        <v>-2294.73</v>
      </c>
      <c r="I27" s="302">
        <f t="shared" si="4"/>
        <v>42313.925179999998</v>
      </c>
      <c r="J27" s="303" t="str">
        <f>"Sum Lines "&amp;A11&amp;" thru "&amp;A25</f>
        <v>Sum Lines 1 thru 15</v>
      </c>
      <c r="K27" s="210">
        <f>K26+1</f>
        <v>17</v>
      </c>
      <c r="M27" s="211"/>
      <c r="N27" s="211"/>
    </row>
    <row r="28" spans="1:14" s="549" customFormat="1" x14ac:dyDescent="0.35">
      <c r="A28" s="210">
        <f t="shared" si="2"/>
        <v>18</v>
      </c>
      <c r="B28" s="304"/>
      <c r="C28" s="211"/>
      <c r="D28" s="305"/>
      <c r="E28" s="306"/>
      <c r="F28" s="305"/>
      <c r="G28" s="307"/>
      <c r="H28" s="308"/>
      <c r="I28" s="305"/>
      <c r="J28" s="287"/>
      <c r="K28" s="210">
        <f t="shared" si="3"/>
        <v>18</v>
      </c>
      <c r="M28" s="211"/>
      <c r="N28" s="211"/>
    </row>
    <row r="29" spans="1:14" s="549" customFormat="1" x14ac:dyDescent="0.35">
      <c r="A29" s="210">
        <f t="shared" si="2"/>
        <v>19</v>
      </c>
      <c r="B29" s="277"/>
      <c r="C29" s="278" t="s">
        <v>426</v>
      </c>
      <c r="D29" s="305"/>
      <c r="E29" s="306"/>
      <c r="F29" s="305"/>
      <c r="G29" s="307"/>
      <c r="H29" s="308"/>
      <c r="I29" s="305"/>
      <c r="J29" s="287"/>
      <c r="K29" s="210">
        <f t="shared" si="3"/>
        <v>19</v>
      </c>
      <c r="M29" s="211"/>
      <c r="N29" s="211"/>
    </row>
    <row r="30" spans="1:14" s="549" customFormat="1" x14ac:dyDescent="0.35">
      <c r="A30" s="210">
        <f t="shared" si="2"/>
        <v>20</v>
      </c>
      <c r="B30" s="284">
        <v>568</v>
      </c>
      <c r="C30" s="211" t="s">
        <v>427</v>
      </c>
      <c r="D30" s="285">
        <v>2017.028</v>
      </c>
      <c r="E30" s="285">
        <v>0</v>
      </c>
      <c r="F30" s="285">
        <f t="shared" ref="F30:F39" si="5">D30-E30</f>
        <v>2017.028</v>
      </c>
      <c r="G30" s="309"/>
      <c r="H30" s="286"/>
      <c r="I30" s="285">
        <f t="shared" ref="I30:I39" si="6">F30+H30</f>
        <v>2017.028</v>
      </c>
      <c r="J30" s="287" t="s">
        <v>428</v>
      </c>
      <c r="K30" s="210">
        <f t="shared" si="3"/>
        <v>20</v>
      </c>
      <c r="M30" s="211"/>
      <c r="N30" s="211"/>
    </row>
    <row r="31" spans="1:14" s="549" customFormat="1" x14ac:dyDescent="0.35">
      <c r="A31" s="210">
        <f t="shared" si="2"/>
        <v>21</v>
      </c>
      <c r="B31" s="284">
        <v>569</v>
      </c>
      <c r="C31" s="211" t="s">
        <v>429</v>
      </c>
      <c r="D31" s="288">
        <v>579.452</v>
      </c>
      <c r="E31" s="289">
        <v>0</v>
      </c>
      <c r="F31" s="288">
        <f t="shared" si="5"/>
        <v>579.452</v>
      </c>
      <c r="G31" s="291"/>
      <c r="H31" s="290"/>
      <c r="I31" s="288">
        <f t="shared" si="6"/>
        <v>579.452</v>
      </c>
      <c r="J31" s="287" t="s">
        <v>430</v>
      </c>
      <c r="K31" s="210">
        <f t="shared" si="3"/>
        <v>21</v>
      </c>
      <c r="M31" s="211"/>
      <c r="N31" s="211"/>
    </row>
    <row r="32" spans="1:14" s="549" customFormat="1" x14ac:dyDescent="0.35">
      <c r="A32" s="210">
        <f t="shared" si="2"/>
        <v>22</v>
      </c>
      <c r="B32" s="284">
        <v>569.1</v>
      </c>
      <c r="C32" s="211" t="s">
        <v>431</v>
      </c>
      <c r="D32" s="288">
        <v>1248.578</v>
      </c>
      <c r="E32" s="289">
        <v>0</v>
      </c>
      <c r="F32" s="288">
        <f t="shared" si="5"/>
        <v>1248.578</v>
      </c>
      <c r="G32" s="291"/>
      <c r="H32" s="290"/>
      <c r="I32" s="288">
        <f t="shared" si="6"/>
        <v>1248.578</v>
      </c>
      <c r="J32" s="287" t="s">
        <v>432</v>
      </c>
      <c r="K32" s="210">
        <f t="shared" si="3"/>
        <v>22</v>
      </c>
      <c r="M32" s="211"/>
      <c r="N32" s="211"/>
    </row>
    <row r="33" spans="1:14" s="549" customFormat="1" x14ac:dyDescent="0.35">
      <c r="A33" s="210">
        <f t="shared" si="2"/>
        <v>23</v>
      </c>
      <c r="B33" s="284">
        <v>569.20000000000005</v>
      </c>
      <c r="C33" s="211" t="s">
        <v>433</v>
      </c>
      <c r="D33" s="288">
        <v>2090.8829999999998</v>
      </c>
      <c r="E33" s="289">
        <v>0</v>
      </c>
      <c r="F33" s="288">
        <f t="shared" si="5"/>
        <v>2090.8829999999998</v>
      </c>
      <c r="G33" s="291"/>
      <c r="H33" s="290"/>
      <c r="I33" s="288">
        <f t="shared" si="6"/>
        <v>2090.8829999999998</v>
      </c>
      <c r="J33" s="287" t="s">
        <v>434</v>
      </c>
      <c r="K33" s="210">
        <f t="shared" si="3"/>
        <v>23</v>
      </c>
      <c r="M33" s="211"/>
      <c r="N33" s="211"/>
    </row>
    <row r="34" spans="1:14" s="549" customFormat="1" x14ac:dyDescent="0.35">
      <c r="A34" s="210">
        <f t="shared" si="2"/>
        <v>24</v>
      </c>
      <c r="B34" s="284">
        <v>569.29999999999995</v>
      </c>
      <c r="C34" s="211" t="s">
        <v>435</v>
      </c>
      <c r="D34" s="288">
        <v>0.10299999999999999</v>
      </c>
      <c r="E34" s="289">
        <v>0</v>
      </c>
      <c r="F34" s="288">
        <f t="shared" si="5"/>
        <v>0.10299999999999999</v>
      </c>
      <c r="G34" s="291"/>
      <c r="H34" s="290"/>
      <c r="I34" s="288">
        <f t="shared" si="6"/>
        <v>0.10299999999999999</v>
      </c>
      <c r="J34" s="287" t="s">
        <v>436</v>
      </c>
      <c r="K34" s="210">
        <f t="shared" si="3"/>
        <v>24</v>
      </c>
      <c r="M34" s="211"/>
      <c r="N34" s="211"/>
    </row>
    <row r="35" spans="1:14" s="549" customFormat="1" x14ac:dyDescent="0.35">
      <c r="A35" s="210">
        <f t="shared" si="2"/>
        <v>25</v>
      </c>
      <c r="B35" s="284">
        <v>569.4</v>
      </c>
      <c r="C35" s="211" t="s">
        <v>437</v>
      </c>
      <c r="D35" s="288">
        <v>143.69999999999999</v>
      </c>
      <c r="E35" s="289">
        <v>0</v>
      </c>
      <c r="F35" s="288">
        <f t="shared" si="5"/>
        <v>143.69999999999999</v>
      </c>
      <c r="G35" s="291"/>
      <c r="H35" s="290"/>
      <c r="I35" s="288">
        <f t="shared" si="6"/>
        <v>143.69999999999999</v>
      </c>
      <c r="J35" s="287" t="s">
        <v>438</v>
      </c>
      <c r="K35" s="210">
        <f t="shared" si="3"/>
        <v>25</v>
      </c>
      <c r="M35" s="211"/>
      <c r="N35" s="211"/>
    </row>
    <row r="36" spans="1:14" s="549" customFormat="1" x14ac:dyDescent="0.35">
      <c r="A36" s="210">
        <f t="shared" si="2"/>
        <v>26</v>
      </c>
      <c r="B36" s="284">
        <v>570</v>
      </c>
      <c r="C36" s="211" t="s">
        <v>439</v>
      </c>
      <c r="D36" s="288">
        <v>16048.173000000001</v>
      </c>
      <c r="E36" s="289">
        <v>0</v>
      </c>
      <c r="F36" s="288">
        <f t="shared" si="5"/>
        <v>16048.173000000001</v>
      </c>
      <c r="G36" s="291"/>
      <c r="H36" s="290"/>
      <c r="I36" s="288">
        <f t="shared" si="6"/>
        <v>16048.173000000001</v>
      </c>
      <c r="J36" s="287" t="s">
        <v>440</v>
      </c>
      <c r="K36" s="210">
        <f t="shared" si="3"/>
        <v>26</v>
      </c>
      <c r="M36" s="211"/>
      <c r="N36" s="211"/>
    </row>
    <row r="37" spans="1:14" s="549" customFormat="1" x14ac:dyDescent="0.35">
      <c r="A37" s="210">
        <f t="shared" si="2"/>
        <v>27</v>
      </c>
      <c r="B37" s="284">
        <v>571</v>
      </c>
      <c r="C37" s="211" t="s">
        <v>441</v>
      </c>
      <c r="D37" s="288">
        <v>18139.88</v>
      </c>
      <c r="E37" s="289">
        <v>0</v>
      </c>
      <c r="F37" s="288">
        <f t="shared" si="5"/>
        <v>18139.88</v>
      </c>
      <c r="G37" s="291"/>
      <c r="H37" s="290"/>
      <c r="I37" s="288">
        <f t="shared" si="6"/>
        <v>18139.88</v>
      </c>
      <c r="J37" s="287" t="s">
        <v>442</v>
      </c>
      <c r="K37" s="210">
        <f t="shared" si="3"/>
        <v>27</v>
      </c>
      <c r="M37" s="211"/>
      <c r="N37" s="211"/>
    </row>
    <row r="38" spans="1:14" s="549" customFormat="1" x14ac:dyDescent="0.35">
      <c r="A38" s="210">
        <f t="shared" si="2"/>
        <v>28</v>
      </c>
      <c r="B38" s="284">
        <v>572</v>
      </c>
      <c r="C38" s="211" t="s">
        <v>443</v>
      </c>
      <c r="D38" s="288">
        <v>720.00900000000001</v>
      </c>
      <c r="E38" s="289">
        <v>0</v>
      </c>
      <c r="F38" s="288">
        <f t="shared" si="5"/>
        <v>720.00900000000001</v>
      </c>
      <c r="G38" s="289"/>
      <c r="H38" s="290"/>
      <c r="I38" s="288">
        <f t="shared" si="6"/>
        <v>720.00900000000001</v>
      </c>
      <c r="J38" s="287" t="s">
        <v>444</v>
      </c>
      <c r="K38" s="210">
        <f t="shared" si="3"/>
        <v>28</v>
      </c>
      <c r="M38" s="211"/>
      <c r="N38" s="211"/>
    </row>
    <row r="39" spans="1:14" s="549" customFormat="1" x14ac:dyDescent="0.35">
      <c r="A39" s="210">
        <f t="shared" si="2"/>
        <v>29</v>
      </c>
      <c r="B39" s="284">
        <v>573</v>
      </c>
      <c r="C39" s="211" t="s">
        <v>445</v>
      </c>
      <c r="D39" s="288">
        <v>2.7450000000000001</v>
      </c>
      <c r="E39" s="294">
        <v>0</v>
      </c>
      <c r="F39" s="294">
        <f t="shared" si="5"/>
        <v>2.7450000000000001</v>
      </c>
      <c r="G39" s="295"/>
      <c r="H39" s="296"/>
      <c r="I39" s="294">
        <f t="shared" si="6"/>
        <v>2.7450000000000001</v>
      </c>
      <c r="J39" s="287" t="s">
        <v>446</v>
      </c>
      <c r="K39" s="210">
        <f t="shared" si="3"/>
        <v>29</v>
      </c>
      <c r="M39" s="211"/>
      <c r="N39" s="211"/>
    </row>
    <row r="40" spans="1:14" s="549" customFormat="1" x14ac:dyDescent="0.35">
      <c r="A40" s="210">
        <f t="shared" si="2"/>
        <v>30</v>
      </c>
      <c r="B40" s="284"/>
      <c r="C40" s="211"/>
      <c r="D40" s="310"/>
      <c r="E40" s="289"/>
      <c r="F40" s="310"/>
      <c r="G40" s="289"/>
      <c r="H40" s="290"/>
      <c r="I40" s="288"/>
      <c r="J40" s="287"/>
      <c r="K40" s="210">
        <f t="shared" si="3"/>
        <v>30</v>
      </c>
      <c r="M40" s="211"/>
      <c r="N40" s="211"/>
    </row>
    <row r="41" spans="1:14" s="549" customFormat="1" x14ac:dyDescent="0.35">
      <c r="A41" s="210">
        <f t="shared" si="2"/>
        <v>31</v>
      </c>
      <c r="B41" s="304"/>
      <c r="C41" s="311" t="s">
        <v>447</v>
      </c>
      <c r="D41" s="285">
        <f>SUM(D30:D39)</f>
        <v>40990.551000000007</v>
      </c>
      <c r="E41" s="285">
        <f>SUM(E30:E39)</f>
        <v>0</v>
      </c>
      <c r="F41" s="312">
        <f>SUM(F30:F39)</f>
        <v>40990.551000000007</v>
      </c>
      <c r="G41" s="313"/>
      <c r="H41" s="314">
        <f t="shared" ref="H41:I41" si="7">SUM(H30:H39)</f>
        <v>0</v>
      </c>
      <c r="I41" s="312">
        <f t="shared" si="7"/>
        <v>40990.551000000007</v>
      </c>
      <c r="J41" s="287" t="str">
        <f>"Sum Lines "&amp;A30&amp;" thru "&amp;A39</f>
        <v>Sum Lines 20 thru 29</v>
      </c>
      <c r="K41" s="210">
        <f t="shared" si="3"/>
        <v>31</v>
      </c>
      <c r="M41" s="211"/>
      <c r="N41" s="211"/>
    </row>
    <row r="42" spans="1:14" s="549" customFormat="1" x14ac:dyDescent="0.35">
      <c r="A42" s="210">
        <f t="shared" si="2"/>
        <v>32</v>
      </c>
      <c r="B42" s="304"/>
      <c r="C42" s="211"/>
      <c r="D42" s="315"/>
      <c r="E42" s="315"/>
      <c r="F42" s="315"/>
      <c r="G42" s="316"/>
      <c r="H42" s="317"/>
      <c r="I42" s="318"/>
      <c r="J42" s="287"/>
      <c r="K42" s="210">
        <f t="shared" si="3"/>
        <v>32</v>
      </c>
      <c r="M42" s="211"/>
      <c r="N42" s="211"/>
    </row>
    <row r="43" spans="1:14" s="549" customFormat="1" ht="16" thickBot="1" x14ac:dyDescent="0.4">
      <c r="A43" s="210">
        <f t="shared" si="2"/>
        <v>33</v>
      </c>
      <c r="B43" s="268"/>
      <c r="C43" s="549" t="s">
        <v>448</v>
      </c>
      <c r="D43" s="319">
        <f>D27+D41</f>
        <v>96429.353000000003</v>
      </c>
      <c r="E43" s="319">
        <f>+E27+E41</f>
        <v>10830.146819999998</v>
      </c>
      <c r="F43" s="319">
        <f>+F27+F41</f>
        <v>85599.206180000008</v>
      </c>
      <c r="G43" s="320" t="s">
        <v>39</v>
      </c>
      <c r="H43" s="321">
        <f t="shared" ref="H43:I43" si="8">+H27+H41</f>
        <v>-2294.73</v>
      </c>
      <c r="I43" s="319">
        <f t="shared" si="8"/>
        <v>83304.476179999998</v>
      </c>
      <c r="J43" s="287" t="str">
        <f>"Line "&amp;A27&amp;" + Line "&amp;A41</f>
        <v>Line 17 + Line 31</v>
      </c>
      <c r="K43" s="210">
        <f t="shared" si="3"/>
        <v>33</v>
      </c>
      <c r="M43" s="211"/>
      <c r="N43" s="211"/>
    </row>
    <row r="44" spans="1:14" ht="16.5" thickTop="1" thickBot="1" x14ac:dyDescent="0.4">
      <c r="A44" s="210">
        <f t="shared" si="2"/>
        <v>34</v>
      </c>
      <c r="B44" s="322"/>
      <c r="C44" s="323"/>
      <c r="D44" s="324"/>
      <c r="E44" s="325"/>
      <c r="F44" s="324"/>
      <c r="G44" s="326"/>
      <c r="H44" s="327"/>
      <c r="I44" s="324"/>
      <c r="J44" s="328"/>
      <c r="K44" s="210">
        <f t="shared" si="3"/>
        <v>34</v>
      </c>
    </row>
    <row r="45" spans="1:14" x14ac:dyDescent="0.35">
      <c r="A45" s="210">
        <f t="shared" si="2"/>
        <v>35</v>
      </c>
      <c r="B45" s="329"/>
      <c r="D45" s="330"/>
      <c r="E45" s="306"/>
      <c r="F45" s="330"/>
      <c r="G45" s="330"/>
      <c r="H45" s="330"/>
      <c r="I45" s="330"/>
      <c r="J45" s="331"/>
      <c r="K45" s="210">
        <f>K44+1</f>
        <v>35</v>
      </c>
    </row>
    <row r="46" spans="1:14" x14ac:dyDescent="0.35">
      <c r="A46" s="210">
        <f t="shared" si="2"/>
        <v>36</v>
      </c>
      <c r="B46" s="332" t="s">
        <v>449</v>
      </c>
      <c r="D46" s="330"/>
      <c r="E46" s="306"/>
      <c r="F46" s="330"/>
      <c r="G46" s="330"/>
      <c r="H46" s="330"/>
      <c r="I46" s="330"/>
      <c r="J46" s="331"/>
      <c r="K46" s="210">
        <f t="shared" si="3"/>
        <v>36</v>
      </c>
    </row>
    <row r="47" spans="1:14" x14ac:dyDescent="0.35">
      <c r="A47" s="210">
        <f t="shared" si="2"/>
        <v>37</v>
      </c>
      <c r="B47" s="329" t="s">
        <v>450</v>
      </c>
      <c r="C47" s="211" t="s">
        <v>451</v>
      </c>
      <c r="D47" s="330"/>
      <c r="E47" s="333">
        <v>132.11562000000001</v>
      </c>
      <c r="F47" s="330"/>
      <c r="G47" s="330"/>
      <c r="H47" s="330"/>
      <c r="I47" s="330"/>
      <c r="J47" s="331"/>
      <c r="K47" s="210">
        <f t="shared" si="3"/>
        <v>37</v>
      </c>
    </row>
    <row r="48" spans="1:14" x14ac:dyDescent="0.35">
      <c r="A48" s="210">
        <f t="shared" si="2"/>
        <v>38</v>
      </c>
      <c r="B48" s="329" t="s">
        <v>452</v>
      </c>
      <c r="C48" s="211" t="s">
        <v>453</v>
      </c>
      <c r="D48" s="330"/>
      <c r="E48" s="289">
        <v>5093.2442599999995</v>
      </c>
      <c r="J48" s="331"/>
      <c r="K48" s="210">
        <f t="shared" si="3"/>
        <v>38</v>
      </c>
    </row>
    <row r="49" spans="1:13" x14ac:dyDescent="0.35">
      <c r="A49" s="210">
        <f t="shared" si="2"/>
        <v>39</v>
      </c>
      <c r="B49" s="329">
        <v>561.79999999999995</v>
      </c>
      <c r="C49" s="211" t="s">
        <v>454</v>
      </c>
      <c r="D49" s="330"/>
      <c r="E49" s="289">
        <v>2418.7412800000002</v>
      </c>
      <c r="J49" s="331"/>
      <c r="K49" s="210">
        <f t="shared" si="3"/>
        <v>39</v>
      </c>
    </row>
    <row r="50" spans="1:13" x14ac:dyDescent="0.35">
      <c r="A50" s="210">
        <f t="shared" si="2"/>
        <v>40</v>
      </c>
      <c r="B50" s="329">
        <v>565</v>
      </c>
      <c r="C50" s="211" t="s">
        <v>455</v>
      </c>
      <c r="D50" s="330"/>
      <c r="E50" s="289">
        <v>0</v>
      </c>
      <c r="F50" s="334"/>
      <c r="G50" s="334"/>
      <c r="H50" s="334"/>
      <c r="I50" s="334"/>
      <c r="J50" s="331"/>
      <c r="K50" s="210">
        <f t="shared" si="3"/>
        <v>40</v>
      </c>
    </row>
    <row r="51" spans="1:13" x14ac:dyDescent="0.35">
      <c r="A51" s="210">
        <f t="shared" si="2"/>
        <v>41</v>
      </c>
      <c r="B51" s="329" t="s">
        <v>456</v>
      </c>
      <c r="C51" s="211" t="s">
        <v>457</v>
      </c>
      <c r="D51" s="207">
        <v>251.79454000000001</v>
      </c>
      <c r="E51" s="289"/>
      <c r="F51" s="330"/>
      <c r="G51" s="330"/>
      <c r="H51" s="330"/>
      <c r="I51" s="330"/>
      <c r="J51" s="331"/>
      <c r="K51" s="210">
        <f t="shared" si="3"/>
        <v>41</v>
      </c>
    </row>
    <row r="52" spans="1:13" x14ac:dyDescent="0.35">
      <c r="A52" s="210">
        <f t="shared" si="2"/>
        <v>42</v>
      </c>
      <c r="B52" s="329"/>
      <c r="C52" s="211" t="s">
        <v>458</v>
      </c>
      <c r="D52" s="289">
        <v>0</v>
      </c>
      <c r="E52" s="289"/>
      <c r="F52" s="330"/>
      <c r="G52" s="330"/>
      <c r="H52" s="330"/>
      <c r="I52" s="330"/>
      <c r="J52" s="331"/>
      <c r="K52" s="210">
        <f t="shared" si="3"/>
        <v>42</v>
      </c>
    </row>
    <row r="53" spans="1:13" x14ac:dyDescent="0.35">
      <c r="A53" s="210">
        <f t="shared" si="2"/>
        <v>43</v>
      </c>
      <c r="B53" s="329"/>
      <c r="C53" s="211" t="s">
        <v>459</v>
      </c>
      <c r="D53" s="289">
        <v>2588.4315500000002</v>
      </c>
      <c r="E53" s="335"/>
      <c r="F53" s="330"/>
      <c r="G53" s="330"/>
      <c r="H53" s="330"/>
      <c r="I53" s="330"/>
      <c r="J53" s="331"/>
      <c r="K53" s="210">
        <f t="shared" si="3"/>
        <v>43</v>
      </c>
    </row>
    <row r="54" spans="1:13" x14ac:dyDescent="0.35">
      <c r="A54" s="210">
        <f t="shared" si="2"/>
        <v>44</v>
      </c>
      <c r="B54" s="329"/>
      <c r="C54" s="211" t="s">
        <v>460</v>
      </c>
      <c r="D54" s="289">
        <v>700.79813999999988</v>
      </c>
      <c r="E54" s="335"/>
      <c r="F54" s="330"/>
      <c r="G54" s="330"/>
      <c r="H54" s="330"/>
      <c r="I54" s="330"/>
      <c r="J54" s="331"/>
      <c r="K54" s="210">
        <f t="shared" si="3"/>
        <v>44</v>
      </c>
    </row>
    <row r="55" spans="1:13" x14ac:dyDescent="0.35">
      <c r="A55" s="210">
        <f t="shared" si="2"/>
        <v>45</v>
      </c>
      <c r="B55" s="329"/>
      <c r="C55" s="211" t="s">
        <v>461</v>
      </c>
      <c r="D55" s="336">
        <v>-354.97856999999999</v>
      </c>
      <c r="E55" s="337">
        <f>SUM(D51:D55)</f>
        <v>3186.0456599999998</v>
      </c>
      <c r="F55" s="334"/>
      <c r="G55" s="334"/>
      <c r="H55" s="334"/>
      <c r="I55" s="334"/>
      <c r="J55" s="331"/>
      <c r="K55" s="210">
        <f t="shared" si="3"/>
        <v>45</v>
      </c>
      <c r="M55" s="338"/>
    </row>
    <row r="56" spans="1:13" x14ac:dyDescent="0.35">
      <c r="A56" s="210">
        <f t="shared" si="2"/>
        <v>46</v>
      </c>
      <c r="B56" s="329"/>
      <c r="D56" s="289"/>
      <c r="E56" s="335"/>
      <c r="F56" s="330"/>
      <c r="G56" s="330"/>
      <c r="H56" s="330"/>
      <c r="I56" s="330"/>
      <c r="J56" s="331"/>
      <c r="K56" s="210">
        <f t="shared" si="3"/>
        <v>46</v>
      </c>
    </row>
    <row r="57" spans="1:13" ht="16" thickBot="1" x14ac:dyDescent="0.4">
      <c r="A57" s="210">
        <f t="shared" si="2"/>
        <v>47</v>
      </c>
      <c r="B57" s="339"/>
      <c r="C57" s="549" t="s">
        <v>462</v>
      </c>
      <c r="D57" s="330"/>
      <c r="E57" s="340">
        <f>SUM(E47:E56)</f>
        <v>10830.146819999998</v>
      </c>
      <c r="F57" s="330"/>
      <c r="G57" s="330"/>
      <c r="H57" s="330"/>
      <c r="I57" s="330"/>
      <c r="J57" s="331"/>
      <c r="K57" s="210">
        <f t="shared" si="3"/>
        <v>47</v>
      </c>
    </row>
    <row r="58" spans="1:13" ht="16" thickTop="1" x14ac:dyDescent="0.35">
      <c r="A58" s="210">
        <f t="shared" si="2"/>
        <v>48</v>
      </c>
      <c r="B58" s="339"/>
      <c r="C58" s="549"/>
      <c r="D58" s="330"/>
      <c r="E58" s="316"/>
      <c r="F58" s="330"/>
      <c r="G58" s="330"/>
      <c r="H58" s="330"/>
      <c r="I58" s="330"/>
      <c r="J58" s="331"/>
      <c r="K58" s="210">
        <f t="shared" si="3"/>
        <v>48</v>
      </c>
    </row>
    <row r="59" spans="1:13" x14ac:dyDescent="0.35">
      <c r="A59" s="210">
        <f t="shared" si="2"/>
        <v>49</v>
      </c>
      <c r="B59" s="254" t="s">
        <v>39</v>
      </c>
      <c r="C59" s="33" t="s">
        <v>235</v>
      </c>
      <c r="D59" s="330"/>
      <c r="E59" s="316"/>
      <c r="F59" s="330"/>
      <c r="G59" s="330"/>
      <c r="H59" s="330"/>
      <c r="I59" s="330"/>
      <c r="J59" s="331"/>
      <c r="K59" s="210">
        <f t="shared" si="3"/>
        <v>49</v>
      </c>
    </row>
    <row r="60" spans="1:13" ht="16.5" x14ac:dyDescent="0.35">
      <c r="A60" s="210">
        <f t="shared" si="2"/>
        <v>50</v>
      </c>
      <c r="B60" s="546">
        <v>1</v>
      </c>
      <c r="C60" s="211" t="s">
        <v>463</v>
      </c>
      <c r="D60" s="330"/>
      <c r="E60" s="316"/>
      <c r="F60" s="330"/>
      <c r="G60" s="330"/>
      <c r="H60" s="330"/>
      <c r="I60" s="330"/>
      <c r="J60" s="331"/>
      <c r="K60" s="210">
        <f t="shared" si="3"/>
        <v>50</v>
      </c>
    </row>
    <row r="61" spans="1:13" ht="16.5" x14ac:dyDescent="0.35">
      <c r="A61" s="210">
        <f t="shared" si="2"/>
        <v>51</v>
      </c>
      <c r="B61" s="546"/>
      <c r="C61" s="211" t="s">
        <v>464</v>
      </c>
      <c r="D61" s="330"/>
      <c r="E61" s="316"/>
      <c r="F61" s="330"/>
      <c r="G61" s="330"/>
      <c r="H61" s="330"/>
      <c r="I61" s="330"/>
      <c r="J61" s="331"/>
      <c r="K61" s="210">
        <f t="shared" si="3"/>
        <v>51</v>
      </c>
    </row>
    <row r="62" spans="1:13" ht="16" thickBot="1" x14ac:dyDescent="0.4">
      <c r="A62" s="210">
        <f t="shared" si="2"/>
        <v>52</v>
      </c>
      <c r="B62" s="341"/>
      <c r="C62" s="323"/>
      <c r="D62" s="323"/>
      <c r="E62" s="342"/>
      <c r="F62" s="323"/>
      <c r="G62" s="323"/>
      <c r="H62" s="323"/>
      <c r="I62" s="323"/>
      <c r="J62" s="328"/>
      <c r="K62" s="210">
        <f t="shared" si="3"/>
        <v>52</v>
      </c>
    </row>
    <row r="63" spans="1:13" x14ac:dyDescent="0.35">
      <c r="B63" s="343"/>
    </row>
    <row r="64" spans="1:13" x14ac:dyDescent="0.35">
      <c r="B64" s="343"/>
    </row>
    <row r="65" spans="2:5" x14ac:dyDescent="0.35">
      <c r="B65" s="343"/>
    </row>
    <row r="66" spans="2:5" x14ac:dyDescent="0.35">
      <c r="B66" s="343"/>
    </row>
    <row r="67" spans="2:5" x14ac:dyDescent="0.35">
      <c r="B67" s="343"/>
    </row>
    <row r="68" spans="2:5" x14ac:dyDescent="0.35">
      <c r="B68" s="343"/>
    </row>
    <row r="69" spans="2:5" x14ac:dyDescent="0.35">
      <c r="B69" s="343"/>
    </row>
    <row r="70" spans="2:5" x14ac:dyDescent="0.35">
      <c r="B70" s="343"/>
    </row>
    <row r="71" spans="2:5" x14ac:dyDescent="0.35">
      <c r="B71" s="343"/>
    </row>
    <row r="72" spans="2:5" x14ac:dyDescent="0.35">
      <c r="B72" s="343"/>
    </row>
    <row r="73" spans="2:5" x14ac:dyDescent="0.35">
      <c r="B73" s="343"/>
    </row>
    <row r="74" spans="2:5" x14ac:dyDescent="0.35">
      <c r="B74" s="343"/>
    </row>
    <row r="75" spans="2:5" x14ac:dyDescent="0.35">
      <c r="B75" s="343"/>
    </row>
    <row r="76" spans="2:5" x14ac:dyDescent="0.35">
      <c r="B76" s="343"/>
    </row>
    <row r="77" spans="2:5" x14ac:dyDescent="0.35">
      <c r="B77" s="343"/>
    </row>
    <row r="78" spans="2:5" x14ac:dyDescent="0.35">
      <c r="B78" s="343"/>
      <c r="E78" s="211"/>
    </row>
    <row r="79" spans="2:5" x14ac:dyDescent="0.35">
      <c r="B79" s="343"/>
      <c r="E79" s="211"/>
    </row>
    <row r="80" spans="2:5" x14ac:dyDescent="0.35">
      <c r="B80" s="343"/>
      <c r="E80" s="211"/>
    </row>
    <row r="81" spans="2:5" x14ac:dyDescent="0.35">
      <c r="B81" s="343"/>
      <c r="E81" s="211"/>
    </row>
    <row r="82" spans="2:5" x14ac:dyDescent="0.35">
      <c r="B82" s="343"/>
      <c r="E82" s="211"/>
    </row>
    <row r="83" spans="2:5" x14ac:dyDescent="0.35">
      <c r="B83" s="343"/>
      <c r="E83" s="211"/>
    </row>
    <row r="84" spans="2:5" x14ac:dyDescent="0.35">
      <c r="B84" s="343"/>
      <c r="E84" s="211"/>
    </row>
    <row r="85" spans="2:5" x14ac:dyDescent="0.35">
      <c r="B85" s="343"/>
      <c r="E85" s="211"/>
    </row>
    <row r="86" spans="2:5" x14ac:dyDescent="0.35">
      <c r="B86" s="343"/>
      <c r="E86" s="211"/>
    </row>
    <row r="87" spans="2:5" x14ac:dyDescent="0.35">
      <c r="B87" s="343"/>
      <c r="E87" s="211"/>
    </row>
    <row r="88" spans="2:5" x14ac:dyDescent="0.35">
      <c r="B88" s="343"/>
      <c r="E88" s="211"/>
    </row>
    <row r="89" spans="2:5" x14ac:dyDescent="0.35">
      <c r="B89" s="343"/>
      <c r="E89" s="211"/>
    </row>
    <row r="90" spans="2:5" x14ac:dyDescent="0.35">
      <c r="B90" s="343"/>
      <c r="E90" s="211"/>
    </row>
    <row r="91" spans="2:5" x14ac:dyDescent="0.35">
      <c r="B91" s="343"/>
      <c r="E91" s="211"/>
    </row>
    <row r="92" spans="2:5" x14ac:dyDescent="0.35">
      <c r="B92" s="343"/>
      <c r="E92" s="211"/>
    </row>
    <row r="93" spans="2:5" x14ac:dyDescent="0.35">
      <c r="B93" s="343"/>
      <c r="E93" s="211"/>
    </row>
    <row r="94" spans="2:5" x14ac:dyDescent="0.35">
      <c r="B94" s="343"/>
      <c r="E94" s="211"/>
    </row>
    <row r="95" spans="2:5" x14ac:dyDescent="0.35">
      <c r="B95" s="343"/>
      <c r="E95" s="211"/>
    </row>
    <row r="96" spans="2:5" x14ac:dyDescent="0.35">
      <c r="B96" s="343"/>
      <c r="E96" s="211"/>
    </row>
    <row r="97" spans="2:5" x14ac:dyDescent="0.35">
      <c r="B97" s="343"/>
      <c r="E97" s="211"/>
    </row>
    <row r="98" spans="2:5" x14ac:dyDescent="0.35">
      <c r="B98" s="343"/>
      <c r="E98" s="211"/>
    </row>
    <row r="99" spans="2:5" x14ac:dyDescent="0.35">
      <c r="B99" s="343"/>
      <c r="E99" s="211"/>
    </row>
    <row r="100" spans="2:5" x14ac:dyDescent="0.35">
      <c r="B100" s="343"/>
      <c r="E100" s="211"/>
    </row>
    <row r="101" spans="2:5" x14ac:dyDescent="0.35">
      <c r="B101" s="343"/>
      <c r="E101" s="211"/>
    </row>
    <row r="102" spans="2:5" x14ac:dyDescent="0.35">
      <c r="B102" s="343"/>
      <c r="E102" s="211"/>
    </row>
    <row r="103" spans="2:5" x14ac:dyDescent="0.35">
      <c r="B103" s="343"/>
      <c r="E103" s="211"/>
    </row>
    <row r="104" spans="2:5" x14ac:dyDescent="0.35">
      <c r="B104" s="343"/>
      <c r="E104" s="211"/>
    </row>
    <row r="105" spans="2:5" x14ac:dyDescent="0.35">
      <c r="B105" s="343"/>
      <c r="E105" s="211"/>
    </row>
    <row r="106" spans="2:5" x14ac:dyDescent="0.35">
      <c r="B106" s="343"/>
      <c r="E106" s="211"/>
    </row>
    <row r="107" spans="2:5" x14ac:dyDescent="0.35">
      <c r="B107" s="343"/>
      <c r="E107" s="211"/>
    </row>
    <row r="108" spans="2:5" x14ac:dyDescent="0.35">
      <c r="B108" s="343"/>
      <c r="E108" s="211"/>
    </row>
    <row r="109" spans="2:5" x14ac:dyDescent="0.35">
      <c r="B109" s="343"/>
      <c r="E109" s="211"/>
    </row>
    <row r="110" spans="2:5" x14ac:dyDescent="0.35">
      <c r="B110" s="343"/>
      <c r="E110" s="211"/>
    </row>
    <row r="111" spans="2:5" x14ac:dyDescent="0.35">
      <c r="B111" s="343"/>
      <c r="E111" s="211"/>
    </row>
    <row r="112" spans="2:5" x14ac:dyDescent="0.35">
      <c r="B112" s="343"/>
      <c r="E112" s="211"/>
    </row>
    <row r="113" spans="2:5" x14ac:dyDescent="0.35">
      <c r="B113" s="343"/>
      <c r="E113" s="211"/>
    </row>
    <row r="114" spans="2:5" x14ac:dyDescent="0.35">
      <c r="B114" s="343"/>
      <c r="E114" s="211"/>
    </row>
    <row r="115" spans="2:5" x14ac:dyDescent="0.35">
      <c r="B115" s="343"/>
      <c r="E115" s="211"/>
    </row>
    <row r="116" spans="2:5" x14ac:dyDescent="0.35">
      <c r="B116" s="343"/>
      <c r="E116" s="211"/>
    </row>
    <row r="117" spans="2:5" x14ac:dyDescent="0.35">
      <c r="B117" s="343"/>
      <c r="E117" s="211"/>
    </row>
    <row r="118" spans="2:5" x14ac:dyDescent="0.35">
      <c r="B118" s="343"/>
      <c r="E118" s="211"/>
    </row>
    <row r="119" spans="2:5" x14ac:dyDescent="0.35">
      <c r="B119" s="343"/>
      <c r="E119" s="211"/>
    </row>
    <row r="120" spans="2:5" x14ac:dyDescent="0.35">
      <c r="B120" s="343"/>
      <c r="E120" s="211"/>
    </row>
    <row r="121" spans="2:5" x14ac:dyDescent="0.35">
      <c r="B121" s="343"/>
      <c r="E121" s="211"/>
    </row>
    <row r="122" spans="2:5" x14ac:dyDescent="0.35">
      <c r="B122" s="343"/>
      <c r="E122" s="211"/>
    </row>
    <row r="123" spans="2:5" x14ac:dyDescent="0.35">
      <c r="B123" s="343"/>
      <c r="E123" s="211"/>
    </row>
    <row r="124" spans="2:5" x14ac:dyDescent="0.35">
      <c r="B124" s="343"/>
      <c r="E124" s="211"/>
    </row>
    <row r="125" spans="2:5" x14ac:dyDescent="0.35">
      <c r="B125" s="343"/>
      <c r="E125" s="211"/>
    </row>
    <row r="126" spans="2:5" x14ac:dyDescent="0.35">
      <c r="B126" s="343"/>
      <c r="E126" s="211"/>
    </row>
    <row r="127" spans="2:5" x14ac:dyDescent="0.35">
      <c r="B127" s="343"/>
      <c r="E127" s="211"/>
    </row>
    <row r="128" spans="2:5" x14ac:dyDescent="0.35">
      <c r="B128" s="343"/>
      <c r="E128" s="211"/>
    </row>
    <row r="129" spans="2:5" x14ac:dyDescent="0.35">
      <c r="B129" s="343"/>
      <c r="E129" s="211"/>
    </row>
    <row r="130" spans="2:5" x14ac:dyDescent="0.35">
      <c r="B130" s="343"/>
      <c r="E130" s="211"/>
    </row>
    <row r="131" spans="2:5" x14ac:dyDescent="0.35">
      <c r="B131" s="343"/>
      <c r="E131" s="211"/>
    </row>
    <row r="132" spans="2:5" x14ac:dyDescent="0.35">
      <c r="B132" s="343"/>
      <c r="E132" s="211"/>
    </row>
    <row r="133" spans="2:5" x14ac:dyDescent="0.35">
      <c r="B133" s="343"/>
      <c r="E133" s="211"/>
    </row>
    <row r="134" spans="2:5" x14ac:dyDescent="0.35">
      <c r="B134" s="343"/>
      <c r="E134" s="211"/>
    </row>
    <row r="135" spans="2:5" x14ac:dyDescent="0.35">
      <c r="B135" s="343"/>
      <c r="E135" s="211"/>
    </row>
    <row r="136" spans="2:5" x14ac:dyDescent="0.35">
      <c r="B136" s="343"/>
      <c r="E136" s="211"/>
    </row>
    <row r="137" spans="2:5" x14ac:dyDescent="0.35">
      <c r="B137" s="343"/>
      <c r="E137" s="211"/>
    </row>
    <row r="138" spans="2:5" x14ac:dyDescent="0.35">
      <c r="B138" s="343"/>
      <c r="E138" s="211"/>
    </row>
    <row r="139" spans="2:5" x14ac:dyDescent="0.35">
      <c r="B139" s="343"/>
      <c r="E139" s="211"/>
    </row>
    <row r="140" spans="2:5" x14ac:dyDescent="0.35">
      <c r="B140" s="343"/>
      <c r="E140" s="211"/>
    </row>
    <row r="141" spans="2:5" x14ac:dyDescent="0.35">
      <c r="B141" s="343"/>
      <c r="E141" s="211"/>
    </row>
    <row r="142" spans="2:5" x14ac:dyDescent="0.35">
      <c r="B142" s="343"/>
      <c r="E142" s="211"/>
    </row>
    <row r="143" spans="2:5" x14ac:dyDescent="0.35">
      <c r="B143" s="343"/>
      <c r="E143" s="211"/>
    </row>
    <row r="144" spans="2:5" x14ac:dyDescent="0.35">
      <c r="B144" s="343"/>
      <c r="E144" s="211"/>
    </row>
    <row r="145" spans="2:5" x14ac:dyDescent="0.35">
      <c r="B145" s="343"/>
      <c r="E145" s="211"/>
    </row>
    <row r="146" spans="2:5" x14ac:dyDescent="0.35">
      <c r="B146" s="343"/>
      <c r="E146" s="211"/>
    </row>
    <row r="147" spans="2:5" x14ac:dyDescent="0.35">
      <c r="B147" s="343"/>
      <c r="E147" s="211"/>
    </row>
    <row r="148" spans="2:5" x14ac:dyDescent="0.35">
      <c r="B148" s="343"/>
      <c r="E148" s="211"/>
    </row>
    <row r="149" spans="2:5" x14ac:dyDescent="0.35">
      <c r="B149" s="343"/>
      <c r="E149" s="211"/>
    </row>
    <row r="150" spans="2:5" x14ac:dyDescent="0.35">
      <c r="B150" s="343"/>
      <c r="E150" s="211"/>
    </row>
    <row r="151" spans="2:5" x14ac:dyDescent="0.35">
      <c r="B151" s="343"/>
      <c r="E151" s="211"/>
    </row>
    <row r="152" spans="2:5" x14ac:dyDescent="0.35">
      <c r="B152" s="343"/>
      <c r="E152" s="211"/>
    </row>
    <row r="153" spans="2:5" x14ac:dyDescent="0.35">
      <c r="B153" s="343"/>
      <c r="E153" s="211"/>
    </row>
    <row r="154" spans="2:5" x14ac:dyDescent="0.35">
      <c r="B154" s="343"/>
      <c r="E154" s="211"/>
    </row>
    <row r="155" spans="2:5" x14ac:dyDescent="0.35">
      <c r="B155" s="343"/>
      <c r="E155" s="211"/>
    </row>
    <row r="156" spans="2:5" x14ac:dyDescent="0.35">
      <c r="B156" s="343"/>
      <c r="E156" s="211"/>
    </row>
    <row r="157" spans="2:5" x14ac:dyDescent="0.35">
      <c r="B157" s="343"/>
      <c r="E157" s="211"/>
    </row>
    <row r="158" spans="2:5" x14ac:dyDescent="0.35">
      <c r="B158" s="343"/>
      <c r="E158" s="211"/>
    </row>
    <row r="159" spans="2:5" x14ac:dyDescent="0.35">
      <c r="B159" s="343"/>
      <c r="E159" s="211"/>
    </row>
    <row r="160" spans="2:5" x14ac:dyDescent="0.35">
      <c r="B160" s="343"/>
      <c r="E160" s="211"/>
    </row>
    <row r="161" spans="2:5" x14ac:dyDescent="0.35">
      <c r="B161" s="343"/>
      <c r="E161" s="211"/>
    </row>
    <row r="162" spans="2:5" x14ac:dyDescent="0.35">
      <c r="B162" s="343"/>
      <c r="E162" s="211"/>
    </row>
    <row r="163" spans="2:5" x14ac:dyDescent="0.35">
      <c r="B163" s="343"/>
      <c r="E163" s="211"/>
    </row>
    <row r="164" spans="2:5" x14ac:dyDescent="0.35">
      <c r="B164" s="343"/>
      <c r="E164" s="211"/>
    </row>
    <row r="165" spans="2:5" x14ac:dyDescent="0.35">
      <c r="B165" s="343"/>
      <c r="E165" s="211"/>
    </row>
    <row r="166" spans="2:5" x14ac:dyDescent="0.35">
      <c r="B166" s="343"/>
      <c r="E166" s="211"/>
    </row>
    <row r="167" spans="2:5" x14ac:dyDescent="0.35">
      <c r="B167" s="343"/>
      <c r="E167" s="211"/>
    </row>
    <row r="168" spans="2:5" x14ac:dyDescent="0.35">
      <c r="B168" s="343"/>
      <c r="E168" s="211"/>
    </row>
    <row r="169" spans="2:5" x14ac:dyDescent="0.35">
      <c r="B169" s="343"/>
      <c r="E169" s="211"/>
    </row>
    <row r="170" spans="2:5" x14ac:dyDescent="0.35">
      <c r="B170" s="343"/>
      <c r="E170" s="211"/>
    </row>
    <row r="171" spans="2:5" x14ac:dyDescent="0.35">
      <c r="B171" s="343"/>
      <c r="E171" s="211"/>
    </row>
    <row r="172" spans="2:5" x14ac:dyDescent="0.35">
      <c r="B172" s="343"/>
      <c r="E172" s="211"/>
    </row>
    <row r="173" spans="2:5" x14ac:dyDescent="0.35">
      <c r="B173" s="343"/>
      <c r="E173" s="211"/>
    </row>
    <row r="174" spans="2:5" x14ac:dyDescent="0.35">
      <c r="B174" s="343"/>
      <c r="E174" s="211"/>
    </row>
    <row r="175" spans="2:5" x14ac:dyDescent="0.35">
      <c r="B175" s="343"/>
      <c r="E175" s="211"/>
    </row>
    <row r="176" spans="2:5" x14ac:dyDescent="0.35">
      <c r="B176" s="343"/>
      <c r="E176" s="211"/>
    </row>
    <row r="177" spans="2:5" x14ac:dyDescent="0.35">
      <c r="B177" s="343"/>
      <c r="E177" s="211"/>
    </row>
    <row r="178" spans="2:5" x14ac:dyDescent="0.35">
      <c r="B178" s="343"/>
      <c r="E178" s="211"/>
    </row>
    <row r="179" spans="2:5" x14ac:dyDescent="0.35">
      <c r="B179" s="343"/>
      <c r="E179" s="211"/>
    </row>
    <row r="180" spans="2:5" x14ac:dyDescent="0.35">
      <c r="B180" s="343"/>
      <c r="E180" s="211"/>
    </row>
    <row r="181" spans="2:5" x14ac:dyDescent="0.35">
      <c r="B181" s="343"/>
      <c r="E181" s="211"/>
    </row>
    <row r="182" spans="2:5" x14ac:dyDescent="0.35">
      <c r="B182" s="343"/>
      <c r="E182" s="211"/>
    </row>
    <row r="183" spans="2:5" x14ac:dyDescent="0.35">
      <c r="B183" s="343"/>
      <c r="E183" s="211"/>
    </row>
    <row r="184" spans="2:5" x14ac:dyDescent="0.35">
      <c r="B184" s="343"/>
      <c r="E184" s="211"/>
    </row>
    <row r="185" spans="2:5" x14ac:dyDescent="0.35">
      <c r="B185" s="343"/>
      <c r="E185" s="211"/>
    </row>
    <row r="186" spans="2:5" x14ac:dyDescent="0.35">
      <c r="B186" s="343"/>
      <c r="E186" s="211"/>
    </row>
    <row r="187" spans="2:5" x14ac:dyDescent="0.35">
      <c r="B187" s="343"/>
      <c r="E187" s="211"/>
    </row>
    <row r="188" spans="2:5" x14ac:dyDescent="0.35">
      <c r="B188" s="343"/>
      <c r="E188" s="211"/>
    </row>
    <row r="189" spans="2:5" x14ac:dyDescent="0.35">
      <c r="B189" s="343"/>
      <c r="E189" s="211"/>
    </row>
    <row r="190" spans="2:5" x14ac:dyDescent="0.35">
      <c r="B190" s="343"/>
      <c r="E190" s="211"/>
    </row>
    <row r="191" spans="2:5" x14ac:dyDescent="0.35">
      <c r="B191" s="343"/>
      <c r="E191" s="211"/>
    </row>
    <row r="192" spans="2:5" x14ac:dyDescent="0.35">
      <c r="B192" s="343"/>
      <c r="E192" s="211"/>
    </row>
    <row r="193" spans="2:5" x14ac:dyDescent="0.35">
      <c r="B193" s="343"/>
      <c r="E193" s="211"/>
    </row>
    <row r="194" spans="2:5" x14ac:dyDescent="0.35">
      <c r="B194" s="343"/>
      <c r="E194" s="211"/>
    </row>
    <row r="195" spans="2:5" x14ac:dyDescent="0.35">
      <c r="B195" s="343"/>
      <c r="E195" s="211"/>
    </row>
    <row r="196" spans="2:5" x14ac:dyDescent="0.35">
      <c r="B196" s="343"/>
      <c r="E196" s="211"/>
    </row>
    <row r="197" spans="2:5" x14ac:dyDescent="0.35">
      <c r="B197" s="343"/>
      <c r="E197" s="211"/>
    </row>
    <row r="198" spans="2:5" x14ac:dyDescent="0.35">
      <c r="B198" s="343"/>
      <c r="E198" s="211"/>
    </row>
    <row r="199" spans="2:5" x14ac:dyDescent="0.35">
      <c r="B199" s="343"/>
      <c r="E199" s="211"/>
    </row>
    <row r="200" spans="2:5" x14ac:dyDescent="0.35">
      <c r="B200" s="343"/>
      <c r="E200" s="211"/>
    </row>
    <row r="201" spans="2:5" x14ac:dyDescent="0.35">
      <c r="B201" s="343"/>
      <c r="E201" s="211"/>
    </row>
    <row r="202" spans="2:5" x14ac:dyDescent="0.35">
      <c r="B202" s="343"/>
      <c r="E202" s="211"/>
    </row>
    <row r="203" spans="2:5" x14ac:dyDescent="0.35">
      <c r="B203" s="343"/>
      <c r="E203" s="211"/>
    </row>
    <row r="204" spans="2:5" x14ac:dyDescent="0.35">
      <c r="B204" s="343"/>
      <c r="E204" s="211"/>
    </row>
    <row r="205" spans="2:5" x14ac:dyDescent="0.35">
      <c r="B205" s="343"/>
      <c r="E205" s="211"/>
    </row>
    <row r="206" spans="2:5" x14ac:dyDescent="0.35">
      <c r="B206" s="343"/>
      <c r="E206" s="211"/>
    </row>
    <row r="207" spans="2:5" x14ac:dyDescent="0.35">
      <c r="B207" s="343"/>
      <c r="E207" s="211"/>
    </row>
    <row r="208" spans="2:5" x14ac:dyDescent="0.35">
      <c r="B208" s="343"/>
      <c r="E208" s="211"/>
    </row>
    <row r="209" spans="2:5" x14ac:dyDescent="0.35">
      <c r="B209" s="343"/>
      <c r="E209" s="211"/>
    </row>
    <row r="210" spans="2:5" x14ac:dyDescent="0.35">
      <c r="B210" s="343"/>
      <c r="E210" s="211"/>
    </row>
    <row r="211" spans="2:5" x14ac:dyDescent="0.35">
      <c r="B211" s="343"/>
      <c r="E211" s="211"/>
    </row>
    <row r="212" spans="2:5" x14ac:dyDescent="0.35">
      <c r="B212" s="343"/>
      <c r="E212" s="211"/>
    </row>
    <row r="213" spans="2:5" x14ac:dyDescent="0.35">
      <c r="B213" s="343"/>
      <c r="E213" s="211"/>
    </row>
    <row r="214" spans="2:5" x14ac:dyDescent="0.35">
      <c r="B214" s="343"/>
      <c r="E214" s="211"/>
    </row>
    <row r="215" spans="2:5" x14ac:dyDescent="0.35">
      <c r="B215" s="343"/>
      <c r="E215" s="211"/>
    </row>
    <row r="216" spans="2:5" x14ac:dyDescent="0.35">
      <c r="B216" s="343"/>
      <c r="E216" s="211"/>
    </row>
    <row r="217" spans="2:5" x14ac:dyDescent="0.35">
      <c r="B217" s="343"/>
      <c r="E217" s="211"/>
    </row>
    <row r="218" spans="2:5" x14ac:dyDescent="0.35">
      <c r="B218" s="343"/>
      <c r="E218" s="211"/>
    </row>
    <row r="219" spans="2:5" x14ac:dyDescent="0.35">
      <c r="B219" s="343"/>
      <c r="E219" s="211"/>
    </row>
    <row r="220" spans="2:5" x14ac:dyDescent="0.35">
      <c r="B220" s="343"/>
      <c r="E220" s="211"/>
    </row>
    <row r="221" spans="2:5" x14ac:dyDescent="0.35">
      <c r="B221" s="343"/>
      <c r="E221" s="211"/>
    </row>
    <row r="222" spans="2:5" x14ac:dyDescent="0.35">
      <c r="B222" s="343"/>
      <c r="E222" s="211"/>
    </row>
    <row r="223" spans="2:5" x14ac:dyDescent="0.35">
      <c r="B223" s="343"/>
      <c r="E223" s="211"/>
    </row>
    <row r="224" spans="2:5" x14ac:dyDescent="0.35">
      <c r="B224" s="343"/>
      <c r="E224" s="211"/>
    </row>
    <row r="225" spans="2:5" x14ac:dyDescent="0.35">
      <c r="B225" s="343"/>
      <c r="E225" s="211"/>
    </row>
    <row r="226" spans="2:5" x14ac:dyDescent="0.35">
      <c r="B226" s="343"/>
      <c r="E226" s="211"/>
    </row>
    <row r="227" spans="2:5" x14ac:dyDescent="0.35">
      <c r="B227" s="343"/>
      <c r="E227" s="211"/>
    </row>
    <row r="228" spans="2:5" x14ac:dyDescent="0.35">
      <c r="B228" s="343"/>
      <c r="E228" s="211"/>
    </row>
    <row r="229" spans="2:5" x14ac:dyDescent="0.35">
      <c r="B229" s="343"/>
      <c r="E229" s="211"/>
    </row>
    <row r="230" spans="2:5" x14ac:dyDescent="0.35">
      <c r="B230" s="343"/>
      <c r="E230" s="211"/>
    </row>
    <row r="231" spans="2:5" x14ac:dyDescent="0.35">
      <c r="B231" s="343"/>
      <c r="E231" s="211"/>
    </row>
    <row r="232" spans="2:5" x14ac:dyDescent="0.35">
      <c r="B232" s="343"/>
      <c r="E232" s="211"/>
    </row>
    <row r="233" spans="2:5" x14ac:dyDescent="0.35">
      <c r="B233" s="343"/>
      <c r="E233" s="211"/>
    </row>
    <row r="234" spans="2:5" x14ac:dyDescent="0.35">
      <c r="B234" s="343"/>
      <c r="E234" s="211"/>
    </row>
    <row r="235" spans="2:5" x14ac:dyDescent="0.35">
      <c r="B235" s="343"/>
      <c r="E235" s="211"/>
    </row>
    <row r="236" spans="2:5" x14ac:dyDescent="0.35">
      <c r="B236" s="343"/>
      <c r="E236" s="211"/>
    </row>
    <row r="237" spans="2:5" x14ac:dyDescent="0.35">
      <c r="B237" s="343"/>
      <c r="E237" s="211"/>
    </row>
    <row r="238" spans="2:5" x14ac:dyDescent="0.35">
      <c r="B238" s="343"/>
      <c r="E238" s="211"/>
    </row>
    <row r="239" spans="2:5" x14ac:dyDescent="0.35">
      <c r="B239" s="343"/>
      <c r="E239" s="211"/>
    </row>
    <row r="240" spans="2:5" x14ac:dyDescent="0.35">
      <c r="B240" s="343"/>
      <c r="E240" s="211"/>
    </row>
    <row r="241" spans="2:5" x14ac:dyDescent="0.35">
      <c r="B241" s="343"/>
      <c r="E241" s="211"/>
    </row>
    <row r="242" spans="2:5" x14ac:dyDescent="0.35">
      <c r="B242" s="343"/>
      <c r="E242" s="211"/>
    </row>
    <row r="243" spans="2:5" x14ac:dyDescent="0.35">
      <c r="B243" s="343"/>
      <c r="E243" s="211"/>
    </row>
    <row r="244" spans="2:5" x14ac:dyDescent="0.35">
      <c r="B244" s="343"/>
      <c r="E244" s="211"/>
    </row>
    <row r="245" spans="2:5" x14ac:dyDescent="0.35">
      <c r="B245" s="343"/>
      <c r="E245" s="211"/>
    </row>
    <row r="246" spans="2:5" x14ac:dyDescent="0.35">
      <c r="B246" s="343"/>
      <c r="E246" s="211"/>
    </row>
    <row r="247" spans="2:5" x14ac:dyDescent="0.35">
      <c r="B247" s="343"/>
      <c r="E247" s="211"/>
    </row>
    <row r="248" spans="2:5" x14ac:dyDescent="0.35">
      <c r="B248" s="343"/>
      <c r="E248" s="211"/>
    </row>
    <row r="249" spans="2:5" x14ac:dyDescent="0.35">
      <c r="B249" s="343"/>
      <c r="E249" s="211"/>
    </row>
    <row r="250" spans="2:5" x14ac:dyDescent="0.35">
      <c r="B250" s="343"/>
      <c r="E250" s="211"/>
    </row>
    <row r="251" spans="2:5" x14ac:dyDescent="0.35">
      <c r="B251" s="343"/>
      <c r="E251" s="211"/>
    </row>
    <row r="252" spans="2:5" x14ac:dyDescent="0.35">
      <c r="B252" s="343"/>
      <c r="E252" s="211"/>
    </row>
    <row r="253" spans="2:5" x14ac:dyDescent="0.35">
      <c r="B253" s="343"/>
      <c r="E253" s="211"/>
    </row>
    <row r="254" spans="2:5" x14ac:dyDescent="0.35">
      <c r="B254" s="343"/>
      <c r="E254" s="211"/>
    </row>
    <row r="255" spans="2:5" x14ac:dyDescent="0.35">
      <c r="B255" s="343"/>
      <c r="E255" s="211"/>
    </row>
    <row r="256" spans="2:5" x14ac:dyDescent="0.35">
      <c r="B256" s="343"/>
      <c r="E256" s="211"/>
    </row>
    <row r="257" spans="2:5" x14ac:dyDescent="0.35">
      <c r="B257" s="343"/>
      <c r="E257" s="211"/>
    </row>
    <row r="258" spans="2:5" x14ac:dyDescent="0.35">
      <c r="B258" s="343"/>
      <c r="E258" s="211"/>
    </row>
    <row r="259" spans="2:5" x14ac:dyDescent="0.35">
      <c r="B259" s="343"/>
      <c r="E259" s="211"/>
    </row>
    <row r="260" spans="2:5" x14ac:dyDescent="0.35">
      <c r="B260" s="343"/>
      <c r="E260" s="211"/>
    </row>
    <row r="261" spans="2:5" x14ac:dyDescent="0.35">
      <c r="B261" s="343"/>
      <c r="E261" s="211"/>
    </row>
    <row r="262" spans="2:5" x14ac:dyDescent="0.35">
      <c r="B262" s="343"/>
      <c r="E262" s="211"/>
    </row>
    <row r="263" spans="2:5" x14ac:dyDescent="0.35">
      <c r="B263" s="343"/>
      <c r="E263" s="211"/>
    </row>
    <row r="264" spans="2:5" x14ac:dyDescent="0.35">
      <c r="B264" s="343"/>
      <c r="E264" s="211"/>
    </row>
    <row r="265" spans="2:5" x14ac:dyDescent="0.35">
      <c r="B265" s="343"/>
      <c r="E265" s="211"/>
    </row>
    <row r="266" spans="2:5" x14ac:dyDescent="0.35">
      <c r="B266" s="343"/>
      <c r="E266" s="211"/>
    </row>
    <row r="267" spans="2:5" x14ac:dyDescent="0.35">
      <c r="B267" s="343"/>
      <c r="E267" s="211"/>
    </row>
    <row r="268" spans="2:5" x14ac:dyDescent="0.35">
      <c r="B268" s="343"/>
      <c r="E268" s="211"/>
    </row>
    <row r="269" spans="2:5" x14ac:dyDescent="0.35">
      <c r="B269" s="343"/>
      <c r="E269" s="211"/>
    </row>
    <row r="270" spans="2:5" x14ac:dyDescent="0.35">
      <c r="B270" s="343"/>
      <c r="E270" s="211"/>
    </row>
    <row r="271" spans="2:5" x14ac:dyDescent="0.35">
      <c r="B271" s="343"/>
      <c r="E271" s="211"/>
    </row>
    <row r="272" spans="2:5" x14ac:dyDescent="0.35">
      <c r="B272" s="343"/>
      <c r="E272" s="211"/>
    </row>
    <row r="273" spans="2:5" x14ac:dyDescent="0.35">
      <c r="B273" s="343"/>
      <c r="E273" s="211"/>
    </row>
    <row r="274" spans="2:5" x14ac:dyDescent="0.35">
      <c r="B274" s="343"/>
      <c r="E274" s="211"/>
    </row>
    <row r="275" spans="2:5" x14ac:dyDescent="0.35">
      <c r="B275" s="343"/>
      <c r="E275" s="211"/>
    </row>
    <row r="276" spans="2:5" x14ac:dyDescent="0.35">
      <c r="B276" s="343"/>
      <c r="E276" s="211"/>
    </row>
    <row r="277" spans="2:5" x14ac:dyDescent="0.35">
      <c r="B277" s="343"/>
      <c r="E277" s="211"/>
    </row>
    <row r="278" spans="2:5" x14ac:dyDescent="0.35">
      <c r="B278" s="343"/>
      <c r="E278" s="211"/>
    </row>
    <row r="279" spans="2:5" x14ac:dyDescent="0.35">
      <c r="B279" s="343"/>
      <c r="E279" s="211"/>
    </row>
    <row r="280" spans="2:5" x14ac:dyDescent="0.35">
      <c r="B280" s="343"/>
      <c r="E280" s="211"/>
    </row>
    <row r="281" spans="2:5" x14ac:dyDescent="0.35">
      <c r="B281" s="343"/>
      <c r="E281" s="211"/>
    </row>
    <row r="282" spans="2:5" x14ac:dyDescent="0.35">
      <c r="B282" s="343"/>
      <c r="E282" s="211"/>
    </row>
    <row r="283" spans="2:5" x14ac:dyDescent="0.35">
      <c r="B283" s="343"/>
      <c r="E283" s="211"/>
    </row>
    <row r="284" spans="2:5" x14ac:dyDescent="0.35">
      <c r="B284" s="343"/>
      <c r="E284" s="211"/>
    </row>
    <row r="285" spans="2:5" x14ac:dyDescent="0.35">
      <c r="B285" s="343"/>
      <c r="E285" s="211"/>
    </row>
    <row r="286" spans="2:5" x14ac:dyDescent="0.35">
      <c r="B286" s="343"/>
      <c r="E286" s="211"/>
    </row>
    <row r="287" spans="2:5" x14ac:dyDescent="0.35">
      <c r="B287" s="343"/>
      <c r="E287" s="211"/>
    </row>
    <row r="288" spans="2:5" x14ac:dyDescent="0.35">
      <c r="B288" s="343"/>
      <c r="E288" s="211"/>
    </row>
    <row r="289" spans="2:5" x14ac:dyDescent="0.35">
      <c r="B289" s="343"/>
      <c r="E289" s="211"/>
    </row>
    <row r="290" spans="2:5" x14ac:dyDescent="0.35">
      <c r="B290" s="343"/>
      <c r="E290" s="211"/>
    </row>
    <row r="291" spans="2:5" x14ac:dyDescent="0.35">
      <c r="B291" s="343"/>
      <c r="E291" s="211"/>
    </row>
    <row r="292" spans="2:5" x14ac:dyDescent="0.35">
      <c r="B292" s="343"/>
      <c r="E292" s="211"/>
    </row>
    <row r="293" spans="2:5" x14ac:dyDescent="0.35">
      <c r="B293" s="343"/>
      <c r="E293" s="211"/>
    </row>
    <row r="294" spans="2:5" x14ac:dyDescent="0.35">
      <c r="B294" s="343"/>
      <c r="E294" s="211"/>
    </row>
    <row r="295" spans="2:5" x14ac:dyDescent="0.35">
      <c r="B295" s="343"/>
      <c r="E295" s="211"/>
    </row>
    <row r="296" spans="2:5" x14ac:dyDescent="0.35">
      <c r="B296" s="343"/>
      <c r="E296" s="211"/>
    </row>
    <row r="297" spans="2:5" x14ac:dyDescent="0.35">
      <c r="B297" s="343"/>
      <c r="E297" s="211"/>
    </row>
    <row r="298" spans="2:5" x14ac:dyDescent="0.35">
      <c r="B298" s="343"/>
      <c r="E298" s="211"/>
    </row>
    <row r="299" spans="2:5" x14ac:dyDescent="0.35">
      <c r="B299" s="343"/>
      <c r="E299" s="211"/>
    </row>
    <row r="300" spans="2:5" x14ac:dyDescent="0.35">
      <c r="B300" s="343"/>
      <c r="E300" s="211"/>
    </row>
    <row r="301" spans="2:5" x14ac:dyDescent="0.35">
      <c r="B301" s="343"/>
      <c r="E301" s="211"/>
    </row>
    <row r="302" spans="2:5" x14ac:dyDescent="0.35">
      <c r="B302" s="343"/>
      <c r="E302" s="211"/>
    </row>
    <row r="303" spans="2:5" x14ac:dyDescent="0.35">
      <c r="B303" s="343"/>
      <c r="E303" s="211"/>
    </row>
    <row r="304" spans="2:5" x14ac:dyDescent="0.35">
      <c r="B304" s="343"/>
      <c r="E304" s="211"/>
    </row>
    <row r="305" spans="2:5" x14ac:dyDescent="0.35">
      <c r="B305" s="343"/>
      <c r="E305" s="211"/>
    </row>
    <row r="306" spans="2:5" x14ac:dyDescent="0.35">
      <c r="B306" s="343"/>
      <c r="E306" s="211"/>
    </row>
    <row r="307" spans="2:5" x14ac:dyDescent="0.35">
      <c r="B307" s="343"/>
      <c r="E307" s="211"/>
    </row>
    <row r="308" spans="2:5" x14ac:dyDescent="0.35">
      <c r="B308" s="343"/>
      <c r="E308" s="211"/>
    </row>
    <row r="309" spans="2:5" x14ac:dyDescent="0.35">
      <c r="B309" s="343"/>
      <c r="E309" s="211"/>
    </row>
    <row r="310" spans="2:5" x14ac:dyDescent="0.35">
      <c r="B310" s="343"/>
      <c r="E310" s="211"/>
    </row>
    <row r="311" spans="2:5" x14ac:dyDescent="0.35">
      <c r="B311" s="343"/>
      <c r="E311" s="211"/>
    </row>
    <row r="312" spans="2:5" x14ac:dyDescent="0.35">
      <c r="B312" s="343"/>
      <c r="E312" s="211"/>
    </row>
    <row r="313" spans="2:5" x14ac:dyDescent="0.35">
      <c r="B313" s="343"/>
      <c r="E313" s="211"/>
    </row>
    <row r="314" spans="2:5" x14ac:dyDescent="0.35">
      <c r="B314" s="343"/>
      <c r="E314" s="211"/>
    </row>
    <row r="315" spans="2:5" x14ac:dyDescent="0.35">
      <c r="B315" s="343"/>
      <c r="E315" s="211"/>
    </row>
    <row r="316" spans="2:5" x14ac:dyDescent="0.35">
      <c r="B316" s="343"/>
      <c r="E316" s="211"/>
    </row>
    <row r="317" spans="2:5" x14ac:dyDescent="0.35">
      <c r="B317" s="343"/>
      <c r="E317" s="211"/>
    </row>
    <row r="318" spans="2:5" x14ac:dyDescent="0.35">
      <c r="B318" s="343"/>
      <c r="E318" s="211"/>
    </row>
    <row r="319" spans="2:5" x14ac:dyDescent="0.35">
      <c r="B319" s="343"/>
      <c r="E319" s="211"/>
    </row>
    <row r="320" spans="2:5" x14ac:dyDescent="0.35">
      <c r="B320" s="343"/>
      <c r="E320" s="211"/>
    </row>
    <row r="321" spans="2:5" x14ac:dyDescent="0.35">
      <c r="B321" s="343"/>
      <c r="E321" s="211"/>
    </row>
    <row r="322" spans="2:5" x14ac:dyDescent="0.35">
      <c r="B322" s="343"/>
      <c r="E322" s="211"/>
    </row>
    <row r="323" spans="2:5" x14ac:dyDescent="0.35">
      <c r="B323" s="343"/>
      <c r="E323" s="211"/>
    </row>
    <row r="324" spans="2:5" x14ac:dyDescent="0.35">
      <c r="B324" s="343"/>
      <c r="E324" s="211"/>
    </row>
    <row r="325" spans="2:5" x14ac:dyDescent="0.35">
      <c r="B325" s="343"/>
      <c r="E325" s="211"/>
    </row>
    <row r="326" spans="2:5" x14ac:dyDescent="0.35">
      <c r="B326" s="343"/>
      <c r="E326" s="211"/>
    </row>
    <row r="327" spans="2:5" x14ac:dyDescent="0.35">
      <c r="B327" s="343"/>
      <c r="E327" s="211"/>
    </row>
    <row r="328" spans="2:5" x14ac:dyDescent="0.35">
      <c r="B328" s="343"/>
      <c r="E328" s="211"/>
    </row>
    <row r="329" spans="2:5" x14ac:dyDescent="0.35">
      <c r="B329" s="343"/>
      <c r="E329" s="211"/>
    </row>
    <row r="330" spans="2:5" x14ac:dyDescent="0.35">
      <c r="B330" s="343"/>
      <c r="E330" s="211"/>
    </row>
    <row r="331" spans="2:5" x14ac:dyDescent="0.35">
      <c r="B331" s="343"/>
      <c r="E331" s="211"/>
    </row>
    <row r="332" spans="2:5" x14ac:dyDescent="0.35">
      <c r="B332" s="343"/>
      <c r="E332" s="211"/>
    </row>
    <row r="333" spans="2:5" x14ac:dyDescent="0.35">
      <c r="B333" s="343"/>
      <c r="E333" s="211"/>
    </row>
    <row r="334" spans="2:5" x14ac:dyDescent="0.35">
      <c r="B334" s="343"/>
      <c r="E334" s="211"/>
    </row>
    <row r="335" spans="2:5" x14ac:dyDescent="0.35">
      <c r="B335" s="343"/>
      <c r="E335" s="211"/>
    </row>
    <row r="336" spans="2:5" x14ac:dyDescent="0.35">
      <c r="B336" s="343"/>
      <c r="E336" s="211"/>
    </row>
    <row r="337" spans="2:5" x14ac:dyDescent="0.35">
      <c r="B337" s="343"/>
      <c r="E337" s="211"/>
    </row>
    <row r="338" spans="2:5" x14ac:dyDescent="0.35">
      <c r="B338" s="343"/>
      <c r="E338" s="211"/>
    </row>
    <row r="339" spans="2:5" x14ac:dyDescent="0.35">
      <c r="B339" s="343"/>
      <c r="E339" s="211"/>
    </row>
    <row r="340" spans="2:5" x14ac:dyDescent="0.35">
      <c r="B340" s="343"/>
      <c r="E340" s="211"/>
    </row>
    <row r="341" spans="2:5" x14ac:dyDescent="0.35">
      <c r="B341" s="343"/>
      <c r="E341" s="211"/>
    </row>
    <row r="342" spans="2:5" x14ac:dyDescent="0.35">
      <c r="B342" s="343"/>
      <c r="E342" s="211"/>
    </row>
    <row r="343" spans="2:5" x14ac:dyDescent="0.35">
      <c r="B343" s="343"/>
      <c r="E343" s="211"/>
    </row>
    <row r="344" spans="2:5" x14ac:dyDescent="0.35">
      <c r="B344" s="343"/>
      <c r="E344" s="211"/>
    </row>
    <row r="345" spans="2:5" x14ac:dyDescent="0.35">
      <c r="B345" s="343"/>
      <c r="E345" s="211"/>
    </row>
    <row r="346" spans="2:5" x14ac:dyDescent="0.35">
      <c r="B346" s="343"/>
      <c r="E346" s="211"/>
    </row>
    <row r="347" spans="2:5" x14ac:dyDescent="0.35">
      <c r="B347" s="343"/>
      <c r="E347" s="211"/>
    </row>
    <row r="348" spans="2:5" x14ac:dyDescent="0.35">
      <c r="B348" s="343"/>
      <c r="E348" s="211"/>
    </row>
    <row r="349" spans="2:5" x14ac:dyDescent="0.35">
      <c r="B349" s="343"/>
      <c r="E349" s="211"/>
    </row>
    <row r="350" spans="2:5" x14ac:dyDescent="0.35">
      <c r="B350" s="343"/>
      <c r="E350" s="211"/>
    </row>
    <row r="351" spans="2:5" x14ac:dyDescent="0.35">
      <c r="B351" s="343"/>
      <c r="E351" s="211"/>
    </row>
    <row r="352" spans="2:5" x14ac:dyDescent="0.35">
      <c r="B352" s="343"/>
      <c r="E352" s="211"/>
    </row>
    <row r="353" spans="2:5" x14ac:dyDescent="0.35">
      <c r="B353" s="343"/>
      <c r="E353" s="211"/>
    </row>
    <row r="354" spans="2:5" x14ac:dyDescent="0.35">
      <c r="B354" s="343"/>
      <c r="E354" s="211"/>
    </row>
    <row r="355" spans="2:5" x14ac:dyDescent="0.35">
      <c r="B355" s="343"/>
      <c r="E355" s="211"/>
    </row>
    <row r="356" spans="2:5" x14ac:dyDescent="0.35">
      <c r="B356" s="343"/>
      <c r="E356" s="211"/>
    </row>
    <row r="357" spans="2:5" x14ac:dyDescent="0.35">
      <c r="B357" s="343"/>
      <c r="E357" s="211"/>
    </row>
    <row r="358" spans="2:5" x14ac:dyDescent="0.35">
      <c r="B358" s="343"/>
      <c r="E358" s="211"/>
    </row>
    <row r="359" spans="2:5" x14ac:dyDescent="0.35">
      <c r="B359" s="343"/>
      <c r="E359" s="211"/>
    </row>
    <row r="360" spans="2:5" x14ac:dyDescent="0.35">
      <c r="B360" s="343"/>
      <c r="E360" s="211"/>
    </row>
    <row r="361" spans="2:5" x14ac:dyDescent="0.35">
      <c r="B361" s="343"/>
      <c r="E361" s="211"/>
    </row>
    <row r="362" spans="2:5" x14ac:dyDescent="0.35">
      <c r="B362" s="343"/>
      <c r="E362" s="211"/>
    </row>
    <row r="363" spans="2:5" x14ac:dyDescent="0.35">
      <c r="B363" s="343"/>
      <c r="E363" s="211"/>
    </row>
    <row r="364" spans="2:5" x14ac:dyDescent="0.35">
      <c r="B364" s="343"/>
      <c r="E364" s="211"/>
    </row>
    <row r="365" spans="2:5" x14ac:dyDescent="0.35">
      <c r="B365" s="343"/>
      <c r="E365" s="211"/>
    </row>
    <row r="366" spans="2:5" x14ac:dyDescent="0.35">
      <c r="B366" s="343"/>
      <c r="E366" s="211"/>
    </row>
    <row r="367" spans="2:5" x14ac:dyDescent="0.35">
      <c r="B367" s="343"/>
      <c r="E367" s="211"/>
    </row>
    <row r="368" spans="2:5" x14ac:dyDescent="0.35">
      <c r="B368" s="343"/>
      <c r="E368" s="211"/>
    </row>
    <row r="369" spans="2:5" x14ac:dyDescent="0.35">
      <c r="B369" s="343"/>
      <c r="E369" s="211"/>
    </row>
    <row r="370" spans="2:5" x14ac:dyDescent="0.35">
      <c r="B370" s="343"/>
      <c r="E370" s="211"/>
    </row>
    <row r="371" spans="2:5" x14ac:dyDescent="0.35">
      <c r="B371" s="343"/>
      <c r="E371" s="211"/>
    </row>
    <row r="372" spans="2:5" x14ac:dyDescent="0.35">
      <c r="B372" s="343"/>
      <c r="E372" s="211"/>
    </row>
    <row r="373" spans="2:5" x14ac:dyDescent="0.35">
      <c r="B373" s="343"/>
      <c r="E373" s="211"/>
    </row>
    <row r="374" spans="2:5" x14ac:dyDescent="0.35">
      <c r="B374" s="343"/>
      <c r="E374" s="211"/>
    </row>
    <row r="375" spans="2:5" x14ac:dyDescent="0.35">
      <c r="B375" s="343"/>
      <c r="E375" s="211"/>
    </row>
    <row r="376" spans="2:5" x14ac:dyDescent="0.35">
      <c r="B376" s="343"/>
      <c r="E376" s="211"/>
    </row>
    <row r="377" spans="2:5" x14ac:dyDescent="0.35">
      <c r="B377" s="343"/>
      <c r="E377" s="211"/>
    </row>
    <row r="378" spans="2:5" x14ac:dyDescent="0.35">
      <c r="B378" s="343"/>
      <c r="E378" s="211"/>
    </row>
    <row r="379" spans="2:5" x14ac:dyDescent="0.35">
      <c r="B379" s="343"/>
      <c r="E379" s="211"/>
    </row>
    <row r="380" spans="2:5" x14ac:dyDescent="0.35">
      <c r="B380" s="343"/>
      <c r="E380" s="211"/>
    </row>
    <row r="381" spans="2:5" x14ac:dyDescent="0.35">
      <c r="B381" s="343"/>
      <c r="E381" s="211"/>
    </row>
    <row r="382" spans="2:5" x14ac:dyDescent="0.35">
      <c r="B382" s="343"/>
      <c r="E382" s="211"/>
    </row>
    <row r="383" spans="2:5" x14ac:dyDescent="0.35">
      <c r="B383" s="343"/>
      <c r="E383" s="211"/>
    </row>
    <row r="384" spans="2:5" x14ac:dyDescent="0.35">
      <c r="B384" s="343"/>
      <c r="E384" s="211"/>
    </row>
    <row r="385" spans="2:5" x14ac:dyDescent="0.35">
      <c r="B385" s="343"/>
      <c r="E385" s="211"/>
    </row>
    <row r="386" spans="2:5" x14ac:dyDescent="0.35">
      <c r="B386" s="343"/>
      <c r="E386" s="211"/>
    </row>
    <row r="387" spans="2:5" x14ac:dyDescent="0.35">
      <c r="B387" s="343"/>
      <c r="E387" s="211"/>
    </row>
    <row r="388" spans="2:5" x14ac:dyDescent="0.35">
      <c r="B388" s="343"/>
      <c r="E388" s="211"/>
    </row>
    <row r="389" spans="2:5" x14ac:dyDescent="0.35">
      <c r="B389" s="343"/>
      <c r="E389" s="211"/>
    </row>
    <row r="390" spans="2:5" x14ac:dyDescent="0.35">
      <c r="B390" s="343"/>
      <c r="E390" s="211"/>
    </row>
    <row r="391" spans="2:5" x14ac:dyDescent="0.35">
      <c r="B391" s="343"/>
      <c r="E391" s="211"/>
    </row>
    <row r="392" spans="2:5" x14ac:dyDescent="0.35">
      <c r="B392" s="343"/>
      <c r="E392" s="211"/>
    </row>
    <row r="393" spans="2:5" x14ac:dyDescent="0.35">
      <c r="B393" s="343"/>
      <c r="E393" s="211"/>
    </row>
    <row r="394" spans="2:5" x14ac:dyDescent="0.35">
      <c r="B394" s="343"/>
      <c r="E394" s="211"/>
    </row>
    <row r="395" spans="2:5" x14ac:dyDescent="0.35">
      <c r="B395" s="343"/>
      <c r="E395" s="211"/>
    </row>
    <row r="396" spans="2:5" x14ac:dyDescent="0.35">
      <c r="B396" s="343"/>
      <c r="E396" s="211"/>
    </row>
    <row r="397" spans="2:5" x14ac:dyDescent="0.35">
      <c r="B397" s="343"/>
      <c r="E397" s="211"/>
    </row>
    <row r="398" spans="2:5" x14ac:dyDescent="0.35">
      <c r="B398" s="343"/>
      <c r="E398" s="211"/>
    </row>
    <row r="399" spans="2:5" x14ac:dyDescent="0.35">
      <c r="B399" s="343"/>
      <c r="E399" s="211"/>
    </row>
    <row r="400" spans="2:5" x14ac:dyDescent="0.35">
      <c r="B400" s="343"/>
      <c r="E400" s="211"/>
    </row>
    <row r="401" spans="2:5" x14ac:dyDescent="0.35">
      <c r="B401" s="343"/>
      <c r="E401" s="211"/>
    </row>
    <row r="402" spans="2:5" x14ac:dyDescent="0.35">
      <c r="B402" s="343"/>
      <c r="E402" s="211"/>
    </row>
    <row r="403" spans="2:5" x14ac:dyDescent="0.35">
      <c r="B403" s="343"/>
      <c r="E403" s="211"/>
    </row>
    <row r="404" spans="2:5" x14ac:dyDescent="0.35">
      <c r="B404" s="343"/>
      <c r="E404" s="211"/>
    </row>
    <row r="405" spans="2:5" x14ac:dyDescent="0.35">
      <c r="B405" s="343"/>
      <c r="E405" s="211"/>
    </row>
    <row r="406" spans="2:5" x14ac:dyDescent="0.35">
      <c r="B406" s="343"/>
      <c r="E406" s="211"/>
    </row>
    <row r="407" spans="2:5" x14ac:dyDescent="0.35">
      <c r="B407" s="343"/>
      <c r="E407" s="211"/>
    </row>
    <row r="408" spans="2:5" x14ac:dyDescent="0.35">
      <c r="B408" s="343"/>
      <c r="E408" s="211"/>
    </row>
    <row r="409" spans="2:5" x14ac:dyDescent="0.35">
      <c r="B409" s="343"/>
      <c r="E409" s="211"/>
    </row>
    <row r="410" spans="2:5" x14ac:dyDescent="0.35">
      <c r="B410" s="343"/>
      <c r="E410" s="211"/>
    </row>
    <row r="411" spans="2:5" x14ac:dyDescent="0.35">
      <c r="B411" s="343"/>
      <c r="E411" s="211"/>
    </row>
    <row r="412" spans="2:5" x14ac:dyDescent="0.35">
      <c r="B412" s="343"/>
      <c r="E412" s="211"/>
    </row>
    <row r="413" spans="2:5" x14ac:dyDescent="0.35">
      <c r="B413" s="343"/>
      <c r="E413" s="211"/>
    </row>
    <row r="414" spans="2:5" x14ac:dyDescent="0.35">
      <c r="B414" s="343"/>
      <c r="E414" s="211"/>
    </row>
    <row r="415" spans="2:5" x14ac:dyDescent="0.35">
      <c r="B415" s="343"/>
      <c r="E415" s="211"/>
    </row>
    <row r="416" spans="2:5" x14ac:dyDescent="0.35">
      <c r="B416" s="343"/>
      <c r="E416" s="211"/>
    </row>
    <row r="417" spans="2:5" x14ac:dyDescent="0.35">
      <c r="B417" s="343"/>
      <c r="E417" s="211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Roman,Bold"&amp;10REVISED</oddHeader>
    <oddFooter>&amp;CPage 5.1A&amp;R&amp;F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9FE1-862A-4AFB-A8CA-8300098B3FC3}">
  <sheetPr codeName="Sheet7">
    <pageSetUpPr fitToPage="1"/>
  </sheetPr>
  <dimension ref="A1:O80"/>
  <sheetViews>
    <sheetView zoomScale="80" zoomScaleNormal="80" workbookViewId="0"/>
  </sheetViews>
  <sheetFormatPr defaultColWidth="9.1796875" defaultRowHeight="15.5" x14ac:dyDescent="0.35"/>
  <cols>
    <col min="1" max="1" width="5.1796875" style="344" customWidth="1"/>
    <col min="2" max="2" width="8.54296875" style="345" customWidth="1"/>
    <col min="3" max="3" width="69.1796875" style="345" customWidth="1"/>
    <col min="4" max="6" width="12.54296875" style="345" customWidth="1"/>
    <col min="7" max="7" width="1.54296875" style="345" customWidth="1"/>
    <col min="8" max="8" width="15.453125" style="345" bestFit="1" customWidth="1"/>
    <col min="9" max="9" width="2.81640625" style="345" customWidth="1"/>
    <col min="10" max="10" width="12.54296875" style="345" customWidth="1"/>
    <col min="11" max="11" width="36.26953125" style="345" customWidth="1"/>
    <col min="12" max="12" width="5.1796875" style="344" customWidth="1"/>
    <col min="13" max="13" width="4" style="345" customWidth="1"/>
    <col min="14" max="14" width="13.1796875" style="345" bestFit="1" customWidth="1"/>
    <col min="15" max="15" width="9.1796875" style="345"/>
    <col min="16" max="16" width="9.81640625" style="345" customWidth="1"/>
    <col min="17" max="17" width="10" style="345" customWidth="1"/>
    <col min="18" max="16384" width="9.1796875" style="345"/>
  </cols>
  <sheetData>
    <row r="1" spans="1:15" x14ac:dyDescent="0.35">
      <c r="K1" s="212"/>
    </row>
    <row r="2" spans="1:15" x14ac:dyDescent="0.35">
      <c r="B2" s="612" t="s">
        <v>215</v>
      </c>
      <c r="C2" s="612"/>
      <c r="D2" s="612"/>
      <c r="E2" s="612"/>
      <c r="F2" s="612"/>
      <c r="G2" s="612"/>
      <c r="H2" s="612"/>
      <c r="I2" s="612"/>
      <c r="J2" s="612"/>
      <c r="K2" s="612"/>
      <c r="L2" s="550"/>
    </row>
    <row r="3" spans="1:15" x14ac:dyDescent="0.35">
      <c r="B3" s="612" t="s">
        <v>465</v>
      </c>
      <c r="C3" s="612"/>
      <c r="D3" s="612"/>
      <c r="E3" s="612"/>
      <c r="F3" s="612"/>
      <c r="G3" s="612"/>
      <c r="H3" s="612"/>
      <c r="I3" s="612"/>
      <c r="J3" s="612"/>
      <c r="K3" s="612"/>
      <c r="L3" s="550"/>
    </row>
    <row r="4" spans="1:15" x14ac:dyDescent="0.35">
      <c r="B4" s="612" t="s">
        <v>377</v>
      </c>
      <c r="C4" s="612"/>
      <c r="D4" s="612"/>
      <c r="E4" s="612"/>
      <c r="F4" s="612"/>
      <c r="G4" s="612"/>
      <c r="H4" s="612"/>
      <c r="I4" s="612"/>
      <c r="J4" s="612"/>
      <c r="K4" s="612"/>
      <c r="L4" s="550"/>
    </row>
    <row r="5" spans="1:15" x14ac:dyDescent="0.35">
      <c r="B5" s="613" t="s">
        <v>3</v>
      </c>
      <c r="C5" s="613"/>
      <c r="D5" s="613"/>
      <c r="E5" s="613"/>
      <c r="F5" s="613"/>
      <c r="G5" s="613"/>
      <c r="H5" s="613"/>
      <c r="I5" s="613"/>
      <c r="J5" s="613"/>
      <c r="K5" s="613"/>
      <c r="L5" s="550"/>
    </row>
    <row r="6" spans="1:15" ht="16" thickBot="1" x14ac:dyDescent="0.4">
      <c r="D6" s="346"/>
      <c r="E6" s="346"/>
      <c r="F6" s="346"/>
      <c r="G6" s="346"/>
      <c r="H6" s="346"/>
      <c r="I6" s="346"/>
      <c r="J6" s="346"/>
      <c r="K6" s="346"/>
      <c r="N6" s="211"/>
    </row>
    <row r="7" spans="1:15" ht="18" x14ac:dyDescent="0.3">
      <c r="A7" s="550"/>
      <c r="B7" s="347"/>
      <c r="C7" s="348"/>
      <c r="D7" s="349" t="s">
        <v>378</v>
      </c>
      <c r="E7" s="350" t="s">
        <v>379</v>
      </c>
      <c r="F7" s="349" t="s">
        <v>380</v>
      </c>
      <c r="G7" s="350"/>
      <c r="H7" s="29" t="s">
        <v>466</v>
      </c>
      <c r="I7" s="266"/>
      <c r="J7" s="266" t="s">
        <v>382</v>
      </c>
      <c r="K7" s="351"/>
      <c r="L7" s="550"/>
    </row>
    <row r="8" spans="1:15" x14ac:dyDescent="0.3">
      <c r="A8" s="344" t="s">
        <v>4</v>
      </c>
      <c r="B8" s="352" t="s">
        <v>383</v>
      </c>
      <c r="C8" s="353"/>
      <c r="D8" s="354" t="s">
        <v>384</v>
      </c>
      <c r="E8" s="550" t="s">
        <v>385</v>
      </c>
      <c r="F8" s="354" t="s">
        <v>384</v>
      </c>
      <c r="G8" s="355"/>
      <c r="H8" s="548" t="s">
        <v>386</v>
      </c>
      <c r="I8" s="553"/>
      <c r="J8" s="270" t="s">
        <v>387</v>
      </c>
      <c r="K8" s="356"/>
      <c r="L8" s="344" t="s">
        <v>4</v>
      </c>
    </row>
    <row r="9" spans="1:15" ht="16" thickBot="1" x14ac:dyDescent="0.35">
      <c r="A9" s="344" t="s">
        <v>5</v>
      </c>
      <c r="B9" s="357" t="s">
        <v>388</v>
      </c>
      <c r="C9" s="358" t="s">
        <v>6</v>
      </c>
      <c r="D9" s="359" t="s">
        <v>389</v>
      </c>
      <c r="E9" s="358" t="s">
        <v>390</v>
      </c>
      <c r="F9" s="359" t="s">
        <v>391</v>
      </c>
      <c r="G9" s="360"/>
      <c r="H9" s="387" t="s">
        <v>467</v>
      </c>
      <c r="I9" s="388"/>
      <c r="J9" s="361" t="s">
        <v>468</v>
      </c>
      <c r="K9" s="362" t="s">
        <v>8</v>
      </c>
      <c r="L9" s="344" t="s">
        <v>5</v>
      </c>
      <c r="M9" s="344"/>
    </row>
    <row r="10" spans="1:15" x14ac:dyDescent="0.35">
      <c r="B10" s="363"/>
      <c r="C10" s="364" t="s">
        <v>469</v>
      </c>
      <c r="D10" s="365"/>
      <c r="E10" s="365"/>
      <c r="F10" s="366"/>
      <c r="G10" s="367"/>
      <c r="H10" s="367"/>
      <c r="I10" s="368"/>
      <c r="J10" s="369"/>
      <c r="K10" s="370"/>
    </row>
    <row r="11" spans="1:15" ht="18.5" x14ac:dyDescent="0.35">
      <c r="A11" s="344">
        <v>1</v>
      </c>
      <c r="B11" s="352">
        <v>920</v>
      </c>
      <c r="C11" s="371" t="s">
        <v>470</v>
      </c>
      <c r="D11" s="285">
        <v>31012.001380000002</v>
      </c>
      <c r="E11" s="285">
        <f>+E31</f>
        <v>91.867089999999976</v>
      </c>
      <c r="F11" s="285">
        <f t="shared" ref="F11:F25" si="0">D11-E11</f>
        <v>30920.134290000002</v>
      </c>
      <c r="G11" s="42" t="s">
        <v>39</v>
      </c>
      <c r="H11" s="316">
        <v>-84.78</v>
      </c>
      <c r="I11" s="554">
        <v>2</v>
      </c>
      <c r="J11" s="318">
        <f>F11+H11</f>
        <v>30835.354290000003</v>
      </c>
      <c r="K11" s="271" t="s">
        <v>471</v>
      </c>
      <c r="L11" s="344">
        <f>A11</f>
        <v>1</v>
      </c>
      <c r="M11" s="345" t="s">
        <v>34</v>
      </c>
      <c r="N11" s="372"/>
    </row>
    <row r="12" spans="1:15" ht="18.5" x14ac:dyDescent="0.35">
      <c r="A12" s="344">
        <f t="shared" ref="A12:A27" si="1">A11+1</f>
        <v>2</v>
      </c>
      <c r="B12" s="352">
        <v>921</v>
      </c>
      <c r="C12" s="371" t="s">
        <v>472</v>
      </c>
      <c r="D12" s="288">
        <v>16773.40425</v>
      </c>
      <c r="E12" s="289">
        <f>+E32</f>
        <v>-1.33857</v>
      </c>
      <c r="F12" s="288">
        <f t="shared" si="0"/>
        <v>16774.742819999999</v>
      </c>
      <c r="G12" s="42" t="s">
        <v>39</v>
      </c>
      <c r="H12" s="555">
        <v>-128.12899999999999</v>
      </c>
      <c r="I12" s="554">
        <v>2</v>
      </c>
      <c r="J12" s="293">
        <f>F12+H12</f>
        <v>16646.613819999999</v>
      </c>
      <c r="K12" s="271" t="s">
        <v>473</v>
      </c>
      <c r="L12" s="344">
        <f t="shared" ref="L12:L61" si="2">A12</f>
        <v>2</v>
      </c>
      <c r="N12" s="372"/>
      <c r="O12" s="373"/>
    </row>
    <row r="13" spans="1:15" x14ac:dyDescent="0.35">
      <c r="A13" s="344">
        <f t="shared" si="1"/>
        <v>3</v>
      </c>
      <c r="B13" s="363">
        <v>922</v>
      </c>
      <c r="C13" s="371" t="s">
        <v>474</v>
      </c>
      <c r="D13" s="288">
        <v>-13569.700310000002</v>
      </c>
      <c r="E13" s="289">
        <v>0</v>
      </c>
      <c r="F13" s="288">
        <f t="shared" si="0"/>
        <v>-13569.700310000002</v>
      </c>
      <c r="G13" s="289"/>
      <c r="H13" s="289"/>
      <c r="I13" s="290"/>
      <c r="J13" s="288">
        <f t="shared" ref="J13:J24" si="3">F13+H13</f>
        <v>-13569.700310000002</v>
      </c>
      <c r="K13" s="271" t="s">
        <v>475</v>
      </c>
      <c r="L13" s="344">
        <f t="shared" si="2"/>
        <v>3</v>
      </c>
      <c r="N13" s="372"/>
    </row>
    <row r="14" spans="1:15" ht="18" x14ac:dyDescent="0.35">
      <c r="A14" s="344">
        <f t="shared" si="1"/>
        <v>4</v>
      </c>
      <c r="B14" s="352">
        <v>923</v>
      </c>
      <c r="C14" s="371" t="s">
        <v>476</v>
      </c>
      <c r="D14" s="288">
        <v>90245.647219999999</v>
      </c>
      <c r="E14" s="289">
        <f>+E34</f>
        <v>153.10804999999999</v>
      </c>
      <c r="F14" s="288">
        <f t="shared" si="0"/>
        <v>90092.539170000004</v>
      </c>
      <c r="G14" s="42" t="s">
        <v>39</v>
      </c>
      <c r="H14" s="555">
        <f>2294.73+64.516</f>
        <v>2359.2460000000001</v>
      </c>
      <c r="I14" s="556">
        <v>3</v>
      </c>
      <c r="J14" s="293">
        <f>F14+H14+H15</f>
        <v>91885.613169999997</v>
      </c>
      <c r="K14" s="271" t="s">
        <v>477</v>
      </c>
      <c r="L14" s="344">
        <f t="shared" si="2"/>
        <v>4</v>
      </c>
      <c r="N14" s="372"/>
    </row>
    <row r="15" spans="1:15" ht="18.5" x14ac:dyDescent="0.35">
      <c r="A15" s="344">
        <f t="shared" si="1"/>
        <v>5</v>
      </c>
      <c r="B15" s="352">
        <v>923</v>
      </c>
      <c r="C15" s="371" t="s">
        <v>476</v>
      </c>
      <c r="D15" s="288"/>
      <c r="E15" s="289"/>
      <c r="F15" s="288"/>
      <c r="G15" s="42" t="s">
        <v>39</v>
      </c>
      <c r="H15" s="555">
        <v>-566.17200000000003</v>
      </c>
      <c r="I15" s="554">
        <v>2</v>
      </c>
      <c r="J15" s="293"/>
      <c r="K15" s="271"/>
      <c r="L15" s="344">
        <f t="shared" si="2"/>
        <v>5</v>
      </c>
      <c r="N15" s="372"/>
    </row>
    <row r="16" spans="1:15" x14ac:dyDescent="0.35">
      <c r="A16" s="344">
        <f t="shared" si="1"/>
        <v>6</v>
      </c>
      <c r="B16" s="363">
        <v>924</v>
      </c>
      <c r="C16" s="371" t="s">
        <v>478</v>
      </c>
      <c r="D16" s="288">
        <v>8305.6217899999992</v>
      </c>
      <c r="E16" s="289">
        <v>0</v>
      </c>
      <c r="F16" s="288">
        <f t="shared" si="0"/>
        <v>8305.6217899999992</v>
      </c>
      <c r="G16" s="289"/>
      <c r="H16" s="289"/>
      <c r="I16" s="290"/>
      <c r="J16" s="288">
        <f t="shared" si="3"/>
        <v>8305.6217899999992</v>
      </c>
      <c r="K16" s="271" t="s">
        <v>479</v>
      </c>
      <c r="L16" s="344">
        <f t="shared" si="2"/>
        <v>6</v>
      </c>
      <c r="N16" s="372"/>
    </row>
    <row r="17" spans="1:14" ht="18.5" x14ac:dyDescent="0.35">
      <c r="A17" s="344">
        <f t="shared" si="1"/>
        <v>7</v>
      </c>
      <c r="B17" s="352">
        <v>925</v>
      </c>
      <c r="C17" s="371" t="s">
        <v>480</v>
      </c>
      <c r="D17" s="288">
        <v>140446.40546000001</v>
      </c>
      <c r="E17" s="289">
        <f>+E37</f>
        <v>335.97845833499991</v>
      </c>
      <c r="F17" s="288">
        <f t="shared" si="0"/>
        <v>140110.427001665</v>
      </c>
      <c r="G17" s="42" t="s">
        <v>39</v>
      </c>
      <c r="H17" s="555">
        <v>-304.83300000000003</v>
      </c>
      <c r="I17" s="554">
        <v>2</v>
      </c>
      <c r="J17" s="293">
        <f t="shared" si="3"/>
        <v>139805.59400166498</v>
      </c>
      <c r="K17" s="271" t="s">
        <v>481</v>
      </c>
      <c r="L17" s="344">
        <f t="shared" si="2"/>
        <v>7</v>
      </c>
      <c r="N17" s="372"/>
    </row>
    <row r="18" spans="1:14" ht="18.5" x14ac:dyDescent="0.35">
      <c r="A18" s="344">
        <f>A17+1</f>
        <v>8</v>
      </c>
      <c r="B18" s="352">
        <v>926</v>
      </c>
      <c r="C18" s="371" t="s">
        <v>482</v>
      </c>
      <c r="D18" s="288">
        <v>54077.224009999998</v>
      </c>
      <c r="E18" s="289">
        <f>+E39</f>
        <v>913.38426291299993</v>
      </c>
      <c r="F18" s="288">
        <f t="shared" si="0"/>
        <v>53163.839747086997</v>
      </c>
      <c r="G18" s="42" t="s">
        <v>39</v>
      </c>
      <c r="H18" s="555">
        <v>-832.04399999999998</v>
      </c>
      <c r="I18" s="554">
        <v>2</v>
      </c>
      <c r="J18" s="293">
        <f t="shared" si="3"/>
        <v>52331.795747086995</v>
      </c>
      <c r="K18" s="271" t="s">
        <v>483</v>
      </c>
      <c r="L18" s="344">
        <f t="shared" si="2"/>
        <v>8</v>
      </c>
      <c r="N18" s="374"/>
    </row>
    <row r="19" spans="1:14" x14ac:dyDescent="0.35">
      <c r="A19" s="344">
        <f>A18+1</f>
        <v>9</v>
      </c>
      <c r="B19" s="363">
        <v>927</v>
      </c>
      <c r="C19" s="371" t="s">
        <v>484</v>
      </c>
      <c r="D19" s="375">
        <v>127615.79129000001</v>
      </c>
      <c r="E19" s="288">
        <f>+E40</f>
        <v>127615.79129000001</v>
      </c>
      <c r="F19" s="288">
        <f t="shared" si="0"/>
        <v>0</v>
      </c>
      <c r="G19" s="289"/>
      <c r="H19" s="289"/>
      <c r="I19" s="290"/>
      <c r="J19" s="288">
        <f t="shared" si="3"/>
        <v>0</v>
      </c>
      <c r="K19" s="271" t="s">
        <v>485</v>
      </c>
      <c r="L19" s="344">
        <f t="shared" si="2"/>
        <v>9</v>
      </c>
      <c r="N19" s="374"/>
    </row>
    <row r="20" spans="1:14" ht="18.5" x14ac:dyDescent="0.35">
      <c r="A20" s="344">
        <f t="shared" si="1"/>
        <v>10</v>
      </c>
      <c r="B20" s="363">
        <v>928</v>
      </c>
      <c r="C20" s="371" t="s">
        <v>486</v>
      </c>
      <c r="D20" s="288">
        <v>22402.324690000001</v>
      </c>
      <c r="E20" s="289">
        <f>+E45</f>
        <v>11134.69994</v>
      </c>
      <c r="F20" s="288">
        <f t="shared" si="0"/>
        <v>11267.624750000001</v>
      </c>
      <c r="G20" s="42"/>
      <c r="H20" s="119"/>
      <c r="I20" s="376"/>
      <c r="J20" s="288">
        <f t="shared" si="3"/>
        <v>11267.624750000001</v>
      </c>
      <c r="K20" s="271" t="s">
        <v>487</v>
      </c>
      <c r="L20" s="344">
        <f t="shared" si="2"/>
        <v>10</v>
      </c>
      <c r="N20" s="374"/>
    </row>
    <row r="21" spans="1:14" x14ac:dyDescent="0.35">
      <c r="A21" s="344">
        <f t="shared" si="1"/>
        <v>11</v>
      </c>
      <c r="B21" s="363">
        <v>929</v>
      </c>
      <c r="C21" s="371" t="s">
        <v>488</v>
      </c>
      <c r="D21" s="288">
        <v>-2181.0840200000002</v>
      </c>
      <c r="E21" s="289">
        <v>0</v>
      </c>
      <c r="F21" s="288">
        <f t="shared" si="0"/>
        <v>-2181.0840200000002</v>
      </c>
      <c r="G21" s="289"/>
      <c r="H21" s="289"/>
      <c r="I21" s="290"/>
      <c r="J21" s="288">
        <f t="shared" si="3"/>
        <v>-2181.0840200000002</v>
      </c>
      <c r="K21" s="271" t="s">
        <v>489</v>
      </c>
      <c r="L21" s="344">
        <f t="shared" si="2"/>
        <v>11</v>
      </c>
      <c r="N21" s="372"/>
    </row>
    <row r="22" spans="1:14" x14ac:dyDescent="0.35">
      <c r="A22" s="344">
        <f>A21+1</f>
        <v>12</v>
      </c>
      <c r="B22" s="377">
        <v>930.1</v>
      </c>
      <c r="C22" s="371" t="s">
        <v>490</v>
      </c>
      <c r="D22" s="288">
        <v>112.52861999999999</v>
      </c>
      <c r="E22" s="289">
        <f>+E46</f>
        <v>112.52861999999999</v>
      </c>
      <c r="F22" s="288">
        <f t="shared" si="0"/>
        <v>0</v>
      </c>
      <c r="G22" s="289"/>
      <c r="H22" s="289"/>
      <c r="I22" s="290"/>
      <c r="J22" s="288">
        <f t="shared" si="3"/>
        <v>0</v>
      </c>
      <c r="K22" s="271" t="s">
        <v>491</v>
      </c>
      <c r="L22" s="344">
        <f t="shared" si="2"/>
        <v>12</v>
      </c>
      <c r="N22" s="372"/>
    </row>
    <row r="23" spans="1:14" ht="18.5" x14ac:dyDescent="0.35">
      <c r="A23" s="344">
        <f>A22+1</f>
        <v>13</v>
      </c>
      <c r="B23" s="547">
        <v>930.2</v>
      </c>
      <c r="C23" s="371" t="s">
        <v>492</v>
      </c>
      <c r="D23" s="288">
        <v>2206.68253</v>
      </c>
      <c r="E23" s="289">
        <f>+E48</f>
        <v>576.97162999999989</v>
      </c>
      <c r="F23" s="288">
        <f t="shared" si="0"/>
        <v>1629.7109</v>
      </c>
      <c r="G23" s="42" t="s">
        <v>39</v>
      </c>
      <c r="H23" s="555">
        <v>-1483.3869999999999</v>
      </c>
      <c r="I23" s="554">
        <v>4</v>
      </c>
      <c r="J23" s="293">
        <f t="shared" si="3"/>
        <v>146.32390000000009</v>
      </c>
      <c r="K23" s="271" t="s">
        <v>493</v>
      </c>
      <c r="L23" s="344">
        <f t="shared" si="2"/>
        <v>13</v>
      </c>
      <c r="N23" s="378"/>
    </row>
    <row r="24" spans="1:14" x14ac:dyDescent="0.35">
      <c r="A24" s="344">
        <f t="shared" si="1"/>
        <v>14</v>
      </c>
      <c r="B24" s="363">
        <v>931</v>
      </c>
      <c r="C24" s="371" t="s">
        <v>423</v>
      </c>
      <c r="D24" s="288">
        <v>8564.2415499999988</v>
      </c>
      <c r="E24" s="289">
        <v>0</v>
      </c>
      <c r="F24" s="288">
        <f t="shared" si="0"/>
        <v>8564.2415499999988</v>
      </c>
      <c r="G24" s="289"/>
      <c r="H24" s="289"/>
      <c r="I24" s="290"/>
      <c r="J24" s="288">
        <f t="shared" si="3"/>
        <v>8564.2415499999988</v>
      </c>
      <c r="K24" s="271" t="s">
        <v>494</v>
      </c>
      <c r="L24" s="344">
        <f t="shared" si="2"/>
        <v>14</v>
      </c>
      <c r="N24" s="372"/>
    </row>
    <row r="25" spans="1:14" x14ac:dyDescent="0.35">
      <c r="A25" s="344">
        <f t="shared" si="1"/>
        <v>15</v>
      </c>
      <c r="B25" s="363">
        <v>935</v>
      </c>
      <c r="C25" s="371" t="s">
        <v>495</v>
      </c>
      <c r="D25" s="294">
        <v>12341.892099999999</v>
      </c>
      <c r="E25" s="336">
        <f>+E50</f>
        <v>1502.526687415</v>
      </c>
      <c r="F25" s="294">
        <f t="shared" si="0"/>
        <v>10839.365412584999</v>
      </c>
      <c r="G25" s="295"/>
      <c r="H25" s="336"/>
      <c r="I25" s="296"/>
      <c r="J25" s="294">
        <f>F25+H25</f>
        <v>10839.365412584999</v>
      </c>
      <c r="K25" s="271" t="s">
        <v>496</v>
      </c>
      <c r="L25" s="344">
        <f t="shared" si="2"/>
        <v>15</v>
      </c>
      <c r="M25" s="345" t="s">
        <v>34</v>
      </c>
      <c r="N25" s="372"/>
    </row>
    <row r="26" spans="1:14" x14ac:dyDescent="0.35">
      <c r="A26" s="344">
        <f>A25+1</f>
        <v>16</v>
      </c>
      <c r="B26" s="363"/>
      <c r="D26" s="379"/>
      <c r="F26" s="379"/>
      <c r="I26" s="380"/>
      <c r="J26" s="379"/>
      <c r="K26" s="381"/>
      <c r="L26" s="344">
        <f t="shared" si="2"/>
        <v>16</v>
      </c>
    </row>
    <row r="27" spans="1:14" ht="16" thickBot="1" x14ac:dyDescent="0.4">
      <c r="A27" s="344">
        <f t="shared" si="1"/>
        <v>17</v>
      </c>
      <c r="B27" s="363"/>
      <c r="C27" s="353" t="s">
        <v>497</v>
      </c>
      <c r="D27" s="382">
        <f>SUM(D11:D25)</f>
        <v>498352.98056</v>
      </c>
      <c r="E27" s="321">
        <f>SUM(E11:E25)</f>
        <v>142435.51745866297</v>
      </c>
      <c r="F27" s="319">
        <f>SUM(F11:F25)</f>
        <v>355917.46310133697</v>
      </c>
      <c r="G27" s="320" t="s">
        <v>39</v>
      </c>
      <c r="H27" s="340">
        <f>SUM(H11:H25)</f>
        <v>-1040.0990000000002</v>
      </c>
      <c r="I27" s="321"/>
      <c r="J27" s="319">
        <f>SUM(J11:J25)</f>
        <v>354877.36410133692</v>
      </c>
      <c r="K27" s="383" t="str">
        <f>"Sum Lines "&amp;A11&amp;" thru "&amp;A25</f>
        <v>Sum Lines 1 thru 15</v>
      </c>
      <c r="L27" s="344">
        <f t="shared" si="2"/>
        <v>17</v>
      </c>
    </row>
    <row r="28" spans="1:14" ht="16.5" thickTop="1" thickBot="1" x14ac:dyDescent="0.4">
      <c r="A28" s="344">
        <f>A27+1</f>
        <v>18</v>
      </c>
      <c r="B28" s="384"/>
      <c r="C28" s="346"/>
      <c r="D28" s="385"/>
      <c r="E28" s="386"/>
      <c r="F28" s="386"/>
      <c r="G28" s="387"/>
      <c r="H28" s="557"/>
      <c r="I28" s="388"/>
      <c r="J28" s="389"/>
      <c r="K28" s="390"/>
      <c r="L28" s="344">
        <f t="shared" si="2"/>
        <v>18</v>
      </c>
    </row>
    <row r="29" spans="1:14" x14ac:dyDescent="0.35">
      <c r="A29" s="344">
        <f>A28+1</f>
        <v>19</v>
      </c>
      <c r="B29" s="391"/>
      <c r="C29" s="392"/>
      <c r="D29" s="393"/>
      <c r="E29" s="394"/>
      <c r="F29" s="393"/>
      <c r="G29" s="393"/>
      <c r="H29" s="558"/>
      <c r="I29" s="393"/>
      <c r="J29" s="393"/>
      <c r="K29" s="395"/>
      <c r="L29" s="344">
        <f t="shared" si="2"/>
        <v>19</v>
      </c>
    </row>
    <row r="30" spans="1:14" x14ac:dyDescent="0.35">
      <c r="A30" s="344">
        <f>A29+1</f>
        <v>20</v>
      </c>
      <c r="B30" s="396" t="s">
        <v>498</v>
      </c>
      <c r="C30" s="344"/>
      <c r="D30" s="344"/>
      <c r="E30" s="344"/>
      <c r="F30" s="344"/>
      <c r="G30" s="344"/>
      <c r="H30" s="344"/>
      <c r="I30" s="344"/>
      <c r="J30" s="344"/>
      <c r="K30" s="381"/>
      <c r="L30" s="344">
        <f t="shared" si="2"/>
        <v>20</v>
      </c>
    </row>
    <row r="31" spans="1:14" x14ac:dyDescent="0.35">
      <c r="A31" s="344">
        <f t="shared" ref="A31:A61" si="4">A30+1</f>
        <v>21</v>
      </c>
      <c r="B31" s="397">
        <v>920</v>
      </c>
      <c r="C31" s="26" t="s">
        <v>499</v>
      </c>
      <c r="D31" s="398"/>
      <c r="E31" s="121">
        <v>91.867089999999976</v>
      </c>
      <c r="F31" s="344"/>
      <c r="G31" s="344"/>
      <c r="H31" s="344"/>
      <c r="I31" s="344"/>
      <c r="J31" s="344"/>
      <c r="K31" s="381"/>
      <c r="L31" s="344">
        <f t="shared" si="2"/>
        <v>21</v>
      </c>
    </row>
    <row r="32" spans="1:14" x14ac:dyDescent="0.35">
      <c r="A32" s="344">
        <f t="shared" si="4"/>
        <v>22</v>
      </c>
      <c r="B32" s="397">
        <v>921</v>
      </c>
      <c r="C32" s="26" t="s">
        <v>499</v>
      </c>
      <c r="D32" s="398"/>
      <c r="E32" s="345">
        <v>-1.33857</v>
      </c>
      <c r="K32" s="381"/>
      <c r="L32" s="344">
        <f t="shared" si="2"/>
        <v>22</v>
      </c>
    </row>
    <row r="33" spans="1:12" x14ac:dyDescent="0.35">
      <c r="A33" s="344">
        <f t="shared" si="4"/>
        <v>23</v>
      </c>
      <c r="B33" s="397">
        <v>923</v>
      </c>
      <c r="C33" s="26" t="s">
        <v>500</v>
      </c>
      <c r="D33" s="121">
        <v>74.15849</v>
      </c>
      <c r="E33" s="120"/>
      <c r="K33" s="381"/>
      <c r="L33" s="344">
        <f t="shared" si="2"/>
        <v>23</v>
      </c>
    </row>
    <row r="34" spans="1:12" x14ac:dyDescent="0.35">
      <c r="A34" s="344">
        <f t="shared" si="4"/>
        <v>24</v>
      </c>
      <c r="B34" s="397"/>
      <c r="C34" s="26" t="s">
        <v>499</v>
      </c>
      <c r="D34" s="123">
        <v>78.949559999999991</v>
      </c>
      <c r="E34" s="345">
        <f>SUM(D33:D34)</f>
        <v>153.10804999999999</v>
      </c>
      <c r="K34" s="381"/>
      <c r="L34" s="344">
        <f t="shared" si="2"/>
        <v>24</v>
      </c>
    </row>
    <row r="35" spans="1:12" x14ac:dyDescent="0.35">
      <c r="A35" s="344">
        <f t="shared" si="4"/>
        <v>25</v>
      </c>
      <c r="B35" s="397">
        <v>925</v>
      </c>
      <c r="C35" s="399" t="s">
        <v>499</v>
      </c>
      <c r="D35" s="120">
        <v>268.99521833499995</v>
      </c>
      <c r="K35" s="381"/>
      <c r="L35" s="344">
        <f t="shared" si="2"/>
        <v>25</v>
      </c>
    </row>
    <row r="36" spans="1:12" x14ac:dyDescent="0.35">
      <c r="A36" s="344">
        <f t="shared" si="4"/>
        <v>26</v>
      </c>
      <c r="B36" s="397"/>
      <c r="C36" s="399" t="s">
        <v>480</v>
      </c>
      <c r="D36" s="120">
        <v>0</v>
      </c>
      <c r="K36" s="381"/>
      <c r="L36" s="344">
        <f t="shared" si="2"/>
        <v>26</v>
      </c>
    </row>
    <row r="37" spans="1:12" x14ac:dyDescent="0.35">
      <c r="A37" s="344">
        <f t="shared" si="4"/>
        <v>27</v>
      </c>
      <c r="B37" s="397"/>
      <c r="C37" s="400" t="s">
        <v>501</v>
      </c>
      <c r="D37" s="123">
        <v>66.983239999999995</v>
      </c>
      <c r="E37" s="345">
        <f>SUM(D35:D37)</f>
        <v>335.97845833499991</v>
      </c>
      <c r="K37" s="381"/>
      <c r="L37" s="344">
        <f t="shared" si="2"/>
        <v>27</v>
      </c>
    </row>
    <row r="38" spans="1:12" x14ac:dyDescent="0.35">
      <c r="A38" s="344">
        <f t="shared" si="4"/>
        <v>28</v>
      </c>
      <c r="B38" s="397">
        <v>926</v>
      </c>
      <c r="C38" s="399" t="s">
        <v>499</v>
      </c>
      <c r="D38" s="120">
        <v>730.03415291299996</v>
      </c>
      <c r="E38" s="120"/>
      <c r="K38" s="381"/>
      <c r="L38" s="344">
        <f t="shared" si="2"/>
        <v>28</v>
      </c>
    </row>
    <row r="39" spans="1:12" x14ac:dyDescent="0.35">
      <c r="A39" s="344">
        <f t="shared" si="4"/>
        <v>29</v>
      </c>
      <c r="B39" s="397"/>
      <c r="C39" s="399" t="s">
        <v>501</v>
      </c>
      <c r="D39" s="123">
        <v>183.35011</v>
      </c>
      <c r="E39" s="345">
        <f>SUM(D38:D39)</f>
        <v>913.38426291299993</v>
      </c>
      <c r="K39" s="381"/>
      <c r="L39" s="344">
        <f t="shared" si="2"/>
        <v>29</v>
      </c>
    </row>
    <row r="40" spans="1:12" x14ac:dyDescent="0.35">
      <c r="A40" s="344">
        <f t="shared" si="4"/>
        <v>30</v>
      </c>
      <c r="B40" s="397">
        <v>927</v>
      </c>
      <c r="C40" s="399" t="s">
        <v>484</v>
      </c>
      <c r="D40" s="401"/>
      <c r="E40" s="120">
        <v>127615.79129000001</v>
      </c>
      <c r="K40" s="381"/>
      <c r="L40" s="344">
        <f t="shared" si="2"/>
        <v>30</v>
      </c>
    </row>
    <row r="41" spans="1:12" x14ac:dyDescent="0.35">
      <c r="A41" s="344">
        <f t="shared" si="4"/>
        <v>31</v>
      </c>
      <c r="B41" s="397">
        <v>928</v>
      </c>
      <c r="C41" s="399" t="s">
        <v>499</v>
      </c>
      <c r="D41" s="120">
        <v>0</v>
      </c>
      <c r="E41" s="120"/>
      <c r="F41" s="402"/>
      <c r="G41" s="402"/>
      <c r="H41" s="402"/>
      <c r="I41" s="402"/>
      <c r="J41" s="402"/>
      <c r="K41" s="403"/>
      <c r="L41" s="344">
        <f t="shared" si="2"/>
        <v>31</v>
      </c>
    </row>
    <row r="42" spans="1:12" x14ac:dyDescent="0.35">
      <c r="A42" s="344">
        <f t="shared" si="4"/>
        <v>32</v>
      </c>
      <c r="B42" s="397"/>
      <c r="C42" s="26" t="s">
        <v>43</v>
      </c>
      <c r="D42" s="120">
        <v>0</v>
      </c>
      <c r="E42" s="120"/>
      <c r="K42" s="381"/>
      <c r="L42" s="344">
        <f t="shared" si="2"/>
        <v>32</v>
      </c>
    </row>
    <row r="43" spans="1:12" x14ac:dyDescent="0.35">
      <c r="A43" s="344">
        <f t="shared" si="4"/>
        <v>33</v>
      </c>
      <c r="B43" s="397"/>
      <c r="C43" s="26" t="s">
        <v>502</v>
      </c>
      <c r="D43" s="120">
        <v>1212.49029</v>
      </c>
      <c r="E43" s="404"/>
      <c r="K43" s="381"/>
      <c r="L43" s="344">
        <f t="shared" si="2"/>
        <v>33</v>
      </c>
    </row>
    <row r="44" spans="1:12" x14ac:dyDescent="0.35">
      <c r="A44" s="344">
        <f t="shared" si="4"/>
        <v>34</v>
      </c>
      <c r="B44" s="397"/>
      <c r="C44" s="26" t="s">
        <v>503</v>
      </c>
      <c r="D44" s="120">
        <v>9790.5481500000005</v>
      </c>
      <c r="E44" s="405"/>
      <c r="F44" s="402"/>
      <c r="G44" s="402"/>
      <c r="H44" s="402"/>
      <c r="I44" s="402"/>
      <c r="J44" s="402"/>
      <c r="K44" s="403"/>
      <c r="L44" s="344">
        <f t="shared" si="2"/>
        <v>34</v>
      </c>
    </row>
    <row r="45" spans="1:12" x14ac:dyDescent="0.35">
      <c r="A45" s="344">
        <f t="shared" si="4"/>
        <v>35</v>
      </c>
      <c r="B45" s="406"/>
      <c r="C45" s="399" t="s">
        <v>504</v>
      </c>
      <c r="D45" s="407">
        <v>131.66149999999999</v>
      </c>
      <c r="E45" s="408">
        <f>SUM(D41:D45)</f>
        <v>11134.69994</v>
      </c>
      <c r="K45" s="381"/>
      <c r="L45" s="344">
        <f t="shared" si="2"/>
        <v>35</v>
      </c>
    </row>
    <row r="46" spans="1:12" x14ac:dyDescent="0.35">
      <c r="A46" s="344">
        <f t="shared" si="4"/>
        <v>36</v>
      </c>
      <c r="B46" s="409">
        <v>930.1</v>
      </c>
      <c r="C46" s="26" t="s">
        <v>490</v>
      </c>
      <c r="D46" s="401"/>
      <c r="E46" s="120">
        <v>112.52861999999999</v>
      </c>
      <c r="K46" s="381"/>
      <c r="L46" s="344">
        <f t="shared" si="2"/>
        <v>36</v>
      </c>
    </row>
    <row r="47" spans="1:12" x14ac:dyDescent="0.35">
      <c r="A47" s="344">
        <f t="shared" si="4"/>
        <v>37</v>
      </c>
      <c r="B47" s="409">
        <v>930.2</v>
      </c>
      <c r="C47" s="399" t="s">
        <v>505</v>
      </c>
      <c r="D47" s="408">
        <v>0</v>
      </c>
      <c r="E47" s="410"/>
      <c r="K47" s="381"/>
      <c r="L47" s="344">
        <f t="shared" si="2"/>
        <v>37</v>
      </c>
    </row>
    <row r="48" spans="1:12" x14ac:dyDescent="0.35">
      <c r="A48" s="344">
        <f t="shared" si="4"/>
        <v>38</v>
      </c>
      <c r="B48" s="409"/>
      <c r="C48" s="399" t="s">
        <v>506</v>
      </c>
      <c r="D48" s="411">
        <v>576.97162999999989</v>
      </c>
      <c r="E48" s="408">
        <f>SUM(D47:D48)</f>
        <v>576.97162999999989</v>
      </c>
      <c r="K48" s="381"/>
      <c r="L48" s="344">
        <f t="shared" si="2"/>
        <v>38</v>
      </c>
    </row>
    <row r="49" spans="1:12" x14ac:dyDescent="0.35">
      <c r="A49" s="344">
        <f t="shared" si="4"/>
        <v>39</v>
      </c>
      <c r="B49" s="397">
        <v>935</v>
      </c>
      <c r="C49" s="412" t="s">
        <v>507</v>
      </c>
      <c r="D49" s="408">
        <v>39.414587415</v>
      </c>
      <c r="E49" s="410"/>
      <c r="K49" s="381"/>
      <c r="L49" s="344">
        <f t="shared" si="2"/>
        <v>39</v>
      </c>
    </row>
    <row r="50" spans="1:12" x14ac:dyDescent="0.35">
      <c r="A50" s="344">
        <f t="shared" si="4"/>
        <v>40</v>
      </c>
      <c r="B50" s="397"/>
      <c r="C50" s="412" t="s">
        <v>499</v>
      </c>
      <c r="D50" s="411">
        <v>1463.1121000000001</v>
      </c>
      <c r="E50" s="411">
        <f>SUM(D49:D50)</f>
        <v>1502.526687415</v>
      </c>
      <c r="K50" s="381"/>
      <c r="L50" s="344">
        <f t="shared" si="2"/>
        <v>40</v>
      </c>
    </row>
    <row r="51" spans="1:12" x14ac:dyDescent="0.35">
      <c r="A51" s="344">
        <f t="shared" si="4"/>
        <v>41</v>
      </c>
      <c r="B51" s="413"/>
      <c r="C51" s="414"/>
      <c r="D51" s="415"/>
      <c r="E51" s="289"/>
      <c r="K51" s="381"/>
      <c r="L51" s="344">
        <f t="shared" si="2"/>
        <v>41</v>
      </c>
    </row>
    <row r="52" spans="1:12" ht="16" thickBot="1" x14ac:dyDescent="0.4">
      <c r="A52" s="344">
        <f t="shared" si="4"/>
        <v>42</v>
      </c>
      <c r="B52" s="416"/>
      <c r="C52" s="417" t="s">
        <v>462</v>
      </c>
      <c r="D52" s="402"/>
      <c r="E52" s="340">
        <f>SUM(E31:E50)</f>
        <v>142435.51745866297</v>
      </c>
      <c r="F52" s="418"/>
      <c r="G52" s="418"/>
      <c r="H52" s="418"/>
      <c r="I52" s="418"/>
      <c r="J52" s="418"/>
      <c r="K52" s="381"/>
      <c r="L52" s="344">
        <f t="shared" si="2"/>
        <v>42</v>
      </c>
    </row>
    <row r="53" spans="1:12" ht="16" thickTop="1" x14ac:dyDescent="0.35">
      <c r="A53" s="344">
        <f t="shared" si="4"/>
        <v>43</v>
      </c>
      <c r="B53" s="416"/>
      <c r="C53" s="417"/>
      <c r="E53" s="419"/>
      <c r="F53" s="549"/>
      <c r="G53" s="549"/>
      <c r="H53" s="549"/>
      <c r="I53" s="549"/>
      <c r="J53" s="549"/>
      <c r="K53" s="381"/>
      <c r="L53" s="344">
        <f t="shared" si="2"/>
        <v>43</v>
      </c>
    </row>
    <row r="54" spans="1:12" x14ac:dyDescent="0.35">
      <c r="A54" s="344">
        <f t="shared" si="4"/>
        <v>44</v>
      </c>
      <c r="B54" s="254" t="s">
        <v>39</v>
      </c>
      <c r="C54" s="33" t="s">
        <v>235</v>
      </c>
      <c r="E54" s="419"/>
      <c r="F54" s="549"/>
      <c r="G54" s="549"/>
      <c r="H54" s="549"/>
      <c r="I54" s="549"/>
      <c r="J54" s="549"/>
      <c r="K54" s="381"/>
      <c r="L54" s="344">
        <f t="shared" si="2"/>
        <v>44</v>
      </c>
    </row>
    <row r="55" spans="1:12" ht="18" x14ac:dyDescent="0.35">
      <c r="A55" s="344">
        <f t="shared" si="4"/>
        <v>45</v>
      </c>
      <c r="B55" s="420">
        <v>1</v>
      </c>
      <c r="C55" s="371" t="s">
        <v>508</v>
      </c>
      <c r="E55" s="421"/>
      <c r="F55" s="549"/>
      <c r="G55" s="549"/>
      <c r="H55" s="549"/>
      <c r="I55" s="549"/>
      <c r="J55" s="549"/>
      <c r="K55" s="381"/>
      <c r="L55" s="344">
        <f t="shared" si="2"/>
        <v>45</v>
      </c>
    </row>
    <row r="56" spans="1:12" ht="18" x14ac:dyDescent="0.35">
      <c r="A56" s="344">
        <f t="shared" si="4"/>
        <v>46</v>
      </c>
      <c r="B56" s="420">
        <v>2</v>
      </c>
      <c r="C56" s="371" t="s">
        <v>509</v>
      </c>
      <c r="E56" s="421"/>
      <c r="F56" s="549"/>
      <c r="G56" s="549"/>
      <c r="H56" s="549"/>
      <c r="I56" s="549"/>
      <c r="J56" s="549"/>
      <c r="K56" s="381"/>
      <c r="L56" s="344">
        <f t="shared" si="2"/>
        <v>46</v>
      </c>
    </row>
    <row r="57" spans="1:12" ht="18" x14ac:dyDescent="0.35">
      <c r="A57" s="344">
        <f t="shared" si="4"/>
        <v>47</v>
      </c>
      <c r="B57" s="420">
        <v>3</v>
      </c>
      <c r="C57" s="211" t="s">
        <v>510</v>
      </c>
      <c r="E57" s="421"/>
      <c r="F57" s="549"/>
      <c r="G57" s="549"/>
      <c r="H57" s="549"/>
      <c r="I57" s="549"/>
      <c r="J57" s="549"/>
      <c r="K57" s="381"/>
      <c r="L57" s="344">
        <f t="shared" si="2"/>
        <v>47</v>
      </c>
    </row>
    <row r="58" spans="1:12" ht="18" x14ac:dyDescent="0.35">
      <c r="A58" s="344">
        <f t="shared" si="4"/>
        <v>48</v>
      </c>
      <c r="B58" s="420"/>
      <c r="C58" s="211" t="s">
        <v>464</v>
      </c>
      <c r="E58" s="421"/>
      <c r="F58" s="549"/>
      <c r="G58" s="549"/>
      <c r="H58" s="549"/>
      <c r="I58" s="549"/>
      <c r="J58" s="549"/>
      <c r="K58" s="381"/>
      <c r="L58" s="344">
        <f t="shared" si="2"/>
        <v>48</v>
      </c>
    </row>
    <row r="59" spans="1:12" ht="18" x14ac:dyDescent="0.35">
      <c r="A59" s="344">
        <f t="shared" si="4"/>
        <v>49</v>
      </c>
      <c r="B59" s="420">
        <v>4</v>
      </c>
      <c r="C59" s="211" t="s">
        <v>511</v>
      </c>
      <c r="E59" s="421"/>
      <c r="F59" s="549"/>
      <c r="G59" s="549"/>
      <c r="H59" s="549"/>
      <c r="I59" s="549"/>
      <c r="J59" s="549"/>
      <c r="K59" s="381"/>
      <c r="L59" s="344">
        <f t="shared" si="2"/>
        <v>49</v>
      </c>
    </row>
    <row r="60" spans="1:12" ht="18" x14ac:dyDescent="0.35">
      <c r="A60" s="344">
        <f t="shared" si="4"/>
        <v>50</v>
      </c>
      <c r="B60" s="420"/>
      <c r="C60" s="211" t="s">
        <v>512</v>
      </c>
      <c r="E60" s="421"/>
      <c r="F60" s="549"/>
      <c r="G60" s="549"/>
      <c r="H60" s="549"/>
      <c r="I60" s="549"/>
      <c r="J60" s="549"/>
      <c r="K60" s="381"/>
      <c r="L60" s="344">
        <f t="shared" si="2"/>
        <v>50</v>
      </c>
    </row>
    <row r="61" spans="1:12" ht="16" thickBot="1" x14ac:dyDescent="0.4">
      <c r="A61" s="344">
        <f t="shared" si="4"/>
        <v>51</v>
      </c>
      <c r="B61" s="422"/>
      <c r="C61" s="423"/>
      <c r="D61" s="346"/>
      <c r="E61" s="346"/>
      <c r="F61" s="346"/>
      <c r="G61" s="346"/>
      <c r="H61" s="346"/>
      <c r="I61" s="346"/>
      <c r="J61" s="346"/>
      <c r="K61" s="390"/>
      <c r="L61" s="344">
        <f t="shared" si="2"/>
        <v>51</v>
      </c>
    </row>
    <row r="62" spans="1:12" x14ac:dyDescent="0.35">
      <c r="A62" s="550"/>
      <c r="C62" s="371"/>
      <c r="D62" s="424"/>
      <c r="E62" s="424"/>
    </row>
    <row r="63" spans="1:12" ht="18" x14ac:dyDescent="0.35">
      <c r="A63" s="425"/>
      <c r="C63" s="371"/>
    </row>
    <row r="64" spans="1:12" ht="18" x14ac:dyDescent="0.35">
      <c r="A64" s="425"/>
      <c r="C64" s="371"/>
    </row>
    <row r="65" spans="1:3" ht="18" x14ac:dyDescent="0.35">
      <c r="A65" s="425"/>
      <c r="C65" s="371"/>
    </row>
    <row r="66" spans="1:3" ht="18" x14ac:dyDescent="0.35">
      <c r="A66" s="425"/>
      <c r="C66" s="371"/>
    </row>
    <row r="67" spans="1:3" ht="18" x14ac:dyDescent="0.35">
      <c r="A67" s="425"/>
      <c r="C67" s="371"/>
    </row>
    <row r="68" spans="1:3" ht="18" x14ac:dyDescent="0.35">
      <c r="A68" s="425"/>
      <c r="C68" s="371"/>
    </row>
    <row r="69" spans="1:3" x14ac:dyDescent="0.35">
      <c r="A69" s="550"/>
      <c r="C69" s="371"/>
    </row>
    <row r="70" spans="1:3" ht="18" x14ac:dyDescent="0.35">
      <c r="A70" s="425"/>
      <c r="C70" s="371"/>
    </row>
    <row r="71" spans="1:3" x14ac:dyDescent="0.35">
      <c r="A71" s="550"/>
      <c r="C71" s="371"/>
    </row>
    <row r="72" spans="1:3" ht="18" x14ac:dyDescent="0.35">
      <c r="A72" s="425"/>
      <c r="C72" s="371"/>
    </row>
    <row r="73" spans="1:3" x14ac:dyDescent="0.35">
      <c r="A73" s="550"/>
      <c r="C73" s="371"/>
    </row>
    <row r="74" spans="1:3" ht="18" x14ac:dyDescent="0.35">
      <c r="A74" s="425"/>
      <c r="C74" s="371"/>
    </row>
    <row r="75" spans="1:3" ht="18" x14ac:dyDescent="0.35">
      <c r="A75" s="425"/>
      <c r="B75" s="371"/>
    </row>
    <row r="76" spans="1:3" ht="18" x14ac:dyDescent="0.35">
      <c r="A76" s="425"/>
      <c r="B76" s="371"/>
    </row>
    <row r="77" spans="1:3" x14ac:dyDescent="0.35">
      <c r="B77" s="371"/>
    </row>
    <row r="78" spans="1:3" ht="18" x14ac:dyDescent="0.35">
      <c r="A78" s="425"/>
      <c r="B78" s="371"/>
    </row>
    <row r="79" spans="1:3" x14ac:dyDescent="0.35">
      <c r="A79" s="426"/>
      <c r="B79" s="427"/>
    </row>
    <row r="80" spans="1:3" x14ac:dyDescent="0.35">
      <c r="B80" s="371"/>
    </row>
  </sheetData>
  <mergeCells count="4">
    <mergeCell ref="B2:K2"/>
    <mergeCell ref="B3:K3"/>
    <mergeCell ref="B4:K4"/>
    <mergeCell ref="B5:K5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Roman,Bold"&amp;10REVISED</oddHeader>
    <oddFooter>&amp;CPage 5.1B&amp;R&amp;F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F385-989A-437A-A7EF-6181A725FF6E}">
  <sheetPr codeName="Sheet8">
    <pageSetUpPr fitToPage="1"/>
  </sheetPr>
  <dimension ref="A1:J49"/>
  <sheetViews>
    <sheetView zoomScale="80" zoomScaleNormal="80" workbookViewId="0"/>
  </sheetViews>
  <sheetFormatPr defaultColWidth="8.81640625" defaultRowHeight="15.5" x14ac:dyDescent="0.35"/>
  <cols>
    <col min="1" max="1" width="5.1796875" style="552" bestFit="1" customWidth="1"/>
    <col min="2" max="2" width="79.453125" style="428" customWidth="1"/>
    <col min="3" max="3" width="24" style="429" customWidth="1"/>
    <col min="4" max="4" width="1.54296875" style="428" customWidth="1"/>
    <col min="5" max="5" width="16.81640625" style="428" customWidth="1"/>
    <col min="6" max="6" width="1.54296875" style="428" customWidth="1"/>
    <col min="7" max="7" width="16.81640625" style="428" customWidth="1"/>
    <col min="8" max="8" width="1.54296875" style="428" customWidth="1"/>
    <col min="9" max="9" width="39.1796875" style="428" bestFit="1" customWidth="1"/>
    <col min="10" max="10" width="5.1796875" style="428" customWidth="1"/>
    <col min="11" max="16384" width="8.81640625" style="428"/>
  </cols>
  <sheetData>
    <row r="1" spans="1:10" x14ac:dyDescent="0.35">
      <c r="H1" s="552"/>
      <c r="I1" s="212"/>
      <c r="J1" s="552"/>
    </row>
    <row r="2" spans="1:10" x14ac:dyDescent="0.35">
      <c r="B2" s="614" t="s">
        <v>215</v>
      </c>
      <c r="C2" s="615"/>
      <c r="D2" s="615"/>
      <c r="E2" s="615"/>
      <c r="F2" s="615"/>
      <c r="G2" s="615"/>
      <c r="H2" s="615"/>
      <c r="I2" s="615"/>
      <c r="J2" s="551"/>
    </row>
    <row r="3" spans="1:10" x14ac:dyDescent="0.35">
      <c r="B3" s="614" t="s">
        <v>513</v>
      </c>
      <c r="C3" s="615"/>
      <c r="D3" s="615"/>
      <c r="E3" s="615"/>
      <c r="F3" s="615"/>
      <c r="G3" s="615"/>
      <c r="H3" s="615"/>
      <c r="I3" s="615"/>
      <c r="J3" s="551"/>
    </row>
    <row r="4" spans="1:10" x14ac:dyDescent="0.35">
      <c r="B4" s="614" t="s">
        <v>514</v>
      </c>
      <c r="C4" s="615"/>
      <c r="D4" s="615"/>
      <c r="E4" s="615"/>
      <c r="F4" s="615"/>
      <c r="G4" s="615"/>
      <c r="H4" s="615"/>
      <c r="I4" s="615"/>
      <c r="J4" s="551"/>
    </row>
    <row r="5" spans="1:10" x14ac:dyDescent="0.35">
      <c r="B5" s="616" t="s">
        <v>287</v>
      </c>
      <c r="C5" s="616"/>
      <c r="D5" s="616"/>
      <c r="E5" s="616"/>
      <c r="F5" s="616"/>
      <c r="G5" s="616"/>
      <c r="H5" s="616"/>
      <c r="I5" s="616"/>
      <c r="J5" s="551"/>
    </row>
    <row r="6" spans="1:10" x14ac:dyDescent="0.35">
      <c r="B6" s="617" t="s">
        <v>3</v>
      </c>
      <c r="C6" s="617"/>
      <c r="D6" s="617"/>
      <c r="E6" s="617"/>
      <c r="F6" s="617"/>
      <c r="G6" s="617"/>
      <c r="H6" s="617"/>
      <c r="I6" s="617"/>
      <c r="J6" s="430"/>
    </row>
    <row r="7" spans="1:10" x14ac:dyDescent="0.35">
      <c r="B7" s="552"/>
      <c r="D7" s="552"/>
      <c r="E7" s="552"/>
      <c r="F7" s="552"/>
      <c r="G7" s="552"/>
      <c r="H7" s="551"/>
      <c r="I7" s="551"/>
      <c r="J7" s="551"/>
    </row>
    <row r="8" spans="1:10" x14ac:dyDescent="0.35">
      <c r="A8" s="552" t="s">
        <v>4</v>
      </c>
      <c r="B8" s="551"/>
      <c r="C8" s="210" t="s">
        <v>288</v>
      </c>
      <c r="D8" s="552"/>
      <c r="E8" s="552" t="s">
        <v>515</v>
      </c>
      <c r="F8" s="552"/>
      <c r="G8" s="552" t="s">
        <v>516</v>
      </c>
      <c r="H8" s="551"/>
      <c r="I8" s="551"/>
      <c r="J8" s="552" t="s">
        <v>4</v>
      </c>
    </row>
    <row r="9" spans="1:10" x14ac:dyDescent="0.35">
      <c r="A9" s="552" t="s">
        <v>5</v>
      </c>
      <c r="B9" s="551"/>
      <c r="C9" s="215" t="s">
        <v>289</v>
      </c>
      <c r="D9" s="551"/>
      <c r="E9" s="431" t="s">
        <v>517</v>
      </c>
      <c r="F9" s="551"/>
      <c r="G9" s="431" t="s">
        <v>518</v>
      </c>
      <c r="H9" s="551"/>
      <c r="I9" s="432" t="s">
        <v>8</v>
      </c>
      <c r="J9" s="552" t="s">
        <v>5</v>
      </c>
    </row>
    <row r="10" spans="1:10" x14ac:dyDescent="0.35">
      <c r="B10" s="552"/>
      <c r="D10" s="552"/>
      <c r="E10" s="552"/>
      <c r="F10" s="552"/>
      <c r="G10" s="552"/>
      <c r="H10" s="552"/>
      <c r="I10" s="552"/>
      <c r="J10" s="552"/>
    </row>
    <row r="11" spans="1:10" ht="18" x14ac:dyDescent="0.35">
      <c r="A11" s="552">
        <v>1</v>
      </c>
      <c r="B11" s="428" t="s">
        <v>519</v>
      </c>
      <c r="C11" s="552" t="s">
        <v>520</v>
      </c>
      <c r="E11" s="433"/>
      <c r="F11" s="434"/>
      <c r="G11" s="435">
        <v>128028.38738461537</v>
      </c>
      <c r="H11" s="434"/>
      <c r="I11" s="248" t="s">
        <v>521</v>
      </c>
      <c r="J11" s="552">
        <f>A11</f>
        <v>1</v>
      </c>
    </row>
    <row r="12" spans="1:10" x14ac:dyDescent="0.35">
      <c r="A12" s="552">
        <f>+A11+1</f>
        <v>2</v>
      </c>
      <c r="C12" s="552"/>
      <c r="E12" s="436"/>
      <c r="F12" s="437"/>
      <c r="G12" s="437"/>
      <c r="H12" s="437"/>
      <c r="I12" s="248"/>
      <c r="J12" s="552">
        <f>+J11+1</f>
        <v>2</v>
      </c>
    </row>
    <row r="13" spans="1:10" x14ac:dyDescent="0.35">
      <c r="A13" s="552">
        <f t="shared" ref="A13:A44" si="0">+A12+1</f>
        <v>3</v>
      </c>
      <c r="B13" s="428" t="s">
        <v>522</v>
      </c>
      <c r="C13" s="552"/>
      <c r="E13" s="438"/>
      <c r="F13" s="439"/>
      <c r="G13" s="440">
        <v>0.40374194507818334</v>
      </c>
      <c r="H13" s="434"/>
      <c r="I13" s="248" t="s">
        <v>523</v>
      </c>
      <c r="J13" s="552">
        <f t="shared" ref="J13:J44" si="1">+J12+1</f>
        <v>3</v>
      </c>
    </row>
    <row r="14" spans="1:10" x14ac:dyDescent="0.35">
      <c r="A14" s="552">
        <f t="shared" si="0"/>
        <v>4</v>
      </c>
      <c r="C14" s="552"/>
      <c r="E14" s="436"/>
      <c r="F14" s="437"/>
      <c r="G14" s="436"/>
      <c r="H14" s="437"/>
      <c r="I14" s="248"/>
      <c r="J14" s="552">
        <f t="shared" si="1"/>
        <v>4</v>
      </c>
    </row>
    <row r="15" spans="1:10" ht="16" thickBot="1" x14ac:dyDescent="0.4">
      <c r="A15" s="552">
        <f t="shared" si="0"/>
        <v>5</v>
      </c>
      <c r="B15" s="428" t="s">
        <v>524</v>
      </c>
      <c r="C15" s="552"/>
      <c r="E15" s="441"/>
      <c r="F15" s="437"/>
      <c r="G15" s="442">
        <f>G11*G13</f>
        <v>51690.430147887761</v>
      </c>
      <c r="H15" s="434"/>
      <c r="I15" s="248" t="s">
        <v>525</v>
      </c>
      <c r="J15" s="552">
        <f t="shared" si="1"/>
        <v>5</v>
      </c>
    </row>
    <row r="16" spans="1:10" ht="16" thickTop="1" x14ac:dyDescent="0.35">
      <c r="A16" s="552">
        <f t="shared" si="0"/>
        <v>6</v>
      </c>
      <c r="C16" s="552"/>
      <c r="E16" s="461"/>
      <c r="F16" s="552"/>
      <c r="G16" s="552"/>
      <c r="H16" s="552"/>
      <c r="I16" s="248"/>
      <c r="J16" s="552">
        <f t="shared" si="1"/>
        <v>6</v>
      </c>
    </row>
    <row r="17" spans="1:10" ht="18" x14ac:dyDescent="0.35">
      <c r="A17" s="552">
        <f t="shared" si="0"/>
        <v>7</v>
      </c>
      <c r="B17" s="428" t="s">
        <v>526</v>
      </c>
      <c r="C17" s="552" t="s">
        <v>527</v>
      </c>
      <c r="D17" s="443"/>
      <c r="E17" s="433"/>
      <c r="F17" s="437"/>
      <c r="G17" s="444">
        <v>64127.97638461538</v>
      </c>
      <c r="H17" s="434"/>
      <c r="I17" s="248" t="s">
        <v>528</v>
      </c>
      <c r="J17" s="552">
        <f t="shared" si="1"/>
        <v>7</v>
      </c>
    </row>
    <row r="18" spans="1:10" x14ac:dyDescent="0.35">
      <c r="A18" s="552">
        <f t="shared" si="0"/>
        <v>8</v>
      </c>
      <c r="C18" s="552"/>
      <c r="E18" s="462"/>
      <c r="F18" s="437"/>
      <c r="G18" s="437"/>
      <c r="H18" s="437"/>
      <c r="I18" s="248"/>
      <c r="J18" s="552">
        <f t="shared" si="1"/>
        <v>8</v>
      </c>
    </row>
    <row r="19" spans="1:10" ht="16" thickBot="1" x14ac:dyDescent="0.4">
      <c r="A19" s="552">
        <f t="shared" si="0"/>
        <v>9</v>
      </c>
      <c r="B19" s="428" t="s">
        <v>529</v>
      </c>
      <c r="E19" s="433"/>
      <c r="F19" s="437"/>
      <c r="G19" s="442">
        <f>G13*G17</f>
        <v>25891.153919452419</v>
      </c>
      <c r="H19" s="434"/>
      <c r="I19" s="248" t="s">
        <v>530</v>
      </c>
      <c r="J19" s="552">
        <f t="shared" si="1"/>
        <v>9</v>
      </c>
    </row>
    <row r="20" spans="1:10" ht="16" thickTop="1" x14ac:dyDescent="0.35">
      <c r="A20" s="552">
        <f t="shared" si="0"/>
        <v>10</v>
      </c>
      <c r="E20" s="463"/>
      <c r="F20" s="437"/>
      <c r="G20" s="437"/>
      <c r="H20" s="437"/>
      <c r="I20" s="248"/>
      <c r="J20" s="552">
        <f t="shared" si="1"/>
        <v>10</v>
      </c>
    </row>
    <row r="21" spans="1:10" x14ac:dyDescent="0.35">
      <c r="A21" s="552">
        <f t="shared" si="0"/>
        <v>11</v>
      </c>
      <c r="B21" s="445" t="s">
        <v>531</v>
      </c>
      <c r="E21" s="463"/>
      <c r="F21" s="437"/>
      <c r="G21" s="437"/>
      <c r="H21" s="437"/>
      <c r="I21" s="248"/>
      <c r="J21" s="552">
        <f t="shared" si="1"/>
        <v>11</v>
      </c>
    </row>
    <row r="22" spans="1:10" x14ac:dyDescent="0.35">
      <c r="A22" s="552">
        <f t="shared" si="0"/>
        <v>12</v>
      </c>
      <c r="B22" s="428" t="s">
        <v>532</v>
      </c>
      <c r="E22" s="446">
        <f>'Pg5 Revised Stmt AH'!E20</f>
        <v>83304.476179999998</v>
      </c>
      <c r="F22" s="42" t="s">
        <v>39</v>
      </c>
      <c r="G22" s="447"/>
      <c r="H22" s="437"/>
      <c r="I22" s="248" t="s">
        <v>219</v>
      </c>
      <c r="J22" s="552">
        <f t="shared" si="1"/>
        <v>12</v>
      </c>
    </row>
    <row r="23" spans="1:10" x14ac:dyDescent="0.35">
      <c r="A23" s="552">
        <f t="shared" si="0"/>
        <v>13</v>
      </c>
      <c r="B23" s="428" t="s">
        <v>533</v>
      </c>
      <c r="E23" s="464">
        <f>'Pg5 Revised Stmt AH'!E43</f>
        <v>69749.205339611188</v>
      </c>
      <c r="F23" s="42" t="s">
        <v>39</v>
      </c>
      <c r="G23" s="465"/>
      <c r="H23" s="437"/>
      <c r="I23" s="248" t="s">
        <v>220</v>
      </c>
      <c r="J23" s="552">
        <f t="shared" si="1"/>
        <v>13</v>
      </c>
    </row>
    <row r="24" spans="1:10" x14ac:dyDescent="0.35">
      <c r="A24" s="552">
        <f t="shared" si="0"/>
        <v>14</v>
      </c>
      <c r="B24" s="428" t="s">
        <v>534</v>
      </c>
      <c r="E24" s="448">
        <f>-'Pg5 Revised Stmt AH'!E27</f>
        <v>0</v>
      </c>
      <c r="F24" s="437"/>
      <c r="G24" s="465"/>
      <c r="H24" s="437"/>
      <c r="I24" s="248" t="s">
        <v>221</v>
      </c>
      <c r="J24" s="552">
        <f t="shared" si="1"/>
        <v>14</v>
      </c>
    </row>
    <row r="25" spans="1:10" x14ac:dyDescent="0.35">
      <c r="A25" s="552">
        <f t="shared" si="0"/>
        <v>15</v>
      </c>
      <c r="B25" s="428" t="s">
        <v>535</v>
      </c>
      <c r="E25" s="449">
        <f>SUM(E22:E24)</f>
        <v>153053.68151961119</v>
      </c>
      <c r="F25" s="42" t="s">
        <v>39</v>
      </c>
      <c r="G25" s="443"/>
      <c r="H25" s="248"/>
      <c r="I25" s="248" t="s">
        <v>536</v>
      </c>
      <c r="J25" s="552">
        <f t="shared" si="1"/>
        <v>15</v>
      </c>
    </row>
    <row r="26" spans="1:10" x14ac:dyDescent="0.35">
      <c r="A26" s="552">
        <f t="shared" si="0"/>
        <v>16</v>
      </c>
      <c r="F26" s="552"/>
      <c r="H26" s="552"/>
      <c r="I26" s="248"/>
      <c r="J26" s="552">
        <f t="shared" si="1"/>
        <v>16</v>
      </c>
    </row>
    <row r="27" spans="1:10" x14ac:dyDescent="0.35">
      <c r="A27" s="552">
        <f t="shared" si="0"/>
        <v>17</v>
      </c>
      <c r="B27" s="428" t="s">
        <v>537</v>
      </c>
      <c r="E27" s="450">
        <f>1/8</f>
        <v>0.125</v>
      </c>
      <c r="F27" s="552"/>
      <c r="G27" s="451"/>
      <c r="H27" s="552"/>
      <c r="I27" s="248" t="s">
        <v>538</v>
      </c>
      <c r="J27" s="552">
        <f t="shared" si="1"/>
        <v>17</v>
      </c>
    </row>
    <row r="28" spans="1:10" x14ac:dyDescent="0.35">
      <c r="A28" s="552">
        <f t="shared" si="0"/>
        <v>18</v>
      </c>
      <c r="E28" s="436" t="s">
        <v>34</v>
      </c>
      <c r="F28" s="437"/>
      <c r="G28" s="436"/>
      <c r="H28" s="437"/>
      <c r="I28" s="248"/>
      <c r="J28" s="552">
        <f t="shared" si="1"/>
        <v>18</v>
      </c>
    </row>
    <row r="29" spans="1:10" ht="16" thickBot="1" x14ac:dyDescent="0.4">
      <c r="A29" s="552">
        <f t="shared" si="0"/>
        <v>19</v>
      </c>
      <c r="B29" s="428" t="s">
        <v>539</v>
      </c>
      <c r="E29" s="452">
        <f>E25*E27</f>
        <v>19131.710189951398</v>
      </c>
      <c r="F29" s="42" t="s">
        <v>39</v>
      </c>
      <c r="G29" s="441"/>
      <c r="H29" s="437"/>
      <c r="I29" s="552" t="s">
        <v>540</v>
      </c>
      <c r="J29" s="552">
        <f t="shared" si="1"/>
        <v>19</v>
      </c>
    </row>
    <row r="30" spans="1:10" ht="16" thickTop="1" x14ac:dyDescent="0.35">
      <c r="A30" s="552">
        <f t="shared" si="0"/>
        <v>20</v>
      </c>
      <c r="E30" s="441"/>
      <c r="F30" s="434"/>
      <c r="G30" s="441"/>
      <c r="H30" s="437"/>
      <c r="I30" s="552"/>
      <c r="J30" s="552">
        <f t="shared" si="1"/>
        <v>20</v>
      </c>
    </row>
    <row r="31" spans="1:10" x14ac:dyDescent="0.35">
      <c r="A31" s="552">
        <f t="shared" si="0"/>
        <v>21</v>
      </c>
      <c r="B31" s="445" t="s">
        <v>541</v>
      </c>
      <c r="E31" s="463"/>
      <c r="F31" s="437"/>
      <c r="G31" s="437"/>
      <c r="H31" s="437"/>
      <c r="I31" s="248"/>
      <c r="J31" s="552">
        <f t="shared" si="1"/>
        <v>21</v>
      </c>
    </row>
    <row r="32" spans="1:10" x14ac:dyDescent="0.35">
      <c r="A32" s="552">
        <f t="shared" si="0"/>
        <v>22</v>
      </c>
      <c r="B32" s="428" t="s">
        <v>534</v>
      </c>
      <c r="E32" s="220">
        <f>E24</f>
        <v>0</v>
      </c>
      <c r="F32" s="437"/>
      <c r="G32" s="447"/>
      <c r="H32" s="437"/>
      <c r="I32" s="248" t="s">
        <v>542</v>
      </c>
      <c r="J32" s="552">
        <f t="shared" si="1"/>
        <v>22</v>
      </c>
    </row>
    <row r="33" spans="1:10" x14ac:dyDescent="0.35">
      <c r="A33" s="552">
        <f t="shared" si="0"/>
        <v>23</v>
      </c>
      <c r="E33" s="453"/>
      <c r="F33" s="437"/>
      <c r="G33" s="447"/>
      <c r="H33" s="437"/>
      <c r="I33" s="248"/>
      <c r="J33" s="552">
        <f t="shared" si="1"/>
        <v>23</v>
      </c>
    </row>
    <row r="34" spans="1:10" x14ac:dyDescent="0.35">
      <c r="A34" s="552">
        <f t="shared" si="0"/>
        <v>24</v>
      </c>
      <c r="B34" s="428" t="s">
        <v>537</v>
      </c>
      <c r="E34" s="454">
        <f>E27</f>
        <v>0.125</v>
      </c>
      <c r="F34" s="552"/>
      <c r="G34" s="451"/>
      <c r="H34" s="552"/>
      <c r="I34" s="248" t="s">
        <v>543</v>
      </c>
      <c r="J34" s="552">
        <f t="shared" si="1"/>
        <v>24</v>
      </c>
    </row>
    <row r="35" spans="1:10" x14ac:dyDescent="0.35">
      <c r="A35" s="552">
        <f t="shared" si="0"/>
        <v>25</v>
      </c>
      <c r="E35" s="451"/>
      <c r="F35" s="552"/>
      <c r="G35" s="451"/>
      <c r="H35" s="552"/>
      <c r="I35" s="248"/>
      <c r="J35" s="552">
        <f t="shared" si="1"/>
        <v>25</v>
      </c>
    </row>
    <row r="36" spans="1:10" x14ac:dyDescent="0.35">
      <c r="A36" s="552">
        <f t="shared" si="0"/>
        <v>26</v>
      </c>
      <c r="B36" s="428" t="s">
        <v>544</v>
      </c>
      <c r="E36" s="455">
        <f>E32*E34</f>
        <v>0</v>
      </c>
      <c r="F36" s="552"/>
      <c r="G36" s="451"/>
      <c r="H36" s="552"/>
      <c r="I36" s="552" t="s">
        <v>545</v>
      </c>
      <c r="J36" s="552">
        <f t="shared" si="1"/>
        <v>26</v>
      </c>
    </row>
    <row r="37" spans="1:10" x14ac:dyDescent="0.35">
      <c r="A37" s="552">
        <f t="shared" si="0"/>
        <v>27</v>
      </c>
      <c r="J37" s="552">
        <f t="shared" si="1"/>
        <v>27</v>
      </c>
    </row>
    <row r="38" spans="1:10" ht="17.5" x14ac:dyDescent="0.35">
      <c r="A38" s="552">
        <f t="shared" si="0"/>
        <v>28</v>
      </c>
      <c r="B38" s="456" t="s">
        <v>546</v>
      </c>
      <c r="C38" s="552"/>
      <c r="E38" s="457">
        <f>'Pg7 Revised Stmt AV'!G147</f>
        <v>9.8915203964587209E-2</v>
      </c>
      <c r="F38" s="430"/>
      <c r="I38" s="552" t="s">
        <v>226</v>
      </c>
      <c r="J38" s="552">
        <f t="shared" si="1"/>
        <v>28</v>
      </c>
    </row>
    <row r="39" spans="1:10" x14ac:dyDescent="0.35">
      <c r="A39" s="552">
        <f t="shared" si="0"/>
        <v>29</v>
      </c>
      <c r="C39" s="552"/>
      <c r="J39" s="552">
        <f t="shared" si="1"/>
        <v>29</v>
      </c>
    </row>
    <row r="40" spans="1:10" ht="18.5" thickBot="1" x14ac:dyDescent="0.4">
      <c r="A40" s="552">
        <f t="shared" si="0"/>
        <v>30</v>
      </c>
      <c r="B40" s="428" t="s">
        <v>547</v>
      </c>
      <c r="C40" s="552"/>
      <c r="E40" s="458">
        <f>E36*E38</f>
        <v>0</v>
      </c>
      <c r="I40" s="552" t="s">
        <v>548</v>
      </c>
      <c r="J40" s="552">
        <f t="shared" si="1"/>
        <v>30</v>
      </c>
    </row>
    <row r="41" spans="1:10" ht="16" thickTop="1" x14ac:dyDescent="0.35">
      <c r="A41" s="552">
        <f t="shared" si="0"/>
        <v>31</v>
      </c>
      <c r="C41" s="552"/>
      <c r="E41" s="459"/>
      <c r="I41" s="552"/>
      <c r="J41" s="552">
        <f t="shared" si="1"/>
        <v>31</v>
      </c>
    </row>
    <row r="42" spans="1:10" ht="17.5" x14ac:dyDescent="0.35">
      <c r="A42" s="552">
        <f t="shared" si="0"/>
        <v>32</v>
      </c>
      <c r="B42" s="456" t="s">
        <v>549</v>
      </c>
      <c r="C42" s="552"/>
      <c r="E42" s="457">
        <f>'Pg7 Revised Stmt AV'!G180</f>
        <v>4.0346960281741739E-3</v>
      </c>
      <c r="I42" s="552" t="s">
        <v>229</v>
      </c>
      <c r="J42" s="552">
        <f t="shared" si="1"/>
        <v>32</v>
      </c>
    </row>
    <row r="43" spans="1:10" x14ac:dyDescent="0.35">
      <c r="A43" s="552">
        <f t="shared" si="0"/>
        <v>33</v>
      </c>
      <c r="C43" s="552"/>
      <c r="E43" s="459"/>
      <c r="I43" s="552"/>
      <c r="J43" s="552">
        <f t="shared" si="1"/>
        <v>33</v>
      </c>
    </row>
    <row r="44" spans="1:10" ht="18.5" thickBot="1" x14ac:dyDescent="0.4">
      <c r="A44" s="552">
        <f t="shared" si="0"/>
        <v>34</v>
      </c>
      <c r="B44" s="428" t="s">
        <v>550</v>
      </c>
      <c r="C44" s="552"/>
      <c r="E44" s="458">
        <f>E36*E42</f>
        <v>0</v>
      </c>
      <c r="I44" s="552" t="s">
        <v>551</v>
      </c>
      <c r="J44" s="552">
        <f t="shared" si="1"/>
        <v>34</v>
      </c>
    </row>
    <row r="45" spans="1:10" ht="16" thickTop="1" x14ac:dyDescent="0.35">
      <c r="C45" s="552"/>
    </row>
    <row r="46" spans="1:10" x14ac:dyDescent="0.35">
      <c r="A46" s="42" t="s">
        <v>39</v>
      </c>
      <c r="B46" s="33" t="s">
        <v>235</v>
      </c>
      <c r="C46" s="552"/>
    </row>
    <row r="47" spans="1:10" ht="18" x14ac:dyDescent="0.35">
      <c r="A47" s="460">
        <v>1</v>
      </c>
      <c r="B47" s="428" t="s">
        <v>552</v>
      </c>
      <c r="C47" s="552"/>
    </row>
    <row r="48" spans="1:10" ht="18" x14ac:dyDescent="0.35">
      <c r="A48" s="460">
        <v>2</v>
      </c>
      <c r="B48" s="428" t="s">
        <v>553</v>
      </c>
      <c r="C48" s="552"/>
    </row>
    <row r="49" spans="1:2" x14ac:dyDescent="0.35">
      <c r="A49" s="551"/>
      <c r="B49" s="430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Roman,Bold"&amp;10REVISED</oddHeader>
    <oddFooter>&amp;CPage 6.1&amp;R&amp;F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CFFD-10CF-412B-A0B3-DDB89E0FC561}">
  <sheetPr codeName="Sheet9"/>
  <dimension ref="A2:L261"/>
  <sheetViews>
    <sheetView zoomScale="80" zoomScaleNormal="80" workbookViewId="0"/>
  </sheetViews>
  <sheetFormatPr defaultColWidth="8.81640625" defaultRowHeight="15.5" x14ac:dyDescent="0.35"/>
  <cols>
    <col min="1" max="1" width="5.1796875" style="210" customWidth="1"/>
    <col min="2" max="2" width="55.453125" style="211" customWidth="1"/>
    <col min="3" max="5" width="15.54296875" style="211" customWidth="1"/>
    <col min="6" max="6" width="1.54296875" style="211" customWidth="1"/>
    <col min="7" max="7" width="16.81640625" style="211" customWidth="1"/>
    <col min="8" max="8" width="1.54296875" style="211" customWidth="1"/>
    <col min="9" max="9" width="38.81640625" style="466" customWidth="1"/>
    <col min="10" max="10" width="5.1796875" style="211" customWidth="1"/>
    <col min="11" max="11" width="16.1796875" style="211" bestFit="1" customWidth="1"/>
    <col min="12" max="12" width="10.453125" style="211" bestFit="1" customWidth="1"/>
    <col min="13" max="16384" width="8.81640625" style="211"/>
  </cols>
  <sheetData>
    <row r="2" spans="1:10" x14ac:dyDescent="0.35">
      <c r="B2" s="608" t="s">
        <v>215</v>
      </c>
      <c r="C2" s="608"/>
      <c r="D2" s="608"/>
      <c r="E2" s="608"/>
      <c r="F2" s="608"/>
      <c r="G2" s="608"/>
      <c r="H2" s="608"/>
      <c r="I2" s="608"/>
      <c r="J2" s="210"/>
    </row>
    <row r="3" spans="1:10" x14ac:dyDescent="0.35">
      <c r="B3" s="608" t="s">
        <v>554</v>
      </c>
      <c r="C3" s="608"/>
      <c r="D3" s="608"/>
      <c r="E3" s="608"/>
      <c r="F3" s="608"/>
      <c r="G3" s="608"/>
      <c r="H3" s="608"/>
      <c r="I3" s="608"/>
      <c r="J3" s="210"/>
    </row>
    <row r="4" spans="1:10" x14ac:dyDescent="0.35">
      <c r="B4" s="608" t="s">
        <v>555</v>
      </c>
      <c r="C4" s="608"/>
      <c r="D4" s="608"/>
      <c r="E4" s="608"/>
      <c r="F4" s="608"/>
      <c r="G4" s="608"/>
      <c r="H4" s="608"/>
      <c r="I4" s="608"/>
      <c r="J4" s="210"/>
    </row>
    <row r="5" spans="1:10" x14ac:dyDescent="0.35">
      <c r="B5" s="609" t="s">
        <v>287</v>
      </c>
      <c r="C5" s="609"/>
      <c r="D5" s="609"/>
      <c r="E5" s="609"/>
      <c r="F5" s="609"/>
      <c r="G5" s="609"/>
      <c r="H5" s="609"/>
      <c r="I5" s="609"/>
      <c r="J5" s="210"/>
    </row>
    <row r="6" spans="1:10" x14ac:dyDescent="0.35">
      <c r="B6" s="610" t="s">
        <v>3</v>
      </c>
      <c r="C6" s="611"/>
      <c r="D6" s="611"/>
      <c r="E6" s="611"/>
      <c r="F6" s="611"/>
      <c r="G6" s="611"/>
      <c r="H6" s="611"/>
      <c r="I6" s="611"/>
      <c r="J6" s="210"/>
    </row>
    <row r="7" spans="1:10" x14ac:dyDescent="0.35">
      <c r="B7" s="210"/>
      <c r="C7" s="210"/>
      <c r="D7" s="210"/>
      <c r="E7" s="210"/>
      <c r="F7" s="210"/>
      <c r="G7" s="210"/>
      <c r="H7" s="210"/>
      <c r="I7" s="228"/>
      <c r="J7" s="210"/>
    </row>
    <row r="8" spans="1:10" x14ac:dyDescent="0.35">
      <c r="A8" s="210" t="s">
        <v>4</v>
      </c>
      <c r="B8" s="548"/>
      <c r="C8" s="548"/>
      <c r="D8" s="548"/>
      <c r="E8" s="210" t="s">
        <v>288</v>
      </c>
      <c r="F8" s="548"/>
      <c r="G8" s="548"/>
      <c r="H8" s="548"/>
      <c r="I8" s="228"/>
      <c r="J8" s="210" t="s">
        <v>4</v>
      </c>
    </row>
    <row r="9" spans="1:10" x14ac:dyDescent="0.35">
      <c r="A9" s="210" t="s">
        <v>5</v>
      </c>
      <c r="B9" s="210"/>
      <c r="C9" s="210"/>
      <c r="D9" s="210"/>
      <c r="E9" s="215" t="s">
        <v>289</v>
      </c>
      <c r="F9" s="210"/>
      <c r="G9" s="216" t="s">
        <v>7</v>
      </c>
      <c r="H9" s="548"/>
      <c r="I9" s="467" t="s">
        <v>8</v>
      </c>
      <c r="J9" s="210" t="s">
        <v>5</v>
      </c>
    </row>
    <row r="10" spans="1:10" x14ac:dyDescent="0.35">
      <c r="B10" s="210"/>
      <c r="C10" s="210"/>
      <c r="D10" s="210"/>
      <c r="E10" s="210"/>
      <c r="F10" s="210"/>
      <c r="G10" s="210"/>
      <c r="H10" s="210"/>
      <c r="I10" s="228"/>
      <c r="J10" s="210"/>
    </row>
    <row r="11" spans="1:10" x14ac:dyDescent="0.35">
      <c r="A11" s="210">
        <v>1</v>
      </c>
      <c r="B11" s="217" t="s">
        <v>556</v>
      </c>
      <c r="I11" s="228"/>
      <c r="J11" s="210">
        <f>A11</f>
        <v>1</v>
      </c>
    </row>
    <row r="12" spans="1:10" x14ac:dyDescent="0.35">
      <c r="A12" s="210">
        <f>A11+1</f>
        <v>2</v>
      </c>
      <c r="B12" s="211" t="s">
        <v>557</v>
      </c>
      <c r="E12" s="210" t="s">
        <v>558</v>
      </c>
      <c r="F12" s="468"/>
      <c r="G12" s="469">
        <v>5140552</v>
      </c>
      <c r="H12" s="548"/>
      <c r="I12" s="470"/>
      <c r="J12" s="210">
        <f>J11+1</f>
        <v>2</v>
      </c>
    </row>
    <row r="13" spans="1:10" x14ac:dyDescent="0.35">
      <c r="A13" s="210">
        <f t="shared" ref="A13:A52" si="0">A12+1</f>
        <v>3</v>
      </c>
      <c r="B13" s="211" t="s">
        <v>559</v>
      </c>
      <c r="E13" s="210" t="s">
        <v>560</v>
      </c>
      <c r="F13" s="468"/>
      <c r="G13" s="471">
        <v>0</v>
      </c>
      <c r="H13" s="548"/>
      <c r="I13" s="470"/>
      <c r="J13" s="210">
        <f t="shared" ref="J13:J52" si="1">J12+1</f>
        <v>3</v>
      </c>
    </row>
    <row r="14" spans="1:10" x14ac:dyDescent="0.35">
      <c r="A14" s="210">
        <f t="shared" si="0"/>
        <v>4</v>
      </c>
      <c r="B14" s="211" t="s">
        <v>561</v>
      </c>
      <c r="E14" s="210" t="s">
        <v>562</v>
      </c>
      <c r="F14" s="468"/>
      <c r="G14" s="222">
        <v>0</v>
      </c>
      <c r="H14" s="548"/>
      <c r="I14" s="470"/>
      <c r="J14" s="210">
        <f t="shared" si="1"/>
        <v>4</v>
      </c>
    </row>
    <row r="15" spans="1:10" x14ac:dyDescent="0.35">
      <c r="A15" s="210">
        <f t="shared" si="0"/>
        <v>5</v>
      </c>
      <c r="B15" s="211" t="s">
        <v>563</v>
      </c>
      <c r="E15" s="210" t="s">
        <v>564</v>
      </c>
      <c r="F15" s="468"/>
      <c r="G15" s="222">
        <v>0</v>
      </c>
      <c r="H15" s="548"/>
      <c r="I15" s="470"/>
      <c r="J15" s="210">
        <f t="shared" si="1"/>
        <v>5</v>
      </c>
    </row>
    <row r="16" spans="1:10" x14ac:dyDescent="0.35">
      <c r="A16" s="210">
        <f t="shared" si="0"/>
        <v>6</v>
      </c>
      <c r="B16" s="211" t="s">
        <v>565</v>
      </c>
      <c r="E16" s="210" t="s">
        <v>566</v>
      </c>
      <c r="F16" s="468"/>
      <c r="G16" s="234">
        <v>-12166.400009999999</v>
      </c>
      <c r="H16" s="548"/>
      <c r="I16" s="470"/>
      <c r="J16" s="210">
        <f t="shared" si="1"/>
        <v>6</v>
      </c>
    </row>
    <row r="17" spans="1:10" x14ac:dyDescent="0.35">
      <c r="A17" s="210">
        <f t="shared" si="0"/>
        <v>7</v>
      </c>
      <c r="B17" s="211" t="s">
        <v>567</v>
      </c>
      <c r="G17" s="472">
        <f>SUM(G12:G16)</f>
        <v>5128385.59999</v>
      </c>
      <c r="H17" s="455"/>
      <c r="I17" s="228" t="s">
        <v>568</v>
      </c>
      <c r="J17" s="210">
        <f t="shared" si="1"/>
        <v>7</v>
      </c>
    </row>
    <row r="18" spans="1:10" x14ac:dyDescent="0.35">
      <c r="A18" s="210">
        <f t="shared" si="0"/>
        <v>8</v>
      </c>
      <c r="I18" s="228"/>
      <c r="J18" s="210">
        <f t="shared" si="1"/>
        <v>8</v>
      </c>
    </row>
    <row r="19" spans="1:10" x14ac:dyDescent="0.35">
      <c r="A19" s="210">
        <f t="shared" si="0"/>
        <v>9</v>
      </c>
      <c r="B19" s="217" t="s">
        <v>569</v>
      </c>
      <c r="G19" s="208"/>
      <c r="H19" s="208"/>
      <c r="I19" s="228"/>
      <c r="J19" s="210">
        <f t="shared" si="1"/>
        <v>9</v>
      </c>
    </row>
    <row r="20" spans="1:10" x14ac:dyDescent="0.35">
      <c r="A20" s="210">
        <f t="shared" si="0"/>
        <v>10</v>
      </c>
      <c r="B20" s="211" t="s">
        <v>570</v>
      </c>
      <c r="E20" s="210" t="s">
        <v>571</v>
      </c>
      <c r="F20" s="468"/>
      <c r="G20" s="469">
        <v>213846.54399999999</v>
      </c>
      <c r="H20" s="548"/>
      <c r="I20" s="473"/>
      <c r="J20" s="210">
        <f t="shared" si="1"/>
        <v>10</v>
      </c>
    </row>
    <row r="21" spans="1:10" x14ac:dyDescent="0.35">
      <c r="A21" s="210">
        <f t="shared" si="0"/>
        <v>11</v>
      </c>
      <c r="B21" s="211" t="s">
        <v>572</v>
      </c>
      <c r="E21" s="210" t="s">
        <v>573</v>
      </c>
      <c r="F21" s="468"/>
      <c r="G21" s="471">
        <v>3709.4806400000002</v>
      </c>
      <c r="H21" s="548"/>
      <c r="I21" s="473"/>
      <c r="J21" s="210">
        <f t="shared" si="1"/>
        <v>11</v>
      </c>
    </row>
    <row r="22" spans="1:10" x14ac:dyDescent="0.35">
      <c r="A22" s="210">
        <f t="shared" si="0"/>
        <v>12</v>
      </c>
      <c r="B22" s="211" t="s">
        <v>574</v>
      </c>
      <c r="E22" s="210" t="s">
        <v>575</v>
      </c>
      <c r="F22" s="468"/>
      <c r="G22" s="471">
        <v>1831.0913999999998</v>
      </c>
      <c r="H22" s="548"/>
      <c r="I22" s="473"/>
      <c r="J22" s="210">
        <f t="shared" si="1"/>
        <v>12</v>
      </c>
    </row>
    <row r="23" spans="1:10" x14ac:dyDescent="0.35">
      <c r="A23" s="210">
        <f t="shared" si="0"/>
        <v>13</v>
      </c>
      <c r="B23" s="211" t="s">
        <v>576</v>
      </c>
      <c r="E23" s="210" t="s">
        <v>577</v>
      </c>
      <c r="F23" s="468"/>
      <c r="G23" s="471">
        <v>0</v>
      </c>
      <c r="H23" s="548"/>
      <c r="I23" s="473"/>
      <c r="J23" s="210">
        <f t="shared" si="1"/>
        <v>13</v>
      </c>
    </row>
    <row r="24" spans="1:10" x14ac:dyDescent="0.35">
      <c r="A24" s="210">
        <f t="shared" si="0"/>
        <v>14</v>
      </c>
      <c r="B24" s="211" t="s">
        <v>578</v>
      </c>
      <c r="E24" s="210" t="s">
        <v>579</v>
      </c>
      <c r="F24" s="468"/>
      <c r="G24" s="234">
        <v>0</v>
      </c>
      <c r="H24" s="548"/>
      <c r="I24" s="473"/>
      <c r="J24" s="210">
        <f t="shared" si="1"/>
        <v>14</v>
      </c>
    </row>
    <row r="25" spans="1:10" x14ac:dyDescent="0.35">
      <c r="A25" s="210">
        <f t="shared" si="0"/>
        <v>15</v>
      </c>
      <c r="B25" s="211" t="s">
        <v>580</v>
      </c>
      <c r="G25" s="474">
        <f>SUM(G20:G24)</f>
        <v>219387.11603999999</v>
      </c>
      <c r="H25" s="475"/>
      <c r="I25" s="228" t="s">
        <v>581</v>
      </c>
      <c r="J25" s="210">
        <f t="shared" si="1"/>
        <v>15</v>
      </c>
    </row>
    <row r="26" spans="1:10" x14ac:dyDescent="0.35">
      <c r="A26" s="210">
        <f t="shared" si="0"/>
        <v>16</v>
      </c>
      <c r="I26" s="228"/>
      <c r="J26" s="210">
        <f t="shared" si="1"/>
        <v>16</v>
      </c>
    </row>
    <row r="27" spans="1:10" ht="16" thickBot="1" x14ac:dyDescent="0.4">
      <c r="A27" s="210">
        <f t="shared" si="0"/>
        <v>17</v>
      </c>
      <c r="B27" s="217" t="s">
        <v>582</v>
      </c>
      <c r="G27" s="476">
        <f>G25/G17</f>
        <v>4.2778982149943599E-2</v>
      </c>
      <c r="H27" s="477"/>
      <c r="I27" s="228" t="s">
        <v>583</v>
      </c>
      <c r="J27" s="210">
        <f t="shared" si="1"/>
        <v>17</v>
      </c>
    </row>
    <row r="28" spans="1:10" ht="16" thickTop="1" x14ac:dyDescent="0.35">
      <c r="A28" s="210">
        <f t="shared" si="0"/>
        <v>18</v>
      </c>
      <c r="I28" s="228"/>
      <c r="J28" s="210">
        <f t="shared" si="1"/>
        <v>18</v>
      </c>
    </row>
    <row r="29" spans="1:10" x14ac:dyDescent="0.35">
      <c r="A29" s="210">
        <f t="shared" si="0"/>
        <v>19</v>
      </c>
      <c r="B29" s="217" t="s">
        <v>584</v>
      </c>
      <c r="I29" s="228"/>
      <c r="J29" s="210">
        <f t="shared" si="1"/>
        <v>19</v>
      </c>
    </row>
    <row r="30" spans="1:10" x14ac:dyDescent="0.35">
      <c r="A30" s="210">
        <f t="shared" si="0"/>
        <v>20</v>
      </c>
      <c r="B30" s="211" t="s">
        <v>585</v>
      </c>
      <c r="E30" s="210" t="s">
        <v>586</v>
      </c>
      <c r="F30" s="468"/>
      <c r="G30" s="469">
        <v>0</v>
      </c>
      <c r="H30" s="548"/>
      <c r="I30" s="473"/>
      <c r="J30" s="210">
        <f t="shared" si="1"/>
        <v>20</v>
      </c>
    </row>
    <row r="31" spans="1:10" x14ac:dyDescent="0.35">
      <c r="A31" s="210">
        <f t="shared" si="0"/>
        <v>21</v>
      </c>
      <c r="B31" s="211" t="s">
        <v>587</v>
      </c>
      <c r="E31" s="210" t="s">
        <v>588</v>
      </c>
      <c r="F31" s="468"/>
      <c r="G31" s="478">
        <v>0</v>
      </c>
      <c r="H31" s="548"/>
      <c r="I31" s="473"/>
      <c r="J31" s="210">
        <f t="shared" si="1"/>
        <v>21</v>
      </c>
    </row>
    <row r="32" spans="1:10" ht="16" thickBot="1" x14ac:dyDescent="0.4">
      <c r="A32" s="210">
        <f t="shared" si="0"/>
        <v>22</v>
      </c>
      <c r="B32" s="211" t="s">
        <v>589</v>
      </c>
      <c r="G32" s="476">
        <f>IFERROR((G31/G30),0)</f>
        <v>0</v>
      </c>
      <c r="H32" s="477"/>
      <c r="I32" s="228" t="s">
        <v>590</v>
      </c>
      <c r="J32" s="210">
        <f t="shared" si="1"/>
        <v>22</v>
      </c>
    </row>
    <row r="33" spans="1:11" ht="16" thickTop="1" x14ac:dyDescent="0.35">
      <c r="A33" s="210">
        <f t="shared" si="0"/>
        <v>23</v>
      </c>
      <c r="I33" s="228"/>
      <c r="J33" s="210">
        <f t="shared" si="1"/>
        <v>23</v>
      </c>
    </row>
    <row r="34" spans="1:11" x14ac:dyDescent="0.35">
      <c r="A34" s="210">
        <f t="shared" si="0"/>
        <v>24</v>
      </c>
      <c r="B34" s="217" t="s">
        <v>591</v>
      </c>
      <c r="I34" s="228"/>
      <c r="J34" s="210">
        <f t="shared" si="1"/>
        <v>24</v>
      </c>
    </row>
    <row r="35" spans="1:11" x14ac:dyDescent="0.35">
      <c r="A35" s="210">
        <f t="shared" si="0"/>
        <v>25</v>
      </c>
      <c r="B35" s="211" t="s">
        <v>592</v>
      </c>
      <c r="E35" s="210" t="s">
        <v>593</v>
      </c>
      <c r="F35" s="468"/>
      <c r="G35" s="469">
        <v>7099080.8731300002</v>
      </c>
      <c r="H35" s="548"/>
      <c r="I35" s="473"/>
      <c r="J35" s="210">
        <f t="shared" si="1"/>
        <v>25</v>
      </c>
      <c r="K35" s="231"/>
    </row>
    <row r="36" spans="1:11" x14ac:dyDescent="0.35">
      <c r="A36" s="210">
        <f t="shared" si="0"/>
        <v>26</v>
      </c>
      <c r="B36" s="211" t="s">
        <v>594</v>
      </c>
      <c r="E36" s="210" t="s">
        <v>586</v>
      </c>
      <c r="G36" s="479">
        <f>-G30</f>
        <v>0</v>
      </c>
      <c r="H36" s="479"/>
      <c r="I36" s="228" t="s">
        <v>595</v>
      </c>
      <c r="J36" s="210">
        <f t="shared" si="1"/>
        <v>26</v>
      </c>
    </row>
    <row r="37" spans="1:11" x14ac:dyDescent="0.35">
      <c r="A37" s="210">
        <f t="shared" si="0"/>
        <v>27</v>
      </c>
      <c r="B37" s="211" t="s">
        <v>596</v>
      </c>
      <c r="E37" s="210" t="s">
        <v>597</v>
      </c>
      <c r="G37" s="222">
        <v>0</v>
      </c>
      <c r="H37" s="548"/>
      <c r="I37" s="473"/>
      <c r="J37" s="210">
        <f t="shared" si="1"/>
        <v>27</v>
      </c>
    </row>
    <row r="38" spans="1:11" x14ac:dyDescent="0.35">
      <c r="A38" s="210">
        <f t="shared" si="0"/>
        <v>28</v>
      </c>
      <c r="B38" s="211" t="s">
        <v>598</v>
      </c>
      <c r="E38" s="210" t="s">
        <v>599</v>
      </c>
      <c r="G38" s="222">
        <v>15874.048050000001</v>
      </c>
      <c r="H38" s="548"/>
      <c r="I38" s="473"/>
      <c r="J38" s="210">
        <f t="shared" si="1"/>
        <v>28</v>
      </c>
    </row>
    <row r="39" spans="1:11" ht="16" thickBot="1" x14ac:dyDescent="0.4">
      <c r="A39" s="210">
        <f t="shared" si="0"/>
        <v>29</v>
      </c>
      <c r="B39" s="211" t="s">
        <v>600</v>
      </c>
      <c r="G39" s="480">
        <f>SUM(G35:G38)</f>
        <v>7114954.9211800005</v>
      </c>
      <c r="H39" s="481"/>
      <c r="I39" s="228" t="s">
        <v>601</v>
      </c>
      <c r="J39" s="210">
        <f t="shared" si="1"/>
        <v>29</v>
      </c>
    </row>
    <row r="40" spans="1:11" ht="16.5" thickTop="1" thickBot="1" x14ac:dyDescent="0.4">
      <c r="A40" s="482">
        <f t="shared" si="0"/>
        <v>30</v>
      </c>
      <c r="B40" s="323"/>
      <c r="C40" s="323"/>
      <c r="D40" s="323"/>
      <c r="E40" s="323"/>
      <c r="F40" s="323"/>
      <c r="G40" s="323"/>
      <c r="H40" s="323"/>
      <c r="I40" s="483"/>
      <c r="J40" s="482">
        <f t="shared" si="1"/>
        <v>30</v>
      </c>
    </row>
    <row r="41" spans="1:11" x14ac:dyDescent="0.35">
      <c r="A41" s="210">
        <f>A40+1</f>
        <v>31</v>
      </c>
      <c r="I41" s="228"/>
      <c r="J41" s="210">
        <f>J40+1</f>
        <v>31</v>
      </c>
    </row>
    <row r="42" spans="1:11" ht="16" thickBot="1" x14ac:dyDescent="0.4">
      <c r="A42" s="210">
        <f>A41+1</f>
        <v>32</v>
      </c>
      <c r="B42" s="217" t="s">
        <v>602</v>
      </c>
      <c r="G42" s="484">
        <v>0.10100000000000001</v>
      </c>
      <c r="H42" s="548"/>
      <c r="I42" s="210" t="s">
        <v>603</v>
      </c>
      <c r="J42" s="210">
        <f>J41+1</f>
        <v>32</v>
      </c>
    </row>
    <row r="43" spans="1:11" ht="16" thickTop="1" x14ac:dyDescent="0.35">
      <c r="A43" s="210">
        <f t="shared" si="0"/>
        <v>33</v>
      </c>
      <c r="C43" s="257" t="s">
        <v>378</v>
      </c>
      <c r="D43" s="257" t="s">
        <v>379</v>
      </c>
      <c r="E43" s="257" t="s">
        <v>604</v>
      </c>
      <c r="F43" s="257"/>
      <c r="G43" s="257" t="s">
        <v>605</v>
      </c>
      <c r="H43" s="257"/>
      <c r="I43" s="228"/>
      <c r="J43" s="210">
        <f t="shared" si="1"/>
        <v>33</v>
      </c>
    </row>
    <row r="44" spans="1:11" x14ac:dyDescent="0.35">
      <c r="A44" s="210">
        <f t="shared" si="0"/>
        <v>34</v>
      </c>
      <c r="D44" s="210" t="s">
        <v>606</v>
      </c>
      <c r="E44" s="210" t="s">
        <v>607</v>
      </c>
      <c r="F44" s="210"/>
      <c r="G44" s="210" t="s">
        <v>608</v>
      </c>
      <c r="H44" s="210"/>
      <c r="I44" s="228"/>
      <c r="J44" s="210">
        <f t="shared" si="1"/>
        <v>34</v>
      </c>
    </row>
    <row r="45" spans="1:11" ht="18" x14ac:dyDescent="0.35">
      <c r="A45" s="210">
        <f t="shared" si="0"/>
        <v>35</v>
      </c>
      <c r="B45" s="217" t="s">
        <v>609</v>
      </c>
      <c r="C45" s="215" t="s">
        <v>610</v>
      </c>
      <c r="D45" s="215" t="s">
        <v>611</v>
      </c>
      <c r="E45" s="215" t="s">
        <v>612</v>
      </c>
      <c r="F45" s="215"/>
      <c r="G45" s="215" t="s">
        <v>613</v>
      </c>
      <c r="H45" s="210"/>
      <c r="I45" s="228"/>
      <c r="J45" s="210">
        <f t="shared" si="1"/>
        <v>35</v>
      </c>
    </row>
    <row r="46" spans="1:11" x14ac:dyDescent="0.35">
      <c r="A46" s="210">
        <f t="shared" si="0"/>
        <v>36</v>
      </c>
      <c r="I46" s="228"/>
      <c r="J46" s="210">
        <f t="shared" si="1"/>
        <v>36</v>
      </c>
    </row>
    <row r="47" spans="1:11" x14ac:dyDescent="0.35">
      <c r="A47" s="210">
        <f t="shared" si="0"/>
        <v>37</v>
      </c>
      <c r="B47" s="211" t="s">
        <v>614</v>
      </c>
      <c r="C47" s="247">
        <f>G17</f>
        <v>5128385.59999</v>
      </c>
      <c r="D47" s="485">
        <f>C47/C$50</f>
        <v>0.41887143391319476</v>
      </c>
      <c r="E47" s="486">
        <f>G27</f>
        <v>4.2778982149943599E-2</v>
      </c>
      <c r="G47" s="487">
        <f>D47*E47</f>
        <v>1.7918893594493838E-2</v>
      </c>
      <c r="H47" s="487"/>
      <c r="I47" s="228" t="s">
        <v>615</v>
      </c>
      <c r="J47" s="210">
        <f t="shared" si="1"/>
        <v>37</v>
      </c>
    </row>
    <row r="48" spans="1:11" x14ac:dyDescent="0.35">
      <c r="A48" s="210">
        <f t="shared" si="0"/>
        <v>38</v>
      </c>
      <c r="B48" s="211" t="s">
        <v>616</v>
      </c>
      <c r="C48" s="488">
        <f>G30</f>
        <v>0</v>
      </c>
      <c r="D48" s="485">
        <f>C48/C$50</f>
        <v>0</v>
      </c>
      <c r="E48" s="486">
        <f>G32</f>
        <v>0</v>
      </c>
      <c r="G48" s="487">
        <f>D48*E48</f>
        <v>0</v>
      </c>
      <c r="H48" s="487"/>
      <c r="I48" s="228" t="s">
        <v>617</v>
      </c>
      <c r="J48" s="210">
        <f t="shared" si="1"/>
        <v>38</v>
      </c>
    </row>
    <row r="49" spans="1:10" x14ac:dyDescent="0.35">
      <c r="A49" s="210">
        <f t="shared" si="0"/>
        <v>39</v>
      </c>
      <c r="B49" s="211" t="s">
        <v>618</v>
      </c>
      <c r="C49" s="488">
        <f>G39</f>
        <v>7114954.9211800005</v>
      </c>
      <c r="D49" s="489">
        <f>C49/C$50</f>
        <v>0.58112856608680519</v>
      </c>
      <c r="E49" s="490">
        <f>G42</f>
        <v>0.10100000000000001</v>
      </c>
      <c r="G49" s="491">
        <f>D49*E49</f>
        <v>5.869398517476733E-2</v>
      </c>
      <c r="H49" s="477"/>
      <c r="I49" s="228" t="s">
        <v>619</v>
      </c>
      <c r="J49" s="210">
        <f t="shared" si="1"/>
        <v>39</v>
      </c>
    </row>
    <row r="50" spans="1:10" ht="16" thickBot="1" x14ac:dyDescent="0.4">
      <c r="A50" s="210">
        <f t="shared" si="0"/>
        <v>40</v>
      </c>
      <c r="B50" s="211" t="s">
        <v>620</v>
      </c>
      <c r="C50" s="492">
        <f>SUM(C47:C49)</f>
        <v>12243340.521170001</v>
      </c>
      <c r="D50" s="493">
        <f>SUM(D47:D49)</f>
        <v>1</v>
      </c>
      <c r="G50" s="476">
        <f>SUM(G47:G49)</f>
        <v>7.6612878769261164E-2</v>
      </c>
      <c r="H50" s="477"/>
      <c r="I50" s="228" t="s">
        <v>621</v>
      </c>
      <c r="J50" s="210">
        <f t="shared" si="1"/>
        <v>40</v>
      </c>
    </row>
    <row r="51" spans="1:10" ht="16" thickTop="1" x14ac:dyDescent="0.35">
      <c r="A51" s="210">
        <f t="shared" si="0"/>
        <v>41</v>
      </c>
      <c r="I51" s="228"/>
      <c r="J51" s="210">
        <f t="shared" si="1"/>
        <v>41</v>
      </c>
    </row>
    <row r="52" spans="1:10" ht="16" thickBot="1" x14ac:dyDescent="0.4">
      <c r="A52" s="210">
        <f t="shared" si="0"/>
        <v>42</v>
      </c>
      <c r="B52" s="217" t="s">
        <v>622</v>
      </c>
      <c r="G52" s="476">
        <f>G48+G49</f>
        <v>5.869398517476733E-2</v>
      </c>
      <c r="H52" s="477"/>
      <c r="I52" s="228" t="s">
        <v>623</v>
      </c>
      <c r="J52" s="210">
        <f t="shared" si="1"/>
        <v>42</v>
      </c>
    </row>
    <row r="53" spans="1:10" ht="16.5" thickTop="1" thickBot="1" x14ac:dyDescent="0.4">
      <c r="A53" s="482">
        <f>A52+1</f>
        <v>43</v>
      </c>
      <c r="B53" s="323"/>
      <c r="C53" s="323"/>
      <c r="D53" s="323"/>
      <c r="E53" s="323"/>
      <c r="F53" s="323"/>
      <c r="G53" s="323"/>
      <c r="H53" s="323"/>
      <c r="I53" s="483"/>
      <c r="J53" s="482">
        <f>J52+1</f>
        <v>43</v>
      </c>
    </row>
    <row r="54" spans="1:10" x14ac:dyDescent="0.35">
      <c r="A54" s="210">
        <f t="shared" ref="A54:A102" si="2">A53+1</f>
        <v>44</v>
      </c>
      <c r="I54" s="228"/>
      <c r="J54" s="210">
        <f t="shared" ref="J54:J102" si="3">J53+1</f>
        <v>44</v>
      </c>
    </row>
    <row r="55" spans="1:10" ht="16" thickBot="1" x14ac:dyDescent="0.4">
      <c r="A55" s="210">
        <f>A54+1</f>
        <v>45</v>
      </c>
      <c r="B55" s="217" t="s">
        <v>624</v>
      </c>
      <c r="G55" s="484">
        <v>5.0000000000000001E-3</v>
      </c>
      <c r="I55" s="210" t="s">
        <v>603</v>
      </c>
      <c r="J55" s="210">
        <f>J54+1</f>
        <v>45</v>
      </c>
    </row>
    <row r="56" spans="1:10" ht="16" thickTop="1" x14ac:dyDescent="0.35">
      <c r="A56" s="210">
        <f t="shared" si="2"/>
        <v>46</v>
      </c>
      <c r="C56" s="257" t="s">
        <v>378</v>
      </c>
      <c r="D56" s="257" t="s">
        <v>379</v>
      </c>
      <c r="E56" s="257" t="s">
        <v>604</v>
      </c>
      <c r="F56" s="257"/>
      <c r="G56" s="257" t="s">
        <v>605</v>
      </c>
      <c r="I56" s="228"/>
      <c r="J56" s="210">
        <f t="shared" si="3"/>
        <v>46</v>
      </c>
    </row>
    <row r="57" spans="1:10" x14ac:dyDescent="0.35">
      <c r="A57" s="210">
        <f t="shared" si="2"/>
        <v>47</v>
      </c>
      <c r="D57" s="210" t="s">
        <v>606</v>
      </c>
      <c r="E57" s="210" t="s">
        <v>607</v>
      </c>
      <c r="F57" s="210"/>
      <c r="G57" s="210" t="s">
        <v>608</v>
      </c>
      <c r="I57" s="228"/>
      <c r="J57" s="210">
        <f t="shared" si="3"/>
        <v>47</v>
      </c>
    </row>
    <row r="58" spans="1:10" ht="18" x14ac:dyDescent="0.35">
      <c r="A58" s="210">
        <f t="shared" si="2"/>
        <v>48</v>
      </c>
      <c r="B58" s="217" t="s">
        <v>609</v>
      </c>
      <c r="C58" s="215" t="s">
        <v>610</v>
      </c>
      <c r="D58" s="215" t="s">
        <v>611</v>
      </c>
      <c r="E58" s="215" t="s">
        <v>612</v>
      </c>
      <c r="F58" s="215"/>
      <c r="G58" s="215" t="s">
        <v>613</v>
      </c>
      <c r="I58" s="228"/>
      <c r="J58" s="210">
        <f t="shared" si="3"/>
        <v>48</v>
      </c>
    </row>
    <row r="59" spans="1:10" x14ac:dyDescent="0.35">
      <c r="A59" s="210">
        <f t="shared" si="2"/>
        <v>49</v>
      </c>
      <c r="I59" s="228"/>
      <c r="J59" s="210">
        <f t="shared" si="3"/>
        <v>49</v>
      </c>
    </row>
    <row r="60" spans="1:10" x14ac:dyDescent="0.35">
      <c r="A60" s="210">
        <f t="shared" si="2"/>
        <v>50</v>
      </c>
      <c r="B60" s="211" t="s">
        <v>614</v>
      </c>
      <c r="C60" s="247">
        <f>G17</f>
        <v>5128385.59999</v>
      </c>
      <c r="D60" s="485">
        <f>C60/C$63</f>
        <v>0.41887143391319476</v>
      </c>
      <c r="E60" s="494">
        <v>0</v>
      </c>
      <c r="G60" s="487">
        <f>D60*E60</f>
        <v>0</v>
      </c>
      <c r="I60" s="228" t="s">
        <v>625</v>
      </c>
      <c r="J60" s="210">
        <f t="shared" si="3"/>
        <v>50</v>
      </c>
    </row>
    <row r="61" spans="1:10" x14ac:dyDescent="0.35">
      <c r="A61" s="210">
        <f t="shared" si="2"/>
        <v>51</v>
      </c>
      <c r="B61" s="211" t="s">
        <v>616</v>
      </c>
      <c r="C61" s="488">
        <f>G30</f>
        <v>0</v>
      </c>
      <c r="D61" s="485">
        <f>C61/C$63</f>
        <v>0</v>
      </c>
      <c r="E61" s="494">
        <v>0</v>
      </c>
      <c r="G61" s="487">
        <f>D61*E61</f>
        <v>0</v>
      </c>
      <c r="I61" s="228" t="s">
        <v>625</v>
      </c>
      <c r="J61" s="210">
        <f t="shared" si="3"/>
        <v>51</v>
      </c>
    </row>
    <row r="62" spans="1:10" x14ac:dyDescent="0.35">
      <c r="A62" s="210">
        <f t="shared" si="2"/>
        <v>52</v>
      </c>
      <c r="B62" s="211" t="s">
        <v>618</v>
      </c>
      <c r="C62" s="488">
        <f>G39</f>
        <v>7114954.9211800005</v>
      </c>
      <c r="D62" s="489">
        <f>C62/C$63</f>
        <v>0.58112856608680519</v>
      </c>
      <c r="E62" s="490">
        <f>G55</f>
        <v>5.0000000000000001E-3</v>
      </c>
      <c r="G62" s="491">
        <f>D62*E62</f>
        <v>2.9056428304340262E-3</v>
      </c>
      <c r="I62" s="228" t="s">
        <v>626</v>
      </c>
      <c r="J62" s="210">
        <f t="shared" si="3"/>
        <v>52</v>
      </c>
    </row>
    <row r="63" spans="1:10" ht="16" thickBot="1" x14ac:dyDescent="0.4">
      <c r="A63" s="210">
        <f t="shared" si="2"/>
        <v>53</v>
      </c>
      <c r="B63" s="211" t="s">
        <v>620</v>
      </c>
      <c r="C63" s="492">
        <f>SUM(C60:C62)</f>
        <v>12243340.521170001</v>
      </c>
      <c r="D63" s="493">
        <f>SUM(D60:D62)</f>
        <v>1</v>
      </c>
      <c r="G63" s="476">
        <f>SUM(G60:G62)</f>
        <v>2.9056428304340262E-3</v>
      </c>
      <c r="I63" s="228" t="s">
        <v>627</v>
      </c>
      <c r="J63" s="210">
        <f t="shared" si="3"/>
        <v>53</v>
      </c>
    </row>
    <row r="64" spans="1:10" ht="16" thickTop="1" x14ac:dyDescent="0.35">
      <c r="A64" s="210">
        <f t="shared" si="2"/>
        <v>54</v>
      </c>
      <c r="I64" s="228"/>
      <c r="J64" s="210">
        <f t="shared" si="3"/>
        <v>54</v>
      </c>
    </row>
    <row r="65" spans="1:10" ht="16" thickBot="1" x14ac:dyDescent="0.4">
      <c r="A65" s="210">
        <f t="shared" si="2"/>
        <v>55</v>
      </c>
      <c r="B65" s="217" t="s">
        <v>628</v>
      </c>
      <c r="G65" s="493">
        <f>G62</f>
        <v>2.9056428304340262E-3</v>
      </c>
      <c r="I65" s="228" t="s">
        <v>629</v>
      </c>
      <c r="J65" s="210">
        <f t="shared" si="3"/>
        <v>55</v>
      </c>
    </row>
    <row r="66" spans="1:10" ht="16" thickTop="1" x14ac:dyDescent="0.35">
      <c r="B66" s="217"/>
      <c r="G66" s="495"/>
      <c r="I66" s="228"/>
      <c r="J66" s="210"/>
    </row>
    <row r="67" spans="1:10" ht="18" x14ac:dyDescent="0.35">
      <c r="A67" s="255">
        <v>1</v>
      </c>
      <c r="B67" s="211" t="s">
        <v>630</v>
      </c>
      <c r="G67" s="495"/>
      <c r="I67" s="228"/>
      <c r="J67" s="210"/>
    </row>
    <row r="68" spans="1:10" x14ac:dyDescent="0.35">
      <c r="B68" s="217"/>
      <c r="G68" s="495"/>
      <c r="I68" s="228"/>
      <c r="J68" s="210"/>
    </row>
    <row r="69" spans="1:10" x14ac:dyDescent="0.35">
      <c r="B69" s="217"/>
      <c r="G69" s="495"/>
      <c r="I69" s="228"/>
      <c r="J69" s="210"/>
    </row>
    <row r="70" spans="1:10" x14ac:dyDescent="0.35">
      <c r="B70" s="608" t="s">
        <v>215</v>
      </c>
      <c r="C70" s="608"/>
      <c r="D70" s="608"/>
      <c r="E70" s="608"/>
      <c r="F70" s="608"/>
      <c r="G70" s="608"/>
      <c r="H70" s="608"/>
      <c r="I70" s="608"/>
      <c r="J70" s="210"/>
    </row>
    <row r="71" spans="1:10" x14ac:dyDescent="0.35">
      <c r="B71" s="608" t="s">
        <v>554</v>
      </c>
      <c r="C71" s="608"/>
      <c r="D71" s="608"/>
      <c r="E71" s="608"/>
      <c r="F71" s="608"/>
      <c r="G71" s="608"/>
      <c r="H71" s="608"/>
      <c r="I71" s="608"/>
      <c r="J71" s="210"/>
    </row>
    <row r="72" spans="1:10" x14ac:dyDescent="0.35">
      <c r="B72" s="608" t="s">
        <v>555</v>
      </c>
      <c r="C72" s="608"/>
      <c r="D72" s="608"/>
      <c r="E72" s="608"/>
      <c r="F72" s="608"/>
      <c r="G72" s="608"/>
      <c r="H72" s="608"/>
      <c r="I72" s="608"/>
      <c r="J72" s="210"/>
    </row>
    <row r="73" spans="1:10" x14ac:dyDescent="0.35">
      <c r="B73" s="609" t="str">
        <f>B5</f>
        <v>Base Period &amp; True-Up Period 12 - Months Ending December 31, 2019</v>
      </c>
      <c r="C73" s="609"/>
      <c r="D73" s="609"/>
      <c r="E73" s="609"/>
      <c r="F73" s="609"/>
      <c r="G73" s="609"/>
      <c r="H73" s="609"/>
      <c r="I73" s="609"/>
      <c r="J73" s="210"/>
    </row>
    <row r="74" spans="1:10" x14ac:dyDescent="0.35">
      <c r="B74" s="610" t="s">
        <v>3</v>
      </c>
      <c r="C74" s="611"/>
      <c r="D74" s="611"/>
      <c r="E74" s="611"/>
      <c r="F74" s="611"/>
      <c r="G74" s="611"/>
      <c r="H74" s="611"/>
      <c r="I74" s="611"/>
      <c r="J74" s="210"/>
    </row>
    <row r="75" spans="1:10" s="421" customFormat="1" x14ac:dyDescent="0.35">
      <c r="A75" s="210"/>
      <c r="B75" s="210"/>
      <c r="C75" s="210"/>
      <c r="D75" s="210"/>
      <c r="E75" s="210"/>
      <c r="F75" s="210"/>
      <c r="G75" s="210"/>
      <c r="H75" s="210"/>
      <c r="I75" s="228"/>
      <c r="J75" s="210"/>
    </row>
    <row r="76" spans="1:10" s="421" customFormat="1" x14ac:dyDescent="0.35">
      <c r="A76" s="210" t="s">
        <v>4</v>
      </c>
      <c r="B76" s="548"/>
      <c r="C76" s="548"/>
      <c r="D76" s="548"/>
      <c r="E76" s="210" t="s">
        <v>288</v>
      </c>
      <c r="F76" s="548"/>
      <c r="G76" s="548"/>
      <c r="H76" s="548"/>
      <c r="I76" s="228"/>
      <c r="J76" s="210" t="s">
        <v>4</v>
      </c>
    </row>
    <row r="77" spans="1:10" s="421" customFormat="1" x14ac:dyDescent="0.35">
      <c r="A77" s="210" t="s">
        <v>5</v>
      </c>
      <c r="B77" s="210"/>
      <c r="C77" s="210"/>
      <c r="D77" s="210"/>
      <c r="E77" s="215" t="s">
        <v>289</v>
      </c>
      <c r="F77" s="210"/>
      <c r="G77" s="216" t="s">
        <v>7</v>
      </c>
      <c r="H77" s="548"/>
      <c r="I77" s="467" t="s">
        <v>8</v>
      </c>
      <c r="J77" s="210" t="s">
        <v>5</v>
      </c>
    </row>
    <row r="78" spans="1:10" x14ac:dyDescent="0.35">
      <c r="I78" s="228"/>
      <c r="J78" s="210"/>
    </row>
    <row r="79" spans="1:10" ht="18.5" thickBot="1" x14ac:dyDescent="0.4">
      <c r="A79" s="210">
        <v>1</v>
      </c>
      <c r="B79" s="217" t="s">
        <v>631</v>
      </c>
      <c r="G79" s="484">
        <v>0</v>
      </c>
      <c r="H79" s="548"/>
      <c r="I79" s="496"/>
      <c r="J79" s="210">
        <f>A79</f>
        <v>1</v>
      </c>
    </row>
    <row r="80" spans="1:10" ht="16" thickTop="1" x14ac:dyDescent="0.35">
      <c r="A80" s="210">
        <f t="shared" si="2"/>
        <v>2</v>
      </c>
      <c r="C80" s="257" t="s">
        <v>378</v>
      </c>
      <c r="D80" s="257" t="s">
        <v>379</v>
      </c>
      <c r="E80" s="257" t="s">
        <v>604</v>
      </c>
      <c r="F80" s="257"/>
      <c r="G80" s="257" t="s">
        <v>605</v>
      </c>
      <c r="H80" s="257"/>
      <c r="I80" s="228"/>
      <c r="J80" s="210">
        <f t="shared" si="3"/>
        <v>2</v>
      </c>
    </row>
    <row r="81" spans="1:10" x14ac:dyDescent="0.35">
      <c r="A81" s="210">
        <f t="shared" si="2"/>
        <v>3</v>
      </c>
      <c r="D81" s="210" t="s">
        <v>606</v>
      </c>
      <c r="E81" s="210" t="s">
        <v>607</v>
      </c>
      <c r="F81" s="210"/>
      <c r="G81" s="210" t="s">
        <v>608</v>
      </c>
      <c r="H81" s="210"/>
      <c r="I81" s="228"/>
      <c r="J81" s="210">
        <f t="shared" si="3"/>
        <v>3</v>
      </c>
    </row>
    <row r="82" spans="1:10" ht="18" x14ac:dyDescent="0.35">
      <c r="A82" s="210">
        <f t="shared" si="2"/>
        <v>4</v>
      </c>
      <c r="B82" s="217" t="s">
        <v>632</v>
      </c>
      <c r="C82" s="215" t="s">
        <v>633</v>
      </c>
      <c r="D82" s="215" t="s">
        <v>611</v>
      </c>
      <c r="E82" s="215" t="s">
        <v>612</v>
      </c>
      <c r="F82" s="215"/>
      <c r="G82" s="215" t="s">
        <v>613</v>
      </c>
      <c r="H82" s="210"/>
      <c r="I82" s="228"/>
      <c r="J82" s="210">
        <f t="shared" si="3"/>
        <v>4</v>
      </c>
    </row>
    <row r="83" spans="1:10" x14ac:dyDescent="0.35">
      <c r="A83" s="210">
        <f t="shared" si="2"/>
        <v>5</v>
      </c>
      <c r="I83" s="228"/>
      <c r="J83" s="210">
        <f t="shared" si="3"/>
        <v>5</v>
      </c>
    </row>
    <row r="84" spans="1:10" x14ac:dyDescent="0.35">
      <c r="A84" s="210">
        <f t="shared" si="2"/>
        <v>6</v>
      </c>
      <c r="B84" s="211" t="s">
        <v>614</v>
      </c>
      <c r="C84" s="247">
        <f>G17</f>
        <v>5128385.59999</v>
      </c>
      <c r="D84" s="485">
        <f>C84/C$87</f>
        <v>0.41887143391319476</v>
      </c>
      <c r="E84" s="486">
        <f>G27</f>
        <v>4.2778982149943599E-2</v>
      </c>
      <c r="G84" s="487">
        <f>D84*E84</f>
        <v>1.7918893594493838E-2</v>
      </c>
      <c r="H84" s="487"/>
      <c r="I84" s="228" t="s">
        <v>634</v>
      </c>
      <c r="J84" s="210">
        <f t="shared" si="3"/>
        <v>6</v>
      </c>
    </row>
    <row r="85" spans="1:10" x14ac:dyDescent="0.35">
      <c r="A85" s="210">
        <f t="shared" si="2"/>
        <v>7</v>
      </c>
      <c r="B85" s="211" t="s">
        <v>616</v>
      </c>
      <c r="C85" s="488">
        <f>G30</f>
        <v>0</v>
      </c>
      <c r="D85" s="485">
        <f>C85/C$87</f>
        <v>0</v>
      </c>
      <c r="E85" s="486">
        <f>G32</f>
        <v>0</v>
      </c>
      <c r="G85" s="487">
        <f>D85*E85</f>
        <v>0</v>
      </c>
      <c r="H85" s="487"/>
      <c r="I85" s="228" t="s">
        <v>635</v>
      </c>
      <c r="J85" s="210">
        <f t="shared" si="3"/>
        <v>7</v>
      </c>
    </row>
    <row r="86" spans="1:10" x14ac:dyDescent="0.35">
      <c r="A86" s="210">
        <f t="shared" si="2"/>
        <v>8</v>
      </c>
      <c r="B86" s="211" t="s">
        <v>618</v>
      </c>
      <c r="C86" s="488">
        <f>G39</f>
        <v>7114954.9211800005</v>
      </c>
      <c r="D86" s="489">
        <f>C86/C$87</f>
        <v>0.58112856608680519</v>
      </c>
      <c r="E86" s="490">
        <f>G79</f>
        <v>0</v>
      </c>
      <c r="G86" s="491">
        <f>D86*E86</f>
        <v>0</v>
      </c>
      <c r="H86" s="477"/>
      <c r="I86" s="228" t="s">
        <v>636</v>
      </c>
      <c r="J86" s="210">
        <f t="shared" si="3"/>
        <v>8</v>
      </c>
    </row>
    <row r="87" spans="1:10" ht="16" thickBot="1" x14ac:dyDescent="0.4">
      <c r="A87" s="210">
        <f t="shared" si="2"/>
        <v>9</v>
      </c>
      <c r="B87" s="211" t="s">
        <v>620</v>
      </c>
      <c r="C87" s="492">
        <f>SUM(C84:C86)</f>
        <v>12243340.521170001</v>
      </c>
      <c r="D87" s="493">
        <f>SUM(D84:D86)</f>
        <v>1</v>
      </c>
      <c r="G87" s="476">
        <f>SUM(G84:G86)</f>
        <v>1.7918893594493838E-2</v>
      </c>
      <c r="H87" s="477"/>
      <c r="I87" s="228" t="s">
        <v>637</v>
      </c>
      <c r="J87" s="210">
        <f t="shared" si="3"/>
        <v>9</v>
      </c>
    </row>
    <row r="88" spans="1:10" ht="16" thickTop="1" x14ac:dyDescent="0.35">
      <c r="A88" s="210">
        <f t="shared" si="2"/>
        <v>10</v>
      </c>
      <c r="I88" s="228"/>
      <c r="J88" s="210">
        <f t="shared" si="3"/>
        <v>10</v>
      </c>
    </row>
    <row r="89" spans="1:10" ht="16" thickBot="1" x14ac:dyDescent="0.4">
      <c r="A89" s="210">
        <f t="shared" si="2"/>
        <v>11</v>
      </c>
      <c r="B89" s="217" t="s">
        <v>638</v>
      </c>
      <c r="G89" s="476">
        <f>G85+G86</f>
        <v>0</v>
      </c>
      <c r="H89" s="477"/>
      <c r="I89" s="228" t="s">
        <v>639</v>
      </c>
      <c r="J89" s="210">
        <f t="shared" si="3"/>
        <v>11</v>
      </c>
    </row>
    <row r="90" spans="1:10" ht="16.5" thickTop="1" thickBot="1" x14ac:dyDescent="0.4">
      <c r="A90" s="482">
        <f t="shared" si="2"/>
        <v>12</v>
      </c>
      <c r="B90" s="497"/>
      <c r="C90" s="323"/>
      <c r="D90" s="323"/>
      <c r="E90" s="323"/>
      <c r="F90" s="323"/>
      <c r="G90" s="498"/>
      <c r="H90" s="498"/>
      <c r="I90" s="483"/>
      <c r="J90" s="482">
        <f t="shared" si="3"/>
        <v>12</v>
      </c>
    </row>
    <row r="91" spans="1:10" x14ac:dyDescent="0.35">
      <c r="A91" s="210">
        <f t="shared" si="2"/>
        <v>13</v>
      </c>
      <c r="I91" s="228"/>
      <c r="J91" s="210">
        <f t="shared" si="3"/>
        <v>13</v>
      </c>
    </row>
    <row r="92" spans="1:10" ht="31.5" thickBot="1" x14ac:dyDescent="0.4">
      <c r="A92" s="210">
        <f t="shared" si="2"/>
        <v>14</v>
      </c>
      <c r="B92" s="217" t="s">
        <v>624</v>
      </c>
      <c r="G92" s="484">
        <v>0</v>
      </c>
      <c r="I92" s="228" t="s">
        <v>640</v>
      </c>
      <c r="J92" s="210">
        <f t="shared" si="3"/>
        <v>14</v>
      </c>
    </row>
    <row r="93" spans="1:10" ht="16" thickTop="1" x14ac:dyDescent="0.35">
      <c r="A93" s="210">
        <f t="shared" si="2"/>
        <v>15</v>
      </c>
      <c r="C93" s="257" t="s">
        <v>378</v>
      </c>
      <c r="D93" s="257" t="s">
        <v>379</v>
      </c>
      <c r="E93" s="257" t="s">
        <v>604</v>
      </c>
      <c r="F93" s="257"/>
      <c r="G93" s="257" t="s">
        <v>605</v>
      </c>
      <c r="I93" s="228"/>
      <c r="J93" s="210">
        <f t="shared" si="3"/>
        <v>15</v>
      </c>
    </row>
    <row r="94" spans="1:10" x14ac:dyDescent="0.35">
      <c r="A94" s="210">
        <f t="shared" si="2"/>
        <v>16</v>
      </c>
      <c r="D94" s="210" t="s">
        <v>606</v>
      </c>
      <c r="E94" s="210" t="s">
        <v>607</v>
      </c>
      <c r="F94" s="210"/>
      <c r="G94" s="210" t="s">
        <v>608</v>
      </c>
      <c r="I94" s="228"/>
      <c r="J94" s="210">
        <f t="shared" si="3"/>
        <v>16</v>
      </c>
    </row>
    <row r="95" spans="1:10" ht="18" x14ac:dyDescent="0.35">
      <c r="A95" s="210">
        <f t="shared" si="2"/>
        <v>17</v>
      </c>
      <c r="B95" s="217" t="s">
        <v>609</v>
      </c>
      <c r="C95" s="215" t="s">
        <v>633</v>
      </c>
      <c r="D95" s="215" t="s">
        <v>611</v>
      </c>
      <c r="E95" s="215" t="s">
        <v>612</v>
      </c>
      <c r="F95" s="215"/>
      <c r="G95" s="215" t="s">
        <v>613</v>
      </c>
      <c r="I95" s="228"/>
      <c r="J95" s="210">
        <f t="shared" si="3"/>
        <v>17</v>
      </c>
    </row>
    <row r="96" spans="1:10" x14ac:dyDescent="0.35">
      <c r="A96" s="210">
        <f t="shared" si="2"/>
        <v>18</v>
      </c>
      <c r="I96" s="228"/>
      <c r="J96" s="210">
        <f t="shared" si="3"/>
        <v>18</v>
      </c>
    </row>
    <row r="97" spans="1:10" x14ac:dyDescent="0.35">
      <c r="A97" s="210">
        <f t="shared" si="2"/>
        <v>19</v>
      </c>
      <c r="B97" s="211" t="s">
        <v>614</v>
      </c>
      <c r="C97" s="247">
        <f>G17</f>
        <v>5128385.59999</v>
      </c>
      <c r="D97" s="485">
        <f>C97/C$100</f>
        <v>0.41887143391319476</v>
      </c>
      <c r="E97" s="494">
        <v>0</v>
      </c>
      <c r="G97" s="487">
        <f>D97*E97</f>
        <v>0</v>
      </c>
      <c r="I97" s="228" t="s">
        <v>625</v>
      </c>
      <c r="J97" s="210">
        <f t="shared" si="3"/>
        <v>19</v>
      </c>
    </row>
    <row r="98" spans="1:10" x14ac:dyDescent="0.35">
      <c r="A98" s="210">
        <f t="shared" si="2"/>
        <v>20</v>
      </c>
      <c r="B98" s="211" t="s">
        <v>616</v>
      </c>
      <c r="C98" s="488">
        <f>G30</f>
        <v>0</v>
      </c>
      <c r="D98" s="485">
        <f>C98/C$100</f>
        <v>0</v>
      </c>
      <c r="E98" s="494">
        <v>0</v>
      </c>
      <c r="G98" s="487">
        <f>D98*E98</f>
        <v>0</v>
      </c>
      <c r="I98" s="228" t="s">
        <v>625</v>
      </c>
      <c r="J98" s="210">
        <f t="shared" si="3"/>
        <v>20</v>
      </c>
    </row>
    <row r="99" spans="1:10" x14ac:dyDescent="0.35">
      <c r="A99" s="210">
        <f t="shared" si="2"/>
        <v>21</v>
      </c>
      <c r="B99" s="211" t="s">
        <v>618</v>
      </c>
      <c r="C99" s="488">
        <f>G39</f>
        <v>7114954.9211800005</v>
      </c>
      <c r="D99" s="489">
        <f>C99/C$100</f>
        <v>0.58112856608680519</v>
      </c>
      <c r="E99" s="490">
        <f>G92</f>
        <v>0</v>
      </c>
      <c r="G99" s="491">
        <f>D99*E99</f>
        <v>0</v>
      </c>
      <c r="I99" s="228" t="s">
        <v>641</v>
      </c>
      <c r="J99" s="210">
        <f t="shared" si="3"/>
        <v>21</v>
      </c>
    </row>
    <row r="100" spans="1:10" ht="16" thickBot="1" x14ac:dyDescent="0.4">
      <c r="A100" s="210">
        <f t="shared" si="2"/>
        <v>22</v>
      </c>
      <c r="B100" s="211" t="s">
        <v>620</v>
      </c>
      <c r="C100" s="492">
        <f>SUM(C97:C99)</f>
        <v>12243340.521170001</v>
      </c>
      <c r="D100" s="493">
        <f>SUM(D97:D99)</f>
        <v>1</v>
      </c>
      <c r="G100" s="476">
        <f>SUM(G97:G99)</f>
        <v>0</v>
      </c>
      <c r="I100" s="228" t="s">
        <v>161</v>
      </c>
      <c r="J100" s="210">
        <f t="shared" si="3"/>
        <v>22</v>
      </c>
    </row>
    <row r="101" spans="1:10" ht="16" thickTop="1" x14ac:dyDescent="0.35">
      <c r="A101" s="210">
        <f t="shared" si="2"/>
        <v>23</v>
      </c>
      <c r="I101" s="228"/>
      <c r="J101" s="210">
        <f t="shared" si="3"/>
        <v>23</v>
      </c>
    </row>
    <row r="102" spans="1:10" ht="16" thickBot="1" x14ac:dyDescent="0.4">
      <c r="A102" s="210">
        <f t="shared" si="2"/>
        <v>24</v>
      </c>
      <c r="B102" s="217" t="s">
        <v>628</v>
      </c>
      <c r="G102" s="493">
        <f>G99</f>
        <v>0</v>
      </c>
      <c r="I102" s="228" t="s">
        <v>642</v>
      </c>
      <c r="J102" s="210">
        <f t="shared" si="3"/>
        <v>24</v>
      </c>
    </row>
    <row r="103" spans="1:10" ht="16" thickTop="1" x14ac:dyDescent="0.35">
      <c r="B103" s="217"/>
      <c r="G103" s="495"/>
      <c r="I103" s="228"/>
      <c r="J103" s="210"/>
    </row>
    <row r="104" spans="1:10" ht="18" x14ac:dyDescent="0.35">
      <c r="A104" s="255">
        <v>1</v>
      </c>
      <c r="B104" s="211" t="s">
        <v>643</v>
      </c>
      <c r="G104" s="495"/>
      <c r="I104" s="228"/>
      <c r="J104" s="210"/>
    </row>
    <row r="105" spans="1:10" ht="18" x14ac:dyDescent="0.35">
      <c r="A105" s="255">
        <v>2</v>
      </c>
      <c r="B105" s="211" t="s">
        <v>630</v>
      </c>
      <c r="G105" s="251"/>
      <c r="H105" s="251"/>
      <c r="J105" s="210" t="s">
        <v>34</v>
      </c>
    </row>
    <row r="106" spans="1:10" ht="18" x14ac:dyDescent="0.35">
      <c r="A106" s="499"/>
      <c r="B106" s="421"/>
      <c r="G106" s="251"/>
      <c r="H106" s="251"/>
      <c r="J106" s="210"/>
    </row>
    <row r="107" spans="1:10" ht="18" x14ac:dyDescent="0.35">
      <c r="A107" s="255"/>
      <c r="G107" s="251"/>
      <c r="H107" s="251"/>
      <c r="I107" s="212"/>
      <c r="J107" s="210"/>
    </row>
    <row r="108" spans="1:10" x14ac:dyDescent="0.35">
      <c r="B108" s="608" t="s">
        <v>215</v>
      </c>
      <c r="C108" s="608"/>
      <c r="D108" s="608"/>
      <c r="E108" s="608"/>
      <c r="F108" s="608"/>
      <c r="G108" s="608"/>
      <c r="H108" s="608"/>
      <c r="I108" s="608"/>
      <c r="J108" s="210"/>
    </row>
    <row r="109" spans="1:10" x14ac:dyDescent="0.35">
      <c r="B109" s="608" t="s">
        <v>554</v>
      </c>
      <c r="C109" s="608"/>
      <c r="D109" s="608"/>
      <c r="E109" s="608"/>
      <c r="F109" s="608"/>
      <c r="G109" s="608"/>
      <c r="H109" s="608"/>
      <c r="I109" s="608"/>
      <c r="J109" s="210"/>
    </row>
    <row r="110" spans="1:10" x14ac:dyDescent="0.35">
      <c r="B110" s="608" t="s">
        <v>555</v>
      </c>
      <c r="C110" s="608"/>
      <c r="D110" s="608"/>
      <c r="E110" s="608"/>
      <c r="F110" s="608"/>
      <c r="G110" s="608"/>
      <c r="H110" s="608"/>
      <c r="I110" s="608"/>
      <c r="J110" s="210"/>
    </row>
    <row r="111" spans="1:10" x14ac:dyDescent="0.35">
      <c r="B111" s="609" t="str">
        <f>B5</f>
        <v>Base Period &amp; True-Up Period 12 - Months Ending December 31, 2019</v>
      </c>
      <c r="C111" s="609"/>
      <c r="D111" s="609"/>
      <c r="E111" s="609"/>
      <c r="F111" s="609"/>
      <c r="G111" s="609"/>
      <c r="H111" s="609"/>
      <c r="I111" s="609"/>
      <c r="J111" s="210"/>
    </row>
    <row r="112" spans="1:10" x14ac:dyDescent="0.35">
      <c r="B112" s="610" t="s">
        <v>3</v>
      </c>
      <c r="C112" s="611"/>
      <c r="D112" s="611"/>
      <c r="E112" s="611"/>
      <c r="F112" s="611"/>
      <c r="G112" s="611"/>
      <c r="H112" s="611"/>
      <c r="I112" s="611"/>
      <c r="J112" s="210"/>
    </row>
    <row r="113" spans="1:12" x14ac:dyDescent="0.35">
      <c r="B113" s="210"/>
      <c r="C113" s="210"/>
      <c r="D113" s="210"/>
      <c r="E113" s="210"/>
      <c r="F113" s="210"/>
      <c r="G113" s="210"/>
      <c r="H113" s="210"/>
      <c r="I113" s="228"/>
      <c r="J113" s="210"/>
    </row>
    <row r="114" spans="1:12" x14ac:dyDescent="0.35">
      <c r="A114" s="210" t="s">
        <v>4</v>
      </c>
      <c r="B114" s="548"/>
      <c r="C114" s="548"/>
      <c r="D114" s="548"/>
      <c r="E114" s="548"/>
      <c r="F114" s="548"/>
      <c r="G114" s="548"/>
      <c r="H114" s="548"/>
      <c r="I114" s="228"/>
      <c r="J114" s="210" t="s">
        <v>4</v>
      </c>
    </row>
    <row r="115" spans="1:12" x14ac:dyDescent="0.35">
      <c r="A115" s="210" t="s">
        <v>5</v>
      </c>
      <c r="B115" s="210"/>
      <c r="C115" s="210"/>
      <c r="D115" s="210"/>
      <c r="E115" s="210"/>
      <c r="F115" s="210"/>
      <c r="G115" s="215" t="s">
        <v>7</v>
      </c>
      <c r="H115" s="548"/>
      <c r="I115" s="467" t="s">
        <v>8</v>
      </c>
      <c r="J115" s="210" t="s">
        <v>5</v>
      </c>
    </row>
    <row r="116" spans="1:12" x14ac:dyDescent="0.35">
      <c r="G116" s="210"/>
      <c r="H116" s="210"/>
      <c r="I116" s="228"/>
      <c r="J116" s="210"/>
    </row>
    <row r="117" spans="1:12" ht="17.5" x14ac:dyDescent="0.35">
      <c r="A117" s="210">
        <v>1</v>
      </c>
      <c r="B117" s="217" t="s">
        <v>644</v>
      </c>
      <c r="E117" s="548"/>
      <c r="F117" s="548"/>
      <c r="G117" s="500"/>
      <c r="H117" s="500"/>
      <c r="I117" s="228"/>
      <c r="J117" s="210">
        <v>1</v>
      </c>
    </row>
    <row r="118" spans="1:12" x14ac:dyDescent="0.35">
      <c r="A118" s="210">
        <f>A117+1</f>
        <v>2</v>
      </c>
      <c r="B118" s="501"/>
      <c r="E118" s="548"/>
      <c r="F118" s="548"/>
      <c r="G118" s="500"/>
      <c r="H118" s="500"/>
      <c r="I118" s="228"/>
      <c r="J118" s="210">
        <f>J117+1</f>
        <v>2</v>
      </c>
    </row>
    <row r="119" spans="1:12" x14ac:dyDescent="0.35">
      <c r="A119" s="210">
        <f>A118+1</f>
        <v>3</v>
      </c>
      <c r="B119" s="217" t="s">
        <v>645</v>
      </c>
      <c r="E119" s="548"/>
      <c r="F119" s="548"/>
      <c r="G119" s="500"/>
      <c r="H119" s="500"/>
      <c r="I119" s="228"/>
      <c r="J119" s="210">
        <f>J118+1</f>
        <v>3</v>
      </c>
    </row>
    <row r="120" spans="1:12" x14ac:dyDescent="0.35">
      <c r="A120" s="210">
        <f>A119+1</f>
        <v>4</v>
      </c>
      <c r="B120" s="548"/>
      <c r="C120" s="548"/>
      <c r="D120" s="548"/>
      <c r="E120" s="548"/>
      <c r="F120" s="548"/>
      <c r="G120" s="500"/>
      <c r="H120" s="500"/>
      <c r="I120" s="228"/>
      <c r="J120" s="210">
        <f>J119+1</f>
        <v>4</v>
      </c>
    </row>
    <row r="121" spans="1:12" x14ac:dyDescent="0.35">
      <c r="A121" s="210">
        <f t="shared" ref="A121:A180" si="4">A120+1</f>
        <v>5</v>
      </c>
      <c r="B121" s="219" t="s">
        <v>646</v>
      </c>
      <c r="C121" s="548"/>
      <c r="D121" s="548"/>
      <c r="E121" s="548"/>
      <c r="F121" s="548"/>
      <c r="G121" s="500"/>
      <c r="H121" s="500"/>
      <c r="I121" s="502"/>
      <c r="J121" s="210">
        <f t="shared" ref="J121:J180" si="5">J120+1</f>
        <v>5</v>
      </c>
    </row>
    <row r="122" spans="1:12" x14ac:dyDescent="0.35">
      <c r="A122" s="210">
        <f t="shared" si="4"/>
        <v>6</v>
      </c>
      <c r="B122" s="211" t="s">
        <v>647</v>
      </c>
      <c r="D122" s="548"/>
      <c r="E122" s="548"/>
      <c r="F122" s="548"/>
      <c r="G122" s="503">
        <f>G52</f>
        <v>5.869398517476733E-2</v>
      </c>
      <c r="H122" s="548"/>
      <c r="I122" s="228" t="s">
        <v>648</v>
      </c>
      <c r="J122" s="210">
        <f t="shared" si="5"/>
        <v>6</v>
      </c>
      <c r="K122" s="210"/>
    </row>
    <row r="123" spans="1:12" x14ac:dyDescent="0.35">
      <c r="A123" s="210">
        <f t="shared" si="4"/>
        <v>7</v>
      </c>
      <c r="B123" s="211" t="s">
        <v>649</v>
      </c>
      <c r="D123" s="548"/>
      <c r="E123" s="548"/>
      <c r="F123" s="548"/>
      <c r="G123" s="504">
        <v>3603.1832990933194</v>
      </c>
      <c r="H123" s="548"/>
      <c r="I123" s="228" t="s">
        <v>650</v>
      </c>
      <c r="J123" s="210">
        <f t="shared" si="5"/>
        <v>7</v>
      </c>
      <c r="K123" s="210"/>
    </row>
    <row r="124" spans="1:12" x14ac:dyDescent="0.35">
      <c r="A124" s="210">
        <f t="shared" si="4"/>
        <v>8</v>
      </c>
      <c r="B124" s="211" t="s">
        <v>651</v>
      </c>
      <c r="D124" s="548"/>
      <c r="E124" s="548"/>
      <c r="F124" s="548"/>
      <c r="G124" s="505">
        <v>7238.3762124400027</v>
      </c>
      <c r="H124" s="548"/>
      <c r="I124" s="496" t="s">
        <v>652</v>
      </c>
      <c r="J124" s="210">
        <f t="shared" si="5"/>
        <v>8</v>
      </c>
      <c r="K124" s="548"/>
    </row>
    <row r="125" spans="1:12" x14ac:dyDescent="0.35">
      <c r="A125" s="210">
        <f t="shared" si="4"/>
        <v>9</v>
      </c>
      <c r="B125" s="211" t="s">
        <v>653</v>
      </c>
      <c r="D125" s="548"/>
      <c r="E125" s="506"/>
      <c r="F125" s="548"/>
      <c r="G125" s="507">
        <f>'Pg3 BK-1 Rev TO5 C3-Cost Adj'!E136</f>
        <v>4341788.79395789</v>
      </c>
      <c r="H125" s="42" t="s">
        <v>39</v>
      </c>
      <c r="I125" s="228" t="s">
        <v>654</v>
      </c>
      <c r="J125" s="210">
        <f t="shared" si="5"/>
        <v>9</v>
      </c>
    </row>
    <row r="126" spans="1:12" x14ac:dyDescent="0.35">
      <c r="A126" s="210">
        <f t="shared" si="4"/>
        <v>10</v>
      </c>
      <c r="B126" s="211" t="s">
        <v>655</v>
      </c>
      <c r="D126" s="508"/>
      <c r="E126" s="548"/>
      <c r="F126" s="548"/>
      <c r="G126" s="509" t="s">
        <v>656</v>
      </c>
      <c r="H126" s="548"/>
      <c r="I126" s="228" t="s">
        <v>657</v>
      </c>
      <c r="J126" s="210">
        <f t="shared" si="5"/>
        <v>10</v>
      </c>
      <c r="L126" s="510"/>
    </row>
    <row r="127" spans="1:12" x14ac:dyDescent="0.35">
      <c r="A127" s="210">
        <f t="shared" si="4"/>
        <v>11</v>
      </c>
      <c r="G127" s="210"/>
      <c r="H127" s="210"/>
      <c r="J127" s="210">
        <f t="shared" si="5"/>
        <v>11</v>
      </c>
    </row>
    <row r="128" spans="1:12" x14ac:dyDescent="0.35">
      <c r="A128" s="210">
        <f t="shared" si="4"/>
        <v>12</v>
      </c>
      <c r="B128" s="211" t="s">
        <v>658</v>
      </c>
      <c r="D128" s="548"/>
      <c r="E128" s="548"/>
      <c r="F128" s="548"/>
      <c r="G128" s="511">
        <f>(((G122)+(G124/G125))*G126-(G123/G125))/(1-G126)</f>
        <v>1.4994876051439128E-2</v>
      </c>
      <c r="H128" s="511"/>
      <c r="I128" s="228" t="s">
        <v>659</v>
      </c>
      <c r="J128" s="210">
        <f t="shared" si="5"/>
        <v>12</v>
      </c>
      <c r="L128" s="512"/>
    </row>
    <row r="129" spans="1:11" x14ac:dyDescent="0.35">
      <c r="A129" s="210">
        <f t="shared" si="4"/>
        <v>13</v>
      </c>
      <c r="B129" s="513" t="s">
        <v>660</v>
      </c>
      <c r="G129" s="210"/>
      <c r="H129" s="210"/>
      <c r="J129" s="210">
        <f t="shared" si="5"/>
        <v>13</v>
      </c>
    </row>
    <row r="130" spans="1:11" x14ac:dyDescent="0.35">
      <c r="A130" s="210">
        <f t="shared" si="4"/>
        <v>14</v>
      </c>
      <c r="G130" s="210"/>
      <c r="H130" s="210"/>
      <c r="J130" s="210">
        <f t="shared" si="5"/>
        <v>14</v>
      </c>
    </row>
    <row r="131" spans="1:11" x14ac:dyDescent="0.35">
      <c r="A131" s="210">
        <f t="shared" si="4"/>
        <v>15</v>
      </c>
      <c r="B131" s="217" t="s">
        <v>661</v>
      </c>
      <c r="C131" s="548"/>
      <c r="D131" s="548"/>
      <c r="E131" s="548"/>
      <c r="F131" s="548"/>
      <c r="G131" s="514"/>
      <c r="H131" s="514"/>
      <c r="I131" s="515"/>
      <c r="J131" s="210">
        <f t="shared" si="5"/>
        <v>15</v>
      </c>
      <c r="K131" s="516"/>
    </row>
    <row r="132" spans="1:11" x14ac:dyDescent="0.35">
      <c r="A132" s="210">
        <f t="shared" si="4"/>
        <v>16</v>
      </c>
      <c r="B132" s="239"/>
      <c r="C132" s="548"/>
      <c r="D132" s="548"/>
      <c r="E132" s="548"/>
      <c r="F132" s="548"/>
      <c r="G132" s="514"/>
      <c r="H132" s="514"/>
      <c r="I132" s="517"/>
      <c r="J132" s="210">
        <f t="shared" si="5"/>
        <v>16</v>
      </c>
      <c r="K132" s="548"/>
    </row>
    <row r="133" spans="1:11" x14ac:dyDescent="0.35">
      <c r="A133" s="210">
        <f t="shared" si="4"/>
        <v>17</v>
      </c>
      <c r="B133" s="219" t="s">
        <v>646</v>
      </c>
      <c r="C133" s="548"/>
      <c r="D133" s="548"/>
      <c r="E133" s="548"/>
      <c r="F133" s="548"/>
      <c r="G133" s="514"/>
      <c r="H133" s="514"/>
      <c r="I133" s="517"/>
      <c r="J133" s="210">
        <f t="shared" si="5"/>
        <v>17</v>
      </c>
      <c r="K133" s="548"/>
    </row>
    <row r="134" spans="1:11" x14ac:dyDescent="0.35">
      <c r="A134" s="210">
        <f t="shared" si="4"/>
        <v>18</v>
      </c>
      <c r="B134" s="211" t="s">
        <v>647</v>
      </c>
      <c r="D134" s="548"/>
      <c r="E134" s="548"/>
      <c r="F134" s="548"/>
      <c r="G134" s="485">
        <f>G122</f>
        <v>5.869398517476733E-2</v>
      </c>
      <c r="H134" s="485"/>
      <c r="I134" s="228" t="s">
        <v>662</v>
      </c>
      <c r="J134" s="210">
        <f t="shared" si="5"/>
        <v>18</v>
      </c>
      <c r="K134" s="210"/>
    </row>
    <row r="135" spans="1:11" x14ac:dyDescent="0.35">
      <c r="A135" s="210">
        <f t="shared" si="4"/>
        <v>19</v>
      </c>
      <c r="B135" s="211" t="s">
        <v>663</v>
      </c>
      <c r="D135" s="548"/>
      <c r="E135" s="548"/>
      <c r="F135" s="548"/>
      <c r="G135" s="518">
        <f>G124</f>
        <v>7238.3762124400027</v>
      </c>
      <c r="H135" s="518"/>
      <c r="I135" s="228" t="s">
        <v>664</v>
      </c>
      <c r="J135" s="210">
        <f t="shared" si="5"/>
        <v>19</v>
      </c>
      <c r="K135" s="210"/>
    </row>
    <row r="136" spans="1:11" x14ac:dyDescent="0.35">
      <c r="A136" s="210">
        <f t="shared" si="4"/>
        <v>20</v>
      </c>
      <c r="B136" s="211" t="s">
        <v>665</v>
      </c>
      <c r="D136" s="548"/>
      <c r="E136" s="548"/>
      <c r="F136" s="548"/>
      <c r="G136" s="519">
        <f>G125</f>
        <v>4341788.79395789</v>
      </c>
      <c r="H136" s="42" t="s">
        <v>39</v>
      </c>
      <c r="I136" s="228" t="s">
        <v>666</v>
      </c>
      <c r="J136" s="210">
        <f t="shared" si="5"/>
        <v>20</v>
      </c>
      <c r="K136" s="210"/>
    </row>
    <row r="137" spans="1:11" x14ac:dyDescent="0.35">
      <c r="A137" s="210">
        <f t="shared" si="4"/>
        <v>21</v>
      </c>
      <c r="B137" s="211" t="s">
        <v>667</v>
      </c>
      <c r="D137" s="548"/>
      <c r="E137" s="548"/>
      <c r="F137" s="548"/>
      <c r="G137" s="520">
        <f>G128</f>
        <v>1.4994876051439128E-2</v>
      </c>
      <c r="H137" s="520"/>
      <c r="I137" s="228" t="s">
        <v>668</v>
      </c>
      <c r="J137" s="210">
        <f t="shared" si="5"/>
        <v>21</v>
      </c>
    </row>
    <row r="138" spans="1:11" x14ac:dyDescent="0.35">
      <c r="A138" s="210">
        <f t="shared" si="4"/>
        <v>22</v>
      </c>
      <c r="B138" s="211" t="s">
        <v>669</v>
      </c>
      <c r="D138" s="548"/>
      <c r="E138" s="548"/>
      <c r="F138" s="548"/>
      <c r="G138" s="509" t="s">
        <v>670</v>
      </c>
      <c r="H138" s="548"/>
      <c r="I138" s="228" t="s">
        <v>671</v>
      </c>
      <c r="J138" s="210">
        <f t="shared" si="5"/>
        <v>22</v>
      </c>
    </row>
    <row r="139" spans="1:11" x14ac:dyDescent="0.35">
      <c r="A139" s="210">
        <f t="shared" si="4"/>
        <v>23</v>
      </c>
      <c r="B139" s="549"/>
      <c r="D139" s="548"/>
      <c r="E139" s="548"/>
      <c r="F139" s="548"/>
      <c r="G139" s="521"/>
      <c r="H139" s="521"/>
      <c r="I139" s="517"/>
      <c r="J139" s="210">
        <f t="shared" si="5"/>
        <v>23</v>
      </c>
    </row>
    <row r="140" spans="1:11" x14ac:dyDescent="0.35">
      <c r="A140" s="210">
        <f t="shared" si="4"/>
        <v>24</v>
      </c>
      <c r="B140" s="211" t="s">
        <v>672</v>
      </c>
      <c r="C140" s="210"/>
      <c r="D140" s="210"/>
      <c r="E140" s="548"/>
      <c r="F140" s="548"/>
      <c r="G140" s="522">
        <f>((G134)+(G135/G136)+G128)*G138/(1-G138)</f>
        <v>7.3074491438869195E-3</v>
      </c>
      <c r="H140" s="523"/>
      <c r="I140" s="228" t="s">
        <v>673</v>
      </c>
      <c r="J140" s="210">
        <f t="shared" si="5"/>
        <v>24</v>
      </c>
    </row>
    <row r="141" spans="1:11" x14ac:dyDescent="0.35">
      <c r="A141" s="210">
        <f t="shared" si="4"/>
        <v>25</v>
      </c>
      <c r="B141" s="513" t="s">
        <v>674</v>
      </c>
      <c r="G141" s="210"/>
      <c r="H141" s="210"/>
      <c r="I141" s="228"/>
      <c r="J141" s="210">
        <f t="shared" si="5"/>
        <v>25</v>
      </c>
      <c r="K141" s="210"/>
    </row>
    <row r="142" spans="1:11" x14ac:dyDescent="0.35">
      <c r="A142" s="210">
        <f t="shared" si="4"/>
        <v>26</v>
      </c>
      <c r="G142" s="210"/>
      <c r="H142" s="210"/>
      <c r="I142" s="228"/>
      <c r="J142" s="210">
        <f t="shared" si="5"/>
        <v>26</v>
      </c>
      <c r="K142" s="210"/>
    </row>
    <row r="143" spans="1:11" x14ac:dyDescent="0.35">
      <c r="A143" s="210">
        <f t="shared" si="4"/>
        <v>27</v>
      </c>
      <c r="B143" s="217" t="s">
        <v>675</v>
      </c>
      <c r="G143" s="511">
        <f>G140+G128</f>
        <v>2.2302325195326048E-2</v>
      </c>
      <c r="H143" s="511"/>
      <c r="I143" s="228" t="s">
        <v>676</v>
      </c>
      <c r="J143" s="210">
        <f t="shared" si="5"/>
        <v>27</v>
      </c>
      <c r="K143" s="210"/>
    </row>
    <row r="144" spans="1:11" x14ac:dyDescent="0.35">
      <c r="A144" s="210">
        <f t="shared" si="4"/>
        <v>28</v>
      </c>
      <c r="G144" s="210"/>
      <c r="H144" s="210"/>
      <c r="I144" s="228"/>
      <c r="J144" s="210">
        <f t="shared" si="5"/>
        <v>28</v>
      </c>
      <c r="K144" s="210"/>
    </row>
    <row r="145" spans="1:12" x14ac:dyDescent="0.35">
      <c r="A145" s="210">
        <f t="shared" si="4"/>
        <v>29</v>
      </c>
      <c r="B145" s="217" t="s">
        <v>677</v>
      </c>
      <c r="G145" s="524">
        <f>G50</f>
        <v>7.6612878769261164E-2</v>
      </c>
      <c r="H145" s="548"/>
      <c r="I145" s="228" t="s">
        <v>678</v>
      </c>
      <c r="J145" s="210">
        <f t="shared" si="5"/>
        <v>29</v>
      </c>
      <c r="K145" s="210"/>
    </row>
    <row r="146" spans="1:12" x14ac:dyDescent="0.35">
      <c r="A146" s="210">
        <f t="shared" si="4"/>
        <v>30</v>
      </c>
      <c r="G146" s="485"/>
      <c r="H146" s="485"/>
      <c r="I146" s="228"/>
      <c r="J146" s="210">
        <f t="shared" si="5"/>
        <v>30</v>
      </c>
      <c r="K146" s="210"/>
    </row>
    <row r="147" spans="1:12" ht="18" thickBot="1" x14ac:dyDescent="0.4">
      <c r="A147" s="210">
        <f t="shared" si="4"/>
        <v>31</v>
      </c>
      <c r="B147" s="217" t="s">
        <v>679</v>
      </c>
      <c r="G147" s="525">
        <f>G143+G145</f>
        <v>9.8915203964587209E-2</v>
      </c>
      <c r="H147" s="523"/>
      <c r="I147" s="228" t="s">
        <v>680</v>
      </c>
      <c r="J147" s="210">
        <f t="shared" si="5"/>
        <v>31</v>
      </c>
      <c r="K147" s="526"/>
      <c r="L147" s="512"/>
    </row>
    <row r="148" spans="1:12" ht="16.5" thickTop="1" thickBot="1" x14ac:dyDescent="0.4">
      <c r="A148" s="482">
        <f t="shared" si="4"/>
        <v>32</v>
      </c>
      <c r="B148" s="323"/>
      <c r="C148" s="323"/>
      <c r="D148" s="323"/>
      <c r="E148" s="323"/>
      <c r="F148" s="323"/>
      <c r="G148" s="482"/>
      <c r="H148" s="482"/>
      <c r="I148" s="483"/>
      <c r="J148" s="482">
        <f t="shared" si="5"/>
        <v>32</v>
      </c>
    </row>
    <row r="149" spans="1:12" x14ac:dyDescent="0.35">
      <c r="A149" s="210">
        <f t="shared" si="4"/>
        <v>33</v>
      </c>
      <c r="G149" s="210"/>
      <c r="H149" s="210"/>
      <c r="I149" s="228"/>
      <c r="J149" s="210">
        <f t="shared" si="5"/>
        <v>33</v>
      </c>
    </row>
    <row r="150" spans="1:12" ht="17.5" x14ac:dyDescent="0.35">
      <c r="A150" s="210">
        <f t="shared" si="4"/>
        <v>34</v>
      </c>
      <c r="B150" s="217" t="s">
        <v>681</v>
      </c>
      <c r="E150" s="548"/>
      <c r="F150" s="548"/>
      <c r="G150" s="500"/>
      <c r="H150" s="500"/>
      <c r="I150" s="228"/>
      <c r="J150" s="210">
        <f t="shared" si="5"/>
        <v>34</v>
      </c>
    </row>
    <row r="151" spans="1:12" x14ac:dyDescent="0.35">
      <c r="A151" s="210">
        <f t="shared" si="4"/>
        <v>35</v>
      </c>
      <c r="B151" s="501"/>
      <c r="E151" s="548"/>
      <c r="F151" s="548"/>
      <c r="G151" s="500"/>
      <c r="H151" s="500"/>
      <c r="I151" s="228"/>
      <c r="J151" s="210">
        <f t="shared" si="5"/>
        <v>35</v>
      </c>
      <c r="L151" s="527"/>
    </row>
    <row r="152" spans="1:12" x14ac:dyDescent="0.35">
      <c r="A152" s="210">
        <f t="shared" si="4"/>
        <v>36</v>
      </c>
      <c r="B152" s="217" t="s">
        <v>645</v>
      </c>
      <c r="E152" s="548"/>
      <c r="F152" s="548"/>
      <c r="G152" s="500"/>
      <c r="H152" s="500"/>
      <c r="I152" s="228"/>
      <c r="J152" s="210">
        <f t="shared" si="5"/>
        <v>36</v>
      </c>
    </row>
    <row r="153" spans="1:12" x14ac:dyDescent="0.35">
      <c r="A153" s="210">
        <f t="shared" si="4"/>
        <v>37</v>
      </c>
      <c r="B153" s="548"/>
      <c r="C153" s="548"/>
      <c r="D153" s="548"/>
      <c r="E153" s="548"/>
      <c r="F153" s="548"/>
      <c r="G153" s="500"/>
      <c r="H153" s="500"/>
      <c r="I153" s="228"/>
      <c r="J153" s="210">
        <f t="shared" si="5"/>
        <v>37</v>
      </c>
    </row>
    <row r="154" spans="1:12" x14ac:dyDescent="0.35">
      <c r="A154" s="210">
        <f t="shared" si="4"/>
        <v>38</v>
      </c>
      <c r="B154" s="219" t="s">
        <v>646</v>
      </c>
      <c r="C154" s="548"/>
      <c r="D154" s="548"/>
      <c r="E154" s="548"/>
      <c r="F154" s="548"/>
      <c r="G154" s="500"/>
      <c r="H154" s="500"/>
      <c r="I154" s="502"/>
      <c r="J154" s="210">
        <f t="shared" si="5"/>
        <v>38</v>
      </c>
    </row>
    <row r="155" spans="1:12" x14ac:dyDescent="0.35">
      <c r="A155" s="210">
        <f t="shared" si="4"/>
        <v>39</v>
      </c>
      <c r="B155" s="211" t="s">
        <v>682</v>
      </c>
      <c r="D155" s="548"/>
      <c r="E155" s="548"/>
      <c r="F155" s="548"/>
      <c r="G155" s="503">
        <f>G65</f>
        <v>2.9056428304340262E-3</v>
      </c>
      <c r="H155" s="548"/>
      <c r="I155" s="228" t="s">
        <v>683</v>
      </c>
      <c r="J155" s="210">
        <f t="shared" si="5"/>
        <v>39</v>
      </c>
      <c r="K155" s="210"/>
    </row>
    <row r="156" spans="1:12" x14ac:dyDescent="0.35">
      <c r="A156" s="210">
        <f t="shared" si="4"/>
        <v>40</v>
      </c>
      <c r="B156" s="211" t="s">
        <v>649</v>
      </c>
      <c r="D156" s="548"/>
      <c r="E156" s="548"/>
      <c r="F156" s="548"/>
      <c r="G156" s="528">
        <v>0</v>
      </c>
      <c r="H156" s="548"/>
      <c r="I156" s="228" t="s">
        <v>625</v>
      </c>
      <c r="J156" s="210">
        <f t="shared" si="5"/>
        <v>40</v>
      </c>
      <c r="K156" s="210"/>
    </row>
    <row r="157" spans="1:12" x14ac:dyDescent="0.35">
      <c r="A157" s="210">
        <f t="shared" si="4"/>
        <v>41</v>
      </c>
      <c r="B157" s="211" t="s">
        <v>651</v>
      </c>
      <c r="D157" s="548"/>
      <c r="E157" s="548"/>
      <c r="F157" s="548"/>
      <c r="G157" s="528">
        <v>0</v>
      </c>
      <c r="H157" s="548"/>
      <c r="I157" s="228" t="s">
        <v>625</v>
      </c>
      <c r="J157" s="210">
        <f t="shared" si="5"/>
        <v>41</v>
      </c>
      <c r="K157" s="548"/>
    </row>
    <row r="158" spans="1:12" x14ac:dyDescent="0.35">
      <c r="A158" s="210">
        <f t="shared" si="4"/>
        <v>42</v>
      </c>
      <c r="B158" s="211" t="s">
        <v>653</v>
      </c>
      <c r="D158" s="548"/>
      <c r="E158" s="506"/>
      <c r="F158" s="548"/>
      <c r="G158" s="507">
        <f>'Pg3 BK-1 Rev TO5 C3-Cost Adj'!E136</f>
        <v>4341788.79395789</v>
      </c>
      <c r="H158" s="42" t="s">
        <v>39</v>
      </c>
      <c r="I158" s="228" t="s">
        <v>654</v>
      </c>
      <c r="J158" s="210">
        <f t="shared" si="5"/>
        <v>42</v>
      </c>
    </row>
    <row r="159" spans="1:12" x14ac:dyDescent="0.35">
      <c r="A159" s="210">
        <f t="shared" si="4"/>
        <v>43</v>
      </c>
      <c r="B159" s="211" t="s">
        <v>655</v>
      </c>
      <c r="D159" s="508"/>
      <c r="E159" s="548"/>
      <c r="F159" s="548"/>
      <c r="G159" s="509" t="s">
        <v>656</v>
      </c>
      <c r="H159" s="548"/>
      <c r="I159" s="228" t="s">
        <v>657</v>
      </c>
      <c r="J159" s="210">
        <f t="shared" si="5"/>
        <v>43</v>
      </c>
      <c r="L159" s="510"/>
    </row>
    <row r="160" spans="1:12" x14ac:dyDescent="0.35">
      <c r="A160" s="210">
        <f t="shared" si="4"/>
        <v>44</v>
      </c>
      <c r="G160" s="210"/>
      <c r="H160" s="210"/>
      <c r="J160" s="210">
        <f t="shared" si="5"/>
        <v>44</v>
      </c>
    </row>
    <row r="161" spans="1:12" x14ac:dyDescent="0.35">
      <c r="A161" s="210">
        <f t="shared" si="4"/>
        <v>45</v>
      </c>
      <c r="B161" s="211" t="s">
        <v>658</v>
      </c>
      <c r="D161" s="548"/>
      <c r="E161" s="548"/>
      <c r="F161" s="548"/>
      <c r="G161" s="511">
        <f>(((G155)+(G157/G158))*G159-(G156/G158))/(1-G159)</f>
        <v>7.7238606884955118E-4</v>
      </c>
      <c r="H161" s="511"/>
      <c r="I161" s="228" t="s">
        <v>659</v>
      </c>
      <c r="J161" s="210">
        <f t="shared" si="5"/>
        <v>45</v>
      </c>
      <c r="L161" s="512"/>
    </row>
    <row r="162" spans="1:12" x14ac:dyDescent="0.35">
      <c r="A162" s="210">
        <f t="shared" si="4"/>
        <v>46</v>
      </c>
      <c r="B162" s="513" t="s">
        <v>660</v>
      </c>
      <c r="G162" s="210"/>
      <c r="H162" s="210"/>
      <c r="J162" s="210">
        <f t="shared" si="5"/>
        <v>46</v>
      </c>
    </row>
    <row r="163" spans="1:12" x14ac:dyDescent="0.35">
      <c r="A163" s="210">
        <f t="shared" si="4"/>
        <v>47</v>
      </c>
      <c r="G163" s="210"/>
      <c r="H163" s="210"/>
      <c r="J163" s="210">
        <f t="shared" si="5"/>
        <v>47</v>
      </c>
    </row>
    <row r="164" spans="1:12" x14ac:dyDescent="0.35">
      <c r="A164" s="210">
        <f t="shared" si="4"/>
        <v>48</v>
      </c>
      <c r="B164" s="217" t="s">
        <v>661</v>
      </c>
      <c r="C164" s="548"/>
      <c r="D164" s="548"/>
      <c r="E164" s="548"/>
      <c r="F164" s="548"/>
      <c r="G164" s="514"/>
      <c r="H164" s="514"/>
      <c r="I164" s="515"/>
      <c r="J164" s="210">
        <f t="shared" si="5"/>
        <v>48</v>
      </c>
      <c r="K164" s="516"/>
    </row>
    <row r="165" spans="1:12" x14ac:dyDescent="0.35">
      <c r="A165" s="210">
        <f t="shared" si="4"/>
        <v>49</v>
      </c>
      <c r="B165" s="239"/>
      <c r="C165" s="548"/>
      <c r="D165" s="548"/>
      <c r="E165" s="548"/>
      <c r="F165" s="548"/>
      <c r="G165" s="514"/>
      <c r="H165" s="514"/>
      <c r="I165" s="517"/>
      <c r="J165" s="210">
        <f t="shared" si="5"/>
        <v>49</v>
      </c>
      <c r="K165" s="548"/>
    </row>
    <row r="166" spans="1:12" x14ac:dyDescent="0.35">
      <c r="A166" s="210">
        <f t="shared" si="4"/>
        <v>50</v>
      </c>
      <c r="B166" s="219" t="s">
        <v>646</v>
      </c>
      <c r="C166" s="548"/>
      <c r="D166" s="548"/>
      <c r="E166" s="548"/>
      <c r="F166" s="548"/>
      <c r="G166" s="514"/>
      <c r="H166" s="514"/>
      <c r="I166" s="517"/>
      <c r="J166" s="210">
        <f t="shared" si="5"/>
        <v>50</v>
      </c>
      <c r="K166" s="548"/>
    </row>
    <row r="167" spans="1:12" x14ac:dyDescent="0.35">
      <c r="A167" s="210">
        <f t="shared" si="4"/>
        <v>51</v>
      </c>
      <c r="B167" s="211" t="s">
        <v>682</v>
      </c>
      <c r="D167" s="548"/>
      <c r="E167" s="548"/>
      <c r="F167" s="548"/>
      <c r="G167" s="485">
        <f>G155</f>
        <v>2.9056428304340262E-3</v>
      </c>
      <c r="H167" s="485"/>
      <c r="I167" s="228" t="s">
        <v>684</v>
      </c>
      <c r="J167" s="210">
        <f t="shared" si="5"/>
        <v>51</v>
      </c>
      <c r="K167" s="210"/>
    </row>
    <row r="168" spans="1:12" x14ac:dyDescent="0.35">
      <c r="A168" s="210">
        <f t="shared" si="4"/>
        <v>52</v>
      </c>
      <c r="B168" s="211" t="s">
        <v>663</v>
      </c>
      <c r="D168" s="548"/>
      <c r="E168" s="548"/>
      <c r="F168" s="548"/>
      <c r="G168" s="518">
        <f>G157</f>
        <v>0</v>
      </c>
      <c r="H168" s="518"/>
      <c r="I168" s="228" t="s">
        <v>685</v>
      </c>
      <c r="J168" s="210">
        <f t="shared" si="5"/>
        <v>52</v>
      </c>
      <c r="K168" s="210"/>
    </row>
    <row r="169" spans="1:12" x14ac:dyDescent="0.35">
      <c r="A169" s="210">
        <f t="shared" si="4"/>
        <v>53</v>
      </c>
      <c r="B169" s="211" t="s">
        <v>665</v>
      </c>
      <c r="D169" s="548"/>
      <c r="E169" s="548"/>
      <c r="F169" s="548"/>
      <c r="G169" s="519">
        <f>G158</f>
        <v>4341788.79395789</v>
      </c>
      <c r="H169" s="42" t="s">
        <v>39</v>
      </c>
      <c r="I169" s="228" t="s">
        <v>686</v>
      </c>
      <c r="J169" s="210">
        <f t="shared" si="5"/>
        <v>53</v>
      </c>
      <c r="K169" s="210"/>
    </row>
    <row r="170" spans="1:12" x14ac:dyDescent="0.35">
      <c r="A170" s="210">
        <f t="shared" si="4"/>
        <v>54</v>
      </c>
      <c r="B170" s="211" t="s">
        <v>667</v>
      </c>
      <c r="D170" s="548"/>
      <c r="E170" s="548"/>
      <c r="F170" s="548"/>
      <c r="G170" s="520">
        <f>G161</f>
        <v>7.7238606884955118E-4</v>
      </c>
      <c r="H170" s="520"/>
      <c r="I170" s="228" t="s">
        <v>687</v>
      </c>
      <c r="J170" s="210">
        <f t="shared" si="5"/>
        <v>54</v>
      </c>
    </row>
    <row r="171" spans="1:12" x14ac:dyDescent="0.35">
      <c r="A171" s="210">
        <f t="shared" si="4"/>
        <v>55</v>
      </c>
      <c r="B171" s="211" t="s">
        <v>669</v>
      </c>
      <c r="D171" s="548"/>
      <c r="E171" s="548"/>
      <c r="F171" s="548"/>
      <c r="G171" s="509" t="s">
        <v>670</v>
      </c>
      <c r="H171" s="548"/>
      <c r="I171" s="228" t="s">
        <v>671</v>
      </c>
      <c r="J171" s="210">
        <f t="shared" si="5"/>
        <v>55</v>
      </c>
    </row>
    <row r="172" spans="1:12" x14ac:dyDescent="0.35">
      <c r="A172" s="210">
        <f t="shared" si="4"/>
        <v>56</v>
      </c>
      <c r="B172" s="549"/>
      <c r="D172" s="548"/>
      <c r="E172" s="548"/>
      <c r="F172" s="548"/>
      <c r="G172" s="521"/>
      <c r="H172" s="521"/>
      <c r="I172" s="517"/>
      <c r="J172" s="210">
        <f t="shared" si="5"/>
        <v>56</v>
      </c>
      <c r="K172" s="529"/>
    </row>
    <row r="173" spans="1:12" x14ac:dyDescent="0.35">
      <c r="A173" s="210">
        <f t="shared" si="4"/>
        <v>57</v>
      </c>
      <c r="B173" s="211" t="s">
        <v>672</v>
      </c>
      <c r="C173" s="210"/>
      <c r="D173" s="210"/>
      <c r="E173" s="548"/>
      <c r="F173" s="548"/>
      <c r="G173" s="522">
        <f>((G167)+(G168/G169)+G161)*G171/(1-G171)</f>
        <v>3.5666712889059705E-4</v>
      </c>
      <c r="H173" s="523"/>
      <c r="I173" s="228" t="s">
        <v>673</v>
      </c>
      <c r="J173" s="210">
        <f t="shared" si="5"/>
        <v>57</v>
      </c>
    </row>
    <row r="174" spans="1:12" x14ac:dyDescent="0.35">
      <c r="A174" s="210">
        <f t="shared" si="4"/>
        <v>58</v>
      </c>
      <c r="B174" s="513" t="s">
        <v>674</v>
      </c>
      <c r="G174" s="210"/>
      <c r="H174" s="210"/>
      <c r="I174" s="228"/>
      <c r="J174" s="210">
        <f t="shared" si="5"/>
        <v>58</v>
      </c>
      <c r="K174" s="210"/>
    </row>
    <row r="175" spans="1:12" x14ac:dyDescent="0.35">
      <c r="A175" s="210">
        <f t="shared" si="4"/>
        <v>59</v>
      </c>
      <c r="G175" s="210"/>
      <c r="H175" s="210"/>
      <c r="I175" s="228"/>
      <c r="J175" s="210">
        <f t="shared" si="5"/>
        <v>59</v>
      </c>
      <c r="K175" s="210"/>
    </row>
    <row r="176" spans="1:12" x14ac:dyDescent="0.35">
      <c r="A176" s="210">
        <f t="shared" si="4"/>
        <v>60</v>
      </c>
      <c r="B176" s="217" t="s">
        <v>675</v>
      </c>
      <c r="G176" s="511">
        <f>G173+G161</f>
        <v>1.1290531977401481E-3</v>
      </c>
      <c r="H176" s="511"/>
      <c r="I176" s="228" t="s">
        <v>688</v>
      </c>
      <c r="J176" s="210">
        <f t="shared" si="5"/>
        <v>60</v>
      </c>
      <c r="K176" s="210"/>
    </row>
    <row r="177" spans="1:12" x14ac:dyDescent="0.35">
      <c r="A177" s="210">
        <f t="shared" si="4"/>
        <v>61</v>
      </c>
      <c r="G177" s="210"/>
      <c r="H177" s="210"/>
      <c r="I177" s="228"/>
      <c r="J177" s="210">
        <f t="shared" si="5"/>
        <v>61</v>
      </c>
      <c r="K177" s="210"/>
    </row>
    <row r="178" spans="1:12" x14ac:dyDescent="0.35">
      <c r="A178" s="210">
        <f t="shared" si="4"/>
        <v>62</v>
      </c>
      <c r="B178" s="217" t="s">
        <v>689</v>
      </c>
      <c r="G178" s="530">
        <f>G63</f>
        <v>2.9056428304340262E-3</v>
      </c>
      <c r="H178" s="548"/>
      <c r="I178" s="228" t="s">
        <v>690</v>
      </c>
      <c r="J178" s="210">
        <f t="shared" si="5"/>
        <v>62</v>
      </c>
      <c r="K178" s="210"/>
    </row>
    <row r="179" spans="1:12" x14ac:dyDescent="0.35">
      <c r="A179" s="210">
        <f t="shared" si="4"/>
        <v>63</v>
      </c>
      <c r="G179" s="485"/>
      <c r="H179" s="485"/>
      <c r="I179" s="228"/>
      <c r="J179" s="210">
        <f t="shared" si="5"/>
        <v>63</v>
      </c>
      <c r="K179" s="210"/>
    </row>
    <row r="180" spans="1:12" ht="18" thickBot="1" x14ac:dyDescent="0.4">
      <c r="A180" s="210">
        <f t="shared" si="4"/>
        <v>64</v>
      </c>
      <c r="B180" s="217" t="s">
        <v>691</v>
      </c>
      <c r="G180" s="525">
        <f>G176+G178</f>
        <v>4.0346960281741739E-3</v>
      </c>
      <c r="H180" s="523"/>
      <c r="I180" s="228" t="s">
        <v>692</v>
      </c>
      <c r="J180" s="210">
        <f t="shared" si="5"/>
        <v>64</v>
      </c>
      <c r="K180" s="526"/>
      <c r="L180" s="512"/>
    </row>
    <row r="181" spans="1:12" ht="16" thickTop="1" x14ac:dyDescent="0.35">
      <c r="B181" s="217"/>
      <c r="G181" s="531"/>
      <c r="H181" s="531"/>
      <c r="I181" s="228"/>
      <c r="J181" s="210"/>
      <c r="K181" s="526"/>
      <c r="L181" s="512"/>
    </row>
    <row r="182" spans="1:12" x14ac:dyDescent="0.35">
      <c r="A182" s="42" t="s">
        <v>39</v>
      </c>
      <c r="B182" s="33" t="s">
        <v>235</v>
      </c>
      <c r="G182" s="531"/>
      <c r="H182" s="531"/>
      <c r="I182" s="228"/>
      <c r="J182" s="210"/>
      <c r="K182" s="526"/>
      <c r="L182" s="512"/>
    </row>
    <row r="183" spans="1:12" x14ac:dyDescent="0.35">
      <c r="B183" s="217"/>
      <c r="G183" s="531"/>
      <c r="H183" s="531"/>
      <c r="I183" s="228"/>
      <c r="J183" s="210"/>
      <c r="K183" s="526"/>
      <c r="L183" s="512"/>
    </row>
    <row r="184" spans="1:12" x14ac:dyDescent="0.35">
      <c r="A184" s="532"/>
      <c r="B184" s="549"/>
      <c r="C184" s="212"/>
      <c r="D184" s="212"/>
      <c r="E184" s="212"/>
      <c r="F184" s="212"/>
      <c r="G184" s="533"/>
      <c r="H184" s="533"/>
      <c r="I184" s="559"/>
      <c r="J184" s="210"/>
    </row>
    <row r="185" spans="1:12" x14ac:dyDescent="0.35">
      <c r="B185" s="608" t="s">
        <v>215</v>
      </c>
      <c r="C185" s="608"/>
      <c r="D185" s="608"/>
      <c r="E185" s="608"/>
      <c r="F185" s="608"/>
      <c r="G185" s="608"/>
      <c r="H185" s="608"/>
      <c r="I185" s="608"/>
      <c r="J185" s="210"/>
    </row>
    <row r="186" spans="1:12" x14ac:dyDescent="0.35">
      <c r="B186" s="608" t="s">
        <v>554</v>
      </c>
      <c r="C186" s="608"/>
      <c r="D186" s="608"/>
      <c r="E186" s="608"/>
      <c r="F186" s="608"/>
      <c r="G186" s="608"/>
      <c r="H186" s="608"/>
      <c r="I186" s="608"/>
      <c r="J186" s="210"/>
    </row>
    <row r="187" spans="1:12" x14ac:dyDescent="0.35">
      <c r="B187" s="608" t="s">
        <v>555</v>
      </c>
      <c r="C187" s="608"/>
      <c r="D187" s="608"/>
      <c r="E187" s="608"/>
      <c r="F187" s="608"/>
      <c r="G187" s="608"/>
      <c r="H187" s="608"/>
      <c r="I187" s="608"/>
      <c r="J187" s="210"/>
    </row>
    <row r="188" spans="1:12" x14ac:dyDescent="0.35">
      <c r="B188" s="609" t="str">
        <f>B5</f>
        <v>Base Period &amp; True-Up Period 12 - Months Ending December 31, 2019</v>
      </c>
      <c r="C188" s="609"/>
      <c r="D188" s="609"/>
      <c r="E188" s="609"/>
      <c r="F188" s="609"/>
      <c r="G188" s="609"/>
      <c r="H188" s="609"/>
      <c r="I188" s="609"/>
      <c r="J188" s="210"/>
    </row>
    <row r="189" spans="1:12" x14ac:dyDescent="0.35">
      <c r="B189" s="610" t="s">
        <v>3</v>
      </c>
      <c r="C189" s="611"/>
      <c r="D189" s="611"/>
      <c r="E189" s="611"/>
      <c r="F189" s="611"/>
      <c r="G189" s="611"/>
      <c r="H189" s="611"/>
      <c r="I189" s="611"/>
      <c r="J189" s="210"/>
    </row>
    <row r="190" spans="1:12" x14ac:dyDescent="0.35">
      <c r="B190" s="210"/>
      <c r="C190" s="210"/>
      <c r="D190" s="210"/>
      <c r="E190" s="210"/>
      <c r="F190" s="210"/>
      <c r="G190" s="548"/>
      <c r="H190" s="548"/>
      <c r="I190" s="228"/>
      <c r="J190" s="210"/>
    </row>
    <row r="191" spans="1:12" x14ac:dyDescent="0.35">
      <c r="A191" s="210" t="s">
        <v>4</v>
      </c>
      <c r="B191" s="548"/>
      <c r="C191" s="548"/>
      <c r="D191" s="548"/>
      <c r="E191" s="548"/>
      <c r="F191" s="548"/>
      <c r="G191" s="548"/>
      <c r="H191" s="548"/>
      <c r="I191" s="228"/>
      <c r="J191" s="210" t="s">
        <v>4</v>
      </c>
    </row>
    <row r="192" spans="1:12" x14ac:dyDescent="0.35">
      <c r="A192" s="210" t="s">
        <v>5</v>
      </c>
      <c r="B192" s="210"/>
      <c r="C192" s="210"/>
      <c r="D192" s="210"/>
      <c r="E192" s="210"/>
      <c r="F192" s="210"/>
      <c r="G192" s="215" t="s">
        <v>7</v>
      </c>
      <c r="H192" s="548"/>
      <c r="I192" s="467" t="s">
        <v>8</v>
      </c>
      <c r="J192" s="210" t="s">
        <v>5</v>
      </c>
    </row>
    <row r="193" spans="1:10" x14ac:dyDescent="0.35">
      <c r="G193" s="210"/>
      <c r="H193" s="210"/>
      <c r="I193" s="228"/>
      <c r="J193" s="210"/>
    </row>
    <row r="194" spans="1:10" ht="18" x14ac:dyDescent="0.35">
      <c r="A194" s="210">
        <v>1</v>
      </c>
      <c r="B194" s="217" t="s">
        <v>693</v>
      </c>
      <c r="E194" s="548"/>
      <c r="F194" s="548"/>
      <c r="G194" s="500"/>
      <c r="H194" s="500"/>
      <c r="I194" s="228"/>
      <c r="J194" s="210">
        <v>1</v>
      </c>
    </row>
    <row r="195" spans="1:10" x14ac:dyDescent="0.35">
      <c r="A195" s="210">
        <f>A194+1</f>
        <v>2</v>
      </c>
      <c r="B195" s="501"/>
      <c r="E195" s="548"/>
      <c r="F195" s="548"/>
      <c r="G195" s="500"/>
      <c r="H195" s="500"/>
      <c r="I195" s="228"/>
      <c r="J195" s="210">
        <f>J194+1</f>
        <v>2</v>
      </c>
    </row>
    <row r="196" spans="1:10" x14ac:dyDescent="0.35">
      <c r="A196" s="210">
        <f>A195+1</f>
        <v>3</v>
      </c>
      <c r="B196" s="217" t="s">
        <v>645</v>
      </c>
      <c r="E196" s="548"/>
      <c r="F196" s="548"/>
      <c r="G196" s="500"/>
      <c r="H196" s="500"/>
      <c r="I196" s="228"/>
      <c r="J196" s="210">
        <f>J195+1</f>
        <v>3</v>
      </c>
    </row>
    <row r="197" spans="1:10" x14ac:dyDescent="0.35">
      <c r="A197" s="210">
        <f>A196+1</f>
        <v>4</v>
      </c>
      <c r="B197" s="548"/>
      <c r="C197" s="548"/>
      <c r="D197" s="548"/>
      <c r="E197" s="548"/>
      <c r="F197" s="548"/>
      <c r="G197" s="500"/>
      <c r="H197" s="500"/>
      <c r="I197" s="228"/>
      <c r="J197" s="210">
        <f>J196+1</f>
        <v>4</v>
      </c>
    </row>
    <row r="198" spans="1:10" x14ac:dyDescent="0.35">
      <c r="A198" s="210">
        <f t="shared" ref="A198:A257" si="6">A197+1</f>
        <v>5</v>
      </c>
      <c r="B198" s="219" t="s">
        <v>646</v>
      </c>
      <c r="C198" s="548"/>
      <c r="D198" s="548"/>
      <c r="E198" s="548"/>
      <c r="F198" s="548"/>
      <c r="G198" s="500"/>
      <c r="H198" s="500"/>
      <c r="I198" s="502"/>
      <c r="J198" s="210">
        <f t="shared" ref="J198:J257" si="7">J197+1</f>
        <v>5</v>
      </c>
    </row>
    <row r="199" spans="1:10" x14ac:dyDescent="0.35">
      <c r="A199" s="210">
        <f t="shared" si="6"/>
        <v>6</v>
      </c>
      <c r="B199" s="211" t="s">
        <v>647</v>
      </c>
      <c r="D199" s="548"/>
      <c r="E199" s="548"/>
      <c r="F199" s="548"/>
      <c r="G199" s="503">
        <f>G89</f>
        <v>0</v>
      </c>
      <c r="H199" s="548"/>
      <c r="I199" s="228" t="s">
        <v>694</v>
      </c>
      <c r="J199" s="210">
        <f t="shared" si="7"/>
        <v>6</v>
      </c>
    </row>
    <row r="200" spans="1:10" x14ac:dyDescent="0.35">
      <c r="A200" s="210">
        <f t="shared" si="6"/>
        <v>7</v>
      </c>
      <c r="B200" s="211" t="s">
        <v>649</v>
      </c>
      <c r="D200" s="548"/>
      <c r="E200" s="548"/>
      <c r="F200" s="548"/>
      <c r="G200" s="528">
        <v>0</v>
      </c>
      <c r="H200" s="548"/>
      <c r="I200" s="228" t="s">
        <v>695</v>
      </c>
      <c r="J200" s="210">
        <f t="shared" si="7"/>
        <v>7</v>
      </c>
    </row>
    <row r="201" spans="1:10" x14ac:dyDescent="0.35">
      <c r="A201" s="210">
        <f t="shared" si="6"/>
        <v>8</v>
      </c>
      <c r="B201" s="211" t="s">
        <v>651</v>
      </c>
      <c r="D201" s="548"/>
      <c r="E201" s="548"/>
      <c r="F201" s="548"/>
      <c r="G201" s="505">
        <v>0</v>
      </c>
      <c r="H201" s="548"/>
      <c r="I201" s="496"/>
      <c r="J201" s="210">
        <f t="shared" si="7"/>
        <v>8</v>
      </c>
    </row>
    <row r="202" spans="1:10" x14ac:dyDescent="0.35">
      <c r="A202" s="210">
        <f t="shared" si="6"/>
        <v>9</v>
      </c>
      <c r="B202" s="211" t="s">
        <v>696</v>
      </c>
      <c r="D202" s="548"/>
      <c r="E202" s="548"/>
      <c r="F202" s="548"/>
      <c r="G202" s="504">
        <f>'Pg3 BK-1 Rev TO5 C3-Cost Adj'!E141</f>
        <v>0</v>
      </c>
      <c r="H202" s="548"/>
      <c r="I202" s="228" t="s">
        <v>697</v>
      </c>
      <c r="J202" s="210">
        <f t="shared" si="7"/>
        <v>9</v>
      </c>
    </row>
    <row r="203" spans="1:10" x14ac:dyDescent="0.35">
      <c r="A203" s="210">
        <f t="shared" si="6"/>
        <v>10</v>
      </c>
      <c r="B203" s="211" t="s">
        <v>655</v>
      </c>
      <c r="D203" s="548"/>
      <c r="E203" s="548"/>
      <c r="F203" s="548"/>
      <c r="G203" s="534" t="str">
        <f>G126</f>
        <v>21%</v>
      </c>
      <c r="H203" s="548"/>
      <c r="I203" s="228" t="s">
        <v>698</v>
      </c>
      <c r="J203" s="210">
        <f t="shared" si="7"/>
        <v>10</v>
      </c>
    </row>
    <row r="204" spans="1:10" x14ac:dyDescent="0.35">
      <c r="A204" s="210">
        <f t="shared" si="6"/>
        <v>11</v>
      </c>
      <c r="G204" s="210"/>
      <c r="H204" s="210"/>
      <c r="J204" s="210">
        <f t="shared" si="7"/>
        <v>11</v>
      </c>
    </row>
    <row r="205" spans="1:10" x14ac:dyDescent="0.35">
      <c r="A205" s="210">
        <f t="shared" si="6"/>
        <v>12</v>
      </c>
      <c r="B205" s="211" t="s">
        <v>699</v>
      </c>
      <c r="D205" s="548"/>
      <c r="E205" s="548"/>
      <c r="F205" s="548"/>
      <c r="G205" s="511">
        <f>IFERROR((((G199)+(G201/G202))*G203-(G200/G202))/(1-G203),0)</f>
        <v>0</v>
      </c>
      <c r="H205" s="511"/>
      <c r="I205" s="228" t="s">
        <v>700</v>
      </c>
      <c r="J205" s="210">
        <f t="shared" si="7"/>
        <v>12</v>
      </c>
    </row>
    <row r="206" spans="1:10" x14ac:dyDescent="0.35">
      <c r="A206" s="210">
        <f t="shared" si="6"/>
        <v>13</v>
      </c>
      <c r="B206" s="513" t="s">
        <v>660</v>
      </c>
      <c r="D206" s="513"/>
      <c r="G206" s="495"/>
      <c r="H206" s="495"/>
      <c r="J206" s="210">
        <f t="shared" si="7"/>
        <v>13</v>
      </c>
    </row>
    <row r="207" spans="1:10" x14ac:dyDescent="0.35">
      <c r="A207" s="210">
        <f t="shared" si="6"/>
        <v>14</v>
      </c>
      <c r="G207" s="210"/>
      <c r="H207" s="210"/>
      <c r="J207" s="210">
        <f t="shared" si="7"/>
        <v>14</v>
      </c>
    </row>
    <row r="208" spans="1:10" x14ac:dyDescent="0.35">
      <c r="A208" s="210">
        <f t="shared" si="6"/>
        <v>15</v>
      </c>
      <c r="B208" s="217" t="s">
        <v>661</v>
      </c>
      <c r="C208" s="548"/>
      <c r="D208" s="548"/>
      <c r="E208" s="548"/>
      <c r="F208" s="548"/>
      <c r="G208" s="514"/>
      <c r="H208" s="514"/>
      <c r="I208" s="515"/>
      <c r="J208" s="210">
        <f t="shared" si="7"/>
        <v>15</v>
      </c>
    </row>
    <row r="209" spans="1:10" x14ac:dyDescent="0.35">
      <c r="A209" s="210">
        <f t="shared" si="6"/>
        <v>16</v>
      </c>
      <c r="B209" s="239"/>
      <c r="C209" s="548"/>
      <c r="D209" s="548"/>
      <c r="E209" s="548"/>
      <c r="F209" s="548"/>
      <c r="G209" s="514"/>
      <c r="H209" s="514"/>
      <c r="I209" s="502"/>
      <c r="J209" s="210">
        <f t="shared" si="7"/>
        <v>16</v>
      </c>
    </row>
    <row r="210" spans="1:10" x14ac:dyDescent="0.35">
      <c r="A210" s="210">
        <f t="shared" si="6"/>
        <v>17</v>
      </c>
      <c r="B210" s="219" t="s">
        <v>646</v>
      </c>
      <c r="C210" s="548"/>
      <c r="D210" s="548"/>
      <c r="E210" s="548"/>
      <c r="F210" s="548"/>
      <c r="G210" s="514"/>
      <c r="H210" s="514"/>
      <c r="I210" s="502"/>
      <c r="J210" s="210">
        <f t="shared" si="7"/>
        <v>17</v>
      </c>
    </row>
    <row r="211" spans="1:10" x14ac:dyDescent="0.35">
      <c r="A211" s="210">
        <f t="shared" si="6"/>
        <v>18</v>
      </c>
      <c r="B211" s="211" t="s">
        <v>647</v>
      </c>
      <c r="D211" s="548"/>
      <c r="E211" s="548"/>
      <c r="F211" s="548"/>
      <c r="G211" s="485">
        <f>G199</f>
        <v>0</v>
      </c>
      <c r="H211" s="485"/>
      <c r="I211" s="228" t="s">
        <v>662</v>
      </c>
      <c r="J211" s="210">
        <f t="shared" si="7"/>
        <v>18</v>
      </c>
    </row>
    <row r="212" spans="1:10" x14ac:dyDescent="0.35">
      <c r="A212" s="210">
        <f t="shared" si="6"/>
        <v>19</v>
      </c>
      <c r="B212" s="211" t="s">
        <v>663</v>
      </c>
      <c r="D212" s="548"/>
      <c r="E212" s="548"/>
      <c r="F212" s="548"/>
      <c r="G212" s="518">
        <f>G201</f>
        <v>0</v>
      </c>
      <c r="H212" s="518"/>
      <c r="I212" s="228" t="s">
        <v>664</v>
      </c>
      <c r="J212" s="210">
        <f t="shared" si="7"/>
        <v>19</v>
      </c>
    </row>
    <row r="213" spans="1:10" x14ac:dyDescent="0.35">
      <c r="A213" s="210">
        <f t="shared" si="6"/>
        <v>20</v>
      </c>
      <c r="B213" s="211" t="s">
        <v>701</v>
      </c>
      <c r="D213" s="548"/>
      <c r="E213" s="548"/>
      <c r="F213" s="548"/>
      <c r="G213" s="518">
        <f>G202</f>
        <v>0</v>
      </c>
      <c r="H213" s="518"/>
      <c r="I213" s="228" t="s">
        <v>666</v>
      </c>
      <c r="J213" s="210">
        <f t="shared" si="7"/>
        <v>20</v>
      </c>
    </row>
    <row r="214" spans="1:10" x14ac:dyDescent="0.35">
      <c r="A214" s="210">
        <f t="shared" si="6"/>
        <v>21</v>
      </c>
      <c r="B214" s="211" t="s">
        <v>667</v>
      </c>
      <c r="D214" s="548"/>
      <c r="E214" s="548"/>
      <c r="F214" s="548"/>
      <c r="G214" s="520">
        <f>G205</f>
        <v>0</v>
      </c>
      <c r="H214" s="520"/>
      <c r="I214" s="228" t="s">
        <v>668</v>
      </c>
      <c r="J214" s="210">
        <f t="shared" si="7"/>
        <v>21</v>
      </c>
    </row>
    <row r="215" spans="1:10" x14ac:dyDescent="0.35">
      <c r="A215" s="210">
        <f t="shared" si="6"/>
        <v>22</v>
      </c>
      <c r="B215" s="211" t="s">
        <v>669</v>
      </c>
      <c r="D215" s="548"/>
      <c r="E215" s="548"/>
      <c r="F215" s="548"/>
      <c r="G215" s="535" t="str">
        <f>G138</f>
        <v>8.84%</v>
      </c>
      <c r="H215" s="548"/>
      <c r="I215" s="228" t="s">
        <v>702</v>
      </c>
      <c r="J215" s="210">
        <f t="shared" si="7"/>
        <v>22</v>
      </c>
    </row>
    <row r="216" spans="1:10" x14ac:dyDescent="0.35">
      <c r="A216" s="210">
        <f t="shared" si="6"/>
        <v>23</v>
      </c>
      <c r="B216" s="549"/>
      <c r="D216" s="548"/>
      <c r="E216" s="548"/>
      <c r="F216" s="548"/>
      <c r="G216" s="521"/>
      <c r="H216" s="521"/>
      <c r="I216" s="517"/>
      <c r="J216" s="210">
        <f t="shared" si="7"/>
        <v>23</v>
      </c>
    </row>
    <row r="217" spans="1:10" x14ac:dyDescent="0.35">
      <c r="A217" s="210">
        <f t="shared" si="6"/>
        <v>24</v>
      </c>
      <c r="B217" s="211" t="s">
        <v>672</v>
      </c>
      <c r="C217" s="210"/>
      <c r="D217" s="210"/>
      <c r="E217" s="548"/>
      <c r="F217" s="548"/>
      <c r="G217" s="522">
        <f>IFERROR(((G211)+(G212/G213)+G205)*G215/(1-G215),0)</f>
        <v>0</v>
      </c>
      <c r="H217" s="523"/>
      <c r="I217" s="228" t="s">
        <v>673</v>
      </c>
      <c r="J217" s="210">
        <f t="shared" si="7"/>
        <v>24</v>
      </c>
    </row>
    <row r="218" spans="1:10" x14ac:dyDescent="0.35">
      <c r="A218" s="210">
        <f t="shared" si="6"/>
        <v>25</v>
      </c>
      <c r="B218" s="513" t="s">
        <v>674</v>
      </c>
      <c r="D218" s="513"/>
      <c r="G218" s="210"/>
      <c r="H218" s="210"/>
      <c r="I218" s="228"/>
      <c r="J218" s="210">
        <f t="shared" si="7"/>
        <v>25</v>
      </c>
    </row>
    <row r="219" spans="1:10" x14ac:dyDescent="0.35">
      <c r="A219" s="210">
        <f t="shared" si="6"/>
        <v>26</v>
      </c>
      <c r="G219" s="210"/>
      <c r="H219" s="210"/>
      <c r="I219" s="228"/>
      <c r="J219" s="210">
        <f t="shared" si="7"/>
        <v>26</v>
      </c>
    </row>
    <row r="220" spans="1:10" x14ac:dyDescent="0.35">
      <c r="A220" s="210">
        <f t="shared" si="6"/>
        <v>27</v>
      </c>
      <c r="B220" s="217" t="s">
        <v>675</v>
      </c>
      <c r="G220" s="511">
        <f>G217+G205</f>
        <v>0</v>
      </c>
      <c r="H220" s="511"/>
      <c r="I220" s="228" t="s">
        <v>676</v>
      </c>
      <c r="J220" s="210">
        <f t="shared" si="7"/>
        <v>27</v>
      </c>
    </row>
    <row r="221" spans="1:10" x14ac:dyDescent="0.35">
      <c r="A221" s="210">
        <f t="shared" si="6"/>
        <v>28</v>
      </c>
      <c r="G221" s="210"/>
      <c r="H221" s="210"/>
      <c r="I221" s="228"/>
      <c r="J221" s="210">
        <f t="shared" si="7"/>
        <v>28</v>
      </c>
    </row>
    <row r="222" spans="1:10" x14ac:dyDescent="0.35">
      <c r="A222" s="210">
        <f t="shared" si="6"/>
        <v>29</v>
      </c>
      <c r="B222" s="217" t="s">
        <v>703</v>
      </c>
      <c r="G222" s="536">
        <f>G87</f>
        <v>1.7918893594493838E-2</v>
      </c>
      <c r="H222" s="548"/>
      <c r="I222" s="228" t="s">
        <v>704</v>
      </c>
      <c r="J222" s="210">
        <f t="shared" si="7"/>
        <v>29</v>
      </c>
    </row>
    <row r="223" spans="1:10" x14ac:dyDescent="0.35">
      <c r="A223" s="210">
        <f t="shared" si="6"/>
        <v>30</v>
      </c>
      <c r="G223" s="210"/>
      <c r="H223" s="210"/>
      <c r="I223" s="228"/>
      <c r="J223" s="210">
        <f t="shared" si="7"/>
        <v>30</v>
      </c>
    </row>
    <row r="224" spans="1:10" ht="18" thickBot="1" x14ac:dyDescent="0.4">
      <c r="A224" s="210">
        <f t="shared" si="6"/>
        <v>31</v>
      </c>
      <c r="B224" s="217" t="s">
        <v>705</v>
      </c>
      <c r="G224" s="537">
        <f>G220+G222</f>
        <v>1.7918893594493838E-2</v>
      </c>
      <c r="H224" s="538"/>
      <c r="I224" s="228" t="s">
        <v>680</v>
      </c>
      <c r="J224" s="210">
        <f t="shared" si="7"/>
        <v>31</v>
      </c>
    </row>
    <row r="225" spans="1:10" ht="16.5" thickTop="1" thickBot="1" x14ac:dyDescent="0.4">
      <c r="A225" s="482">
        <f t="shared" si="6"/>
        <v>32</v>
      </c>
      <c r="B225" s="497"/>
      <c r="C225" s="323"/>
      <c r="D225" s="323"/>
      <c r="E225" s="323"/>
      <c r="F225" s="323"/>
      <c r="G225" s="539"/>
      <c r="H225" s="539"/>
      <c r="I225" s="483"/>
      <c r="J225" s="482">
        <f t="shared" si="7"/>
        <v>32</v>
      </c>
    </row>
    <row r="226" spans="1:10" x14ac:dyDescent="0.35">
      <c r="A226" s="210">
        <f t="shared" si="6"/>
        <v>33</v>
      </c>
      <c r="B226" s="217"/>
      <c r="G226" s="538"/>
      <c r="H226" s="538"/>
      <c r="I226" s="228"/>
      <c r="J226" s="210">
        <f t="shared" si="7"/>
        <v>33</v>
      </c>
    </row>
    <row r="227" spans="1:10" ht="17.5" x14ac:dyDescent="0.35">
      <c r="A227" s="210">
        <f t="shared" si="6"/>
        <v>34</v>
      </c>
      <c r="B227" s="217" t="s">
        <v>681</v>
      </c>
      <c r="E227" s="548"/>
      <c r="F227" s="548"/>
      <c r="G227" s="500"/>
      <c r="H227" s="500"/>
      <c r="I227" s="228"/>
      <c r="J227" s="210">
        <f t="shared" si="7"/>
        <v>34</v>
      </c>
    </row>
    <row r="228" spans="1:10" x14ac:dyDescent="0.35">
      <c r="A228" s="210">
        <f t="shared" si="6"/>
        <v>35</v>
      </c>
      <c r="B228" s="501"/>
      <c r="E228" s="548"/>
      <c r="F228" s="548"/>
      <c r="G228" s="500"/>
      <c r="H228" s="500"/>
      <c r="I228" s="228"/>
      <c r="J228" s="210">
        <f t="shared" si="7"/>
        <v>35</v>
      </c>
    </row>
    <row r="229" spans="1:10" x14ac:dyDescent="0.35">
      <c r="A229" s="210">
        <f t="shared" si="6"/>
        <v>36</v>
      </c>
      <c r="B229" s="217" t="s">
        <v>645</v>
      </c>
      <c r="E229" s="548"/>
      <c r="F229" s="548"/>
      <c r="G229" s="500"/>
      <c r="H229" s="500"/>
      <c r="I229" s="228"/>
      <c r="J229" s="210">
        <f t="shared" si="7"/>
        <v>36</v>
      </c>
    </row>
    <row r="230" spans="1:10" x14ac:dyDescent="0.35">
      <c r="A230" s="210">
        <f t="shared" si="6"/>
        <v>37</v>
      </c>
      <c r="B230" s="548"/>
      <c r="C230" s="548"/>
      <c r="D230" s="548"/>
      <c r="E230" s="548"/>
      <c r="F230" s="548"/>
      <c r="G230" s="500"/>
      <c r="H230" s="500"/>
      <c r="I230" s="228"/>
      <c r="J230" s="210">
        <f t="shared" si="7"/>
        <v>37</v>
      </c>
    </row>
    <row r="231" spans="1:10" x14ac:dyDescent="0.35">
      <c r="A231" s="210">
        <f t="shared" si="6"/>
        <v>38</v>
      </c>
      <c r="B231" s="219" t="s">
        <v>646</v>
      </c>
      <c r="C231" s="548"/>
      <c r="D231" s="548"/>
      <c r="E231" s="548"/>
      <c r="F231" s="548"/>
      <c r="G231" s="500"/>
      <c r="H231" s="500"/>
      <c r="I231" s="502"/>
      <c r="J231" s="210">
        <f t="shared" si="7"/>
        <v>38</v>
      </c>
    </row>
    <row r="232" spans="1:10" x14ac:dyDescent="0.35">
      <c r="A232" s="210">
        <f t="shared" si="6"/>
        <v>39</v>
      </c>
      <c r="B232" s="211" t="s">
        <v>682</v>
      </c>
      <c r="D232" s="548"/>
      <c r="E232" s="548"/>
      <c r="F232" s="548"/>
      <c r="G232" s="503">
        <f>G102</f>
        <v>0</v>
      </c>
      <c r="H232" s="548"/>
      <c r="I232" s="228" t="s">
        <v>706</v>
      </c>
      <c r="J232" s="210">
        <f t="shared" si="7"/>
        <v>39</v>
      </c>
    </row>
    <row r="233" spans="1:10" x14ac:dyDescent="0.35">
      <c r="A233" s="210">
        <f t="shared" si="6"/>
        <v>40</v>
      </c>
      <c r="B233" s="211" t="s">
        <v>649</v>
      </c>
      <c r="D233" s="548"/>
      <c r="E233" s="548"/>
      <c r="F233" s="548"/>
      <c r="G233" s="528">
        <v>0</v>
      </c>
      <c r="H233" s="548"/>
      <c r="I233" s="228" t="s">
        <v>695</v>
      </c>
      <c r="J233" s="210">
        <f t="shared" si="7"/>
        <v>40</v>
      </c>
    </row>
    <row r="234" spans="1:10" x14ac:dyDescent="0.35">
      <c r="A234" s="210">
        <f t="shared" si="6"/>
        <v>41</v>
      </c>
      <c r="B234" s="211" t="s">
        <v>651</v>
      </c>
      <c r="D234" s="548"/>
      <c r="E234" s="548"/>
      <c r="F234" s="548"/>
      <c r="G234" s="505">
        <v>0</v>
      </c>
      <c r="H234" s="548"/>
      <c r="I234" s="496"/>
      <c r="J234" s="210">
        <f t="shared" si="7"/>
        <v>41</v>
      </c>
    </row>
    <row r="235" spans="1:10" x14ac:dyDescent="0.35">
      <c r="A235" s="210">
        <f t="shared" si="6"/>
        <v>42</v>
      </c>
      <c r="B235" s="211" t="s">
        <v>707</v>
      </c>
      <c r="D235" s="548"/>
      <c r="E235" s="548"/>
      <c r="F235" s="548"/>
      <c r="G235" s="504">
        <f>'Pg3 BK-1 Rev TO5 C3-Cost Adj'!E141</f>
        <v>0</v>
      </c>
      <c r="H235" s="548"/>
      <c r="I235" s="228" t="s">
        <v>697</v>
      </c>
      <c r="J235" s="210">
        <f t="shared" si="7"/>
        <v>42</v>
      </c>
    </row>
    <row r="236" spans="1:10" x14ac:dyDescent="0.35">
      <c r="A236" s="210">
        <f t="shared" si="6"/>
        <v>43</v>
      </c>
      <c r="B236" s="211" t="s">
        <v>655</v>
      </c>
      <c r="D236" s="548"/>
      <c r="E236" s="548"/>
      <c r="F236" s="548"/>
      <c r="G236" s="534" t="str">
        <f>G159</f>
        <v>21%</v>
      </c>
      <c r="H236" s="548"/>
      <c r="I236" s="228" t="s">
        <v>698</v>
      </c>
      <c r="J236" s="210">
        <f t="shared" si="7"/>
        <v>43</v>
      </c>
    </row>
    <row r="237" spans="1:10" x14ac:dyDescent="0.35">
      <c r="A237" s="210">
        <f t="shared" si="6"/>
        <v>44</v>
      </c>
      <c r="G237" s="210"/>
      <c r="H237" s="210"/>
      <c r="J237" s="210">
        <f t="shared" si="7"/>
        <v>44</v>
      </c>
    </row>
    <row r="238" spans="1:10" x14ac:dyDescent="0.35">
      <c r="A238" s="210">
        <f t="shared" si="6"/>
        <v>45</v>
      </c>
      <c r="B238" s="211" t="s">
        <v>658</v>
      </c>
      <c r="D238" s="548"/>
      <c r="E238" s="548"/>
      <c r="F238" s="548"/>
      <c r="G238" s="511">
        <f>IFERROR((((G232)+(G234/G235))*G236-(G233/G235))/(1-G236),0)</f>
        <v>0</v>
      </c>
      <c r="H238" s="511"/>
      <c r="I238" s="228" t="s">
        <v>700</v>
      </c>
      <c r="J238" s="210">
        <f t="shared" si="7"/>
        <v>45</v>
      </c>
    </row>
    <row r="239" spans="1:10" x14ac:dyDescent="0.35">
      <c r="A239" s="210">
        <f t="shared" si="6"/>
        <v>46</v>
      </c>
      <c r="B239" s="513" t="s">
        <v>660</v>
      </c>
      <c r="D239" s="513"/>
      <c r="G239" s="495"/>
      <c r="H239" s="495"/>
      <c r="J239" s="210">
        <f t="shared" si="7"/>
        <v>46</v>
      </c>
    </row>
    <row r="240" spans="1:10" x14ac:dyDescent="0.35">
      <c r="A240" s="210">
        <f t="shared" si="6"/>
        <v>47</v>
      </c>
      <c r="G240" s="210"/>
      <c r="H240" s="210"/>
      <c r="J240" s="210">
        <f t="shared" si="7"/>
        <v>47</v>
      </c>
    </row>
    <row r="241" spans="1:10" x14ac:dyDescent="0.35">
      <c r="A241" s="210">
        <f t="shared" si="6"/>
        <v>48</v>
      </c>
      <c r="B241" s="217" t="s">
        <v>661</v>
      </c>
      <c r="C241" s="548"/>
      <c r="D241" s="548"/>
      <c r="E241" s="548"/>
      <c r="F241" s="548"/>
      <c r="G241" s="514"/>
      <c r="H241" s="514"/>
      <c r="I241" s="515"/>
      <c r="J241" s="210">
        <f t="shared" si="7"/>
        <v>48</v>
      </c>
    </row>
    <row r="242" spans="1:10" x14ac:dyDescent="0.35">
      <c r="A242" s="210">
        <f t="shared" si="6"/>
        <v>49</v>
      </c>
      <c r="B242" s="239"/>
      <c r="C242" s="548"/>
      <c r="D242" s="548"/>
      <c r="E242" s="548"/>
      <c r="F242" s="548"/>
      <c r="G242" s="514"/>
      <c r="H242" s="514"/>
      <c r="I242" s="502"/>
      <c r="J242" s="210">
        <f t="shared" si="7"/>
        <v>49</v>
      </c>
    </row>
    <row r="243" spans="1:10" x14ac:dyDescent="0.35">
      <c r="A243" s="210">
        <f t="shared" si="6"/>
        <v>50</v>
      </c>
      <c r="B243" s="219" t="s">
        <v>646</v>
      </c>
      <c r="C243" s="548"/>
      <c r="D243" s="548"/>
      <c r="E243" s="548"/>
      <c r="F243" s="548"/>
      <c r="G243" s="514"/>
      <c r="H243" s="514"/>
      <c r="I243" s="502"/>
      <c r="J243" s="210">
        <f t="shared" si="7"/>
        <v>50</v>
      </c>
    </row>
    <row r="244" spans="1:10" x14ac:dyDescent="0.35">
      <c r="A244" s="210">
        <f t="shared" si="6"/>
        <v>51</v>
      </c>
      <c r="B244" s="211" t="s">
        <v>682</v>
      </c>
      <c r="D244" s="548"/>
      <c r="E244" s="548"/>
      <c r="F244" s="548"/>
      <c r="G244" s="485">
        <f>G232</f>
        <v>0</v>
      </c>
      <c r="H244" s="485"/>
      <c r="I244" s="228" t="s">
        <v>684</v>
      </c>
      <c r="J244" s="210">
        <f t="shared" si="7"/>
        <v>51</v>
      </c>
    </row>
    <row r="245" spans="1:10" x14ac:dyDescent="0.35">
      <c r="A245" s="210">
        <f t="shared" si="6"/>
        <v>52</v>
      </c>
      <c r="B245" s="211" t="s">
        <v>663</v>
      </c>
      <c r="D245" s="548"/>
      <c r="E245" s="548"/>
      <c r="F245" s="548"/>
      <c r="G245" s="518">
        <f>G234</f>
        <v>0</v>
      </c>
      <c r="H245" s="518"/>
      <c r="I245" s="228" t="s">
        <v>685</v>
      </c>
      <c r="J245" s="210">
        <f t="shared" si="7"/>
        <v>52</v>
      </c>
    </row>
    <row r="246" spans="1:10" x14ac:dyDescent="0.35">
      <c r="A246" s="210">
        <f t="shared" si="6"/>
        <v>53</v>
      </c>
      <c r="B246" s="211" t="s">
        <v>708</v>
      </c>
      <c r="D246" s="548"/>
      <c r="E246" s="548"/>
      <c r="F246" s="548"/>
      <c r="G246" s="518">
        <f>G235</f>
        <v>0</v>
      </c>
      <c r="H246" s="518"/>
      <c r="I246" s="228" t="s">
        <v>686</v>
      </c>
      <c r="J246" s="210">
        <f t="shared" si="7"/>
        <v>53</v>
      </c>
    </row>
    <row r="247" spans="1:10" x14ac:dyDescent="0.35">
      <c r="A247" s="210">
        <f t="shared" si="6"/>
        <v>54</v>
      </c>
      <c r="B247" s="211" t="s">
        <v>667</v>
      </c>
      <c r="D247" s="548"/>
      <c r="E247" s="548"/>
      <c r="F247" s="548"/>
      <c r="G247" s="520">
        <f>G238</f>
        <v>0</v>
      </c>
      <c r="H247" s="520"/>
      <c r="I247" s="228" t="s">
        <v>687</v>
      </c>
      <c r="J247" s="210">
        <f t="shared" si="7"/>
        <v>54</v>
      </c>
    </row>
    <row r="248" spans="1:10" x14ac:dyDescent="0.35">
      <c r="A248" s="210">
        <f t="shared" si="6"/>
        <v>55</v>
      </c>
      <c r="B248" s="211" t="s">
        <v>669</v>
      </c>
      <c r="D248" s="548"/>
      <c r="E248" s="548"/>
      <c r="F248" s="548"/>
      <c r="G248" s="535" t="str">
        <f>G171</f>
        <v>8.84%</v>
      </c>
      <c r="H248" s="548"/>
      <c r="I248" s="228" t="s">
        <v>709</v>
      </c>
      <c r="J248" s="210">
        <f t="shared" si="7"/>
        <v>55</v>
      </c>
    </row>
    <row r="249" spans="1:10" x14ac:dyDescent="0.35">
      <c r="A249" s="210">
        <f t="shared" si="6"/>
        <v>56</v>
      </c>
      <c r="B249" s="549"/>
      <c r="D249" s="548"/>
      <c r="E249" s="548"/>
      <c r="F249" s="548"/>
      <c r="G249" s="521"/>
      <c r="H249" s="521"/>
      <c r="I249" s="517"/>
      <c r="J249" s="210">
        <f t="shared" si="7"/>
        <v>56</v>
      </c>
    </row>
    <row r="250" spans="1:10" x14ac:dyDescent="0.35">
      <c r="A250" s="210">
        <f t="shared" si="6"/>
        <v>57</v>
      </c>
      <c r="B250" s="211" t="s">
        <v>672</v>
      </c>
      <c r="C250" s="210"/>
      <c r="D250" s="210"/>
      <c r="E250" s="548"/>
      <c r="F250" s="548"/>
      <c r="G250" s="522">
        <f>IFERROR(((G244)+(G245/G246)+G238)*G248/(1-G248),0)</f>
        <v>0</v>
      </c>
      <c r="H250" s="523"/>
      <c r="I250" s="228" t="s">
        <v>673</v>
      </c>
      <c r="J250" s="210">
        <f t="shared" si="7"/>
        <v>57</v>
      </c>
    </row>
    <row r="251" spans="1:10" x14ac:dyDescent="0.35">
      <c r="A251" s="210">
        <f t="shared" si="6"/>
        <v>58</v>
      </c>
      <c r="B251" s="513" t="s">
        <v>674</v>
      </c>
      <c r="D251" s="513"/>
      <c r="G251" s="210"/>
      <c r="H251" s="210"/>
      <c r="I251" s="228"/>
      <c r="J251" s="210">
        <f t="shared" si="7"/>
        <v>58</v>
      </c>
    </row>
    <row r="252" spans="1:10" x14ac:dyDescent="0.35">
      <c r="A252" s="210">
        <f t="shared" si="6"/>
        <v>59</v>
      </c>
      <c r="G252" s="210"/>
      <c r="H252" s="210"/>
      <c r="I252" s="228"/>
      <c r="J252" s="210">
        <f t="shared" si="7"/>
        <v>59</v>
      </c>
    </row>
    <row r="253" spans="1:10" x14ac:dyDescent="0.35">
      <c r="A253" s="210">
        <f t="shared" si="6"/>
        <v>60</v>
      </c>
      <c r="B253" s="217" t="s">
        <v>675</v>
      </c>
      <c r="G253" s="511">
        <f>G250+G238</f>
        <v>0</v>
      </c>
      <c r="H253" s="511"/>
      <c r="I253" s="228" t="s">
        <v>688</v>
      </c>
      <c r="J253" s="210">
        <f t="shared" si="7"/>
        <v>60</v>
      </c>
    </row>
    <row r="254" spans="1:10" x14ac:dyDescent="0.35">
      <c r="A254" s="210">
        <f t="shared" si="6"/>
        <v>61</v>
      </c>
      <c r="G254" s="210"/>
      <c r="H254" s="210"/>
      <c r="I254" s="228"/>
      <c r="J254" s="210">
        <f t="shared" si="7"/>
        <v>61</v>
      </c>
    </row>
    <row r="255" spans="1:10" x14ac:dyDescent="0.35">
      <c r="A255" s="210">
        <f t="shared" si="6"/>
        <v>62</v>
      </c>
      <c r="B255" s="217" t="s">
        <v>689</v>
      </c>
      <c r="G255" s="536">
        <f>G100</f>
        <v>0</v>
      </c>
      <c r="H255" s="548"/>
      <c r="I255" s="228" t="s">
        <v>710</v>
      </c>
      <c r="J255" s="210">
        <f t="shared" si="7"/>
        <v>62</v>
      </c>
    </row>
    <row r="256" spans="1:10" x14ac:dyDescent="0.35">
      <c r="A256" s="210">
        <f t="shared" si="6"/>
        <v>63</v>
      </c>
      <c r="G256" s="210"/>
      <c r="H256" s="210"/>
      <c r="I256" s="228"/>
      <c r="J256" s="210">
        <f t="shared" si="7"/>
        <v>63</v>
      </c>
    </row>
    <row r="257" spans="1:10" ht="18" thickBot="1" x14ac:dyDescent="0.4">
      <c r="A257" s="210">
        <f t="shared" si="6"/>
        <v>64</v>
      </c>
      <c r="B257" s="217" t="s">
        <v>691</v>
      </c>
      <c r="G257" s="537">
        <f>G253+G255</f>
        <v>0</v>
      </c>
      <c r="H257" s="538"/>
      <c r="I257" s="228" t="s">
        <v>692</v>
      </c>
      <c r="J257" s="210">
        <f t="shared" si="7"/>
        <v>64</v>
      </c>
    </row>
    <row r="258" spans="1:10" ht="16" thickTop="1" x14ac:dyDescent="0.35">
      <c r="A258" s="221"/>
      <c r="B258" s="421"/>
      <c r="C258" s="421"/>
      <c r="D258" s="421"/>
      <c r="E258" s="421"/>
      <c r="F258" s="421"/>
      <c r="G258" s="421"/>
      <c r="H258" s="421"/>
      <c r="I258" s="540"/>
      <c r="J258" s="421"/>
    </row>
    <row r="259" spans="1:10" ht="18" x14ac:dyDescent="0.35">
      <c r="A259" s="255">
        <v>1</v>
      </c>
      <c r="B259" s="211" t="s">
        <v>711</v>
      </c>
      <c r="C259" s="421"/>
      <c r="D259" s="421"/>
      <c r="E259" s="421"/>
      <c r="F259" s="421"/>
      <c r="G259" s="421"/>
      <c r="H259" s="421"/>
      <c r="I259" s="540"/>
      <c r="J259" s="421"/>
    </row>
    <row r="260" spans="1:10" x14ac:dyDescent="0.35">
      <c r="A260" s="221"/>
      <c r="B260" s="421"/>
      <c r="C260" s="421"/>
      <c r="D260" s="421"/>
      <c r="E260" s="421"/>
      <c r="F260" s="421"/>
      <c r="G260" s="421"/>
      <c r="H260" s="421"/>
      <c r="I260" s="540"/>
      <c r="J260" s="421"/>
    </row>
    <row r="261" spans="1:10" ht="18" x14ac:dyDescent="0.35">
      <c r="A261" s="255"/>
    </row>
  </sheetData>
  <mergeCells count="20">
    <mergeCell ref="B109:I109"/>
    <mergeCell ref="B110:I110"/>
    <mergeCell ref="B108:I108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11:I111"/>
    <mergeCell ref="B185:I185"/>
    <mergeCell ref="B186:I186"/>
    <mergeCell ref="B112:I112"/>
    <mergeCell ref="B189:I189"/>
    <mergeCell ref="B187:I187"/>
    <mergeCell ref="B188:I188"/>
  </mergeCells>
  <printOptions horizontalCentered="1"/>
  <pageMargins left="0" right="0" top="0.5" bottom="0.5" header="0.35" footer="0.25"/>
  <pageSetup scale="58" orientation="portrait" r:id="rId1"/>
  <headerFooter scaleWithDoc="0" alignWithMargins="0">
    <oddHeader>&amp;C&amp;"Times New Roman,Bold"&amp;10REVISED</oddHeader>
    <oddFooter>&amp;CPage 7.&amp;P&amp;R&amp;F</oddFooter>
  </headerFooter>
  <rowBreaks count="3" manualBreakCount="3">
    <brk id="68" max="16383" man="1"/>
    <brk id="106" max="16383" man="1"/>
    <brk id="18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3B3B9-87C6-4A42-8C75-02B6AB4D9C3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1b6833a-d8f7-4a13-b002-37960639cb3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232B92-6EDA-4D7B-89C6-44EEB2162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Pg1 TO5 C3 BTRR Adj</vt:lpstr>
      <vt:lpstr>Pg2 BK-1 Comparison</vt:lpstr>
      <vt:lpstr>Pg3 BK-1 Rev TO5 C3-Cost Adj</vt:lpstr>
      <vt:lpstr>Pg4 As Filed BK-1 Retail TRR </vt:lpstr>
      <vt:lpstr>Pg5 Revised Stmt AH</vt:lpstr>
      <vt:lpstr>Pg5.1A Revised AH-1</vt:lpstr>
      <vt:lpstr>Pg5.1B Revised AH-2</vt:lpstr>
      <vt:lpstr>Pg6 Revised Stmt AL</vt:lpstr>
      <vt:lpstr>Pg7 Revised Stmt AV</vt:lpstr>
      <vt:lpstr>Pg8 TO5 C3 Int Calc</vt:lpstr>
      <vt:lpstr>'Pg2 BK-1 Comparison'!Print_Area</vt:lpstr>
      <vt:lpstr>'Pg5.1B Revised AH-2'!Print_Area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Garcia, Daniel</cp:lastModifiedBy>
  <cp:revision/>
  <cp:lastPrinted>2021-11-30T21:51:38Z</cp:lastPrinted>
  <dcterms:created xsi:type="dcterms:W3CDTF">2021-03-15T22:51:55Z</dcterms:created>
  <dcterms:modified xsi:type="dcterms:W3CDTF">2021-11-30T22:05:15Z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0x0101005C0FDD8C43D82F49AB8C4057A15F2F1C</vt:lpwstr>
  </property>
</Properties>
</file>