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1/TO5-Cycle 4 Formula Rate Filing/December Filing/Cost Adjustment Workpapers/"/>
    </mc:Choice>
  </mc:AlternateContent>
  <xr:revisionPtr revIDLastSave="9" documentId="8_{339919AE-E9B9-481F-BD4F-F28A306C5AA8}" xr6:coauthVersionLast="47" xr6:coauthVersionMax="47" xr10:uidLastSave="{7F978089-C2BE-49F5-A9E8-65192A77E46C}"/>
  <bookViews>
    <workbookView xWindow="-98" yWindow="-98" windowWidth="19396" windowHeight="10395" tabRatio="811" xr2:uid="{10B0517F-22B0-40B7-966D-C05E99945539}"/>
  </bookViews>
  <sheets>
    <sheet name="Pg1 TO5 C2 BTRR Adj" sheetId="1" r:id="rId1"/>
    <sheet name="Pg2 BK-1 Comparison " sheetId="3" r:id="rId2"/>
    <sheet name="Pg3 BK-1 Rev TO5 C2-Cost Adj " sheetId="4" r:id="rId3"/>
    <sheet name="Pg4 As Filed BK-1 Retail TRR " sheetId="5" r:id="rId4"/>
    <sheet name="Pg5 Revised Stmt AH" sheetId="6" r:id="rId5"/>
    <sheet name="Pg5.1A Revised AH-1" sheetId="7" r:id="rId6"/>
    <sheet name="Pg5.1B Revised AH-2" sheetId="8" r:id="rId7"/>
    <sheet name="Pg6 Revised Stmt AL" sheetId="9" r:id="rId8"/>
    <sheet name="Pg7 Revised Stmt AV" sheetId="10" r:id="rId9"/>
    <sheet name="Pg8 TO5 C2 Int Calc" sheetId="11" r:id="rId10"/>
  </sheets>
  <definedNames>
    <definedName name="_xlnm.Print_Area" localSheetId="1">'Pg2 BK-1 Comparison '!$A$1:$K$190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8" l="1"/>
  <c r="E129" i="4" l="1"/>
  <c r="E128" i="4"/>
  <c r="G15" i="3"/>
  <c r="E15" i="3"/>
  <c r="G235" i="10"/>
  <c r="G202" i="10"/>
  <c r="E24" i="9"/>
  <c r="E22" i="9"/>
  <c r="E37" i="6"/>
  <c r="E34" i="6"/>
  <c r="E33" i="6"/>
  <c r="E32" i="6"/>
  <c r="E31" i="6"/>
  <c r="E30" i="6"/>
  <c r="E29" i="6"/>
  <c r="E28" i="6"/>
  <c r="E27" i="6"/>
  <c r="E26" i="6"/>
  <c r="E25" i="6"/>
  <c r="E23" i="6"/>
  <c r="E19" i="6"/>
  <c r="E18" i="6"/>
  <c r="E17" i="6"/>
  <c r="E16" i="6"/>
  <c r="E15" i="6"/>
  <c r="E14" i="6"/>
  <c r="E12" i="6"/>
  <c r="E15" i="4" l="1"/>
  <c r="G186" i="3"/>
  <c r="G185" i="3"/>
  <c r="G173" i="3"/>
  <c r="G174" i="3"/>
  <c r="G172" i="3"/>
  <c r="G171" i="3"/>
  <c r="G166" i="3"/>
  <c r="G167" i="3"/>
  <c r="G165" i="3"/>
  <c r="G164" i="3"/>
  <c r="E186" i="3"/>
  <c r="E185" i="3"/>
  <c r="E173" i="3"/>
  <c r="E174" i="3"/>
  <c r="E172" i="3"/>
  <c r="E171" i="3"/>
  <c r="E166" i="3"/>
  <c r="E167" i="3"/>
  <c r="E165" i="3"/>
  <c r="E164" i="3"/>
  <c r="G148" i="3"/>
  <c r="G145" i="3"/>
  <c r="G144" i="3"/>
  <c r="G140" i="3"/>
  <c r="G134" i="3"/>
  <c r="G133" i="3"/>
  <c r="G130" i="3"/>
  <c r="G129" i="3"/>
  <c r="G128" i="3"/>
  <c r="G124" i="3"/>
  <c r="G123" i="3"/>
  <c r="G119" i="3"/>
  <c r="G118" i="3"/>
  <c r="E148" i="3"/>
  <c r="E145" i="3"/>
  <c r="E144" i="3"/>
  <c r="E140" i="3"/>
  <c r="E134" i="3"/>
  <c r="E133" i="3"/>
  <c r="E129" i="3"/>
  <c r="E128" i="3"/>
  <c r="E124" i="3"/>
  <c r="E123" i="3"/>
  <c r="E119" i="3"/>
  <c r="E118" i="3"/>
  <c r="G82" i="3"/>
  <c r="G75" i="3"/>
  <c r="G71" i="3"/>
  <c r="G68" i="3"/>
  <c r="G55" i="3"/>
  <c r="E75" i="3"/>
  <c r="E68" i="3"/>
  <c r="E55" i="3"/>
  <c r="G38" i="3"/>
  <c r="G37" i="3"/>
  <c r="E38" i="3"/>
  <c r="E37" i="3"/>
  <c r="G36" i="3"/>
  <c r="G35" i="3"/>
  <c r="G27" i="3"/>
  <c r="E36" i="3"/>
  <c r="E35" i="3"/>
  <c r="E24" i="3"/>
  <c r="E22" i="3"/>
  <c r="G20" i="3"/>
  <c r="E20" i="3"/>
  <c r="E18" i="3"/>
  <c r="G24" i="3"/>
  <c r="G22" i="3"/>
  <c r="G18" i="3"/>
  <c r="G13" i="3"/>
  <c r="G11" i="3"/>
  <c r="B156" i="3"/>
  <c r="B155" i="3"/>
  <c r="B103" i="3"/>
  <c r="B102" i="3"/>
  <c r="B48" i="3"/>
  <c r="B47" i="3"/>
  <c r="C29" i="1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28" i="11"/>
  <c r="C27" i="11"/>
  <c r="C26" i="11"/>
  <c r="C25" i="11"/>
  <c r="C24" i="11"/>
  <c r="C23" i="11"/>
  <c r="C22" i="11"/>
  <c r="C21" i="11"/>
  <c r="C20" i="11"/>
  <c r="C19" i="11"/>
  <c r="C18" i="11"/>
  <c r="I11" i="1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I33" i="11" s="1"/>
  <c r="I34" i="11" s="1"/>
  <c r="I35" i="11" s="1"/>
  <c r="I36" i="11" s="1"/>
  <c r="I37" i="11" s="1"/>
  <c r="I38" i="11" s="1"/>
  <c r="I39" i="11" s="1"/>
  <c r="I40" i="11" s="1"/>
  <c r="I41" i="11" s="1"/>
  <c r="I42" i="11" s="1"/>
  <c r="I43" i="11" s="1"/>
  <c r="I44" i="11" s="1"/>
  <c r="I45" i="11" s="1"/>
  <c r="I46" i="11" s="1"/>
  <c r="I47" i="11" s="1"/>
  <c r="I48" i="11" s="1"/>
  <c r="I49" i="11" s="1"/>
  <c r="I50" i="11" s="1"/>
  <c r="I51" i="11" s="1"/>
  <c r="I52" i="11" s="1"/>
  <c r="I53" i="11" s="1"/>
  <c r="I54" i="11" s="1"/>
  <c r="I55" i="11" s="1"/>
  <c r="I56" i="11" s="1"/>
  <c r="I57" i="11" s="1"/>
  <c r="I58" i="11" s="1"/>
  <c r="I59" i="11" s="1"/>
  <c r="I60" i="11" s="1"/>
  <c r="I61" i="11" s="1"/>
  <c r="I62" i="11" s="1"/>
  <c r="I63" i="11" s="1"/>
  <c r="I64" i="11" s="1"/>
  <c r="I65" i="11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I10" i="11"/>
  <c r="A10" i="11"/>
  <c r="K51" i="8"/>
  <c r="K52" i="8"/>
  <c r="A51" i="8"/>
  <c r="A52" i="8" s="1"/>
  <c r="K61" i="7"/>
  <c r="K62" i="7" s="1"/>
  <c r="A61" i="7"/>
  <c r="A62" i="7" s="1"/>
  <c r="G248" i="10"/>
  <c r="G245" i="10"/>
  <c r="G236" i="10"/>
  <c r="G246" i="10"/>
  <c r="G215" i="10"/>
  <c r="G212" i="10"/>
  <c r="G203" i="10"/>
  <c r="G213" i="10"/>
  <c r="J195" i="10"/>
  <c r="J196" i="10" s="1"/>
  <c r="J197" i="10" s="1"/>
  <c r="J198" i="10" s="1"/>
  <c r="J199" i="10" s="1"/>
  <c r="J200" i="10" s="1"/>
  <c r="J201" i="10" s="1"/>
  <c r="J202" i="10" s="1"/>
  <c r="J203" i="10" s="1"/>
  <c r="J204" i="10" s="1"/>
  <c r="J205" i="10" s="1"/>
  <c r="J206" i="10" s="1"/>
  <c r="J207" i="10" s="1"/>
  <c r="J208" i="10" s="1"/>
  <c r="J209" i="10" s="1"/>
  <c r="J210" i="10" s="1"/>
  <c r="J211" i="10" s="1"/>
  <c r="J212" i="10" s="1"/>
  <c r="J213" i="10" s="1"/>
  <c r="J214" i="10" s="1"/>
  <c r="J215" i="10" s="1"/>
  <c r="J216" i="10" s="1"/>
  <c r="J217" i="10" s="1"/>
  <c r="J218" i="10" s="1"/>
  <c r="J219" i="10" s="1"/>
  <c r="J220" i="10" s="1"/>
  <c r="J221" i="10" s="1"/>
  <c r="J222" i="10" s="1"/>
  <c r="J223" i="10" s="1"/>
  <c r="J224" i="10" s="1"/>
  <c r="J225" i="10" s="1"/>
  <c r="J226" i="10" s="1"/>
  <c r="J227" i="10" s="1"/>
  <c r="J228" i="10" s="1"/>
  <c r="J229" i="10" s="1"/>
  <c r="J230" i="10" s="1"/>
  <c r="J231" i="10" s="1"/>
  <c r="J232" i="10" s="1"/>
  <c r="J233" i="10" s="1"/>
  <c r="J234" i="10" s="1"/>
  <c r="J235" i="10" s="1"/>
  <c r="J236" i="10" s="1"/>
  <c r="J237" i="10" s="1"/>
  <c r="J238" i="10" s="1"/>
  <c r="J239" i="10" s="1"/>
  <c r="J240" i="10" s="1"/>
  <c r="J241" i="10" s="1"/>
  <c r="J242" i="10" s="1"/>
  <c r="J243" i="10" s="1"/>
  <c r="J244" i="10" s="1"/>
  <c r="J245" i="10" s="1"/>
  <c r="J246" i="10" s="1"/>
  <c r="J247" i="10" s="1"/>
  <c r="J248" i="10" s="1"/>
  <c r="J249" i="10" s="1"/>
  <c r="J250" i="10" s="1"/>
  <c r="J251" i="10" s="1"/>
  <c r="J252" i="10" s="1"/>
  <c r="J253" i="10" s="1"/>
  <c r="J254" i="10" s="1"/>
  <c r="J255" i="10" s="1"/>
  <c r="J256" i="10" s="1"/>
  <c r="J257" i="10" s="1"/>
  <c r="A195" i="10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G168" i="10"/>
  <c r="G135" i="10"/>
  <c r="A123" i="10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J119" i="10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J160" i="10" s="1"/>
  <c r="J161" i="10" s="1"/>
  <c r="J162" i="10" s="1"/>
  <c r="J163" i="10" s="1"/>
  <c r="J164" i="10" s="1"/>
  <c r="J165" i="10" s="1"/>
  <c r="J166" i="10" s="1"/>
  <c r="J167" i="10" s="1"/>
  <c r="J168" i="10" s="1"/>
  <c r="J169" i="10" s="1"/>
  <c r="J170" i="10" s="1"/>
  <c r="J171" i="10" s="1"/>
  <c r="J172" i="10" s="1"/>
  <c r="J173" i="10" s="1"/>
  <c r="J174" i="10" s="1"/>
  <c r="J175" i="10" s="1"/>
  <c r="J176" i="10" s="1"/>
  <c r="J177" i="10" s="1"/>
  <c r="J178" i="10" s="1"/>
  <c r="J179" i="10" s="1"/>
  <c r="J180" i="10" s="1"/>
  <c r="J118" i="10"/>
  <c r="A118" i="10"/>
  <c r="A119" i="10" s="1"/>
  <c r="A120" i="10" s="1"/>
  <c r="A121" i="10" s="1"/>
  <c r="A122" i="10" s="1"/>
  <c r="E99" i="10"/>
  <c r="C98" i="10"/>
  <c r="J88" i="10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E86" i="10"/>
  <c r="C85" i="10"/>
  <c r="J80" i="10"/>
  <c r="J81" i="10" s="1"/>
  <c r="J82" i="10" s="1"/>
  <c r="J83" i="10" s="1"/>
  <c r="J84" i="10" s="1"/>
  <c r="J85" i="10" s="1"/>
  <c r="J86" i="10" s="1"/>
  <c r="J87" i="10" s="1"/>
  <c r="A80" i="10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J79" i="10"/>
  <c r="E62" i="10"/>
  <c r="C61" i="10"/>
  <c r="E49" i="10"/>
  <c r="C48" i="10"/>
  <c r="G39" i="10"/>
  <c r="C62" i="10" s="1"/>
  <c r="G36" i="10"/>
  <c r="G32" i="10"/>
  <c r="E48" i="10" s="1"/>
  <c r="G25" i="10"/>
  <c r="G27" i="10" s="1"/>
  <c r="G17" i="10"/>
  <c r="C47" i="10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13" i="10"/>
  <c r="A14" i="10" s="1"/>
  <c r="A12" i="10"/>
  <c r="J11" i="10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E27" i="9"/>
  <c r="E34" i="9" s="1"/>
  <c r="E32" i="9"/>
  <c r="E36" i="9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J11" i="9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E51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12" i="6"/>
  <c r="H11" i="6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G19" i="9" l="1"/>
  <c r="E59" i="6"/>
  <c r="E20" i="6"/>
  <c r="E11" i="4" s="1"/>
  <c r="E11" i="3" s="1"/>
  <c r="B188" i="10"/>
  <c r="B73" i="10"/>
  <c r="B111" i="10"/>
  <c r="C50" i="10"/>
  <c r="D48" i="10" s="1"/>
  <c r="G48" i="10" s="1"/>
  <c r="E84" i="10"/>
  <c r="E47" i="10"/>
  <c r="C60" i="10"/>
  <c r="C84" i="10"/>
  <c r="E85" i="10"/>
  <c r="C86" i="10"/>
  <c r="C99" i="10"/>
  <c r="C97" i="10"/>
  <c r="C49" i="10"/>
  <c r="G15" i="9"/>
  <c r="E49" i="6"/>
  <c r="E61" i="6" l="1"/>
  <c r="E41" i="6" s="1"/>
  <c r="C100" i="10"/>
  <c r="D98" i="10" s="1"/>
  <c r="G98" i="10" s="1"/>
  <c r="D97" i="10"/>
  <c r="C87" i="10"/>
  <c r="D85" i="10" s="1"/>
  <c r="G85" i="10" s="1"/>
  <c r="D84" i="10"/>
  <c r="D99" i="10"/>
  <c r="G99" i="10" s="1"/>
  <c r="G102" i="10" s="1"/>
  <c r="G232" i="10" s="1"/>
  <c r="C63" i="10"/>
  <c r="G52" i="10"/>
  <c r="G122" i="10" s="1"/>
  <c r="D47" i="10"/>
  <c r="D49" i="10"/>
  <c r="G49" i="10" s="1"/>
  <c r="G84" i="10" l="1"/>
  <c r="G87" i="10" s="1"/>
  <c r="G222" i="10" s="1"/>
  <c r="D62" i="10"/>
  <c r="G62" i="10" s="1"/>
  <c r="G65" i="10" s="1"/>
  <c r="G155" i="10" s="1"/>
  <c r="D61" i="10"/>
  <c r="G61" i="10" s="1"/>
  <c r="D50" i="10"/>
  <c r="G47" i="10"/>
  <c r="G50" i="10" s="1"/>
  <c r="G145" i="10" s="1"/>
  <c r="D60" i="10"/>
  <c r="D100" i="10"/>
  <c r="G97" i="10"/>
  <c r="G100" i="10" s="1"/>
  <c r="G255" i="10" s="1"/>
  <c r="G134" i="10"/>
  <c r="D86" i="10"/>
  <c r="G86" i="10" s="1"/>
  <c r="G89" i="10" s="1"/>
  <c r="G199" i="10" s="1"/>
  <c r="G238" i="10"/>
  <c r="G247" i="10" s="1"/>
  <c r="G244" i="10"/>
  <c r="G205" i="10" l="1"/>
  <c r="G214" i="10" s="1"/>
  <c r="G211" i="10"/>
  <c r="G167" i="10"/>
  <c r="G60" i="10"/>
  <c r="G63" i="10" s="1"/>
  <c r="G178" i="10" s="1"/>
  <c r="D63" i="10"/>
  <c r="G250" i="10"/>
  <c r="G253" i="10" s="1"/>
  <c r="G257" i="10" s="1"/>
  <c r="D87" i="10"/>
  <c r="G86" i="3" l="1"/>
  <c r="G61" i="3"/>
  <c r="E61" i="4"/>
  <c r="E61" i="3" s="1"/>
  <c r="G217" i="10"/>
  <c r="G220" i="10" s="1"/>
  <c r="G224" i="10" s="1"/>
  <c r="G57" i="3" l="1"/>
  <c r="E57" i="4"/>
  <c r="E57" i="3" s="1"/>
  <c r="B150" i="4"/>
  <c r="B95" i="4"/>
  <c r="B95" i="3"/>
  <c r="E43" i="8" l="1"/>
  <c r="E40" i="8"/>
  <c r="E33" i="8"/>
  <c r="H26" i="8"/>
  <c r="E35" i="6" s="1"/>
  <c r="E36" i="6" s="1"/>
  <c r="E38" i="6" s="1"/>
  <c r="E40" i="6" s="1"/>
  <c r="E42" i="6" s="1"/>
  <c r="E26" i="8"/>
  <c r="D26" i="8"/>
  <c r="F24" i="8"/>
  <c r="I24" i="8" s="1"/>
  <c r="F23" i="8"/>
  <c r="I23" i="8" s="1"/>
  <c r="F22" i="8"/>
  <c r="I22" i="8" s="1"/>
  <c r="F21" i="8"/>
  <c r="I21" i="8" s="1"/>
  <c r="F20" i="8"/>
  <c r="I20" i="8" s="1"/>
  <c r="F19" i="8"/>
  <c r="I19" i="8" s="1"/>
  <c r="F18" i="8"/>
  <c r="I18" i="8" s="1"/>
  <c r="F17" i="8"/>
  <c r="I17" i="8" s="1"/>
  <c r="F16" i="8"/>
  <c r="I16" i="8" s="1"/>
  <c r="F15" i="8"/>
  <c r="I15" i="8" s="1"/>
  <c r="F14" i="8"/>
  <c r="I14" i="8" s="1"/>
  <c r="F13" i="8"/>
  <c r="I13" i="8" s="1"/>
  <c r="F12" i="8"/>
  <c r="I12" i="8" s="1"/>
  <c r="A12" i="8"/>
  <c r="A13" i="8" s="1"/>
  <c r="A14" i="8" s="1"/>
  <c r="A15" i="8" s="1"/>
  <c r="A16" i="8" s="1"/>
  <c r="K11" i="8"/>
  <c r="K12" i="8" s="1"/>
  <c r="K13" i="8" s="1"/>
  <c r="K14" i="8" s="1"/>
  <c r="K15" i="8" s="1"/>
  <c r="K16" i="8" s="1"/>
  <c r="F11" i="8"/>
  <c r="I11" i="8" s="1"/>
  <c r="E55" i="7"/>
  <c r="E57" i="7" s="1"/>
  <c r="H41" i="7"/>
  <c r="E41" i="7"/>
  <c r="D41" i="7"/>
  <c r="F39" i="7"/>
  <c r="I39" i="7" s="1"/>
  <c r="F38" i="7"/>
  <c r="I38" i="7" s="1"/>
  <c r="F37" i="7"/>
  <c r="I37" i="7" s="1"/>
  <c r="F36" i="7"/>
  <c r="I36" i="7" s="1"/>
  <c r="F35" i="7"/>
  <c r="I35" i="7" s="1"/>
  <c r="F34" i="7"/>
  <c r="I34" i="7" s="1"/>
  <c r="F33" i="7"/>
  <c r="I33" i="7" s="1"/>
  <c r="F32" i="7"/>
  <c r="I32" i="7" s="1"/>
  <c r="F31" i="7"/>
  <c r="I31" i="7" s="1"/>
  <c r="F30" i="7"/>
  <c r="I30" i="7" s="1"/>
  <c r="H27" i="7"/>
  <c r="E27" i="7"/>
  <c r="D27" i="7"/>
  <c r="D43" i="7" s="1"/>
  <c r="F25" i="7"/>
  <c r="I25" i="7" s="1"/>
  <c r="F24" i="7"/>
  <c r="I24" i="7" s="1"/>
  <c r="F23" i="7"/>
  <c r="I23" i="7" s="1"/>
  <c r="F22" i="7"/>
  <c r="I22" i="7" s="1"/>
  <c r="I21" i="7"/>
  <c r="F21" i="7"/>
  <c r="F20" i="7"/>
  <c r="I20" i="7" s="1"/>
  <c r="F19" i="7"/>
  <c r="I19" i="7" s="1"/>
  <c r="F18" i="7"/>
  <c r="I18" i="7" s="1"/>
  <c r="F17" i="7"/>
  <c r="I17" i="7" s="1"/>
  <c r="F16" i="7"/>
  <c r="I16" i="7" s="1"/>
  <c r="F15" i="7"/>
  <c r="I15" i="7" s="1"/>
  <c r="F14" i="7"/>
  <c r="I14" i="7" s="1"/>
  <c r="F13" i="7"/>
  <c r="I13" i="7" s="1"/>
  <c r="F12" i="7"/>
  <c r="I12" i="7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K11" i="7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F11" i="7"/>
  <c r="E13" i="4" l="1"/>
  <c r="E13" i="3" s="1"/>
  <c r="E23" i="9"/>
  <c r="E25" i="9" s="1"/>
  <c r="E29" i="9" s="1"/>
  <c r="E130" i="4" s="1"/>
  <c r="E130" i="3" s="1"/>
  <c r="K59" i="7"/>
  <c r="K60" i="7" s="1"/>
  <c r="E46" i="8"/>
  <c r="F27" i="7"/>
  <c r="E43" i="7"/>
  <c r="I11" i="7"/>
  <c r="I27" i="7" s="1"/>
  <c r="H43" i="7"/>
  <c r="I41" i="7"/>
  <c r="A17" i="8"/>
  <c r="K17" i="8"/>
  <c r="I26" i="8"/>
  <c r="F26" i="8"/>
  <c r="J27" i="7"/>
  <c r="A26" i="7"/>
  <c r="A27" i="7" s="1"/>
  <c r="F41" i="7"/>
  <c r="F43" i="7" l="1"/>
  <c r="I43" i="7"/>
  <c r="A18" i="8"/>
  <c r="A19" i="8" s="1"/>
  <c r="A20" i="8" s="1"/>
  <c r="A21" i="8" s="1"/>
  <c r="A22" i="8" s="1"/>
  <c r="A23" i="8" s="1"/>
  <c r="A24" i="8" s="1"/>
  <c r="K18" i="8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A28" i="7"/>
  <c r="A29" i="7" s="1"/>
  <c r="A30" i="7" s="1"/>
  <c r="J26" i="8" l="1"/>
  <c r="A25" i="8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1" i="7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38" i="8" l="1"/>
  <c r="K38" i="8"/>
  <c r="A42" i="7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J43" i="7"/>
  <c r="J41" i="7"/>
  <c r="A59" i="7" l="1"/>
  <c r="A60" i="7" s="1"/>
  <c r="K39" i="8"/>
  <c r="A39" i="8"/>
  <c r="K40" i="8" l="1"/>
  <c r="A40" i="8"/>
  <c r="A41" i="8" l="1"/>
  <c r="K41" i="8"/>
  <c r="K42" i="8" l="1"/>
  <c r="K43" i="8" s="1"/>
  <c r="K44" i="8" s="1"/>
  <c r="K45" i="8" s="1"/>
  <c r="K46" i="8" s="1"/>
  <c r="K47" i="8" s="1"/>
  <c r="K48" i="8" s="1"/>
  <c r="K49" i="8" s="1"/>
  <c r="K50" i="8" s="1"/>
  <c r="A42" i="8"/>
  <c r="A43" i="8" s="1"/>
  <c r="A44" i="8" s="1"/>
  <c r="A45" i="8" s="1"/>
  <c r="A46" i="8" s="1"/>
  <c r="A47" i="8" s="1"/>
  <c r="A48" i="8" s="1"/>
  <c r="A49" i="8" s="1"/>
  <c r="A50" i="8" s="1"/>
  <c r="E178" i="5" l="1"/>
  <c r="E176" i="5"/>
  <c r="A161" i="5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H160" i="5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B154" i="5"/>
  <c r="E84" i="5"/>
  <c r="G85" i="3" s="1"/>
  <c r="A109" i="5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H108" i="5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B102" i="5"/>
  <c r="A55" i="5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H54" i="5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B48" i="5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H11" i="5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E110" i="5" l="1"/>
  <c r="G112" i="3" s="1"/>
  <c r="G179" i="3"/>
  <c r="E112" i="5"/>
  <c r="G114" i="3" s="1"/>
  <c r="G181" i="3"/>
  <c r="E86" i="5"/>
  <c r="E144" i="5"/>
  <c r="E73" i="5" s="1"/>
  <c r="E118" i="5"/>
  <c r="E184" i="5"/>
  <c r="E137" i="5" s="1"/>
  <c r="E80" i="5"/>
  <c r="E123" i="5"/>
  <c r="E129" i="5"/>
  <c r="E175" i="5"/>
  <c r="G178" i="3" s="1"/>
  <c r="E172" i="5"/>
  <c r="E16" i="5"/>
  <c r="E25" i="5" s="1"/>
  <c r="E165" i="5"/>
  <c r="E177" i="5"/>
  <c r="E139" i="5" l="1"/>
  <c r="G139" i="3"/>
  <c r="E111" i="5"/>
  <c r="G113" i="3" s="1"/>
  <c r="G180" i="3"/>
  <c r="E82" i="5"/>
  <c r="E88" i="5" s="1"/>
  <c r="G81" i="3"/>
  <c r="E69" i="5"/>
  <c r="E75" i="5"/>
  <c r="G74" i="3"/>
  <c r="E61" i="5"/>
  <c r="E57" i="5"/>
  <c r="E109" i="5"/>
  <c r="E179" i="5"/>
  <c r="E113" i="5" l="1"/>
  <c r="E134" i="5" s="1"/>
  <c r="E28" i="5" s="1"/>
  <c r="G28" i="3" s="1"/>
  <c r="G111" i="3"/>
  <c r="E71" i="5"/>
  <c r="E77" i="5" s="1"/>
  <c r="G70" i="3"/>
  <c r="G58" i="3"/>
  <c r="E58" i="5"/>
  <c r="G62" i="3"/>
  <c r="E62" i="5"/>
  <c r="E32" i="5"/>
  <c r="E29" i="5"/>
  <c r="E64" i="5" l="1"/>
  <c r="E90" i="5" s="1"/>
  <c r="G32" i="3"/>
  <c r="E187" i="4" l="1"/>
  <c r="E139" i="4" s="1"/>
  <c r="E181" i="4"/>
  <c r="E179" i="4"/>
  <c r="A164" i="4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H163" i="4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B157" i="4"/>
  <c r="E131" i="4"/>
  <c r="E125" i="4"/>
  <c r="A112" i="4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11" i="4"/>
  <c r="H110" i="4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B104" i="4"/>
  <c r="E85" i="4"/>
  <c r="E85" i="3" s="1"/>
  <c r="E81" i="4"/>
  <c r="E81" i="3" s="1"/>
  <c r="A56" i="4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H55" i="4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B49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E141" i="4" l="1"/>
  <c r="E58" i="4" s="1"/>
  <c r="E58" i="3" s="1"/>
  <c r="E139" i="3"/>
  <c r="E112" i="4"/>
  <c r="E112" i="3" s="1"/>
  <c r="E179" i="3"/>
  <c r="E114" i="4"/>
  <c r="E114" i="3" s="1"/>
  <c r="E181" i="3"/>
  <c r="E62" i="4"/>
  <c r="E180" i="4"/>
  <c r="E178" i="4"/>
  <c r="E178" i="3" s="1"/>
  <c r="E168" i="4"/>
  <c r="E16" i="4"/>
  <c r="E25" i="4" s="1"/>
  <c r="E175" i="4"/>
  <c r="E120" i="4"/>
  <c r="E146" i="4"/>
  <c r="E59" i="4" l="1"/>
  <c r="E113" i="4"/>
  <c r="E113" i="3" s="1"/>
  <c r="E180" i="3"/>
  <c r="E62" i="3"/>
  <c r="E63" i="4"/>
  <c r="E65" i="4" s="1"/>
  <c r="E182" i="4"/>
  <c r="E111" i="4"/>
  <c r="E70" i="4"/>
  <c r="E70" i="3" s="1"/>
  <c r="E74" i="4"/>
  <c r="E115" i="4" l="1"/>
  <c r="E136" i="4" s="1"/>
  <c r="E32" i="4" s="1"/>
  <c r="E111" i="3"/>
  <c r="E76" i="4"/>
  <c r="E74" i="3"/>
  <c r="E28" i="4" l="1"/>
  <c r="G125" i="10"/>
  <c r="G158" i="10"/>
  <c r="E32" i="3"/>
  <c r="E28" i="3"/>
  <c r="G169" i="10" l="1"/>
  <c r="G161" i="10"/>
  <c r="G170" i="10" s="1"/>
  <c r="G128" i="10"/>
  <c r="G137" i="10" s="1"/>
  <c r="G136" i="10"/>
  <c r="G140" i="10" l="1"/>
  <c r="G143" i="10" s="1"/>
  <c r="G147" i="10" s="1"/>
  <c r="E38" i="9" s="1"/>
  <c r="E40" i="9" s="1"/>
  <c r="E71" i="4"/>
  <c r="E71" i="3" s="1"/>
  <c r="I71" i="3" s="1"/>
  <c r="G173" i="10"/>
  <c r="G176" i="10" s="1"/>
  <c r="G180" i="10" s="1"/>
  <c r="E86" i="4" s="1"/>
  <c r="B189" i="3"/>
  <c r="G187" i="3"/>
  <c r="E187" i="3"/>
  <c r="E141" i="3" s="1"/>
  <c r="I186" i="3"/>
  <c r="I185" i="3"/>
  <c r="G175" i="3"/>
  <c r="E175" i="3"/>
  <c r="I174" i="3"/>
  <c r="I173" i="3"/>
  <c r="I172" i="3"/>
  <c r="I171" i="3"/>
  <c r="G168" i="3"/>
  <c r="E168" i="3"/>
  <c r="I167" i="3"/>
  <c r="I166" i="3"/>
  <c r="I165" i="3"/>
  <c r="K164" i="3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I164" i="3"/>
  <c r="A164" i="3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G160" i="3"/>
  <c r="E160" i="3"/>
  <c r="B150" i="3"/>
  <c r="I148" i="3"/>
  <c r="G146" i="3"/>
  <c r="G72" i="3" s="1"/>
  <c r="E146" i="3"/>
  <c r="I145" i="3"/>
  <c r="I144" i="3"/>
  <c r="G141" i="3"/>
  <c r="G63" i="3" s="1"/>
  <c r="I140" i="3"/>
  <c r="I134" i="3"/>
  <c r="I133" i="3"/>
  <c r="G131" i="3"/>
  <c r="E131" i="3"/>
  <c r="I130" i="3"/>
  <c r="I129" i="3"/>
  <c r="I128" i="3"/>
  <c r="G125" i="3"/>
  <c r="E125" i="3"/>
  <c r="I124" i="3"/>
  <c r="I123" i="3"/>
  <c r="G120" i="3"/>
  <c r="E120" i="3"/>
  <c r="I119" i="3"/>
  <c r="I118" i="3"/>
  <c r="K111" i="3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A111" i="3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G107" i="3"/>
  <c r="E107" i="3"/>
  <c r="G87" i="3"/>
  <c r="I75" i="3"/>
  <c r="I68" i="3"/>
  <c r="I61" i="3"/>
  <c r="I57" i="3"/>
  <c r="K56" i="3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A56" i="3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I55" i="3"/>
  <c r="G52" i="3"/>
  <c r="E52" i="3"/>
  <c r="I38" i="3"/>
  <c r="I37" i="3"/>
  <c r="I36" i="3"/>
  <c r="I35" i="3"/>
  <c r="I24" i="3"/>
  <c r="I22" i="3"/>
  <c r="I20" i="3"/>
  <c r="I18" i="3"/>
  <c r="G16" i="3"/>
  <c r="G25" i="3" s="1"/>
  <c r="E16" i="3"/>
  <c r="E25" i="3" s="1"/>
  <c r="I15" i="3"/>
  <c r="I13" i="3"/>
  <c r="K11" i="3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I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E82" i="4" l="1"/>
  <c r="E27" i="4"/>
  <c r="E86" i="3"/>
  <c r="I86" i="3" s="1"/>
  <c r="E87" i="4"/>
  <c r="E72" i="4"/>
  <c r="E78" i="4" s="1"/>
  <c r="E31" i="4"/>
  <c r="E42" i="9"/>
  <c r="E44" i="9" s="1"/>
  <c r="I146" i="3"/>
  <c r="I85" i="3"/>
  <c r="I120" i="3"/>
  <c r="E63" i="3"/>
  <c r="I114" i="3"/>
  <c r="I187" i="3"/>
  <c r="G59" i="3"/>
  <c r="G65" i="3" s="1"/>
  <c r="G83" i="3"/>
  <c r="G89" i="3" s="1"/>
  <c r="I112" i="3"/>
  <c r="G182" i="3"/>
  <c r="I181" i="3"/>
  <c r="I16" i="3"/>
  <c r="I25" i="3" s="1"/>
  <c r="I70" i="3"/>
  <c r="G76" i="3"/>
  <c r="G78" i="3" s="1"/>
  <c r="I175" i="3"/>
  <c r="I125" i="3"/>
  <c r="I131" i="3"/>
  <c r="I180" i="3"/>
  <c r="I178" i="3"/>
  <c r="E87" i="3"/>
  <c r="I87" i="3" s="1"/>
  <c r="I63" i="3"/>
  <c r="E76" i="3"/>
  <c r="I81" i="3"/>
  <c r="E72" i="3"/>
  <c r="I113" i="3"/>
  <c r="I139" i="3"/>
  <c r="I141" i="3" s="1"/>
  <c r="I168" i="3"/>
  <c r="I179" i="3"/>
  <c r="E182" i="3"/>
  <c r="E27" i="3" l="1"/>
  <c r="I27" i="3" s="1"/>
  <c r="E29" i="4"/>
  <c r="E83" i="4"/>
  <c r="E89" i="4" s="1"/>
  <c r="E91" i="4" s="1"/>
  <c r="E82" i="3"/>
  <c r="G31" i="3"/>
  <c r="E33" i="5"/>
  <c r="E40" i="5" s="1"/>
  <c r="E92" i="5" s="1"/>
  <c r="E31" i="3"/>
  <c r="E33" i="4"/>
  <c r="E40" i="4" s="1"/>
  <c r="E93" i="4" s="1"/>
  <c r="I76" i="3"/>
  <c r="I62" i="3"/>
  <c r="I58" i="3"/>
  <c r="G91" i="3"/>
  <c r="E59" i="3"/>
  <c r="E65" i="3" s="1"/>
  <c r="I74" i="3"/>
  <c r="E115" i="3"/>
  <c r="E136" i="3" s="1"/>
  <c r="I59" i="3"/>
  <c r="G115" i="3"/>
  <c r="G136" i="3" s="1"/>
  <c r="I111" i="3"/>
  <c r="I115" i="3" s="1"/>
  <c r="E78" i="3"/>
  <c r="I78" i="3" s="1"/>
  <c r="I72" i="3"/>
  <c r="I182" i="3"/>
  <c r="I82" i="3" l="1"/>
  <c r="E83" i="3"/>
  <c r="I31" i="3"/>
  <c r="G29" i="3"/>
  <c r="G33" i="3"/>
  <c r="I65" i="3"/>
  <c r="I136" i="3"/>
  <c r="E89" i="3" l="1"/>
  <c r="I83" i="3"/>
  <c r="I28" i="3"/>
  <c r="E29" i="3"/>
  <c r="E33" i="3"/>
  <c r="I33" i="3" s="1"/>
  <c r="I32" i="3"/>
  <c r="G40" i="3"/>
  <c r="I89" i="3" l="1"/>
  <c r="E91" i="3"/>
  <c r="I91" i="3" s="1"/>
  <c r="G93" i="3"/>
  <c r="I29" i="3"/>
  <c r="I40" i="3" s="1"/>
  <c r="E40" i="3"/>
  <c r="E93" i="3" l="1"/>
  <c r="I93" i="3" s="1"/>
  <c r="D17" i="11" l="1"/>
  <c r="D11" i="1"/>
  <c r="D18" i="11" l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F17" i="11"/>
  <c r="G17" i="11"/>
  <c r="D65" i="11" l="1"/>
  <c r="H17" i="11"/>
  <c r="F18" i="11" l="1"/>
  <c r="G18" i="11" s="1"/>
  <c r="H18" i="11" l="1"/>
  <c r="F19" i="11" l="1"/>
  <c r="G19" i="11" s="1"/>
  <c r="H19" i="11" l="1"/>
  <c r="F20" i="11" l="1"/>
  <c r="G20" i="11" s="1"/>
  <c r="H20" i="11" l="1"/>
  <c r="F21" i="11" l="1"/>
  <c r="G21" i="11" s="1"/>
  <c r="H21" i="11" l="1"/>
  <c r="F22" i="11" l="1"/>
  <c r="G22" i="11" s="1"/>
  <c r="H22" i="11" s="1"/>
  <c r="F23" i="11" l="1"/>
  <c r="G23" i="11" s="1"/>
  <c r="H23" i="11" s="1"/>
  <c r="F24" i="11" s="1"/>
  <c r="G24" i="11" l="1"/>
  <c r="H24" i="11" s="1"/>
  <c r="F25" i="11" s="1"/>
  <c r="G25" i="11" l="1"/>
  <c r="H25" i="11" s="1"/>
  <c r="F26" i="11" l="1"/>
  <c r="G26" i="11" s="1"/>
  <c r="H26" i="11" s="1"/>
  <c r="F27" i="11" l="1"/>
  <c r="G27" i="11" s="1"/>
  <c r="H27" i="11" s="1"/>
  <c r="F28" i="11" s="1"/>
  <c r="G28" i="11" l="1"/>
  <c r="H28" i="11" s="1"/>
  <c r="F29" i="11" l="1"/>
  <c r="G29" i="11" s="1"/>
  <c r="H29" i="11" s="1"/>
  <c r="F30" i="11" s="1"/>
  <c r="G30" i="11" l="1"/>
  <c r="H30" i="11" s="1"/>
  <c r="F31" i="11" l="1"/>
  <c r="G31" i="11" s="1"/>
  <c r="H31" i="11" s="1"/>
  <c r="F32" i="11" l="1"/>
  <c r="G32" i="11" s="1"/>
  <c r="H32" i="11" l="1"/>
  <c r="F33" i="11" l="1"/>
  <c r="G33" i="11" s="1"/>
  <c r="H33" i="11" s="1"/>
  <c r="F34" i="11" s="1"/>
  <c r="G34" i="11" l="1"/>
  <c r="H34" i="11" s="1"/>
  <c r="F35" i="11" l="1"/>
  <c r="G35" i="11" s="1"/>
  <c r="H35" i="11" s="1"/>
  <c r="F36" i="11" l="1"/>
  <c r="G36" i="11" s="1"/>
  <c r="H36" i="11" s="1"/>
  <c r="F37" i="11" l="1"/>
  <c r="G37" i="11" s="1"/>
  <c r="H37" i="11" s="1"/>
  <c r="F38" i="11" l="1"/>
  <c r="G38" i="11" s="1"/>
  <c r="H38" i="11" l="1"/>
  <c r="F39" i="11" l="1"/>
  <c r="G39" i="11" s="1"/>
  <c r="H39" i="11" s="1"/>
  <c r="F40" i="11" s="1"/>
  <c r="G40" i="11" l="1"/>
  <c r="H40" i="11" s="1"/>
  <c r="F41" i="11" l="1"/>
  <c r="G41" i="11" s="1"/>
  <c r="H41" i="11" s="1"/>
  <c r="F42" i="11" l="1"/>
  <c r="G42" i="11" s="1"/>
  <c r="H42" i="11" s="1"/>
  <c r="F43" i="11" l="1"/>
  <c r="G43" i="11" s="1"/>
  <c r="H43" i="11" s="1"/>
  <c r="F44" i="11" l="1"/>
  <c r="G44" i="11" s="1"/>
  <c r="H44" i="11" l="1"/>
  <c r="F45" i="11" l="1"/>
  <c r="G45" i="11" s="1"/>
  <c r="H45" i="11" s="1"/>
  <c r="F46" i="11" l="1"/>
  <c r="G46" i="11" l="1"/>
  <c r="H46" i="11" s="1"/>
  <c r="F47" i="11" l="1"/>
  <c r="G47" i="11" s="1"/>
  <c r="H47" i="11" s="1"/>
  <c r="F48" i="11" l="1"/>
  <c r="G48" i="11" s="1"/>
  <c r="H48" i="11" l="1"/>
  <c r="F49" i="11" l="1"/>
  <c r="G49" i="11" s="1"/>
  <c r="H49" i="11" s="1"/>
  <c r="F50" i="11" l="1"/>
  <c r="G50" i="11" l="1"/>
  <c r="H50" i="11" s="1"/>
  <c r="F51" i="11" l="1"/>
  <c r="G51" i="11" s="1"/>
  <c r="H51" i="11" s="1"/>
  <c r="F52" i="11" s="1"/>
  <c r="G52" i="11" l="1"/>
  <c r="H52" i="11" s="1"/>
  <c r="F53" i="11" l="1"/>
  <c r="G53" i="11" s="1"/>
  <c r="H53" i="11" s="1"/>
  <c r="F54" i="11" l="1"/>
  <c r="G54" i="11" s="1"/>
  <c r="H54" i="11" l="1"/>
  <c r="F55" i="11" l="1"/>
  <c r="G55" i="11" s="1"/>
  <c r="H55" i="11" s="1"/>
  <c r="F56" i="11" l="1"/>
  <c r="G56" i="11" s="1"/>
  <c r="H56" i="11" s="1"/>
  <c r="F57" i="11" l="1"/>
  <c r="G57" i="11" s="1"/>
  <c r="H57" i="11" s="1"/>
  <c r="F58" i="11" l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G58" i="11" l="1"/>
  <c r="H58" i="11" s="1"/>
  <c r="F59" i="11" l="1"/>
  <c r="G59" i="11" s="1"/>
  <c r="H59" i="11" s="1"/>
  <c r="F60" i="11" s="1"/>
  <c r="G60" i="11" l="1"/>
  <c r="H60" i="11" s="1"/>
  <c r="F61" i="11" s="1"/>
  <c r="G61" i="11" l="1"/>
  <c r="H61" i="11" s="1"/>
  <c r="F62" i="11" l="1"/>
  <c r="G62" i="11" s="1"/>
  <c r="H62" i="11" l="1"/>
  <c r="F63" i="11" l="1"/>
  <c r="G63" i="11" l="1"/>
  <c r="H63" i="11" s="1"/>
  <c r="F64" i="11" l="1"/>
  <c r="G64" i="11" s="1"/>
  <c r="G65" i="11" s="1"/>
  <c r="D13" i="1" s="1"/>
  <c r="H64" i="11" l="1"/>
  <c r="D15" i="1" l="1"/>
  <c r="D21" i="1" l="1"/>
  <c r="D17" i="1"/>
  <c r="D19" i="1" s="1"/>
  <c r="D23" i="1" l="1"/>
</calcChain>
</file>

<file path=xl/sharedStrings.xml><?xml version="1.0" encoding="utf-8"?>
<sst xmlns="http://schemas.openxmlformats.org/spreadsheetml/2006/main" count="1652" uniqueCount="745">
  <si>
    <t>San Diego Gas &amp; Electric Company</t>
  </si>
  <si>
    <r>
      <t xml:space="preserve">TO5 Cycle 4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</si>
  <si>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Derivation of Other BTRR Adjustment Applicable to TO5 Cycle 2</t>
  </si>
  <si>
    <t>($1,000)</t>
  </si>
  <si>
    <t>Line</t>
  </si>
  <si>
    <t>No.</t>
  </si>
  <si>
    <t>Description</t>
  </si>
  <si>
    <t>Amounts</t>
  </si>
  <si>
    <t>Reference</t>
  </si>
  <si>
    <t>BTRR Adjustment due to TO5 Cycle 2 Cost Adjustments Calculation:</t>
  </si>
  <si>
    <t>Total BTRR Adjustment - Before Interest</t>
  </si>
  <si>
    <t>Page 2.2; Line 39; Col. C</t>
  </si>
  <si>
    <t>Interest Expense</t>
  </si>
  <si>
    <t>Page 8.1; Line 57; Col. 5</t>
  </si>
  <si>
    <t>Total BTRR Adjustment Excluding FF&amp;U</t>
  </si>
  <si>
    <t>Sum Lines 2 and 4</t>
  </si>
  <si>
    <t>Transmission Related Municipal Franchise Fees Expenses</t>
  </si>
  <si>
    <t>Line 6 x 1.0275%</t>
  </si>
  <si>
    <t>Total BTRR Adjustment Including Franchise Fees Expense (WHOLESALE)</t>
  </si>
  <si>
    <t>Sum Lines 6 and 8</t>
  </si>
  <si>
    <t>Transmission Related Uncollectible Expense</t>
  </si>
  <si>
    <t>Line 6 x 0.165%</t>
  </si>
  <si>
    <t>Total BTRR Adjustment Including FF&amp;U (RETAIL)</t>
  </si>
  <si>
    <t>Sum Lines 10 and 12</t>
  </si>
  <si>
    <t xml:space="preserve">Section C.5. of the Protocols provides a mechanism for SDG&amp;E to correct errors that affected the TU TRR in a previous Informational Filing. In this TO5 Cycle 4 </t>
  </si>
  <si>
    <r>
      <t xml:space="preserve">Informational Filing, SDG&amp;E is correcting TO5 Cycle 2 for approximately </t>
    </r>
    <r>
      <rPr>
        <sz val="12"/>
        <rFont val="Times New Roman"/>
        <family val="1"/>
      </rPr>
      <t>($0.5M)</t>
    </r>
    <r>
      <rPr>
        <sz val="12"/>
        <color theme="1"/>
        <rFont val="Times New Roman"/>
        <family val="1"/>
      </rPr>
      <t xml:space="preserve"> for a 2018 adjustment to O&amp;M and A&amp;G.</t>
    </r>
  </si>
  <si>
    <t>TO5 Cycle 4 Annual Informational Filing</t>
  </si>
  <si>
    <t>A</t>
  </si>
  <si>
    <t>B</t>
  </si>
  <si>
    <t>C = A - B</t>
  </si>
  <si>
    <t xml:space="preserve">Revised - TO5 C2 </t>
  </si>
  <si>
    <t>As Filed - TO5 C2 per ER 20-503</t>
  </si>
  <si>
    <t>Difference</t>
  </si>
  <si>
    <t xml:space="preserve"> </t>
  </si>
  <si>
    <t xml:space="preserve">Amounts  </t>
  </si>
  <si>
    <t>Incr (Decr)</t>
  </si>
  <si>
    <t>A. Revenues:</t>
  </si>
  <si>
    <t>Transmission Operation &amp; Maintenance Expense</t>
  </si>
  <si>
    <t>√</t>
  </si>
  <si>
    <t>Page 3.1 and Page 4.1, Line 1</t>
  </si>
  <si>
    <t>Transmission Related A&amp;G Expense</t>
  </si>
  <si>
    <t>Page 3.1 and Page 4.1, Line 3</t>
  </si>
  <si>
    <t>CPUC Intervenor Funding Expense - Transmission</t>
  </si>
  <si>
    <t>Page 3.1 and Page 4.1, Line 5</t>
  </si>
  <si>
    <t xml:space="preserve">     Total O&amp;M Expenses</t>
  </si>
  <si>
    <t>Sum Lines 1 thru 5</t>
  </si>
  <si>
    <t>Transmission, General, Common Plant Depn. Exp., and Electric Misc. Intangible Plant Amort. Exp.</t>
  </si>
  <si>
    <t>Page 3.1 and Page 4.1, Line 8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</si>
  <si>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</si>
  <si>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Page 3.1 and Page 4.1, Line 10</t>
  </si>
  <si>
    <t>Transmission Related Property Taxes Expense</t>
  </si>
  <si>
    <t>Page 3.1 and Page 4.1, Line 12</t>
  </si>
  <si>
    <t>Transmission Related Payroll Taxes Expense</t>
  </si>
  <si>
    <t>Page 3.1 and Page 4.1, Line 14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</si>
  <si>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</si>
  <si>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</si>
  <si>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</si>
  <si>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t>Page 3.1 and Page 4.1, Line 17</t>
  </si>
  <si>
    <t>Transmission Rate Base</t>
  </si>
  <si>
    <t>Page 3.1 and Page 4.1, Line 18</t>
  </si>
  <si>
    <t xml:space="preserve">     Return and Associated Income Taxes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</si>
  <si>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</si>
  <si>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</si>
  <si>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3.1 and Page 4.1, Line 21</t>
  </si>
  <si>
    <t>Page 3.1 and Page 4.1, Line 22</t>
  </si>
  <si>
    <t xml:space="preserve">     Return and Associated Income Taxes - CAISO Participation ROE Adder</t>
  </si>
  <si>
    <t>Line 21 x Line 22</t>
  </si>
  <si>
    <t>Total of Federal Income Tax Deductions, Other Than Interest</t>
  </si>
  <si>
    <t>Page 3.1 and Page 4.1, Line 25</t>
  </si>
  <si>
    <t>Transmission Related Revenue Credits</t>
  </si>
  <si>
    <t>Page 3.1 and Page 4.1, Line 26</t>
  </si>
  <si>
    <t>Transmission Related Regulatory Debits/Credits</t>
  </si>
  <si>
    <t>Page 3.1 and Page 4.1, Line 27</t>
  </si>
  <si>
    <t>(Gains)/Losses from Sale of Plant Held for Future Use</t>
  </si>
  <si>
    <t>Page 3.1 and Page 4.1, Line 28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</si>
  <si>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</si>
  <si>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</si>
  <si>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Items that are in BOLD have changed compared to the original TO5 Cycle 2 filing per ER20-503.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</si>
  <si>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</si>
  <si>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</si>
  <si>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</si>
  <si>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Page 3.2 and Page 4.2, Line 1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</si>
  <si>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</si>
  <si>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Page 3.2 and Page 4.2, Line 3</t>
  </si>
  <si>
    <t>Total Incentive ROE Project Transmission Rate Base</t>
  </si>
  <si>
    <t>Page 3.2 and Page 4.2, Line 4</t>
  </si>
  <si>
    <t xml:space="preserve">     Incentive ROE Project Return and Associated Income Taxes - Base ROE</t>
  </si>
  <si>
    <t>Line 3 x Line 4</t>
  </si>
  <si>
    <t>Page 3.2 and Page 4.2, Line 7</t>
  </si>
  <si>
    <t>Page 3.2 and Page 4.2, Line 8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</si>
  <si>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</si>
  <si>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</si>
  <si>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</si>
  <si>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</si>
  <si>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</si>
  <si>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Page 3.2 and Page 4.2, Line 14</t>
  </si>
  <si>
    <t>Total Incentive Transmission Plant Abandoned Project Cost Rate Base</t>
  </si>
  <si>
    <t>Page 3.2 and Page 4.2, Line 16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</si>
  <si>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</si>
  <si>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Page 3.2 and Page 4.2, Line 17</t>
  </si>
  <si>
    <t xml:space="preserve">     Incentive Trans. Plant Aband. Proj. Return &amp; Assoc. Inc. Taxes - Base ROE</t>
  </si>
  <si>
    <t>Line 16 x Line 17</t>
  </si>
  <si>
    <t>Page 3.2 and Page 4.2, Line 20</t>
  </si>
  <si>
    <t>Page 3.2 and Page 4.2, Line 21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</si>
  <si>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</si>
  <si>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</si>
  <si>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</si>
  <si>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</si>
  <si>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</si>
  <si>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</si>
  <si>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3.2 and Page 4.2, Line 27</t>
  </si>
  <si>
    <t>Page 3.2 and Page 4.2, Line 28</t>
  </si>
  <si>
    <t xml:space="preserve">     Incentive CWIP Return and Associated Income Taxes - Base ROE</t>
  </si>
  <si>
    <t>Line 27 x Line 28</t>
  </si>
  <si>
    <t>Page 3.2 and Page 4.2, Line 31</t>
  </si>
  <si>
    <t>Page 3.2 and Page 4.2, Line 32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</si>
  <si>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</si>
  <si>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</si>
  <si>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</si>
  <si>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</si>
  <si>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</si>
  <si>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</si>
  <si>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</si>
  <si>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</si>
  <si>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</si>
  <si>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</si>
  <si>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</t>
  </si>
  <si>
    <t>Net Transmission Plant:</t>
  </si>
  <si>
    <t>Transmission Plant</t>
  </si>
  <si>
    <t>Page 3.3 and Page 4.3, Line 2</t>
  </si>
  <si>
    <t>Transmission Related Electric Miscellaneous Intangible Plant</t>
  </si>
  <si>
    <t>Page 3.3 and Page 4.3, Line 3</t>
  </si>
  <si>
    <t>Transmission Related General Plant</t>
  </si>
  <si>
    <t>Page 3.3 and Page 4.3, Line 4</t>
  </si>
  <si>
    <t>Transmission Related Common Plant</t>
  </si>
  <si>
    <t>Page 3.3 and Page 4.3, Line 5</t>
  </si>
  <si>
    <t xml:space="preserve">     Total Net Transmission Plant</t>
  </si>
  <si>
    <t>Sum Lines 2 thru 5</t>
  </si>
  <si>
    <t>Rate Base Additions:</t>
  </si>
  <si>
    <t>Plant Held for Future Use</t>
  </si>
  <si>
    <t>Page 3.3 and Page 4.3, Line 9</t>
  </si>
  <si>
    <t>Transmission Plant Abandoned Project Cost</t>
  </si>
  <si>
    <t>Page 3.3 and Page 4.3, Line 10</t>
  </si>
  <si>
    <t xml:space="preserve">     Total Rate Base Additions</t>
  </si>
  <si>
    <t>Line 9 + Line 10</t>
  </si>
  <si>
    <t>Rate Base Reductions:</t>
  </si>
  <si>
    <t>Transmission Related Accum. Def. Inc. Taxes</t>
  </si>
  <si>
    <t>Page 3.3 and Page 4.3, Line 14</t>
  </si>
  <si>
    <t>Transmission Plant Abandoned Accum. Def. Inc. Taxes</t>
  </si>
  <si>
    <t>Page 3.3 and Page 4.3, Line 15</t>
  </si>
  <si>
    <t xml:space="preserve">     Total Rate Base Reductions</t>
  </si>
  <si>
    <t>Line 14 + Line 15</t>
  </si>
  <si>
    <t>Working Capital:</t>
  </si>
  <si>
    <t xml:space="preserve">Transmission Related Material and Supplies </t>
  </si>
  <si>
    <t>Page 3.3 and Page 4.3, Line 19</t>
  </si>
  <si>
    <t>Transmission Related Prepayments</t>
  </si>
  <si>
    <t>Page 3.3 and Page 4.3, Line 20</t>
  </si>
  <si>
    <t>Transmission Related Cash Working Capital</t>
  </si>
  <si>
    <t>Page 3.3 and Page 4.3, Line 21</t>
  </si>
  <si>
    <t xml:space="preserve">   Total Working Capital</t>
  </si>
  <si>
    <t>Sum Lines 19 thru 21</t>
  </si>
  <si>
    <t>Other Regulatory Assets/Liabilities</t>
  </si>
  <si>
    <t>Page 3.3 and Page 4.3, Line 24</t>
  </si>
  <si>
    <t>Unfunded Reserves</t>
  </si>
  <si>
    <t>Page 3.3 and Page 4.3, Line 25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</si>
  <si>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</si>
  <si>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</si>
  <si>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</si>
  <si>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</si>
  <si>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3.3 and Page 4.3, Line 30</t>
  </si>
  <si>
    <t xml:space="preserve">Incentive Transmission Plant Accum. Def. Income Taxes </t>
  </si>
  <si>
    <t>Page 3.3 and Page 4.3, Line 31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</si>
  <si>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</si>
  <si>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</si>
  <si>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</si>
  <si>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</si>
  <si>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Page 3.3 and Page 4.3, Line 35</t>
  </si>
  <si>
    <t>Incentive Transmission Plant Abandoned Project Cost Accum. Def. Inc. Taxes</t>
  </si>
  <si>
    <t>Page 3.3 and Page 4.3, Line 36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</si>
  <si>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</si>
  <si>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</si>
  <si>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</si>
  <si>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3.3 and Page 4.3, Line 39</t>
  </si>
  <si>
    <t>A. Transmission Plant</t>
  </si>
  <si>
    <t>Gross Transmission Plant:</t>
  </si>
  <si>
    <t>Page 3.4 and Page 4.4, Line 2</t>
  </si>
  <si>
    <t>Page 3.4 and Page 4.4, Line 3</t>
  </si>
  <si>
    <t>Page 3.4 and Page 4.4, Line 4</t>
  </si>
  <si>
    <t>Page 3.4 and Page 4.4, Line 5</t>
  </si>
  <si>
    <t xml:space="preserve">     Total Gross Transmission Plant</t>
  </si>
  <si>
    <t>Transmission Related Depreciation Reserve:</t>
  </si>
  <si>
    <t xml:space="preserve">Transmission Plant Depreciation Reserve </t>
  </si>
  <si>
    <t>Page 3.4 and Page 4.4, Line 9</t>
  </si>
  <si>
    <t>Transmission Related Electric Misc. Intangible Plant Amortization Reserve</t>
  </si>
  <si>
    <t>Page 3.4 and Page 4.4, Line 10</t>
  </si>
  <si>
    <t>Transmission Related General Plant Depr Reserve</t>
  </si>
  <si>
    <t>Page 3.4 and Page 4.4, Line 11</t>
  </si>
  <si>
    <t>Transmission Related Common Plant Depr Reserve</t>
  </si>
  <si>
    <t>Page 3.4 and Page 4.4, Line 12</t>
  </si>
  <si>
    <t xml:space="preserve">     Total Transmission Related Depreciation Reserve</t>
  </si>
  <si>
    <t>Sum Lines 9 thru 12</t>
  </si>
  <si>
    <t>Page 3.4 and Page 4.4, Line 16</t>
  </si>
  <si>
    <t>Page 3.4 and Page 4.4, Line 17</t>
  </si>
  <si>
    <t>Page 3.4 and Page 4.4, Line 18</t>
  </si>
  <si>
    <t>Page 3.4 and Page 4.4, Line 19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</si>
  <si>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</si>
  <si>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</si>
  <si>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</si>
  <si>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Page 3.4 and Page 4.4, Line 23</t>
  </si>
  <si>
    <t>Incentive Transmission Plant Depreciation Reserve</t>
  </si>
  <si>
    <t>Page 3.4 and Page 4.4, Line 24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</si>
  <si>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</si>
  <si>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</si>
  <si>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</si>
  <si>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</si>
  <si>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</si>
  <si>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</si>
  <si>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2018</t>
  </si>
  <si>
    <t>Statement AH; Line 10</t>
  </si>
  <si>
    <t>Statement AH; Line 32</t>
  </si>
  <si>
    <t>Negative of Statement AH; Line 17</t>
  </si>
  <si>
    <t>Statement AJ; Line 17</t>
  </si>
  <si>
    <t>Statement AJ; Line 23</t>
  </si>
  <si>
    <t>Statement AK; Line 13</t>
  </si>
  <si>
    <t>Statement AK; Line 20</t>
  </si>
  <si>
    <t>Statement AV; Page 3; Line 31</t>
  </si>
  <si>
    <t>Page 3; Line 27</t>
  </si>
  <si>
    <t xml:space="preserve">     Return and Associated Income Taxes - Base ROE</t>
  </si>
  <si>
    <t>Statement AV; Page 3; Line 64</t>
  </si>
  <si>
    <t>Page 3; Line 27 - Line 10</t>
  </si>
  <si>
    <t>Statement AQ; Line 3</t>
  </si>
  <si>
    <t>Statement AU; Line 13</t>
  </si>
  <si>
    <t>Statement Misc; Line 1</t>
  </si>
  <si>
    <t>Statement AU; Line 15</t>
  </si>
  <si>
    <t>Items that are in bold have changed compared to the original TO5 Cycle 2 filing per ER20-503.</t>
  </si>
  <si>
    <t>Statement AJ; Line 19</t>
  </si>
  <si>
    <t>Statement AV; Page 4; Line 31</t>
  </si>
  <si>
    <t>Page 3; Line 32</t>
  </si>
  <si>
    <t>Statement AV; Page 4; Line 64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</si>
  <si>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</si>
  <si>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</si>
  <si>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</si>
  <si>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</si>
  <si>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</si>
  <si>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</si>
  <si>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</si>
  <si>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</si>
  <si>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</si>
  <si>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</si>
  <si>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</si>
  <si>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</si>
  <si>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7</t>
  </si>
  <si>
    <t>Statement AF; Line 11</t>
  </si>
  <si>
    <t xml:space="preserve">Transmission Related Materials and Supplies </t>
  </si>
  <si>
    <t>Statement AL; Line 5</t>
  </si>
  <si>
    <t>Statement AL; Line 9</t>
  </si>
  <si>
    <t>Statement AL; Line 19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</si>
  <si>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</si>
  <si>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</si>
  <si>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</si>
  <si>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</si>
  <si>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</si>
  <si>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</si>
  <si>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</si>
  <si>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</si>
  <si>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</si>
  <si>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</si>
  <si>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</si>
  <si>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</si>
  <si>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</si>
  <si>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</si>
  <si>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</si>
  <si>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</si>
  <si>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</si>
  <si>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</si>
  <si>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</si>
  <si>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</si>
  <si>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</si>
  <si>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</si>
  <si>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</si>
  <si>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</si>
  <si>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Statement AH; Line 9</t>
  </si>
  <si>
    <t>Statement AH; Line 31</t>
  </si>
  <si>
    <t>Negative of Statement AH; Line 16</t>
  </si>
  <si>
    <t>Statement AH</t>
  </si>
  <si>
    <t>Operation and Maintenance Expenses</t>
  </si>
  <si>
    <t>Base Period &amp; True-Up Period 12 - Months Ending December 31, 2018</t>
  </si>
  <si>
    <t>FERC Form 1</t>
  </si>
  <si>
    <t>Page; Line; Col.</t>
  </si>
  <si>
    <t>Derivation of Transmission Operation and Maintenance Expense:</t>
  </si>
  <si>
    <t>Total Transmission O&amp;M Expense</t>
  </si>
  <si>
    <t>321; 112; b</t>
  </si>
  <si>
    <t>AH-1; Line 33; Col. a</t>
  </si>
  <si>
    <t>Adjustments to Per Book Transmission O&amp;M Expense: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</si>
  <si>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</si>
  <si>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t>Negative of AH-1; Line 38;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</si>
  <si>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</si>
  <si>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t>Negative of AH-1; Line 39;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</si>
  <si>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</si>
  <si>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t>Negative of AH-1; Line 40;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</si>
  <si>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</si>
  <si>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>Negative of AH-1; Line 45; Col. b</t>
  </si>
  <si>
    <t xml:space="preserve">   Other Transmission O&amp;M Exclusion Adjustments </t>
  </si>
  <si>
    <t>Negative of AH-1; Line 37; Col. b</t>
  </si>
  <si>
    <t xml:space="preserve">   Other Cost Adjustments</t>
  </si>
  <si>
    <t>AH-1; Line 33; Col. d</t>
  </si>
  <si>
    <t xml:space="preserve">     Total Adjusted Transmission O&amp;M Expenses </t>
  </si>
  <si>
    <t>Sum Lines 2 thru 9</t>
  </si>
  <si>
    <t>Derivation of Administrative and General Expense:</t>
  </si>
  <si>
    <t>Total Administrative &amp; General Expense</t>
  </si>
  <si>
    <t>323; 197; b</t>
  </si>
  <si>
    <t>AH-2; Line 16; Col. a</t>
  </si>
  <si>
    <t>Adjustments to Per Book A&amp;G Expense:</t>
  </si>
  <si>
    <t xml:space="preserve"> Abandoned Projects</t>
  </si>
  <si>
    <t>Negative of AH-2; Line 33; Col. b</t>
  </si>
  <si>
    <t xml:space="preserve">   CPUC energy efficiency programs</t>
  </si>
  <si>
    <t>Negative of AH-2; Sum Lines 22, 24, 26, 32; Col. a or b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</si>
  <si>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</si>
  <si>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t>Negative of AH-2; Line 27; Col. a</t>
  </si>
  <si>
    <t xml:space="preserve">   CPUC Intervenor Funding Expense - Distribution</t>
  </si>
  <si>
    <t>Negative of AH-2; Line 28; Col. a</t>
  </si>
  <si>
    <t xml:space="preserve">   CPUC reimbursement fees</t>
  </si>
  <si>
    <t>Negative of AH-2; Line 29; Col. a</t>
  </si>
  <si>
    <t xml:space="preserve">   Injuries &amp; Damages</t>
  </si>
  <si>
    <t>Negative of AH-2; Line 23; Col. a</t>
  </si>
  <si>
    <t xml:space="preserve">   General Advertising Expenses </t>
  </si>
  <si>
    <t>Negative of AH-2; Line 31; Col. b</t>
  </si>
  <si>
    <t xml:space="preserve">   Franchise Requirements</t>
  </si>
  <si>
    <t>Negative of AH-2; Line 25; Col. b</t>
  </si>
  <si>
    <t xml:space="preserve">   Hazardous substances - Hazardous Substance Cleanup Cost Account</t>
  </si>
  <si>
    <t>Negative of AH-2; Line 34; Col. b</t>
  </si>
  <si>
    <t xml:space="preserve">   Litigation expenses - Litigation Cost Memorandum Account (LCMA)</t>
  </si>
  <si>
    <t>Negative of AH-2; Sum Lines 20, 21, 30; Col. a or b</t>
  </si>
  <si>
    <t>AH-2; Line 16; Col. d</t>
  </si>
  <si>
    <t xml:space="preserve">     Total Adjusted A&amp;G Expenses Including Property Insurance</t>
  </si>
  <si>
    <t>Sum Lines 13 thru 25</t>
  </si>
  <si>
    <t>Less: Property Insurance (Due to different allocation factor)</t>
  </si>
  <si>
    <t>Negative of AH-2; Line 5; Col. c</t>
  </si>
  <si>
    <t>Total Adjusted A&amp;G Expenses Excluding Property Insurance</t>
  </si>
  <si>
    <t>Line 26 + Line 27</t>
  </si>
  <si>
    <t>Transmission Wages and Salaries Allocation Factor</t>
  </si>
  <si>
    <t>Statement AI; Line 15</t>
  </si>
  <si>
    <t>Transmission Related Administrative &amp; General Expenses</t>
  </si>
  <si>
    <t>Line 28 x Line 29</t>
  </si>
  <si>
    <t>Property Insurance Allocated to Transmission, General, and Common Plant</t>
  </si>
  <si>
    <t>Negative of Line 27 x Line 51</t>
  </si>
  <si>
    <t xml:space="preserve">     Transmission Related A&amp;G Expense Including Property Insurance Expense</t>
  </si>
  <si>
    <t>Derivation of Transmission Plant Property Insurance Allocation Factor:</t>
  </si>
  <si>
    <t>Transmission Plant &amp; Incentive Transmission Plant</t>
  </si>
  <si>
    <t>Statement AD; Line 25</t>
  </si>
  <si>
    <t xml:space="preserve">Transmission Related Common Plant </t>
  </si>
  <si>
    <t xml:space="preserve">     Total Transmission Related Investment in Plant</t>
  </si>
  <si>
    <t>Sum Lines 35 thru 38</t>
  </si>
  <si>
    <t>Total Transmission Plant &amp; Incentive Transmission Plant</t>
  </si>
  <si>
    <t>Line 35 Above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</si>
  <si>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</si>
  <si>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</si>
  <si>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</si>
  <si>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</si>
  <si>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</si>
  <si>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</si>
  <si>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</si>
  <si>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</si>
  <si>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</si>
  <si>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</si>
  <si>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</si>
  <si>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</si>
  <si>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t>Sum Lines 41 thru 48</t>
  </si>
  <si>
    <t>Transmission Property Insurance and Tax Allocation Factor</t>
  </si>
  <si>
    <t>Line 39 / Line 49</t>
  </si>
  <si>
    <t>Items in bold have changed compared to the original TO5 Cycle 2 filing per ER20-503.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</si>
  <si>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</si>
  <si>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</si>
  <si>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Electric Transmission O&amp;M Expenses</t>
  </si>
  <si>
    <t xml:space="preserve"> 12 Months Ending December 31, 2018</t>
  </si>
  <si>
    <t>(a)</t>
  </si>
  <si>
    <t>(b)</t>
  </si>
  <si>
    <t>(c) = (a) - (b)</t>
  </si>
  <si>
    <r>
      <t>(d)</t>
    </r>
    <r>
      <rPr>
        <b/>
        <vertAlign val="superscript"/>
        <sz val="12"/>
        <rFont val="Times New Roman"/>
        <family val="1"/>
      </rPr>
      <t xml:space="preserve"> 1</t>
    </r>
  </si>
  <si>
    <t>(e) = (c) + (d)</t>
  </si>
  <si>
    <t>FERC</t>
  </si>
  <si>
    <t>Total</t>
  </si>
  <si>
    <t>Excluded</t>
  </si>
  <si>
    <t xml:space="preserve">Add / (Deduct) </t>
  </si>
  <si>
    <t>Revised</t>
  </si>
  <si>
    <t>Acct</t>
  </si>
  <si>
    <t>Per Books</t>
  </si>
  <si>
    <t>Expenses</t>
  </si>
  <si>
    <t>Adjusted</t>
  </si>
  <si>
    <t>O&amp;M Cost Adj</t>
  </si>
  <si>
    <t xml:space="preserve">O&amp;M </t>
  </si>
  <si>
    <t>Electric Transmission Operation</t>
  </si>
  <si>
    <t>Operation Supervision and Engineering</t>
  </si>
  <si>
    <t>Form 1; Page 321; Line 83</t>
  </si>
  <si>
    <t>Load Dispatch - Reliability</t>
  </si>
  <si>
    <t>Form 1; Page 321; Line 85</t>
  </si>
  <si>
    <t>Load Dispatch - Monitor and Operate Transmission System</t>
  </si>
  <si>
    <t>Form 1; Page 321; Line 86</t>
  </si>
  <si>
    <t>Load Dispatch - Transmission Service and Scheduling</t>
  </si>
  <si>
    <t>Form 1; Page 321; Line 87</t>
  </si>
  <si>
    <t xml:space="preserve">Scheduling, System Control and Dispatch Services </t>
  </si>
  <si>
    <t>Form 1; Page 321; Line 88</t>
  </si>
  <si>
    <t>Reliability, Planning and Standards Development</t>
  </si>
  <si>
    <t>Form 1; Page 321; Line 89</t>
  </si>
  <si>
    <t>Transmission Service Studies</t>
  </si>
  <si>
    <t>Form 1; Page 321; Line 90</t>
  </si>
  <si>
    <t>Generation Interconnection Studies</t>
  </si>
  <si>
    <t>Form 1; Page 321; Line 91</t>
  </si>
  <si>
    <t xml:space="preserve">Reliability, Planning and Standards Development Services </t>
  </si>
  <si>
    <t>Form 1; Page 321; Line 92</t>
  </si>
  <si>
    <t>Station Expenses</t>
  </si>
  <si>
    <t>Form 1; Page 321; Line 93</t>
  </si>
  <si>
    <r>
      <t xml:space="preserve">Overhead Line Expenses </t>
    </r>
    <r>
      <rPr>
        <b/>
        <sz val="12"/>
        <rFont val="Times New Roman"/>
        <family val="1"/>
      </rPr>
      <t xml:space="preserve"> </t>
    </r>
  </si>
  <si>
    <t>Form 1; Page 321; Line 94</t>
  </si>
  <si>
    <t>Underground Line Expenses</t>
  </si>
  <si>
    <t>Form 1; Page 321; Line 95</t>
  </si>
  <si>
    <t>Transmission of Electricity by Others</t>
  </si>
  <si>
    <t>Form 1; Page 321; Line 96</t>
  </si>
  <si>
    <t>Misc. Transmission Expenses</t>
  </si>
  <si>
    <t>Form 1; Page 321; Line 97</t>
  </si>
  <si>
    <t>Rents</t>
  </si>
  <si>
    <t>Form 1; Page 321; Line 98</t>
  </si>
  <si>
    <t xml:space="preserve">     Total Electric Transmission Operation </t>
  </si>
  <si>
    <t>Electric Transmission Maintenance</t>
  </si>
  <si>
    <t>Maintenance Supervision and Engineering</t>
  </si>
  <si>
    <t>Form 1; Page 321; Line 101</t>
  </si>
  <si>
    <t>Maintenance of Structures</t>
  </si>
  <si>
    <t>Form 1; Page 321; Line 102</t>
  </si>
  <si>
    <t>Maintenance of Computer Hardware</t>
  </si>
  <si>
    <t>Form 1; Page 321; Line 103</t>
  </si>
  <si>
    <t>Maintenance of Computer Software</t>
  </si>
  <si>
    <t>Form 1; Page 321; Line 104</t>
  </si>
  <si>
    <t>Maintenance of Communication Equipment</t>
  </si>
  <si>
    <t>Form 1; Page 321; Line 105</t>
  </si>
  <si>
    <t>Maintenance of Misc. Regional Transmission Plant</t>
  </si>
  <si>
    <t>Form 1; Page 321; Line 106</t>
  </si>
  <si>
    <t>Maintenance of Station Equipment</t>
  </si>
  <si>
    <t>Form 1; Page 321; Line 107</t>
  </si>
  <si>
    <t>Maintenance of Overhead Lines</t>
  </si>
  <si>
    <t>Form 1; Page 321; Line 108</t>
  </si>
  <si>
    <t>Maintenance of Underground Lines</t>
  </si>
  <si>
    <t>Form 1; Page 321; Line 109</t>
  </si>
  <si>
    <t>Maintenance of Misc. Transmission Plant</t>
  </si>
  <si>
    <t>Form 1; Page 321; Line 110</t>
  </si>
  <si>
    <t xml:space="preserve">     Total Electric Transmission Maintenance</t>
  </si>
  <si>
    <t>Total Electric Transmission O&amp;M Expenses</t>
  </si>
  <si>
    <t>Excluded Expenses (recovery method in parentheses):</t>
  </si>
  <si>
    <t>560</t>
  </si>
  <si>
    <t>Executive ICP</t>
  </si>
  <si>
    <t xml:space="preserve">561.4 </t>
  </si>
  <si>
    <t>Scheduling, System Control and Dispatch Services (ERRA)</t>
  </si>
  <si>
    <t>Reliability, Planning and Standards Development Services (ERRA)</t>
  </si>
  <si>
    <t>Transmission of Electricity by Others (ERRA)</t>
  </si>
  <si>
    <t>566</t>
  </si>
  <si>
    <t>Century Energy Systems Balancing Account (CES-21BA)</t>
  </si>
  <si>
    <t>Hazardous Substance Cleanup Cost Memo Account (HSCCMA)</t>
  </si>
  <si>
    <t>ISO Grid Management Costs (ERRA)</t>
  </si>
  <si>
    <t>Reliability Services (RS rates)</t>
  </si>
  <si>
    <t xml:space="preserve">Other (TRBAA, TACBAA) </t>
  </si>
  <si>
    <t>Total Excluded Expenses</t>
  </si>
  <si>
    <t xml:space="preserve">Represents reclassification of 2018 3P (People, Process, Priorities) project costs from O&amp;M FERC Account 560 to A&amp;G FERC Account 923, in 2020. This correction is </t>
  </si>
  <si>
    <t>reflected as an "Other BTRR Adjustment" in TO5 Cycle 4.</t>
  </si>
  <si>
    <t>Administrative &amp; General Expenses</t>
  </si>
  <si>
    <r>
      <t>(d)</t>
    </r>
    <r>
      <rPr>
        <b/>
        <vertAlign val="superscript"/>
        <sz val="12"/>
        <rFont val="Times New Roman"/>
        <family val="1"/>
      </rPr>
      <t xml:space="preserve"> 2</t>
    </r>
  </si>
  <si>
    <t>A&amp;G Cost Adj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</si>
  <si>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</si>
  <si>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</si>
  <si>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</si>
  <si>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</si>
  <si>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</si>
  <si>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</si>
  <si>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</si>
  <si>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</si>
  <si>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</si>
  <si>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</si>
  <si>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</si>
  <si>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</si>
  <si>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</si>
  <si>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</si>
  <si>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r>
      <t>Employee Pensions &amp; Benefits</t>
    </r>
    <r>
      <rPr>
        <b/>
        <vertAlign val="superscript"/>
        <sz val="12"/>
        <rFont val="Times New Roman"/>
        <family val="1"/>
      </rPr>
      <t xml:space="preserve"> 1</t>
    </r>
  </si>
  <si>
    <t>Form 1; Page 323; Line 187</t>
  </si>
  <si>
    <t xml:space="preserve">Franchise Requirements </t>
  </si>
  <si>
    <t>Form 1; Page 323; Line 188</t>
  </si>
  <si>
    <r>
      <t xml:space="preserve">Regulatory Commission Expenses </t>
    </r>
    <r>
      <rPr>
        <vertAlign val="superscript"/>
        <sz val="12"/>
        <rFont val="Times New Roman"/>
        <family val="1"/>
      </rPr>
      <t xml:space="preserve"> </t>
    </r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</si>
  <si>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</si>
  <si>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</si>
  <si>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</si>
  <si>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</si>
  <si>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</si>
  <si>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</si>
  <si>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</si>
  <si>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</si>
  <si>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</si>
  <si>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</si>
  <si>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</si>
  <si>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t>Excluded Expenses:</t>
  </si>
  <si>
    <t>Litigation expenses (ERRA)</t>
  </si>
  <si>
    <t>CPUC energy efficiency programs</t>
  </si>
  <si>
    <t>CPUC Intervenor Funding Expense - Distribution</t>
  </si>
  <si>
    <t xml:space="preserve">CPUC reimbursement fees  </t>
  </si>
  <si>
    <t>Litigation expenses - Litigation Cost Memorandum Account (LCMA)</t>
  </si>
  <si>
    <t xml:space="preserve">CPUC energy efficiency programs  </t>
  </si>
  <si>
    <t>Abandoned Projects</t>
  </si>
  <si>
    <t xml:space="preserve">Hazardous Substances-Hazardous Substance Cleanup Cost Account </t>
  </si>
  <si>
    <t>FERC Acct 926, Employee Pensions &amp; Benefits, includes approximately $0.8M for PBOP of which approximately $0.16M is Transmission related.</t>
  </si>
  <si>
    <t>Represents reclassification of 2018 3P (People, Process, Priorities) project costs from O&amp;M FERC accounts 560, 580 and 588 to A&amp;G FERC 923, in 2020. This correction is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</si>
  <si>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</si>
  <si>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</si>
  <si>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</si>
  <si>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</si>
  <si>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</si>
  <si>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</si>
  <si>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</si>
  <si>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450.1; Sch. Pg. 227; 12; c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</si>
  <si>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</si>
  <si>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</si>
  <si>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</si>
  <si>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</si>
  <si>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</si>
  <si>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</si>
  <si>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</si>
  <si>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</si>
  <si>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</si>
  <si>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</si>
  <si>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</si>
  <si>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</si>
  <si>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</si>
  <si>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</si>
  <si>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</si>
  <si>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</si>
  <si>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</si>
  <si>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</si>
  <si>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</si>
  <si>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</si>
  <si>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D. Adj. to Back Out CPUC Intervenor Funding Exp. Embedded in Retail Working Cash:</t>
  </si>
  <si>
    <t>Line 14 Above</t>
  </si>
  <si>
    <t>Line 17 Above</t>
  </si>
  <si>
    <t>Adj. to Transmission Related Cash Working Capital - Wholesale Customers</t>
  </si>
  <si>
    <t>Line 22 x Line 24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</si>
  <si>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</si>
  <si>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r>
      <t xml:space="preserve">     CPUC Intervenor Funding Expense Revenue Adj. - Base ROE </t>
    </r>
    <r>
      <rPr>
        <b/>
        <vertAlign val="superscript"/>
        <sz val="12"/>
        <rFont val="Times New Roman"/>
        <family val="1"/>
      </rPr>
      <t>2</t>
    </r>
  </si>
  <si>
    <t>Line 26 x Line 28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</si>
  <si>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</si>
  <si>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r>
      <t xml:space="preserve">     CPUC Intervenor Funding Expense Revenue Adj. - CAISO Participation ROE Adder </t>
    </r>
    <r>
      <rPr>
        <b/>
        <vertAlign val="superscript"/>
        <sz val="12"/>
        <rFont val="Times New Roman"/>
        <family val="1"/>
      </rPr>
      <t>2</t>
    </r>
  </si>
  <si>
    <t>Line 26 x Line 32</t>
  </si>
  <si>
    <t>The balances for Materials &amp; Supplies and Prepayments are derived based on a 13-month average balance.</t>
  </si>
  <si>
    <t>Working Capital Adjustment to show that Wholesale customers do not pay for CPUC Intervenor Funding Expense.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</si>
  <si>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</si>
  <si>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</si>
  <si>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</si>
  <si>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</si>
  <si>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</si>
  <si>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</si>
  <si>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</si>
  <si>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</si>
  <si>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</si>
  <si>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</si>
  <si>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</si>
  <si>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</si>
  <si>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</si>
  <si>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</si>
  <si>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</si>
  <si>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</si>
  <si>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</si>
  <si>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</si>
  <si>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</si>
  <si>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</si>
  <si>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</si>
  <si>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</si>
  <si>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</si>
  <si>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</si>
  <si>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</si>
  <si>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</si>
  <si>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</si>
  <si>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</si>
  <si>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</si>
  <si>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</si>
  <si>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</si>
  <si>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</si>
  <si>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</si>
  <si>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</si>
  <si>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</si>
  <si>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</si>
  <si>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</si>
  <si>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</si>
  <si>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</si>
  <si>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</si>
  <si>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</si>
  <si>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</si>
  <si>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</si>
  <si>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</si>
  <si>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</si>
  <si>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</si>
  <si>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</si>
  <si>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</si>
  <si>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</si>
  <si>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SDG&amp;E Base Return on Equity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</si>
  <si>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</si>
  <si>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</si>
  <si>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</si>
  <si>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</si>
  <si>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</si>
  <si>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</si>
  <si>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</si>
  <si>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</si>
  <si>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</si>
  <si>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</si>
  <si>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</si>
  <si>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</si>
  <si>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</si>
  <si>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</si>
  <si>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</si>
  <si>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</si>
  <si>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</si>
  <si>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</si>
  <si>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</si>
  <si>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</si>
  <si>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</si>
  <si>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Order No. 679, 116 FERC ¶ 61,057 at P 326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</si>
  <si>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</si>
  <si>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</si>
  <si>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</si>
  <si>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</si>
  <si>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</si>
  <si>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</si>
  <si>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</si>
  <si>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</si>
  <si>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</si>
  <si>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</si>
  <si>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</si>
  <si>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</si>
  <si>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</si>
  <si>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</si>
  <si>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</si>
  <si>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</si>
  <si>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</si>
  <si>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</si>
  <si>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</si>
  <si>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</si>
  <si>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</si>
  <si>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</si>
  <si>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</si>
  <si>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</si>
  <si>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</si>
  <si>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</si>
  <si>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42</t>
  </si>
  <si>
    <t xml:space="preserve">     D = Transmission Rate Base</t>
  </si>
  <si>
    <t>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</si>
  <si>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</si>
  <si>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</si>
  <si>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</si>
  <si>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</si>
  <si>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</si>
  <si>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</si>
  <si>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</si>
  <si>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</si>
  <si>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</si>
  <si>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</si>
  <si>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</si>
  <si>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</si>
  <si>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</si>
  <si>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</si>
  <si>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</si>
  <si>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</si>
  <si>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</si>
  <si>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</si>
  <si>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</si>
  <si>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</si>
  <si>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</si>
  <si>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</si>
  <si>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</si>
  <si>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</si>
  <si>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</si>
  <si>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</si>
  <si>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</si>
  <si>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</si>
  <si>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</si>
  <si>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</si>
  <si>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</si>
  <si>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</si>
  <si>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</si>
  <si>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</si>
  <si>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</si>
  <si>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</si>
  <si>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</si>
  <si>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</si>
  <si>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</si>
  <si>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</si>
  <si>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</si>
  <si>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</si>
  <si>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</si>
  <si>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</si>
  <si>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</si>
  <si>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</si>
  <si>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</si>
  <si>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</si>
  <si>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</si>
  <si>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</si>
  <si>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</si>
  <si>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</si>
  <si>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</si>
  <si>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</si>
  <si>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</si>
  <si>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</si>
  <si>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</si>
  <si>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TO5-Cycle 4 Annual Informational Filing</t>
  </si>
  <si>
    <t>Derivation of Interest Expense on Other BTRR Adjustment Applicable to TO5 Cycle 2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</si>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</sst>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_(&quot;$&quot;* #,##0.0000_);_(&quot;$&quot;* \(#,##0.0000\);_(&quot;$&quot;* &quot;-&quot;????_);_(@_)"/>
    <numFmt numFmtId="170" formatCode="_(&quot;$&quot;* #,##0.0_);_(&quot;$&quot;* \(#,##0.0\);_(&quot;$&quot;* &quot;-&quot;??_);_(@_)"/>
    <numFmt numFmtId="171" formatCode="_(* #,##0.0000000_);_(* \(#,##0.0000000\);_(* &quot;-&quot;???????_);_(@_)"/>
    <numFmt numFmtId="172" formatCode="0.000000"/>
    <numFmt numFmtId="173" formatCode="0.000000000%"/>
    <numFmt numFmtId="174" formatCode="0.0%"/>
    <numFmt numFmtId="175" formatCode="_(&quot;$&quot;* #,##0,_);_(&quot;$&quot;* \(#,##0,\);_(&quot;$&quot;* &quot;-&quot;??_);_(@_)"/>
    <numFmt numFmtId="176" formatCode="&quot;$&quot;#,##0,_);[Red]\(&quot;$&quot;#,##0,\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b/>
      <i/>
      <u/>
      <sz val="12"/>
      <name val="Times New Roman"/>
      <family val="1"/>
    </font>
    <font>
      <sz val="12"/>
      <color rgb="FF0000FF"/>
      <name val="Times New Roman"/>
      <family val="1"/>
    </font>
    <font>
      <b/>
      <sz val="12"/>
      <color rgb="FF0000FF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1"/>
      <name val="Times New Roman"/>
      <family val="1"/>
    </font>
    <font>
      <b/>
      <vertAlign val="superscript"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</cellStyleXfs>
  <cellXfs count="630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5" fillId="0" borderId="0" xfId="0" applyFont="1"/>
    <xf numFmtId="0" fontId="6" fillId="0" borderId="0" xfId="4" applyFont="1"/>
    <xf numFmtId="0" fontId="7" fillId="0" borderId="0" xfId="4" quotePrefix="1" applyFont="1" applyAlignment="1">
      <alignment horizontal="center"/>
    </xf>
    <xf numFmtId="0" fontId="7" fillId="0" borderId="0" xfId="4" applyFont="1"/>
    <xf numFmtId="0" fontId="8" fillId="0" borderId="0" xfId="0" applyFont="1" applyAlignment="1">
      <alignment horizontal="center"/>
    </xf>
    <xf numFmtId="0" fontId="7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165" fontId="6" fillId="0" borderId="1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10" fillId="0" borderId="0" xfId="4" applyFont="1" applyAlignment="1">
      <alignment horizontal="center"/>
    </xf>
    <xf numFmtId="0" fontId="8" fillId="0" borderId="0" xfId="4" applyFont="1"/>
    <xf numFmtId="0" fontId="8" fillId="0" borderId="0" xfId="0" applyFont="1"/>
    <xf numFmtId="37" fontId="8" fillId="0" borderId="0" xfId="0" applyNumberFormat="1" applyFont="1"/>
    <xf numFmtId="164" fontId="8" fillId="0" borderId="0" xfId="2" applyNumberFormat="1" applyFont="1" applyBorder="1"/>
    <xf numFmtId="164" fontId="8" fillId="0" borderId="0" xfId="0" applyNumberFormat="1" applyFont="1"/>
    <xf numFmtId="0" fontId="4" fillId="0" borderId="0" xfId="0" quotePrefix="1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167" fontId="4" fillId="0" borderId="0" xfId="0" applyNumberFormat="1" applyFont="1" applyAlignment="1">
      <alignment horizontal="center" wrapText="1"/>
    </xf>
    <xf numFmtId="0" fontId="4" fillId="0" borderId="0" xfId="0" applyFont="1"/>
    <xf numFmtId="0" fontId="17" fillId="0" borderId="0" xfId="0" applyFont="1" applyAlignment="1">
      <alignment horizontal="center"/>
    </xf>
    <xf numFmtId="5" fontId="8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8" fillId="0" borderId="0" xfId="0" applyFont="1" applyAlignment="1">
      <alignment horizontal="fill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164" fontId="4" fillId="0" borderId="0" xfId="2" applyNumberFormat="1" applyFont="1"/>
    <xf numFmtId="0" fontId="19" fillId="0" borderId="0" xfId="0" applyFont="1" applyAlignment="1">
      <alignment horizontal="center"/>
    </xf>
    <xf numFmtId="164" fontId="8" fillId="0" borderId="0" xfId="2" applyNumberFormat="1" applyFont="1"/>
    <xf numFmtId="164" fontId="4" fillId="0" borderId="0" xfId="0" applyNumberFormat="1" applyFont="1"/>
    <xf numFmtId="165" fontId="4" fillId="0" borderId="0" xfId="1" applyNumberFormat="1" applyFont="1"/>
    <xf numFmtId="165" fontId="8" fillId="0" borderId="0" xfId="1" applyNumberFormat="1" applyFont="1"/>
    <xf numFmtId="165" fontId="4" fillId="0" borderId="0" xfId="0" applyNumberFormat="1" applyFont="1"/>
    <xf numFmtId="165" fontId="4" fillId="0" borderId="1" xfId="0" applyNumberFormat="1" applyFont="1" applyBorder="1"/>
    <xf numFmtId="164" fontId="4" fillId="0" borderId="0" xfId="7" applyNumberFormat="1" applyFont="1" applyFill="1" applyAlignment="1" applyProtection="1">
      <alignment horizontal="right"/>
    </xf>
    <xf numFmtId="164" fontId="8" fillId="0" borderId="0" xfId="7" applyNumberFormat="1" applyFont="1" applyFill="1" applyAlignment="1" applyProtection="1">
      <alignment horizontal="right"/>
    </xf>
    <xf numFmtId="0" fontId="19" fillId="0" borderId="0" xfId="0" applyFont="1"/>
    <xf numFmtId="0" fontId="8" fillId="0" borderId="0" xfId="8" applyFont="1" applyAlignment="1">
      <alignment vertical="center"/>
    </xf>
    <xf numFmtId="0" fontId="8" fillId="0" borderId="0" xfId="8" applyFont="1" applyAlignment="1">
      <alignment horizontal="center" vertical="center"/>
    </xf>
    <xf numFmtId="165" fontId="8" fillId="0" borderId="1" xfId="1" applyNumberFormat="1" applyFont="1" applyBorder="1"/>
    <xf numFmtId="164" fontId="4" fillId="0" borderId="1" xfId="7" applyNumberFormat="1" applyFont="1" applyFill="1" applyBorder="1" applyAlignment="1" applyProtection="1">
      <alignment horizontal="right"/>
    </xf>
    <xf numFmtId="164" fontId="8" fillId="0" borderId="1" xfId="7" applyNumberFormat="1" applyFont="1" applyFill="1" applyBorder="1" applyAlignment="1" applyProtection="1">
      <alignment horizontal="right"/>
    </xf>
    <xf numFmtId="168" fontId="4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right"/>
    </xf>
    <xf numFmtId="168" fontId="4" fillId="0" borderId="0" xfId="3" applyNumberFormat="1" applyFont="1"/>
    <xf numFmtId="164" fontId="4" fillId="0" borderId="0" xfId="7" applyNumberFormat="1" applyFont="1" applyFill="1" applyBorder="1" applyAlignment="1" applyProtection="1">
      <alignment horizontal="right"/>
    </xf>
    <xf numFmtId="164" fontId="8" fillId="0" borderId="0" xfId="7" applyNumberFormat="1" applyFont="1" applyFill="1" applyBorder="1" applyAlignment="1" applyProtection="1">
      <alignment horizontal="right"/>
    </xf>
    <xf numFmtId="0" fontId="8" fillId="0" borderId="0" xfId="8" applyFont="1" applyAlignment="1">
      <alignment horizontal="left" vertical="center"/>
    </xf>
    <xf numFmtId="168" fontId="8" fillId="0" borderId="0" xfId="3" applyNumberFormat="1" applyFont="1" applyFill="1" applyBorder="1" applyAlignment="1" applyProtection="1">
      <alignment horizontal="right"/>
    </xf>
    <xf numFmtId="165" fontId="4" fillId="0" borderId="1" xfId="1" applyNumberFormat="1" applyFont="1" applyFill="1" applyBorder="1" applyAlignment="1" applyProtection="1">
      <alignment horizontal="right"/>
    </xf>
    <xf numFmtId="0" fontId="8" fillId="0" borderId="0" xfId="8" quotePrefix="1" applyFont="1" applyAlignment="1">
      <alignment vertical="center"/>
    </xf>
    <xf numFmtId="164" fontId="4" fillId="0" borderId="2" xfId="7" quotePrefix="1" applyNumberFormat="1" applyFont="1" applyFill="1" applyBorder="1" applyAlignment="1">
      <alignment horizontal="right"/>
    </xf>
    <xf numFmtId="164" fontId="8" fillId="0" borderId="2" xfId="7" quotePrefix="1" applyNumberFormat="1" applyFont="1" applyFill="1" applyBorder="1" applyAlignment="1">
      <alignment horizontal="right"/>
    </xf>
    <xf numFmtId="164" fontId="4" fillId="0" borderId="0" xfId="7" quotePrefix="1" applyNumberFormat="1" applyFont="1" applyFill="1" applyBorder="1" applyAlignment="1">
      <alignment horizontal="right"/>
    </xf>
    <xf numFmtId="164" fontId="8" fillId="0" borderId="0" xfId="7" quotePrefix="1" applyNumberFormat="1" applyFont="1" applyFill="1" applyBorder="1" applyAlignment="1">
      <alignment horizontal="right"/>
    </xf>
    <xf numFmtId="0" fontId="13" fillId="0" borderId="0" xfId="8" quotePrefix="1" applyFont="1" applyAlignment="1">
      <alignment horizontal="center" vertical="center"/>
    </xf>
    <xf numFmtId="0" fontId="18" fillId="0" borderId="0" xfId="8" applyFont="1" applyAlignment="1">
      <alignment horizontal="left" vertical="center"/>
    </xf>
    <xf numFmtId="44" fontId="8" fillId="0" borderId="0" xfId="2" applyFont="1" applyBorder="1"/>
    <xf numFmtId="44" fontId="8" fillId="0" borderId="0" xfId="0" applyNumberFormat="1" applyFont="1"/>
    <xf numFmtId="168" fontId="8" fillId="0" borderId="0" xfId="3" applyNumberFormat="1" applyFont="1"/>
    <xf numFmtId="168" fontId="8" fillId="0" borderId="0" xfId="0" applyNumberFormat="1" applyFont="1"/>
    <xf numFmtId="164" fontId="8" fillId="0" borderId="1" xfId="0" applyNumberFormat="1" applyFont="1" applyBorder="1"/>
    <xf numFmtId="44" fontId="8" fillId="0" borderId="0" xfId="2" applyFont="1"/>
    <xf numFmtId="44" fontId="8" fillId="0" borderId="20" xfId="0" applyNumberFormat="1" applyFont="1" applyBorder="1"/>
    <xf numFmtId="0" fontId="18" fillId="0" borderId="0" xfId="8" applyFont="1" applyAlignment="1">
      <alignment vertical="center"/>
    </xf>
    <xf numFmtId="168" fontId="4" fillId="0" borderId="1" xfId="3" applyNumberFormat="1" applyFont="1" applyBorder="1"/>
    <xf numFmtId="168" fontId="8" fillId="0" borderId="1" xfId="3" applyNumberFormat="1" applyFont="1" applyBorder="1"/>
    <xf numFmtId="168" fontId="4" fillId="0" borderId="1" xfId="0" applyNumberFormat="1" applyFont="1" applyBorder="1"/>
    <xf numFmtId="169" fontId="8" fillId="0" borderId="0" xfId="0" applyNumberFormat="1" applyFont="1"/>
    <xf numFmtId="168" fontId="8" fillId="0" borderId="1" xfId="0" applyNumberFormat="1" applyFont="1" applyBorder="1"/>
    <xf numFmtId="169" fontId="8" fillId="0" borderId="20" xfId="0" applyNumberFormat="1" applyFont="1" applyBorder="1"/>
    <xf numFmtId="169" fontId="8" fillId="0" borderId="2" xfId="0" applyNumberFormat="1" applyFont="1" applyBorder="1"/>
    <xf numFmtId="164" fontId="4" fillId="0" borderId="2" xfId="0" applyNumberFormat="1" applyFont="1" applyBorder="1"/>
    <xf numFmtId="164" fontId="8" fillId="0" borderId="2" xfId="0" applyNumberFormat="1" applyFont="1" applyBorder="1"/>
    <xf numFmtId="0" fontId="8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horizontal="left"/>
    </xf>
    <xf numFmtId="164" fontId="8" fillId="0" borderId="0" xfId="7" applyNumberFormat="1" applyFont="1" applyFill="1" applyBorder="1" applyAlignment="1" applyProtection="1">
      <alignment horizontal="right"/>
      <protection locked="0"/>
    </xf>
    <xf numFmtId="165" fontId="8" fillId="0" borderId="0" xfId="9" applyNumberFormat="1" applyFont="1" applyFill="1" applyBorder="1" applyAlignment="1" applyProtection="1">
      <alignment horizontal="right"/>
      <protection locked="0"/>
    </xf>
    <xf numFmtId="165" fontId="8" fillId="0" borderId="1" xfId="9" applyNumberFormat="1" applyFont="1" applyFill="1" applyBorder="1" applyAlignment="1" applyProtection="1">
      <alignment horizontal="right"/>
      <protection locked="0"/>
    </xf>
    <xf numFmtId="165" fontId="8" fillId="0" borderId="0" xfId="9" applyNumberFormat="1" applyFont="1" applyFill="1" applyAlignment="1" applyProtection="1">
      <alignment horizontal="center"/>
    </xf>
    <xf numFmtId="165" fontId="8" fillId="0" borderId="1" xfId="9" applyNumberFormat="1" applyFont="1" applyFill="1" applyBorder="1" applyAlignment="1" applyProtection="1">
      <alignment horizontal="center"/>
    </xf>
    <xf numFmtId="165" fontId="8" fillId="0" borderId="1" xfId="0" applyNumberFormat="1" applyFont="1" applyBorder="1"/>
    <xf numFmtId="164" fontId="8" fillId="0" borderId="0" xfId="2" applyNumberFormat="1" applyFont="1" applyFill="1" applyBorder="1" applyAlignment="1" applyProtection="1">
      <alignment horizontal="center"/>
    </xf>
    <xf numFmtId="43" fontId="8" fillId="0" borderId="1" xfId="1" applyFont="1" applyFill="1" applyBorder="1" applyAlignment="1" applyProtection="1">
      <alignment horizontal="right"/>
    </xf>
    <xf numFmtId="43" fontId="8" fillId="0" borderId="1" xfId="1" applyFont="1" applyBorder="1"/>
    <xf numFmtId="165" fontId="8" fillId="0" borderId="0" xfId="9" applyNumberFormat="1" applyFont="1" applyFill="1" applyAlignment="1" applyProtection="1">
      <alignment horizontal="right"/>
    </xf>
    <xf numFmtId="165" fontId="4" fillId="0" borderId="1" xfId="9" applyNumberFormat="1" applyFont="1" applyFill="1" applyBorder="1" applyAlignment="1" applyProtection="1">
      <alignment horizontal="right"/>
    </xf>
    <xf numFmtId="165" fontId="8" fillId="0" borderId="1" xfId="9" applyNumberFormat="1" applyFont="1" applyFill="1" applyBorder="1" applyAlignment="1" applyProtection="1">
      <alignment horizontal="right"/>
    </xf>
    <xf numFmtId="164" fontId="8" fillId="0" borderId="0" xfId="2" applyNumberFormat="1" applyFont="1" applyFill="1" applyBorder="1" applyAlignment="1" applyProtection="1">
      <alignment horizontal="right"/>
    </xf>
    <xf numFmtId="44" fontId="8" fillId="0" borderId="0" xfId="2" applyFont="1" applyFill="1" applyBorder="1" applyAlignment="1" applyProtection="1">
      <alignment horizontal="right"/>
    </xf>
    <xf numFmtId="164" fontId="8" fillId="0" borderId="1" xfId="2" applyNumberFormat="1" applyFont="1" applyFill="1" applyBorder="1" applyAlignment="1" applyProtection="1">
      <alignment horizontal="right"/>
    </xf>
    <xf numFmtId="44" fontId="8" fillId="0" borderId="1" xfId="2" applyFont="1" applyFill="1" applyBorder="1" applyAlignment="1" applyProtection="1">
      <alignment horizontal="right"/>
    </xf>
    <xf numFmtId="165" fontId="8" fillId="0" borderId="0" xfId="9" applyNumberFormat="1" applyFont="1" applyFill="1" applyBorder="1" applyAlignment="1" applyProtection="1">
      <alignment horizontal="center"/>
    </xf>
    <xf numFmtId="164" fontId="4" fillId="0" borderId="2" xfId="7" applyNumberFormat="1" applyFont="1" applyFill="1" applyBorder="1" applyAlignment="1" applyProtection="1">
      <alignment horizontal="right"/>
    </xf>
    <xf numFmtId="164" fontId="8" fillId="0" borderId="2" xfId="7" applyNumberFormat="1" applyFont="1" applyFill="1" applyBorder="1" applyAlignment="1" applyProtection="1">
      <alignment horizontal="right"/>
    </xf>
    <xf numFmtId="43" fontId="19" fillId="0" borderId="0" xfId="1" applyFont="1" applyAlignment="1">
      <alignment horizontal="center"/>
    </xf>
    <xf numFmtId="0" fontId="8" fillId="0" borderId="0" xfId="0" quotePrefix="1" applyFont="1" applyAlignment="1">
      <alignment horizontal="center"/>
    </xf>
    <xf numFmtId="10" fontId="15" fillId="0" borderId="0" xfId="10" applyNumberFormat="1" applyFont="1"/>
    <xf numFmtId="167" fontId="8" fillId="0" borderId="0" xfId="0" applyNumberFormat="1" applyFont="1" applyAlignment="1">
      <alignment horizontal="center"/>
    </xf>
    <xf numFmtId="0" fontId="22" fillId="0" borderId="0" xfId="0" applyFont="1"/>
    <xf numFmtId="6" fontId="8" fillId="0" borderId="0" xfId="0" applyNumberFormat="1" applyFont="1"/>
    <xf numFmtId="164" fontId="8" fillId="0" borderId="21" xfId="7" applyNumberFormat="1" applyFont="1" applyFill="1" applyBorder="1" applyAlignment="1" applyProtection="1">
      <alignment horizontal="right"/>
    </xf>
    <xf numFmtId="164" fontId="8" fillId="0" borderId="20" xfId="7" applyNumberFormat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right"/>
    </xf>
    <xf numFmtId="0" fontId="8" fillId="0" borderId="0" xfId="8" applyFont="1" applyAlignment="1">
      <alignment horizontal="center" vertical="center" wrapText="1"/>
    </xf>
    <xf numFmtId="0" fontId="22" fillId="0" borderId="0" xfId="8" applyFont="1" applyAlignment="1">
      <alignment vertical="center"/>
    </xf>
    <xf numFmtId="165" fontId="4" fillId="0" borderId="0" xfId="1" applyNumberFormat="1" applyFont="1" applyFill="1" applyBorder="1"/>
    <xf numFmtId="165" fontId="8" fillId="0" borderId="0" xfId="1" applyNumberFormat="1" applyFont="1" applyFill="1" applyBorder="1"/>
    <xf numFmtId="164" fontId="8" fillId="0" borderId="0" xfId="2" applyNumberFormat="1" applyFont="1" applyFill="1" applyBorder="1"/>
    <xf numFmtId="0" fontId="4" fillId="0" borderId="0" xfId="8" applyFont="1" applyAlignment="1">
      <alignment vertical="center"/>
    </xf>
    <xf numFmtId="0" fontId="15" fillId="0" borderId="0" xfId="0" applyFont="1" applyAlignment="1">
      <alignment horizontal="center"/>
    </xf>
    <xf numFmtId="0" fontId="9" fillId="0" borderId="0" xfId="12" applyFont="1" applyAlignment="1">
      <alignment horizontal="center"/>
    </xf>
    <xf numFmtId="0" fontId="15" fillId="0" borderId="0" xfId="12" applyFont="1"/>
    <xf numFmtId="0" fontId="3" fillId="0" borderId="0" xfId="0" applyFont="1" applyAlignment="1">
      <alignment horizontal="right"/>
    </xf>
    <xf numFmtId="0" fontId="4" fillId="0" borderId="0" xfId="8" quotePrefix="1" applyFont="1" applyAlignment="1">
      <alignment horizontal="center" vertical="center"/>
    </xf>
    <xf numFmtId="167" fontId="8" fillId="0" borderId="0" xfId="8" applyNumberFormat="1" applyFont="1" applyAlignment="1">
      <alignment horizontal="center" vertical="center"/>
    </xf>
    <xf numFmtId="5" fontId="8" fillId="0" borderId="1" xfId="8" applyNumberFormat="1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5" fontId="8" fillId="0" borderId="0" xfId="8" applyNumberFormat="1" applyFont="1" applyAlignment="1">
      <alignment horizontal="center" vertical="center"/>
    </xf>
    <xf numFmtId="3" fontId="8" fillId="0" borderId="0" xfId="8" applyNumberFormat="1" applyFont="1" applyAlignment="1">
      <alignment vertical="center"/>
    </xf>
    <xf numFmtId="164" fontId="4" fillId="2" borderId="0" xfId="13" applyNumberFormat="1" applyFont="1" applyFill="1" applyAlignment="1">
      <alignment horizontal="right" vertical="center"/>
    </xf>
    <xf numFmtId="0" fontId="11" fillId="0" borderId="0" xfId="8" applyFont="1" applyAlignment="1">
      <alignment horizontal="left" vertical="center"/>
    </xf>
    <xf numFmtId="165" fontId="8" fillId="0" borderId="0" xfId="14" applyNumberFormat="1" applyFont="1" applyFill="1" applyAlignment="1">
      <alignment horizontal="right" vertical="center"/>
    </xf>
    <xf numFmtId="165" fontId="4" fillId="2" borderId="0" xfId="14" applyNumberFormat="1" applyFont="1" applyFill="1" applyAlignment="1">
      <alignment horizontal="right" vertical="center"/>
    </xf>
    <xf numFmtId="0" fontId="24" fillId="0" borderId="0" xfId="8" applyFont="1" applyAlignment="1">
      <alignment vertical="center"/>
    </xf>
    <xf numFmtId="165" fontId="8" fillId="2" borderId="1" xfId="1" applyNumberFormat="1" applyFont="1" applyFill="1" applyBorder="1" applyAlignment="1">
      <alignment horizontal="right" vertical="center"/>
    </xf>
    <xf numFmtId="164" fontId="4" fillId="0" borderId="0" xfId="13" applyNumberFormat="1" applyFont="1" applyFill="1" applyAlignment="1" applyProtection="1">
      <alignment horizontal="right" vertical="center"/>
    </xf>
    <xf numFmtId="0" fontId="8" fillId="0" borderId="0" xfId="2" applyNumberFormat="1" applyFont="1" applyAlignment="1">
      <alignment horizontal="center" vertical="center"/>
    </xf>
    <xf numFmtId="165" fontId="8" fillId="0" borderId="0" xfId="14" applyNumberFormat="1" applyFont="1" applyFill="1" applyAlignment="1">
      <alignment vertical="center"/>
    </xf>
    <xf numFmtId="164" fontId="8" fillId="2" borderId="0" xfId="2" applyNumberFormat="1" applyFont="1" applyFill="1" applyAlignment="1">
      <alignment horizontal="right" vertical="center"/>
    </xf>
    <xf numFmtId="5" fontId="4" fillId="0" borderId="0" xfId="8" applyNumberFormat="1" applyFont="1" applyAlignment="1" applyProtection="1">
      <alignment horizontal="center" vertical="center"/>
      <protection locked="0"/>
    </xf>
    <xf numFmtId="165" fontId="8" fillId="0" borderId="0" xfId="14" applyNumberFormat="1" applyFont="1" applyFill="1" applyAlignment="1" applyProtection="1">
      <alignment horizontal="center" vertical="center"/>
    </xf>
    <xf numFmtId="165" fontId="8" fillId="2" borderId="0" xfId="1" applyNumberFormat="1" applyFont="1" applyFill="1" applyAlignment="1">
      <alignment vertical="center"/>
    </xf>
    <xf numFmtId="165" fontId="8" fillId="2" borderId="0" xfId="14" applyNumberFormat="1" applyFont="1" applyFill="1" applyAlignment="1">
      <alignment horizontal="right" vertical="center"/>
    </xf>
    <xf numFmtId="165" fontId="8" fillId="0" borderId="0" xfId="14" applyNumberFormat="1" applyFont="1" applyFill="1" applyBorder="1" applyAlignment="1" applyProtection="1">
      <alignment horizontal="right" vertical="center"/>
    </xf>
    <xf numFmtId="165" fontId="8" fillId="2" borderId="1" xfId="14" applyNumberFormat="1" applyFont="1" applyFill="1" applyBorder="1" applyAlignment="1" applyProtection="1">
      <alignment horizontal="right" vertical="center"/>
    </xf>
    <xf numFmtId="164" fontId="4" fillId="0" borderId="0" xfId="13" applyNumberFormat="1" applyFont="1" applyFill="1" applyBorder="1" applyAlignment="1" applyProtection="1">
      <alignment horizontal="right" vertical="center"/>
    </xf>
    <xf numFmtId="6" fontId="8" fillId="0" borderId="0" xfId="8" applyNumberFormat="1" applyFont="1" applyAlignment="1">
      <alignment horizontal="right" vertical="center"/>
    </xf>
    <xf numFmtId="168" fontId="4" fillId="2" borderId="0" xfId="15" applyNumberFormat="1" applyFont="1" applyFill="1" applyAlignment="1">
      <alignment horizontal="right" vertical="center"/>
    </xf>
    <xf numFmtId="164" fontId="4" fillId="2" borderId="1" xfId="2" applyNumberFormat="1" applyFont="1" applyFill="1" applyBorder="1" applyAlignment="1" applyProtection="1">
      <alignment horizontal="right" vertical="center"/>
    </xf>
    <xf numFmtId="164" fontId="4" fillId="0" borderId="22" xfId="13" applyNumberFormat="1" applyFont="1" applyFill="1" applyBorder="1" applyAlignment="1" applyProtection="1">
      <alignment horizontal="right" vertical="center"/>
    </xf>
    <xf numFmtId="168" fontId="8" fillId="2" borderId="0" xfId="15" applyNumberFormat="1" applyFont="1" applyFill="1" applyAlignment="1">
      <alignment horizontal="right" vertical="center"/>
    </xf>
    <xf numFmtId="164" fontId="8" fillId="0" borderId="0" xfId="13" applyNumberFormat="1" applyFont="1" applyFill="1" applyAlignment="1" applyProtection="1">
      <alignment horizontal="right" vertical="center"/>
    </xf>
    <xf numFmtId="164" fontId="8" fillId="2" borderId="0" xfId="13" applyNumberFormat="1" applyFont="1" applyFill="1" applyAlignment="1" applyProtection="1">
      <alignment horizontal="right" vertical="center"/>
    </xf>
    <xf numFmtId="165" fontId="8" fillId="2" borderId="0" xfId="14" applyNumberFormat="1" applyFont="1" applyFill="1" applyBorder="1" applyAlignment="1" applyProtection="1">
      <alignment horizontal="right" vertical="center"/>
    </xf>
    <xf numFmtId="165" fontId="8" fillId="2" borderId="0" xfId="1" applyNumberFormat="1" applyFont="1" applyFill="1" applyBorder="1" applyAlignment="1" applyProtection="1">
      <alignment horizontal="right" vertical="center"/>
    </xf>
    <xf numFmtId="165" fontId="8" fillId="2" borderId="1" xfId="1" applyNumberFormat="1" applyFont="1" applyFill="1" applyBorder="1" applyAlignment="1" applyProtection="1">
      <alignment horizontal="right" vertical="center"/>
    </xf>
    <xf numFmtId="164" fontId="4" fillId="0" borderId="2" xfId="13" quotePrefix="1" applyNumberFormat="1" applyFont="1" applyFill="1" applyBorder="1" applyAlignment="1">
      <alignment horizontal="right" vertical="center"/>
    </xf>
    <xf numFmtId="164" fontId="11" fillId="0" borderId="0" xfId="13" quotePrefix="1" applyNumberFormat="1" applyFont="1" applyFill="1" applyBorder="1" applyAlignment="1">
      <alignment horizontal="right" vertical="center"/>
    </xf>
    <xf numFmtId="164" fontId="8" fillId="2" borderId="0" xfId="2" quotePrefix="1" applyNumberFormat="1" applyFont="1" applyFill="1" applyBorder="1" applyAlignment="1">
      <alignment horizontal="right" vertical="center"/>
    </xf>
    <xf numFmtId="164" fontId="8" fillId="0" borderId="0" xfId="13" quotePrefix="1" applyNumberFormat="1" applyFont="1" applyFill="1" applyBorder="1" applyAlignment="1">
      <alignment horizontal="right" vertical="center"/>
    </xf>
    <xf numFmtId="0" fontId="13" fillId="0" borderId="0" xfId="8" applyFont="1" applyAlignment="1">
      <alignment vertical="center"/>
    </xf>
    <xf numFmtId="164" fontId="8" fillId="2" borderId="1" xfId="2" applyNumberFormat="1" applyFont="1" applyFill="1" applyBorder="1" applyAlignment="1" applyProtection="1">
      <alignment horizontal="right" vertical="center"/>
    </xf>
    <xf numFmtId="164" fontId="8" fillId="0" borderId="22" xfId="2" applyNumberFormat="1" applyFont="1" applyFill="1" applyBorder="1" applyAlignment="1" applyProtection="1">
      <alignment horizontal="right" vertical="center"/>
    </xf>
    <xf numFmtId="164" fontId="8" fillId="0" borderId="0" xfId="2" applyNumberFormat="1" applyFont="1" applyFill="1" applyBorder="1" applyAlignment="1" applyProtection="1">
      <alignment horizontal="right" vertical="center"/>
    </xf>
    <xf numFmtId="164" fontId="8" fillId="0" borderId="20" xfId="2" applyNumberFormat="1" applyFont="1" applyFill="1" applyBorder="1" applyAlignment="1" applyProtection="1">
      <alignment horizontal="right" vertical="center"/>
    </xf>
    <xf numFmtId="164" fontId="8" fillId="0" borderId="0" xfId="13" applyNumberFormat="1" applyFont="1" applyFill="1" applyBorder="1" applyAlignment="1" applyProtection="1">
      <alignment horizontal="right" vertical="center"/>
    </xf>
    <xf numFmtId="164" fontId="8" fillId="2" borderId="0" xfId="2" applyNumberFormat="1" applyFont="1" applyFill="1" applyBorder="1" applyAlignment="1" applyProtection="1">
      <alignment horizontal="right" vertical="center"/>
    </xf>
    <xf numFmtId="43" fontId="8" fillId="0" borderId="0" xfId="14" applyFont="1" applyFill="1" applyBorder="1" applyAlignment="1" applyProtection="1">
      <alignment horizontal="right" vertical="center"/>
    </xf>
    <xf numFmtId="168" fontId="4" fillId="2" borderId="1" xfId="15" applyNumberFormat="1" applyFont="1" applyFill="1" applyBorder="1" applyAlignment="1">
      <alignment horizontal="right" vertical="center"/>
    </xf>
    <xf numFmtId="165" fontId="8" fillId="0" borderId="0" xfId="1" applyNumberFormat="1" applyFont="1" applyFill="1" applyAlignment="1">
      <alignment horizontal="right" vertical="center"/>
    </xf>
    <xf numFmtId="168" fontId="8" fillId="4" borderId="1" xfId="15" applyNumberFormat="1" applyFont="1" applyFill="1" applyBorder="1" applyAlignment="1">
      <alignment horizontal="right" vertical="center"/>
    </xf>
    <xf numFmtId="168" fontId="4" fillId="2" borderId="0" xfId="15" quotePrefix="1" applyNumberFormat="1" applyFont="1" applyFill="1" applyBorder="1" applyAlignment="1">
      <alignment horizontal="right" vertical="center"/>
    </xf>
    <xf numFmtId="164" fontId="8" fillId="0" borderId="22" xfId="2" quotePrefix="1" applyNumberFormat="1" applyFont="1" applyFill="1" applyBorder="1" applyAlignment="1">
      <alignment horizontal="right" vertical="center"/>
    </xf>
    <xf numFmtId="164" fontId="8" fillId="0" borderId="0" xfId="2" quotePrefix="1" applyNumberFormat="1" applyFont="1" applyFill="1" applyBorder="1" applyAlignment="1">
      <alignment horizontal="right" vertical="center"/>
    </xf>
    <xf numFmtId="168" fontId="8" fillId="2" borderId="0" xfId="15" quotePrefix="1" applyNumberFormat="1" applyFont="1" applyFill="1" applyBorder="1" applyAlignment="1">
      <alignment horizontal="right" vertical="center"/>
    </xf>
    <xf numFmtId="164" fontId="8" fillId="0" borderId="2" xfId="13" quotePrefix="1" applyNumberFormat="1" applyFont="1" applyFill="1" applyBorder="1" applyAlignment="1">
      <alignment horizontal="right" vertical="center"/>
    </xf>
    <xf numFmtId="164" fontId="4" fillId="0" borderId="0" xfId="13" quotePrefix="1" applyNumberFormat="1" applyFont="1" applyFill="1" applyBorder="1" applyAlignment="1">
      <alignment horizontal="right" vertical="center"/>
    </xf>
    <xf numFmtId="0" fontId="8" fillId="0" borderId="0" xfId="8" applyFont="1" applyAlignment="1" applyProtection="1">
      <alignment horizontal="center" vertical="center"/>
      <protection locked="0"/>
    </xf>
    <xf numFmtId="0" fontId="22" fillId="0" borderId="0" xfId="8" applyFont="1" applyAlignment="1">
      <alignment horizontal="left" vertical="center"/>
    </xf>
    <xf numFmtId="164" fontId="8" fillId="2" borderId="0" xfId="13" applyNumberFormat="1" applyFont="1" applyFill="1" applyBorder="1" applyAlignment="1" applyProtection="1">
      <alignment horizontal="right" vertical="center"/>
      <protection locked="0"/>
    </xf>
    <xf numFmtId="165" fontId="8" fillId="2" borderId="0" xfId="14" applyNumberFormat="1" applyFont="1" applyFill="1" applyBorder="1" applyAlignment="1" applyProtection="1">
      <alignment horizontal="right" vertical="center"/>
      <protection locked="0"/>
    </xf>
    <xf numFmtId="165" fontId="8" fillId="2" borderId="1" xfId="14" applyNumberFormat="1" applyFont="1" applyFill="1" applyBorder="1" applyAlignment="1" applyProtection="1">
      <alignment horizontal="right" vertical="center"/>
      <protection locked="0"/>
    </xf>
    <xf numFmtId="164" fontId="8" fillId="0" borderId="22" xfId="13" applyNumberFormat="1" applyFont="1" applyFill="1" applyBorder="1" applyAlignment="1" applyProtection="1">
      <alignment horizontal="right" vertical="center"/>
    </xf>
    <xf numFmtId="164" fontId="8" fillId="2" borderId="0" xfId="13" applyNumberFormat="1" applyFont="1" applyFill="1" applyBorder="1" applyAlignment="1" applyProtection="1">
      <alignment horizontal="center" vertical="center"/>
    </xf>
    <xf numFmtId="165" fontId="8" fillId="2" borderId="0" xfId="1" applyNumberFormat="1" applyFont="1" applyFill="1" applyBorder="1" applyAlignment="1" applyProtection="1">
      <alignment horizontal="center" vertical="center"/>
    </xf>
    <xf numFmtId="164" fontId="8" fillId="0" borderId="22" xfId="13" applyNumberFormat="1" applyFont="1" applyFill="1" applyBorder="1" applyAlignment="1" applyProtection="1">
      <alignment horizontal="center" vertical="center"/>
    </xf>
    <xf numFmtId="164" fontId="8" fillId="2" borderId="0" xfId="13" applyNumberFormat="1" applyFont="1" applyFill="1" applyBorder="1" applyAlignment="1" applyProtection="1">
      <alignment horizontal="right" vertical="center"/>
    </xf>
    <xf numFmtId="165" fontId="8" fillId="0" borderId="0" xfId="14" applyNumberFormat="1" applyFont="1" applyFill="1" applyAlignment="1" applyProtection="1">
      <alignment horizontal="right" vertical="center"/>
    </xf>
    <xf numFmtId="165" fontId="4" fillId="2" borderId="1" xfId="14" applyNumberFormat="1" applyFont="1" applyFill="1" applyBorder="1" applyAlignment="1" applyProtection="1">
      <alignment horizontal="right" vertical="center"/>
      <protection locked="0"/>
    </xf>
    <xf numFmtId="165" fontId="8" fillId="0" borderId="0" xfId="14" applyNumberFormat="1" applyFont="1" applyFill="1" applyBorder="1" applyAlignment="1" applyProtection="1">
      <alignment horizontal="center" vertical="center"/>
    </xf>
    <xf numFmtId="164" fontId="8" fillId="2" borderId="0" xfId="2" applyNumberFormat="1" applyFont="1" applyFill="1" applyBorder="1" applyAlignment="1" applyProtection="1">
      <alignment horizontal="center" vertical="center"/>
    </xf>
    <xf numFmtId="164" fontId="4" fillId="0" borderId="2" xfId="13" applyNumberFormat="1" applyFont="1" applyFill="1" applyBorder="1" applyAlignment="1" applyProtection="1">
      <alignment horizontal="right" vertical="center"/>
    </xf>
    <xf numFmtId="0" fontId="8" fillId="0" borderId="0" xfId="8" quotePrefix="1" applyFont="1" applyAlignment="1">
      <alignment horizontal="center" vertical="center"/>
    </xf>
    <xf numFmtId="6" fontId="11" fillId="0" borderId="0" xfId="8" applyNumberFormat="1" applyFont="1" applyAlignment="1">
      <alignment horizontal="left" vertical="center"/>
    </xf>
    <xf numFmtId="165" fontId="8" fillId="2" borderId="0" xfId="14" applyNumberFormat="1" applyFont="1" applyFill="1" applyAlignment="1" applyProtection="1">
      <alignment horizontal="right" vertical="center"/>
    </xf>
    <xf numFmtId="6" fontId="8" fillId="0" borderId="0" xfId="8" applyNumberFormat="1" applyFont="1" applyAlignment="1">
      <alignment vertical="center"/>
    </xf>
    <xf numFmtId="10" fontId="8" fillId="0" borderId="0" xfId="15" applyNumberFormat="1" applyFont="1" applyAlignment="1">
      <alignment vertical="center"/>
    </xf>
    <xf numFmtId="164" fontId="8" fillId="0" borderId="21" xfId="13" applyNumberFormat="1" applyFont="1" applyFill="1" applyBorder="1" applyAlignment="1" applyProtection="1">
      <alignment horizontal="right" vertical="center"/>
    </xf>
    <xf numFmtId="165" fontId="8" fillId="0" borderId="1" xfId="14" applyNumberFormat="1" applyFont="1" applyFill="1" applyBorder="1" applyAlignment="1" applyProtection="1">
      <alignment horizontal="right" vertical="center"/>
    </xf>
    <xf numFmtId="164" fontId="8" fillId="0" borderId="20" xfId="13" applyNumberFormat="1" applyFont="1" applyFill="1" applyBorder="1" applyAlignment="1" applyProtection="1">
      <alignment horizontal="right" vertical="center"/>
    </xf>
    <xf numFmtId="164" fontId="8" fillId="0" borderId="2" xfId="2" applyNumberFormat="1" applyFont="1" applyFill="1" applyBorder="1" applyAlignment="1" applyProtection="1">
      <alignment horizontal="right" vertical="center"/>
    </xf>
    <xf numFmtId="164" fontId="8" fillId="0" borderId="0" xfId="8" applyNumberFormat="1" applyFont="1" applyAlignment="1">
      <alignment vertical="center"/>
    </xf>
    <xf numFmtId="164" fontId="8" fillId="0" borderId="2" xfId="13" applyNumberFormat="1" applyFont="1" applyFill="1" applyBorder="1" applyAlignment="1" applyProtection="1">
      <alignment horizontal="right" vertical="center"/>
    </xf>
    <xf numFmtId="164" fontId="8" fillId="0" borderId="0" xfId="2" applyNumberFormat="1" applyFont="1" applyFill="1" applyBorder="1" applyAlignment="1">
      <alignment vertical="center"/>
    </xf>
    <xf numFmtId="164" fontId="8" fillId="0" borderId="0" xfId="2" applyNumberFormat="1" applyFont="1" applyAlignment="1">
      <alignment vertical="center"/>
    </xf>
    <xf numFmtId="166" fontId="8" fillId="0" borderId="0" xfId="3" applyNumberFormat="1" applyFont="1" applyAlignment="1">
      <alignment vertical="center"/>
    </xf>
    <xf numFmtId="164" fontId="8" fillId="2" borderId="0" xfId="13" applyNumberFormat="1" applyFont="1" applyFill="1" applyAlignment="1">
      <alignment horizontal="right" vertical="center"/>
    </xf>
    <xf numFmtId="168" fontId="8" fillId="2" borderId="1" xfId="15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64" fontId="8" fillId="3" borderId="0" xfId="2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164" fontId="8" fillId="0" borderId="0" xfId="2" applyNumberFormat="1" applyFont="1" applyFill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165" fontId="8" fillId="3" borderId="0" xfId="1" applyNumberFormat="1" applyFont="1" applyFill="1" applyBorder="1" applyAlignment="1" applyProtection="1">
      <alignment vertical="center"/>
      <protection locked="0"/>
    </xf>
    <xf numFmtId="165" fontId="8" fillId="3" borderId="0" xfId="1" applyNumberFormat="1" applyFont="1" applyFill="1" applyBorder="1" applyAlignment="1">
      <alignment vertical="center"/>
    </xf>
    <xf numFmtId="165" fontId="4" fillId="3" borderId="0" xfId="1" applyNumberFormat="1" applyFont="1" applyFill="1" applyBorder="1" applyAlignment="1">
      <alignment vertical="center"/>
    </xf>
    <xf numFmtId="164" fontId="4" fillId="0" borderId="22" xfId="2" applyNumberFormat="1" applyFont="1" applyBorder="1" applyAlignment="1">
      <alignment vertical="center"/>
    </xf>
    <xf numFmtId="165" fontId="8" fillId="0" borderId="0" xfId="1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165" fontId="8" fillId="0" borderId="0" xfId="1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 wrapText="1"/>
    </xf>
    <xf numFmtId="5" fontId="11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4" fillId="3" borderId="1" xfId="1" applyNumberFormat="1" applyFont="1" applyFill="1" applyBorder="1" applyAlignment="1" applyProtection="1">
      <alignment vertical="center"/>
      <protection locked="0"/>
    </xf>
    <xf numFmtId="164" fontId="4" fillId="0" borderId="0" xfId="2" applyNumberFormat="1" applyFont="1" applyFill="1" applyBorder="1" applyAlignment="1" applyProtection="1">
      <alignment vertical="center"/>
      <protection locked="0"/>
    </xf>
    <xf numFmtId="165" fontId="8" fillId="3" borderId="1" xfId="1" applyNumberFormat="1" applyFont="1" applyFill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>
      <alignment horizontal="right" vertical="center"/>
    </xf>
    <xf numFmtId="164" fontId="4" fillId="0" borderId="22" xfId="2" applyNumberFormat="1" applyFont="1" applyBorder="1" applyAlignment="1">
      <alignment horizontal="right" vertical="center"/>
    </xf>
    <xf numFmtId="165" fontId="8" fillId="0" borderId="1" xfId="1" applyNumberFormat="1" applyFont="1" applyFill="1" applyBorder="1" applyAlignment="1" applyProtection="1">
      <alignment vertical="center"/>
      <protection locked="0"/>
    </xf>
    <xf numFmtId="164" fontId="4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8" fillId="0" borderId="0" xfId="2" applyNumberFormat="1" applyFont="1" applyBorder="1" applyAlignment="1">
      <alignment horizontal="right" vertical="center"/>
    </xf>
    <xf numFmtId="5" fontId="8" fillId="0" borderId="0" xfId="0" applyNumberFormat="1" applyFont="1" applyAlignment="1">
      <alignment horizontal="right" vertical="center"/>
    </xf>
    <xf numFmtId="165" fontId="8" fillId="4" borderId="0" xfId="1" applyNumberFormat="1" applyFont="1" applyFill="1" applyAlignment="1">
      <alignment horizontal="right" vertical="center"/>
    </xf>
    <xf numFmtId="165" fontId="8" fillId="2" borderId="0" xfId="1" applyNumberFormat="1" applyFont="1" applyFill="1" applyAlignment="1">
      <alignment horizontal="right" vertical="center"/>
    </xf>
    <xf numFmtId="0" fontId="8" fillId="0" borderId="0" xfId="2" applyNumberFormat="1" applyFont="1" applyFill="1" applyAlignment="1">
      <alignment horizontal="center" vertical="center"/>
    </xf>
    <xf numFmtId="164" fontId="8" fillId="0" borderId="20" xfId="2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4" fontId="8" fillId="0" borderId="0" xfId="2" applyNumberFormat="1" applyFont="1" applyFill="1" applyAlignment="1">
      <alignment vertical="center"/>
    </xf>
    <xf numFmtId="5" fontId="8" fillId="0" borderId="0" xfId="11" applyNumberFormat="1" applyFont="1" applyAlignment="1">
      <alignment horizontal="center" vertical="center"/>
    </xf>
    <xf numFmtId="165" fontId="8" fillId="2" borderId="1" xfId="1" applyNumberFormat="1" applyFont="1" applyFill="1" applyBorder="1" applyAlignment="1">
      <alignment vertical="center"/>
    </xf>
    <xf numFmtId="164" fontId="8" fillId="0" borderId="20" xfId="2" applyNumberFormat="1" applyFont="1" applyBorder="1" applyAlignment="1">
      <alignment vertical="center"/>
    </xf>
    <xf numFmtId="5" fontId="8" fillId="0" borderId="0" xfId="0" applyNumberFormat="1" applyFont="1" applyAlignment="1" applyProtection="1">
      <alignment vertical="center"/>
      <protection locked="0"/>
    </xf>
    <xf numFmtId="10" fontId="8" fillId="0" borderId="2" xfId="2" applyNumberFormat="1" applyFont="1" applyBorder="1" applyAlignment="1">
      <alignment horizontal="right" vertical="center"/>
    </xf>
    <xf numFmtId="164" fontId="8" fillId="0" borderId="0" xfId="0" applyNumberFormat="1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49" fontId="8" fillId="0" borderId="0" xfId="0" applyNumberFormat="1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65" fontId="8" fillId="0" borderId="0" xfId="1" quotePrefix="1" applyNumberFormat="1" applyFont="1" applyBorder="1" applyAlignment="1">
      <alignment horizontal="centerContinuous" vertical="center"/>
    </xf>
    <xf numFmtId="49" fontId="4" fillId="0" borderId="23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2" xfId="0" quotePrefix="1" applyFont="1" applyBorder="1" applyAlignment="1">
      <alignment horizontal="center" vertical="center"/>
    </xf>
    <xf numFmtId="165" fontId="4" fillId="0" borderId="12" xfId="1" quotePrefix="1" applyNumberFormat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24" xfId="0" quotePrefix="1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49" fontId="4" fillId="0" borderId="1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38" fontId="4" fillId="0" borderId="16" xfId="1" applyNumberFormat="1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38" fontId="4" fillId="0" borderId="28" xfId="1" applyNumberFormat="1" applyFont="1" applyBorder="1" applyAlignment="1">
      <alignment vertical="center"/>
    </xf>
    <xf numFmtId="38" fontId="4" fillId="0" borderId="11" xfId="1" applyNumberFormat="1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164" fontId="8" fillId="0" borderId="16" xfId="2" applyNumberFormat="1" applyFont="1" applyFill="1" applyBorder="1" applyAlignment="1">
      <alignment vertical="center"/>
    </xf>
    <xf numFmtId="38" fontId="8" fillId="0" borderId="11" xfId="1" applyNumberFormat="1" applyFont="1" applyBorder="1" applyAlignment="1">
      <alignment horizontal="center" vertical="center"/>
    </xf>
    <xf numFmtId="165" fontId="8" fillId="0" borderId="16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65" fontId="8" fillId="0" borderId="17" xfId="1" applyNumberFormat="1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65" fontId="4" fillId="0" borderId="16" xfId="1" applyNumberFormat="1" applyFont="1" applyFill="1" applyBorder="1" applyAlignment="1">
      <alignment vertical="center"/>
    </xf>
    <xf numFmtId="165" fontId="8" fillId="0" borderId="13" xfId="1" applyNumberFormat="1" applyFont="1" applyFill="1" applyBorder="1" applyAlignment="1">
      <alignment vertical="center"/>
    </xf>
    <xf numFmtId="165" fontId="8" fillId="0" borderId="15" xfId="1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49" fontId="8" fillId="0" borderId="29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64" fontId="8" fillId="0" borderId="9" xfId="2" applyNumberFormat="1" applyFont="1" applyFill="1" applyBorder="1" applyAlignment="1">
      <alignment vertical="center"/>
    </xf>
    <xf numFmtId="164" fontId="8" fillId="0" borderId="3" xfId="2" applyNumberFormat="1" applyFont="1" applyFill="1" applyBorder="1" applyAlignment="1">
      <alignment vertical="center"/>
    </xf>
    <xf numFmtId="0" fontId="19" fillId="0" borderId="3" xfId="0" applyFont="1" applyBorder="1" applyAlignment="1">
      <alignment horizont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9" xfId="2" applyNumberFormat="1" applyFont="1" applyFill="1" applyBorder="1" applyAlignment="1">
      <alignment vertical="center"/>
    </xf>
    <xf numFmtId="38" fontId="8" fillId="0" borderId="8" xfId="1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170" fontId="8" fillId="0" borderId="16" xfId="1" applyNumberFormat="1" applyFont="1" applyFill="1" applyBorder="1" applyAlignment="1">
      <alignment vertical="center"/>
    </xf>
    <xf numFmtId="170" fontId="8" fillId="0" borderId="0" xfId="1" applyNumberFormat="1" applyFont="1" applyFill="1" applyBorder="1" applyAlignment="1">
      <alignment vertical="center"/>
    </xf>
    <xf numFmtId="170" fontId="8" fillId="0" borderId="17" xfId="1" applyNumberFormat="1" applyFont="1" applyFill="1" applyBorder="1" applyAlignment="1">
      <alignment vertical="center"/>
    </xf>
    <xf numFmtId="164" fontId="8" fillId="0" borderId="17" xfId="2" applyNumberFormat="1" applyFont="1" applyFill="1" applyBorder="1" applyAlignment="1">
      <alignment vertical="center"/>
    </xf>
    <xf numFmtId="165" fontId="8" fillId="0" borderId="28" xfId="1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19" fillId="0" borderId="15" xfId="0" applyFont="1" applyBorder="1" applyAlignment="1">
      <alignment horizontal="center"/>
    </xf>
    <xf numFmtId="164" fontId="4" fillId="0" borderId="27" xfId="2" applyNumberFormat="1" applyFont="1" applyFill="1" applyBorder="1" applyAlignment="1">
      <alignment vertical="center"/>
    </xf>
    <xf numFmtId="164" fontId="4" fillId="0" borderId="28" xfId="2" applyNumberFormat="1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9" xfId="2" applyNumberFormat="1" applyFont="1" applyFill="1" applyBorder="1" applyAlignment="1">
      <alignment vertical="center"/>
    </xf>
    <xf numFmtId="0" fontId="19" fillId="0" borderId="31" xfId="0" applyFont="1" applyBorder="1" applyAlignment="1">
      <alignment horizontal="center"/>
    </xf>
    <xf numFmtId="164" fontId="4" fillId="0" borderId="32" xfId="2" applyNumberFormat="1" applyFont="1" applyFill="1" applyBorder="1" applyAlignment="1">
      <alignment vertical="center"/>
    </xf>
    <xf numFmtId="49" fontId="8" fillId="0" borderId="2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70" fontId="8" fillId="0" borderId="9" xfId="0" applyNumberFormat="1" applyFont="1" applyBorder="1" applyAlignment="1">
      <alignment vertical="center"/>
    </xf>
    <xf numFmtId="170" fontId="8" fillId="0" borderId="9" xfId="1" applyNumberFormat="1" applyFont="1" applyFill="1" applyBorder="1" applyAlignment="1">
      <alignment vertical="center"/>
    </xf>
    <xf numFmtId="170" fontId="8" fillId="0" borderId="3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70" fontId="8" fillId="0" borderId="6" xfId="0" applyNumberFormat="1" applyFont="1" applyBorder="1" applyAlignment="1">
      <alignment vertical="center"/>
    </xf>
    <xf numFmtId="170" fontId="8" fillId="0" borderId="6" xfId="1" applyNumberFormat="1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49" fontId="18" fillId="0" borderId="10" xfId="0" applyNumberFormat="1" applyFont="1" applyBorder="1" applyAlignment="1">
      <alignment vertical="center"/>
    </xf>
    <xf numFmtId="170" fontId="8" fillId="0" borderId="0" xfId="0" applyNumberFormat="1" applyFont="1" applyAlignment="1">
      <alignment vertical="center"/>
    </xf>
    <xf numFmtId="0" fontId="8" fillId="0" borderId="11" xfId="0" applyFont="1" applyBorder="1" applyAlignment="1">
      <alignment vertical="center"/>
    </xf>
    <xf numFmtId="49" fontId="8" fillId="0" borderId="10" xfId="0" applyNumberFormat="1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vertical="center"/>
    </xf>
    <xf numFmtId="170" fontId="4" fillId="0" borderId="0" xfId="0" applyNumberFormat="1" applyFont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8" fillId="0" borderId="1" xfId="1" applyNumberFormat="1" applyFont="1" applyBorder="1" applyAlignment="1">
      <alignment horizontal="left" vertical="center"/>
    </xf>
    <xf numFmtId="171" fontId="8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/>
    </xf>
    <xf numFmtId="164" fontId="4" fillId="0" borderId="2" xfId="2" applyNumberFormat="1" applyFont="1" applyFill="1" applyBorder="1" applyAlignment="1">
      <alignment vertical="center"/>
    </xf>
    <xf numFmtId="0" fontId="19" fillId="0" borderId="10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 vertical="center"/>
    </xf>
    <xf numFmtId="165" fontId="8" fillId="0" borderId="3" xfId="1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vertical="center"/>
    </xf>
    <xf numFmtId="37" fontId="4" fillId="0" borderId="0" xfId="0" applyNumberFormat="1" applyFont="1" applyAlignment="1">
      <alignment horizontal="center" vertical="center"/>
    </xf>
    <xf numFmtId="37" fontId="8" fillId="0" borderId="3" xfId="0" applyNumberFormat="1" applyFont="1" applyBorder="1" applyAlignment="1">
      <alignment vertical="center"/>
    </xf>
    <xf numFmtId="37" fontId="4" fillId="0" borderId="23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vertical="center"/>
    </xf>
    <xf numFmtId="37" fontId="4" fillId="0" borderId="12" xfId="0" quotePrefix="1" applyNumberFormat="1" applyFont="1" applyBorder="1" applyAlignment="1">
      <alignment horizontal="center" vertical="center"/>
    </xf>
    <xf numFmtId="37" fontId="4" fillId="0" borderId="6" xfId="0" quotePrefix="1" applyNumberFormat="1" applyFont="1" applyBorder="1" applyAlignment="1">
      <alignment horizontal="center" vertical="center"/>
    </xf>
    <xf numFmtId="37" fontId="4" fillId="0" borderId="5" xfId="0" quotePrefix="1" applyNumberFormat="1" applyFont="1" applyBorder="1" applyAlignment="1">
      <alignment horizontal="center" vertical="center"/>
    </xf>
    <xf numFmtId="37" fontId="4" fillId="0" borderId="1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vertical="center"/>
    </xf>
    <xf numFmtId="37" fontId="4" fillId="0" borderId="16" xfId="16" applyNumberFormat="1" applyFont="1" applyBorder="1" applyAlignment="1">
      <alignment horizontal="center" vertical="center"/>
    </xf>
    <xf numFmtId="37" fontId="4" fillId="0" borderId="0" xfId="16" applyNumberFormat="1" applyFont="1" applyAlignment="1">
      <alignment horizontal="center" vertical="center"/>
    </xf>
    <xf numFmtId="37" fontId="4" fillId="0" borderId="11" xfId="0" quotePrefix="1" applyNumberFormat="1" applyFont="1" applyBorder="1" applyAlignment="1">
      <alignment horizontal="center" vertical="center"/>
    </xf>
    <xf numFmtId="37" fontId="4" fillId="0" borderId="29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9" xfId="16" applyNumberFormat="1" applyFont="1" applyBorder="1" applyAlignment="1">
      <alignment horizontal="center" vertical="center"/>
    </xf>
    <xf numFmtId="37" fontId="4" fillId="0" borderId="3" xfId="16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37" fontId="4" fillId="0" borderId="8" xfId="0" applyNumberFormat="1" applyFont="1" applyBorder="1" applyAlignment="1">
      <alignment horizontal="center" vertical="center"/>
    </xf>
    <xf numFmtId="37" fontId="8" fillId="0" borderId="18" xfId="0" applyNumberFormat="1" applyFont="1" applyBorder="1" applyAlignment="1">
      <alignment horizontal="center" vertical="center"/>
    </xf>
    <xf numFmtId="37" fontId="25" fillId="0" borderId="0" xfId="0" applyNumberFormat="1" applyFont="1" applyAlignment="1">
      <alignment vertical="center"/>
    </xf>
    <xf numFmtId="37" fontId="9" fillId="0" borderId="16" xfId="16" applyNumberFormat="1" applyFont="1" applyBorder="1" applyAlignment="1">
      <alignment horizontal="left" vertical="center"/>
    </xf>
    <xf numFmtId="37" fontId="8" fillId="0" borderId="16" xfId="16" applyNumberFormat="1" applyFont="1" applyBorder="1" applyAlignment="1">
      <alignment horizontal="center" vertical="center"/>
    </xf>
    <xf numFmtId="37" fontId="8" fillId="0" borderId="0" xfId="16" applyNumberFormat="1" applyFont="1" applyAlignment="1">
      <alignment horizontal="center" vertical="center"/>
    </xf>
    <xf numFmtId="37" fontId="8" fillId="0" borderId="24" xfId="16" applyNumberFormat="1" applyFont="1" applyBorder="1" applyAlignment="1">
      <alignment horizontal="center" vertical="center"/>
    </xf>
    <xf numFmtId="37" fontId="8" fillId="0" borderId="12" xfId="16" applyNumberFormat="1" applyFont="1" applyBorder="1" applyAlignment="1">
      <alignment horizontal="center" vertical="center"/>
    </xf>
    <xf numFmtId="37" fontId="8" fillId="0" borderId="11" xfId="16" applyNumberFormat="1" applyFont="1" applyBorder="1" applyAlignment="1">
      <alignment horizontal="center" vertical="center"/>
    </xf>
    <xf numFmtId="37" fontId="8" fillId="0" borderId="0" xfId="0" applyNumberFormat="1" applyFont="1" applyAlignment="1">
      <alignment horizontal="left" vertical="center"/>
    </xf>
    <xf numFmtId="164" fontId="8" fillId="0" borderId="25" xfId="2" applyNumberFormat="1" applyFont="1" applyFill="1" applyBorder="1" applyAlignment="1">
      <alignment vertical="center"/>
    </xf>
    <xf numFmtId="43" fontId="8" fillId="0" borderId="0" xfId="1" applyFont="1" applyAlignment="1">
      <alignment vertical="center"/>
    </xf>
    <xf numFmtId="165" fontId="8" fillId="0" borderId="25" xfId="1" applyNumberFormat="1" applyFont="1" applyFill="1" applyBorder="1" applyAlignment="1">
      <alignment vertical="center"/>
    </xf>
    <xf numFmtId="39" fontId="8" fillId="0" borderId="0" xfId="0" applyNumberFormat="1" applyFont="1" applyAlignment="1">
      <alignment vertical="center"/>
    </xf>
    <xf numFmtId="43" fontId="8" fillId="0" borderId="0" xfId="1" applyFont="1" applyFill="1" applyAlignment="1">
      <alignment vertical="center"/>
    </xf>
    <xf numFmtId="165" fontId="8" fillId="0" borderId="16" xfId="1" applyNumberFormat="1" applyFont="1" applyFill="1" applyBorder="1" applyAlignment="1">
      <alignment horizontal="right" vertical="center"/>
    </xf>
    <xf numFmtId="167" fontId="8" fillId="0" borderId="18" xfId="0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165" fontId="8" fillId="0" borderId="27" xfId="1" applyNumberFormat="1" applyFont="1" applyFill="1" applyBorder="1" applyAlignment="1">
      <alignment vertical="center"/>
    </xf>
    <xf numFmtId="37" fontId="8" fillId="0" borderId="16" xfId="0" applyNumberFormat="1" applyFont="1" applyBorder="1" applyAlignment="1">
      <alignment vertical="center"/>
    </xf>
    <xf numFmtId="37" fontId="8" fillId="0" borderId="25" xfId="0" applyNumberFormat="1" applyFont="1" applyBorder="1" applyAlignment="1">
      <alignment vertical="center"/>
    </xf>
    <xf numFmtId="37" fontId="8" fillId="0" borderId="11" xfId="0" applyNumberFormat="1" applyFont="1" applyBorder="1" applyAlignment="1">
      <alignment vertical="center"/>
    </xf>
    <xf numFmtId="164" fontId="4" fillId="0" borderId="19" xfId="2" applyNumberFormat="1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37" fontId="8" fillId="0" borderId="11" xfId="0" applyNumberFormat="1" applyFont="1" applyBorder="1" applyAlignment="1">
      <alignment horizontal="center" vertical="center"/>
    </xf>
    <xf numFmtId="37" fontId="8" fillId="0" borderId="29" xfId="0" applyNumberFormat="1" applyFont="1" applyBorder="1" applyAlignment="1">
      <alignment vertical="center"/>
    </xf>
    <xf numFmtId="37" fontId="8" fillId="0" borderId="9" xfId="1" applyNumberFormat="1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7" fontId="8" fillId="0" borderId="8" xfId="0" applyNumberFormat="1" applyFont="1" applyBorder="1" applyAlignment="1">
      <alignment vertical="center"/>
    </xf>
    <xf numFmtId="37" fontId="8" fillId="0" borderId="4" xfId="0" applyNumberFormat="1" applyFont="1" applyBorder="1" applyAlignment="1">
      <alignment vertical="center"/>
    </xf>
    <xf numFmtId="37" fontId="8" fillId="0" borderId="6" xfId="0" applyNumberFormat="1" applyFont="1" applyBorder="1" applyAlignment="1">
      <alignment vertical="center"/>
    </xf>
    <xf numFmtId="37" fontId="8" fillId="0" borderId="6" xfId="1" applyNumberFormat="1" applyFont="1" applyBorder="1" applyAlignment="1">
      <alignment vertical="center"/>
    </xf>
    <xf numFmtId="37" fontId="8" fillId="0" borderId="6" xfId="1" applyNumberFormat="1" applyFont="1" applyFill="1" applyBorder="1" applyAlignment="1">
      <alignment vertical="center"/>
    </xf>
    <xf numFmtId="37" fontId="8" fillId="0" borderId="5" xfId="0" applyNumberFormat="1" applyFont="1" applyBorder="1" applyAlignment="1">
      <alignment vertical="center"/>
    </xf>
    <xf numFmtId="37" fontId="18" fillId="0" borderId="10" xfId="0" applyNumberFormat="1" applyFont="1" applyBorder="1" applyAlignment="1">
      <alignment horizontal="left" vertical="center"/>
    </xf>
    <xf numFmtId="37" fontId="8" fillId="0" borderId="10" xfId="11" applyNumberFormat="1" applyFont="1" applyBorder="1" applyAlignment="1">
      <alignment horizontal="center"/>
    </xf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vertical="top"/>
    </xf>
    <xf numFmtId="165" fontId="8" fillId="0" borderId="1" xfId="1" applyNumberFormat="1" applyFont="1" applyFill="1" applyBorder="1"/>
    <xf numFmtId="37" fontId="26" fillId="0" borderId="0" xfId="0" applyNumberFormat="1" applyFont="1"/>
    <xf numFmtId="37" fontId="9" fillId="0" borderId="0" xfId="0" applyNumberFormat="1" applyFont="1" applyAlignment="1">
      <alignment horizontal="right" vertical="center"/>
    </xf>
    <xf numFmtId="37" fontId="9" fillId="0" borderId="11" xfId="0" applyNumberFormat="1" applyFont="1" applyBorder="1" applyAlignment="1">
      <alignment vertical="center"/>
    </xf>
    <xf numFmtId="43" fontId="26" fillId="0" borderId="0" xfId="1" applyFont="1" applyFill="1" applyBorder="1"/>
    <xf numFmtId="165" fontId="26" fillId="0" borderId="0" xfId="1" applyNumberFormat="1" applyFont="1" applyFill="1" applyBorder="1"/>
    <xf numFmtId="37" fontId="8" fillId="0" borderId="10" xfId="11" applyNumberFormat="1" applyFont="1" applyBorder="1" applyAlignment="1">
      <alignment horizontal="center" vertical="top"/>
    </xf>
    <xf numFmtId="165" fontId="8" fillId="0" borderId="1" xfId="1" applyNumberFormat="1" applyFont="1" applyFill="1" applyBorder="1" applyAlignment="1"/>
    <xf numFmtId="165" fontId="8" fillId="0" borderId="0" xfId="1" applyNumberFormat="1" applyFont="1" applyFill="1" applyBorder="1" applyAlignment="1">
      <alignment vertical="top"/>
    </xf>
    <xf numFmtId="167" fontId="8" fillId="0" borderId="10" xfId="11" applyNumberFormat="1" applyFont="1" applyBorder="1" applyAlignment="1">
      <alignment horizontal="center" wrapText="1"/>
    </xf>
    <xf numFmtId="165" fontId="26" fillId="0" borderId="0" xfId="1" applyNumberFormat="1" applyFont="1" applyFill="1" applyBorder="1" applyAlignment="1">
      <alignment vertical="top"/>
    </xf>
    <xf numFmtId="165" fontId="8" fillId="0" borderId="1" xfId="1" applyNumberFormat="1" applyFont="1" applyFill="1" applyBorder="1" applyAlignment="1">
      <alignment vertical="top"/>
    </xf>
    <xf numFmtId="37" fontId="8" fillId="0" borderId="0" xfId="0" applyNumberFormat="1" applyFont="1" applyAlignment="1">
      <alignment wrapText="1"/>
    </xf>
    <xf numFmtId="43" fontId="27" fillId="0" borderId="0" xfId="1" applyFont="1" applyFill="1" applyBorder="1" applyAlignment="1">
      <alignment horizontal="right"/>
    </xf>
    <xf numFmtId="37" fontId="8" fillId="0" borderId="10" xfId="17" applyNumberFormat="1" applyFont="1" applyBorder="1" applyAlignment="1">
      <alignment horizontal="center" vertical="center"/>
    </xf>
    <xf numFmtId="37" fontId="8" fillId="0" borderId="0" xfId="0" applyNumberFormat="1" applyFont="1" applyAlignment="1">
      <alignment vertical="center" wrapText="1"/>
    </xf>
    <xf numFmtId="43" fontId="9" fillId="0" borderId="0" xfId="1" applyFont="1" applyFill="1" applyBorder="1" applyAlignment="1">
      <alignment horizontal="right" vertical="center"/>
    </xf>
    <xf numFmtId="37" fontId="8" fillId="0" borderId="10" xfId="0" applyNumberFormat="1" applyFont="1" applyBorder="1" applyAlignment="1">
      <alignment vertical="center"/>
    </xf>
    <xf numFmtId="37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4" fillId="0" borderId="0" xfId="2" applyNumberFormat="1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7" fontId="8" fillId="0" borderId="7" xfId="0" applyNumberFormat="1" applyFont="1" applyBorder="1" applyAlignment="1">
      <alignment vertical="center"/>
    </xf>
    <xf numFmtId="37" fontId="8" fillId="0" borderId="3" xfId="0" applyNumberFormat="1" applyFont="1" applyBorder="1" applyAlignment="1">
      <alignment horizontal="left" vertical="center"/>
    </xf>
    <xf numFmtId="167" fontId="8" fillId="0" borderId="0" xfId="0" applyNumberFormat="1" applyFont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37" fontId="4" fillId="0" borderId="0" xfId="18" applyNumberFormat="1" applyFont="1" applyAlignment="1" applyProtection="1">
      <alignment horizontal="center" vertical="center"/>
      <protection locked="0"/>
    </xf>
    <xf numFmtId="37" fontId="4" fillId="0" borderId="0" xfId="18" applyNumberFormat="1" applyFont="1" applyAlignment="1">
      <alignment vertical="center"/>
    </xf>
    <xf numFmtId="0" fontId="8" fillId="0" borderId="0" xfId="11" applyFont="1" applyAlignment="1">
      <alignment vertical="center"/>
    </xf>
    <xf numFmtId="0" fontId="11" fillId="0" borderId="0" xfId="11" applyFont="1" applyAlignment="1">
      <alignment horizontal="center" vertical="center"/>
    </xf>
    <xf numFmtId="0" fontId="4" fillId="0" borderId="0" xfId="11" applyFont="1" applyAlignment="1">
      <alignment vertical="center"/>
    </xf>
    <xf numFmtId="15" fontId="8" fillId="0" borderId="1" xfId="11" applyNumberFormat="1" applyFont="1" applyBorder="1" applyAlignment="1">
      <alignment horizontal="center" vertical="center"/>
    </xf>
    <xf numFmtId="0" fontId="8" fillId="0" borderId="1" xfId="11" applyFont="1" applyBorder="1" applyAlignment="1">
      <alignment horizontal="center" vertical="center"/>
    </xf>
    <xf numFmtId="164" fontId="8" fillId="0" borderId="0" xfId="7" applyNumberFormat="1" applyFont="1" applyBorder="1" applyAlignment="1" applyProtection="1">
      <alignment vertical="center"/>
      <protection locked="0"/>
    </xf>
    <xf numFmtId="5" fontId="4" fillId="0" borderId="0" xfId="11" applyNumberFormat="1" applyFont="1" applyAlignment="1" applyProtection="1">
      <alignment horizontal="center" vertical="center"/>
      <protection locked="0"/>
    </xf>
    <xf numFmtId="164" fontId="8" fillId="3" borderId="0" xfId="7" applyNumberFormat="1" applyFont="1" applyFill="1" applyAlignment="1" applyProtection="1">
      <alignment vertical="center"/>
      <protection locked="0"/>
    </xf>
    <xf numFmtId="5" fontId="8" fillId="0" borderId="0" xfId="11" applyNumberFormat="1" applyFont="1" applyAlignment="1" applyProtection="1">
      <alignment vertical="center"/>
      <protection locked="0"/>
    </xf>
    <xf numFmtId="5" fontId="8" fillId="0" borderId="0" xfId="11" applyNumberFormat="1" applyFont="1" applyAlignment="1" applyProtection="1">
      <alignment horizontal="center" vertical="center"/>
      <protection locked="0"/>
    </xf>
    <xf numFmtId="10" fontId="8" fillId="0" borderId="0" xfId="11" applyNumberFormat="1" applyFont="1" applyAlignment="1" applyProtection="1">
      <alignment vertical="center"/>
      <protection locked="0"/>
    </xf>
    <xf numFmtId="10" fontId="8" fillId="0" borderId="0" xfId="11" applyNumberFormat="1" applyFont="1" applyAlignment="1" applyProtection="1">
      <alignment horizontal="center" vertical="center"/>
      <protection locked="0"/>
    </xf>
    <xf numFmtId="10" fontId="8" fillId="2" borderId="1" xfId="11" applyNumberFormat="1" applyFont="1" applyFill="1" applyBorder="1" applyAlignment="1" applyProtection="1">
      <alignment horizontal="right" vertical="center"/>
      <protection locked="0"/>
    </xf>
    <xf numFmtId="164" fontId="8" fillId="0" borderId="0" xfId="7" applyNumberFormat="1" applyFont="1" applyBorder="1" applyAlignment="1" applyProtection="1">
      <alignment horizontal="right" vertical="center"/>
      <protection locked="0"/>
    </xf>
    <xf numFmtId="164" fontId="8" fillId="0" borderId="2" xfId="7" applyNumberFormat="1" applyFont="1" applyBorder="1" applyAlignment="1" applyProtection="1">
      <alignment horizontal="right" vertical="center"/>
      <protection locked="0"/>
    </xf>
    <xf numFmtId="164" fontId="8" fillId="0" borderId="0" xfId="7" applyNumberFormat="1" applyFont="1" applyBorder="1" applyAlignment="1">
      <alignment vertical="center"/>
    </xf>
    <xf numFmtId="164" fontId="8" fillId="3" borderId="1" xfId="7" applyNumberFormat="1" applyFont="1" applyFill="1" applyBorder="1" applyAlignment="1" applyProtection="1">
      <alignment horizontal="center" vertical="center"/>
      <protection locked="0"/>
    </xf>
    <xf numFmtId="0" fontId="22" fillId="0" borderId="0" xfId="11" applyFont="1" applyAlignment="1">
      <alignment vertical="center"/>
    </xf>
    <xf numFmtId="164" fontId="4" fillId="2" borderId="0" xfId="7" applyNumberFormat="1" applyFont="1" applyFill="1" applyAlignment="1" applyProtection="1">
      <alignment vertical="center"/>
      <protection locked="0"/>
    </xf>
    <xf numFmtId="164" fontId="8" fillId="0" borderId="0" xfId="7" applyNumberFormat="1" applyFont="1" applyFill="1" applyBorder="1" applyAlignment="1" applyProtection="1">
      <alignment vertical="center"/>
      <protection locked="0"/>
    </xf>
    <xf numFmtId="165" fontId="8" fillId="2" borderId="1" xfId="1" applyNumberFormat="1" applyFont="1" applyFill="1" applyBorder="1" applyAlignment="1" applyProtection="1">
      <alignment vertical="center"/>
      <protection locked="0"/>
    </xf>
    <xf numFmtId="164" fontId="4" fillId="0" borderId="0" xfId="7" applyNumberFormat="1" applyFont="1" applyAlignment="1">
      <alignment horizontal="right" vertical="center"/>
    </xf>
    <xf numFmtId="10" fontId="8" fillId="3" borderId="1" xfId="10" applyNumberFormat="1" applyFont="1" applyFill="1" applyBorder="1" applyAlignment="1">
      <alignment vertical="center"/>
    </xf>
    <xf numFmtId="10" fontId="8" fillId="0" borderId="0" xfId="10" applyNumberFormat="1" applyFont="1" applyBorder="1" applyAlignment="1">
      <alignment vertical="center"/>
    </xf>
    <xf numFmtId="164" fontId="4" fillId="0" borderId="2" xfId="7" applyNumberFormat="1" applyFont="1" applyBorder="1" applyAlignment="1" applyProtection="1">
      <alignment horizontal="right" vertical="center"/>
      <protection locked="0"/>
    </xf>
    <xf numFmtId="164" fontId="4" fillId="0" borderId="0" xfId="7" applyNumberFormat="1" applyFont="1" applyFill="1" applyAlignment="1" applyProtection="1">
      <alignment vertical="center"/>
      <protection locked="0"/>
    </xf>
    <xf numFmtId="10" fontId="8" fillId="0" borderId="1" xfId="10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0" fontId="8" fillId="0" borderId="0" xfId="11" applyFont="1" applyAlignment="1">
      <alignment horizontal="left" vertical="center"/>
    </xf>
    <xf numFmtId="168" fontId="8" fillId="2" borderId="1" xfId="10" applyNumberFormat="1" applyFont="1" applyFill="1" applyBorder="1" applyAlignment="1">
      <alignment horizontal="right" vertical="center"/>
    </xf>
    <xf numFmtId="164" fontId="8" fillId="0" borderId="2" xfId="2" applyNumberFormat="1" applyFont="1" applyBorder="1" applyAlignment="1" applyProtection="1">
      <alignment horizontal="right" vertical="center"/>
      <protection locked="0"/>
    </xf>
    <xf numFmtId="164" fontId="8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11" quotePrefix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8" fillId="3" borderId="0" xfId="2" applyNumberFormat="1" applyFont="1" applyFill="1" applyAlignment="1" applyProtection="1">
      <alignment vertical="center"/>
      <protection locked="0"/>
    </xf>
    <xf numFmtId="0" fontId="28" fillId="0" borderId="0" xfId="0" applyFont="1" applyAlignment="1">
      <alignment horizontal="center" vertical="center" wrapText="1"/>
    </xf>
    <xf numFmtId="165" fontId="8" fillId="3" borderId="0" xfId="1" applyNumberFormat="1" applyFont="1" applyFill="1" applyAlignment="1" applyProtection="1">
      <alignment vertical="center"/>
      <protection locked="0"/>
    </xf>
    <xf numFmtId="164" fontId="8" fillId="0" borderId="22" xfId="2" applyNumberFormat="1" applyFont="1" applyBorder="1" applyAlignment="1">
      <alignment vertical="center"/>
    </xf>
    <xf numFmtId="0" fontId="29" fillId="0" borderId="0" xfId="0" applyFont="1" applyAlignment="1">
      <alignment horizontal="center" vertical="center" wrapText="1"/>
    </xf>
    <xf numFmtId="164" fontId="8" fillId="0" borderId="21" xfId="2" applyNumberFormat="1" applyFont="1" applyBorder="1" applyAlignment="1" applyProtection="1">
      <alignment vertical="center"/>
      <protection locked="0"/>
    </xf>
    <xf numFmtId="164" fontId="8" fillId="0" borderId="0" xfId="2" applyNumberFormat="1" applyFont="1" applyBorder="1" applyAlignment="1" applyProtection="1">
      <alignment vertical="center"/>
      <protection locked="0"/>
    </xf>
    <xf numFmtId="10" fontId="8" fillId="0" borderId="2" xfId="3" applyNumberFormat="1" applyFont="1" applyBorder="1" applyAlignment="1">
      <alignment horizontal="right" vertical="center"/>
    </xf>
    <xf numFmtId="10" fontId="8" fillId="0" borderId="0" xfId="3" applyNumberFormat="1" applyFont="1" applyBorder="1" applyAlignment="1">
      <alignment horizontal="right" vertical="center"/>
    </xf>
    <xf numFmtId="164" fontId="8" fillId="3" borderId="1" xfId="2" applyNumberFormat="1" applyFont="1" applyFill="1" applyBorder="1" applyAlignment="1" applyProtection="1">
      <alignment vertical="center"/>
      <protection locked="0"/>
    </xf>
    <xf numFmtId="165" fontId="8" fillId="0" borderId="0" xfId="1" applyNumberFormat="1" applyFont="1" applyFill="1" applyAlignment="1" applyProtection="1">
      <alignment vertical="center"/>
      <protection locked="0"/>
    </xf>
    <xf numFmtId="164" fontId="8" fillId="0" borderId="20" xfId="2" applyNumberFormat="1" applyFont="1" applyBorder="1" applyAlignment="1" applyProtection="1">
      <alignment vertical="center"/>
    </xf>
    <xf numFmtId="164" fontId="8" fillId="0" borderId="0" xfId="2" applyNumberFormat="1" applyFont="1" applyBorder="1" applyAlignment="1" applyProtection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0" fontId="8" fillId="3" borderId="2" xfId="3" applyNumberFormat="1" applyFont="1" applyFill="1" applyBorder="1" applyAlignment="1">
      <alignment vertical="center"/>
    </xf>
    <xf numFmtId="10" fontId="8" fillId="0" borderId="0" xfId="3" applyNumberFormat="1" applyFont="1" applyFill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10" fontId="8" fillId="0" borderId="0" xfId="3" applyNumberFormat="1" applyFont="1" applyAlignment="1">
      <alignment horizontal="right" vertical="center"/>
    </xf>
    <xf numFmtId="165" fontId="8" fillId="0" borderId="0" xfId="1" applyNumberFormat="1" applyFont="1" applyFill="1" applyAlignment="1">
      <alignment vertical="center"/>
    </xf>
    <xf numFmtId="10" fontId="8" fillId="0" borderId="1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vertical="center"/>
    </xf>
    <xf numFmtId="10" fontId="8" fillId="0" borderId="1" xfId="3" applyNumberFormat="1" applyFont="1" applyBorder="1" applyAlignment="1">
      <alignment horizontal="right" vertical="center"/>
    </xf>
    <xf numFmtId="164" fontId="8" fillId="0" borderId="20" xfId="0" applyNumberFormat="1" applyFont="1" applyBorder="1" applyAlignment="1">
      <alignment vertical="center"/>
    </xf>
    <xf numFmtId="10" fontId="8" fillId="0" borderId="2" xfId="3" applyNumberFormat="1" applyFont="1" applyFill="1" applyBorder="1" applyAlignment="1">
      <alignment horizontal="right" vertical="center"/>
    </xf>
    <xf numFmtId="10" fontId="8" fillId="4" borderId="0" xfId="0" applyNumberFormat="1" applyFont="1" applyFill="1" applyAlignment="1">
      <alignment horizontal="right" vertical="center"/>
    </xf>
    <xf numFmtId="10" fontId="8" fillId="0" borderId="0" xfId="3" applyNumberFormat="1" applyFont="1" applyFill="1" applyBorder="1" applyAlignment="1">
      <alignment horizontal="right" vertical="center"/>
    </xf>
    <xf numFmtId="5" fontId="8" fillId="0" borderId="0" xfId="0" applyNumberFormat="1" applyFont="1" applyAlignment="1">
      <alignment horizontal="center" vertical="center" wrapText="1"/>
    </xf>
    <xf numFmtId="0" fontId="22" fillId="0" borderId="3" xfId="0" applyFont="1" applyBorder="1" applyAlignment="1">
      <alignment vertical="center"/>
    </xf>
    <xf numFmtId="10" fontId="8" fillId="0" borderId="3" xfId="3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5" fontId="8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172" fontId="8" fillId="0" borderId="0" xfId="0" applyNumberFormat="1" applyFont="1" applyAlignment="1">
      <alignment horizontal="center" vertical="center" wrapText="1"/>
    </xf>
    <xf numFmtId="10" fontId="8" fillId="2" borderId="0" xfId="3" applyNumberFormat="1" applyFont="1" applyFill="1" applyAlignment="1">
      <alignment horizontal="right" vertical="center"/>
    </xf>
    <xf numFmtId="164" fontId="8" fillId="2" borderId="0" xfId="2" applyNumberFormat="1" applyFont="1" applyFill="1" applyAlignment="1">
      <alignment horizontal="center" vertical="center"/>
    </xf>
    <xf numFmtId="164" fontId="8" fillId="3" borderId="0" xfId="2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2" borderId="0" xfId="2" applyNumberFormat="1" applyFont="1" applyFill="1" applyAlignment="1">
      <alignment horizontal="right" vertical="center"/>
    </xf>
    <xf numFmtId="10" fontId="8" fillId="0" borderId="0" xfId="3" applyNumberFormat="1" applyFont="1" applyAlignment="1">
      <alignment vertical="center"/>
    </xf>
    <xf numFmtId="0" fontId="8" fillId="3" borderId="1" xfId="3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168" fontId="8" fillId="0" borderId="0" xfId="3" applyNumberFormat="1" applyFont="1" applyAlignment="1">
      <alignment horizontal="right" vertical="center"/>
    </xf>
    <xf numFmtId="168" fontId="4" fillId="0" borderId="0" xfId="3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172" fontId="8" fillId="0" borderId="0" xfId="0" applyNumberFormat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8" fillId="0" borderId="0" xfId="2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right" vertical="center"/>
    </xf>
    <xf numFmtId="168" fontId="8" fillId="0" borderId="0" xfId="3" applyNumberFormat="1" applyFont="1" applyFill="1" applyAlignment="1">
      <alignment horizontal="right" vertical="center"/>
    </xf>
    <xf numFmtId="9" fontId="8" fillId="0" borderId="0" xfId="3" applyFont="1" applyAlignment="1">
      <alignment horizontal="right" vertical="center"/>
    </xf>
    <xf numFmtId="168" fontId="8" fillId="0" borderId="1" xfId="3" applyNumberFormat="1" applyFont="1" applyBorder="1" applyAlignment="1">
      <alignment horizontal="right" vertical="center"/>
    </xf>
    <xf numFmtId="168" fontId="8" fillId="0" borderId="0" xfId="3" applyNumberFormat="1" applyFont="1" applyBorder="1" applyAlignment="1">
      <alignment horizontal="right" vertical="center"/>
    </xf>
    <xf numFmtId="168" fontId="8" fillId="2" borderId="1" xfId="3" applyNumberFormat="1" applyFont="1" applyFill="1" applyBorder="1" applyAlignment="1">
      <alignment horizontal="right" vertical="center"/>
    </xf>
    <xf numFmtId="168" fontId="4" fillId="0" borderId="2" xfId="3" applyNumberFormat="1" applyFont="1" applyBorder="1" applyAlignment="1">
      <alignment horizontal="right" vertical="center"/>
    </xf>
    <xf numFmtId="168" fontId="4" fillId="0" borderId="0" xfId="3" applyNumberFormat="1" applyFont="1" applyAlignment="1">
      <alignment horizontal="center" vertical="center"/>
    </xf>
    <xf numFmtId="168" fontId="8" fillId="0" borderId="0" xfId="0" applyNumberFormat="1" applyFont="1" applyAlignment="1">
      <alignment vertical="center"/>
    </xf>
    <xf numFmtId="164" fontId="8" fillId="4" borderId="0" xfId="2" applyNumberFormat="1" applyFont="1" applyFill="1" applyAlignment="1">
      <alignment horizontal="right" vertical="center"/>
    </xf>
    <xf numFmtId="173" fontId="8" fillId="0" borderId="0" xfId="0" applyNumberFormat="1" applyFont="1" applyAlignment="1">
      <alignment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2" xfId="3" applyNumberFormat="1" applyFont="1" applyBorder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5" fontId="4" fillId="0" borderId="0" xfId="0" applyNumberFormat="1" applyFont="1" applyAlignment="1" applyProtection="1">
      <alignment horizontal="center" vertical="center"/>
      <protection locked="0"/>
    </xf>
    <xf numFmtId="5" fontId="8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right" vertical="center" wrapText="1"/>
    </xf>
    <xf numFmtId="9" fontId="8" fillId="2" borderId="1" xfId="3" applyFont="1" applyFill="1" applyBorder="1" applyAlignment="1">
      <alignment horizontal="right" vertical="center"/>
    </xf>
    <xf numFmtId="10" fontId="8" fillId="2" borderId="1" xfId="3" applyNumberFormat="1" applyFont="1" applyFill="1" applyBorder="1" applyAlignment="1">
      <alignment horizontal="right" vertical="center"/>
    </xf>
    <xf numFmtId="168" fontId="8" fillId="2" borderId="1" xfId="0" applyNumberFormat="1" applyFont="1" applyFill="1" applyBorder="1" applyAlignment="1">
      <alignment horizontal="right" vertical="center"/>
    </xf>
    <xf numFmtId="168" fontId="8" fillId="0" borderId="2" xfId="0" applyNumberFormat="1" applyFont="1" applyBorder="1" applyAlignment="1">
      <alignment horizontal="right" vertical="center"/>
    </xf>
    <xf numFmtId="168" fontId="8" fillId="0" borderId="0" xfId="0" applyNumberFormat="1" applyFont="1" applyAlignment="1">
      <alignment horizontal="right" vertical="center"/>
    </xf>
    <xf numFmtId="168" fontId="8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2" fillId="0" borderId="0" xfId="4" applyFont="1" applyAlignment="1">
      <alignment horizontal="centerContinuous"/>
    </xf>
    <xf numFmtId="165" fontId="6" fillId="0" borderId="0" xfId="1" applyNumberFormat="1" applyFont="1" applyBorder="1"/>
    <xf numFmtId="165" fontId="6" fillId="0" borderId="0" xfId="1" applyNumberFormat="1" applyFont="1"/>
    <xf numFmtId="164" fontId="15" fillId="0" borderId="0" xfId="0" applyNumberFormat="1" applyFont="1"/>
    <xf numFmtId="165" fontId="1" fillId="0" borderId="0" xfId="4" applyNumberFormat="1"/>
    <xf numFmtId="43" fontId="1" fillId="0" borderId="0" xfId="4" applyNumberFormat="1"/>
    <xf numFmtId="0" fontId="4" fillId="0" borderId="0" xfId="11" applyFont="1" applyAlignment="1">
      <alignment horizontal="center" vertical="center"/>
    </xf>
    <xf numFmtId="0" fontId="8" fillId="0" borderId="0" xfId="11" applyFont="1" applyAlignment="1">
      <alignment horizontal="center" vertical="center"/>
    </xf>
    <xf numFmtId="164" fontId="4" fillId="0" borderId="16" xfId="2" applyNumberFormat="1" applyFont="1" applyFill="1" applyBorder="1" applyAlignment="1">
      <alignment vertical="center"/>
    </xf>
    <xf numFmtId="164" fontId="8" fillId="0" borderId="27" xfId="2" applyNumberFormat="1" applyFont="1" applyFill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165" fontId="8" fillId="0" borderId="0" xfId="9" applyNumberFormat="1" applyFont="1" applyBorder="1" applyAlignment="1">
      <alignment vertical="center"/>
    </xf>
    <xf numFmtId="165" fontId="8" fillId="0" borderId="0" xfId="9" applyNumberFormat="1" applyFont="1" applyBorder="1" applyAlignment="1" applyProtection="1">
      <alignment vertical="center"/>
      <protection locked="0"/>
    </xf>
    <xf numFmtId="165" fontId="8" fillId="0" borderId="0" xfId="9" applyNumberFormat="1" applyFont="1" applyAlignment="1" applyProtection="1">
      <alignment vertical="center"/>
      <protection locked="0"/>
    </xf>
    <xf numFmtId="165" fontId="4" fillId="2" borderId="0" xfId="9" applyNumberFormat="1" applyFont="1" applyFill="1" applyBorder="1" applyAlignment="1" applyProtection="1">
      <alignment horizontal="right" vertical="center"/>
      <protection locked="0"/>
    </xf>
    <xf numFmtId="165" fontId="8" fillId="0" borderId="0" xfId="9" applyNumberFormat="1" applyFont="1" applyFill="1" applyBorder="1" applyAlignment="1" applyProtection="1">
      <alignment vertical="center"/>
      <protection locked="0"/>
    </xf>
    <xf numFmtId="168" fontId="4" fillId="2" borderId="1" xfId="1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6" fillId="0" borderId="0" xfId="4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" xfId="1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8" fillId="0" borderId="0" xfId="11" applyNumberFormat="1" applyFont="1" applyAlignment="1">
      <alignment horizontal="center" vertical="center"/>
    </xf>
    <xf numFmtId="164" fontId="6" fillId="0" borderId="0" xfId="2" applyNumberFormat="1" applyFont="1" applyFill="1" applyAlignment="1">
      <alignment horizontal="right" vertical="center"/>
    </xf>
    <xf numFmtId="10" fontId="8" fillId="3" borderId="0" xfId="3" applyNumberFormat="1" applyFont="1" applyFill="1" applyBorder="1"/>
    <xf numFmtId="164" fontId="6" fillId="0" borderId="0" xfId="2" applyNumberFormat="1" applyFont="1" applyAlignment="1">
      <alignment horizontal="center" vertical="center"/>
    </xf>
    <xf numFmtId="164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vertical="center"/>
    </xf>
    <xf numFmtId="165" fontId="6" fillId="0" borderId="0" xfId="1" applyNumberFormat="1" applyFont="1" applyFill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10" fontId="6" fillId="0" borderId="0" xfId="3" applyNumberFormat="1" applyFont="1" applyAlignment="1">
      <alignment vertical="center"/>
    </xf>
    <xf numFmtId="174" fontId="6" fillId="0" borderId="0" xfId="3" applyNumberFormat="1" applyFont="1" applyAlignment="1">
      <alignment vertical="center"/>
    </xf>
    <xf numFmtId="0" fontId="8" fillId="0" borderId="1" xfId="11" applyFont="1" applyBorder="1" applyAlignment="1">
      <alignment horizontal="left" vertical="center"/>
    </xf>
    <xf numFmtId="1" fontId="8" fillId="0" borderId="1" xfId="11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0" fontId="8" fillId="3" borderId="1" xfId="3" applyNumberFormat="1" applyFont="1" applyFill="1" applyBorder="1"/>
    <xf numFmtId="165" fontId="6" fillId="0" borderId="1" xfId="1" applyNumberFormat="1" applyFont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vertical="center"/>
    </xf>
    <xf numFmtId="165" fontId="6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vertical="center"/>
    </xf>
    <xf numFmtId="164" fontId="6" fillId="0" borderId="20" xfId="2" applyNumberFormat="1" applyFont="1" applyFill="1" applyBorder="1" applyAlignment="1">
      <alignment vertical="center"/>
    </xf>
    <xf numFmtId="175" fontId="6" fillId="0" borderId="2" xfId="2" applyNumberFormat="1" applyFont="1" applyBorder="1" applyAlignment="1">
      <alignment vertical="center"/>
    </xf>
    <xf numFmtId="175" fontId="6" fillId="0" borderId="0" xfId="2" applyNumberFormat="1" applyFont="1" applyAlignment="1">
      <alignment vertical="center"/>
    </xf>
    <xf numFmtId="164" fontId="8" fillId="0" borderId="20" xfId="2" applyNumberFormat="1" applyFont="1" applyFill="1" applyBorder="1" applyAlignment="1">
      <alignment vertical="center"/>
    </xf>
    <xf numFmtId="175" fontId="8" fillId="0" borderId="0" xfId="2" applyNumberFormat="1" applyFont="1" applyFill="1" applyAlignment="1">
      <alignment vertical="center"/>
    </xf>
    <xf numFmtId="176" fontId="6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3" fillId="0" borderId="0" xfId="19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8" fillId="0" borderId="0" xfId="0" applyNumberFormat="1" applyFont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0" fontId="4" fillId="3" borderId="0" xfId="8" applyFont="1" applyFill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4" fillId="2" borderId="0" xfId="8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vertical="center"/>
    </xf>
    <xf numFmtId="37" fontId="4" fillId="0" borderId="0" xfId="0" applyNumberFormat="1" applyFont="1" applyAlignment="1">
      <alignment horizontal="center" vertical="center"/>
    </xf>
    <xf numFmtId="37" fontId="4" fillId="0" borderId="0" xfId="0" quotePrefix="1" applyNumberFormat="1" applyFont="1" applyAlignment="1">
      <alignment horizontal="center" vertical="center"/>
    </xf>
    <xf numFmtId="0" fontId="4" fillId="0" borderId="0" xfId="11" applyFont="1" applyAlignment="1">
      <alignment horizontal="center" vertical="center"/>
    </xf>
    <xf numFmtId="0" fontId="8" fillId="0" borderId="0" xfId="11" applyFont="1" applyAlignment="1">
      <alignment horizontal="center" vertical="center"/>
    </xf>
    <xf numFmtId="0" fontId="4" fillId="2" borderId="0" xfId="11" applyFont="1" applyFill="1" applyAlignment="1">
      <alignment horizontal="center" vertical="center"/>
    </xf>
    <xf numFmtId="0" fontId="4" fillId="0" borderId="0" xfId="11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/>
    <xf numFmtId="0" fontId="15" fillId="0" borderId="0" xfId="0" applyFont="1" applyAlignment="1"/>
  </cellXfs>
  <cellStyles count="20">
    <cellStyle name="Comma" xfId="1" builtinId="3"/>
    <cellStyle name="Comma 2" xfId="9" xr:uid="{596A2905-F532-43F9-AE76-8B7CBA9F2992}"/>
    <cellStyle name="Comma 2 2" xfId="14" xr:uid="{629B634F-AA8B-48AE-BC12-38A4B98F18A2}"/>
    <cellStyle name="Comma 4" xfId="6" xr:uid="{D3E3C023-04B8-4AFE-A735-28A29A974FBF}"/>
    <cellStyle name="Currency" xfId="2" builtinId="4"/>
    <cellStyle name="Currency 2" xfId="7" xr:uid="{695375E4-F44B-4ED5-A6B2-3AF1E7963BA5}"/>
    <cellStyle name="Currency 2 2" xfId="13" xr:uid="{50613D99-58EA-4EF0-8FA9-28E8ECCE3E11}"/>
    <cellStyle name="Currency 4" xfId="5" xr:uid="{8A761B84-4C2E-4BDD-A594-D753888BEF85}"/>
    <cellStyle name="Normal" xfId="0" builtinId="0"/>
    <cellStyle name="Normal 10 18" xfId="19" xr:uid="{66008D12-1976-47EA-8F49-CCE63DB8454B}"/>
    <cellStyle name="Normal 2" xfId="11" xr:uid="{DEAD2A6F-0DE0-4169-8B49-330DDDF5138E}"/>
    <cellStyle name="Normal 2 2 2" xfId="17" xr:uid="{A47891EE-6C64-49C9-B42D-BA9ADF55F6A1}"/>
    <cellStyle name="Normal 3 2" xfId="18" xr:uid="{CBCA64C0-07B7-47B0-AFC7-D4FC43D6168F}"/>
    <cellStyle name="Normal 4" xfId="4" xr:uid="{7E9461A3-E2C1-43F3-8CDD-E8FBB526C83B}"/>
    <cellStyle name="Normal 8" xfId="12" xr:uid="{EB5947E6-1D43-4EA4-A735-423D716CA929}"/>
    <cellStyle name="Normal 9" xfId="8" xr:uid="{E4A41464-D7DC-4D0F-B1F9-BB69FA848167}"/>
    <cellStyle name="Normal_A&amp;gallc1999" xfId="16" xr:uid="{565677E5-7964-483A-AC3D-99248FACA0AD}"/>
    <cellStyle name="Percent" xfId="3" builtinId="5"/>
    <cellStyle name="Percent 2" xfId="10" xr:uid="{80EA1B9F-7AC2-43F2-B94B-3D910F466356}"/>
    <cellStyle name="Percent 3" xfId="15" xr:uid="{F6A5ADE6-2093-4D81-8AD0-4975695A20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3EC55FD4-CF24-453D-94CC-BF0FECB8FBCE}"/>
            </a:ext>
          </a:extLst>
        </xdr:cNvPr>
        <xdr:cNvSpPr>
          <a:spLocks noChangeShapeType="1"/>
        </xdr:cNvSpPr>
      </xdr:nvSpPr>
      <xdr:spPr bwMode="auto">
        <a:xfrm>
          <a:off x="1898652" y="25822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31F0028E-EBE9-452B-8E8E-9004401495C8}"/>
            </a:ext>
          </a:extLst>
        </xdr:cNvPr>
        <xdr:cNvSpPr>
          <a:spLocks noChangeShapeType="1"/>
        </xdr:cNvSpPr>
      </xdr:nvSpPr>
      <xdr:spPr bwMode="auto">
        <a:xfrm>
          <a:off x="1755780" y="281606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205</xdr:row>
      <xdr:rowOff>9525</xdr:rowOff>
    </xdr:from>
    <xdr:to>
      <xdr:col>1</xdr:col>
      <xdr:colOff>3581077</xdr:colOff>
      <xdr:row>205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C0510BEB-E798-401D-9549-D8FAB3A73298}"/>
            </a:ext>
          </a:extLst>
        </xdr:cNvPr>
        <xdr:cNvSpPr>
          <a:spLocks noChangeShapeType="1"/>
        </xdr:cNvSpPr>
      </xdr:nvSpPr>
      <xdr:spPr bwMode="auto">
        <a:xfrm>
          <a:off x="1898652" y="41014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205</xdr:row>
      <xdr:rowOff>9525</xdr:rowOff>
    </xdr:from>
    <xdr:to>
      <xdr:col>1</xdr:col>
      <xdr:colOff>3581077</xdr:colOff>
      <xdr:row>205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52D0281B-EBDB-4F45-A48F-F4BC6EC948A8}"/>
            </a:ext>
          </a:extLst>
        </xdr:cNvPr>
        <xdr:cNvSpPr>
          <a:spLocks noChangeShapeType="1"/>
        </xdr:cNvSpPr>
      </xdr:nvSpPr>
      <xdr:spPr bwMode="auto">
        <a:xfrm>
          <a:off x="1898652" y="41014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217</xdr:row>
      <xdr:rowOff>-1</xdr:rowOff>
    </xdr:from>
    <xdr:to>
      <xdr:col>2</xdr:col>
      <xdr:colOff>312424</xdr:colOff>
      <xdr:row>217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4E655244-4759-4446-B772-D0FEAD6BEAFD}"/>
            </a:ext>
          </a:extLst>
        </xdr:cNvPr>
        <xdr:cNvSpPr>
          <a:spLocks noChangeShapeType="1"/>
        </xdr:cNvSpPr>
      </xdr:nvSpPr>
      <xdr:spPr bwMode="auto">
        <a:xfrm>
          <a:off x="1755780" y="4334827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98A2F2CB-CE38-4A50-8A7E-0456AA28A9E4}"/>
            </a:ext>
          </a:extLst>
        </xdr:cNvPr>
        <xdr:cNvSpPr>
          <a:spLocks noChangeShapeType="1"/>
        </xdr:cNvSpPr>
      </xdr:nvSpPr>
      <xdr:spPr bwMode="auto">
        <a:xfrm>
          <a:off x="1898652" y="32346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46D16B5F-BD3C-42CB-A93B-2C70EA5B8ECD}"/>
            </a:ext>
          </a:extLst>
        </xdr:cNvPr>
        <xdr:cNvSpPr>
          <a:spLocks noChangeShapeType="1"/>
        </xdr:cNvSpPr>
      </xdr:nvSpPr>
      <xdr:spPr bwMode="auto">
        <a:xfrm>
          <a:off x="1755780" y="34685287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238</xdr:row>
      <xdr:rowOff>9525</xdr:rowOff>
    </xdr:from>
    <xdr:to>
      <xdr:col>1</xdr:col>
      <xdr:colOff>3581077</xdr:colOff>
      <xdr:row>238</xdr:row>
      <xdr:rowOff>9525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92D3A317-491F-44D9-B9FB-57EC43A893CB}"/>
            </a:ext>
          </a:extLst>
        </xdr:cNvPr>
        <xdr:cNvSpPr>
          <a:spLocks noChangeShapeType="1"/>
        </xdr:cNvSpPr>
      </xdr:nvSpPr>
      <xdr:spPr bwMode="auto">
        <a:xfrm>
          <a:off x="1898652" y="475297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238</xdr:row>
      <xdr:rowOff>9525</xdr:rowOff>
    </xdr:from>
    <xdr:to>
      <xdr:col>1</xdr:col>
      <xdr:colOff>3581077</xdr:colOff>
      <xdr:row>238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86C1EC3C-4406-430A-A142-00A8B4FDE7B7}"/>
            </a:ext>
          </a:extLst>
        </xdr:cNvPr>
        <xdr:cNvSpPr>
          <a:spLocks noChangeShapeType="1"/>
        </xdr:cNvSpPr>
      </xdr:nvSpPr>
      <xdr:spPr bwMode="auto">
        <a:xfrm>
          <a:off x="1898652" y="475297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250</xdr:row>
      <xdr:rowOff>-1</xdr:rowOff>
    </xdr:from>
    <xdr:to>
      <xdr:col>2</xdr:col>
      <xdr:colOff>312424</xdr:colOff>
      <xdr:row>250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EE59DED8-A17A-46AE-A420-33E0C180A243}"/>
            </a:ext>
          </a:extLst>
        </xdr:cNvPr>
        <xdr:cNvSpPr>
          <a:spLocks noChangeShapeType="1"/>
        </xdr:cNvSpPr>
      </xdr:nvSpPr>
      <xdr:spPr bwMode="auto">
        <a:xfrm>
          <a:off x="1755780" y="4986337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238</xdr:row>
      <xdr:rowOff>9525</xdr:rowOff>
    </xdr:from>
    <xdr:to>
      <xdr:col>1</xdr:col>
      <xdr:colOff>3581077</xdr:colOff>
      <xdr:row>238</xdr:row>
      <xdr:rowOff>9525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B7612A06-6A76-47A1-A616-03B19E3A646B}"/>
            </a:ext>
          </a:extLst>
        </xdr:cNvPr>
        <xdr:cNvSpPr>
          <a:spLocks noChangeShapeType="1"/>
        </xdr:cNvSpPr>
      </xdr:nvSpPr>
      <xdr:spPr bwMode="auto">
        <a:xfrm>
          <a:off x="1898652" y="475297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249</xdr:row>
      <xdr:rowOff>202405</xdr:rowOff>
    </xdr:from>
    <xdr:to>
      <xdr:col>2</xdr:col>
      <xdr:colOff>312424</xdr:colOff>
      <xdr:row>250</xdr:row>
      <xdr:rowOff>7936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75829203-923D-4B0A-AB16-4999478B7DF7}"/>
            </a:ext>
          </a:extLst>
        </xdr:cNvPr>
        <xdr:cNvSpPr>
          <a:spLocks noChangeShapeType="1"/>
        </xdr:cNvSpPr>
      </xdr:nvSpPr>
      <xdr:spPr bwMode="auto">
        <a:xfrm>
          <a:off x="1755780" y="49865756"/>
          <a:ext cx="2885757" cy="55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2118-89F3-4C7D-86E1-59CA235F356E}">
  <sheetPr>
    <pageSetUpPr fitToPage="1"/>
  </sheetPr>
  <dimension ref="A2:H43"/>
  <sheetViews>
    <sheetView tabSelected="1" zoomScale="80" zoomScaleNormal="80" workbookViewId="0"/>
  </sheetViews>
  <sheetFormatPr defaultColWidth="9.28515625" defaultRowHeight="14.25"/>
  <cols>
    <col min="1" max="1" width="4.7109375" style="1" bestFit="1" customWidth="1"/>
    <col min="2" max="2" width="71.5703125" style="1" customWidth="1"/>
    <col min="3" max="3" width="1.5703125" style="1" customWidth="1"/>
    <col min="4" max="4" width="20.7109375" style="1" customWidth="1"/>
    <col min="5" max="5" width="1.5703125" style="1" customWidth="1"/>
    <col min="6" max="6" width="40.5703125" style="1" customWidth="1"/>
    <col min="7" max="7" width="4.7109375" style="1" customWidth="1"/>
    <col min="8" max="16384" width="9.28515625" style="1"/>
  </cols>
  <sheetData>
    <row r="2" spans="1:8" ht="17.25">
      <c r="B2" s="2" t="s">
        <v>0</v>
      </c>
      <c r="C2" s="2"/>
      <c r="D2" s="3"/>
      <c r="E2" s="3"/>
      <c r="F2" s="3"/>
    </row>
    <row r="3" spans="1:8" ht="20.25">
      <c r="B3" s="548" t="s">
        <v>1</v>
      </c>
      <c r="C3" s="2"/>
      <c r="D3" s="3"/>
      <c r="E3" s="3"/>
      <c r="F3" s="3"/>
    </row>
    <row r="4" spans="1:8" ht="17.25">
      <c r="B4" s="548" t="s">
        <v>2</v>
      </c>
      <c r="C4" s="2"/>
      <c r="D4" s="3"/>
      <c r="E4" s="3"/>
      <c r="F4" s="3"/>
    </row>
    <row r="5" spans="1:8" ht="15.4">
      <c r="B5" s="606" t="s">
        <v>3</v>
      </c>
      <c r="C5" s="606"/>
      <c r="D5" s="606"/>
      <c r="E5" s="606"/>
      <c r="F5" s="606"/>
      <c r="G5" s="4"/>
      <c r="H5" s="4"/>
    </row>
    <row r="6" spans="1:8" ht="15.4">
      <c r="B6" s="5"/>
      <c r="C6" s="5"/>
      <c r="D6" s="6"/>
      <c r="E6" s="7"/>
      <c r="F6" s="5"/>
      <c r="G6" s="5"/>
    </row>
    <row r="7" spans="1:8" ht="15.4">
      <c r="A7" s="8" t="s">
        <v>4</v>
      </c>
      <c r="G7" s="8" t="s">
        <v>4</v>
      </c>
    </row>
    <row r="8" spans="1:8" ht="15.4">
      <c r="A8" s="11" t="s">
        <v>5</v>
      </c>
      <c r="B8" s="9" t="s">
        <v>6</v>
      </c>
      <c r="C8" s="9"/>
      <c r="D8" s="9" t="s">
        <v>7</v>
      </c>
      <c r="E8" s="10"/>
      <c r="F8" s="9" t="s">
        <v>8</v>
      </c>
      <c r="G8" s="11" t="s">
        <v>5</v>
      </c>
    </row>
    <row r="9" spans="1:8" ht="15.4">
      <c r="A9" s="8"/>
      <c r="B9" s="5"/>
      <c r="C9" s="5"/>
      <c r="D9" s="12"/>
      <c r="E9" s="12"/>
      <c r="F9" s="12"/>
      <c r="G9" s="8"/>
    </row>
    <row r="10" spans="1:8" ht="15.4">
      <c r="A10" s="8">
        <v>1</v>
      </c>
      <c r="B10" s="7" t="s">
        <v>9</v>
      </c>
      <c r="C10" s="7"/>
      <c r="D10" s="12"/>
      <c r="E10" s="12"/>
      <c r="F10" s="12"/>
      <c r="G10" s="8">
        <v>1</v>
      </c>
    </row>
    <row r="11" spans="1:8" ht="15.4">
      <c r="A11" s="8">
        <f>A10+1</f>
        <v>2</v>
      </c>
      <c r="B11" s="5" t="s">
        <v>10</v>
      </c>
      <c r="C11" s="13"/>
      <c r="D11" s="14">
        <f>'Pg2 BK-1 Comparison '!I93</f>
        <v>-387.59126542683225</v>
      </c>
      <c r="E11" s="14"/>
      <c r="F11" s="12" t="s">
        <v>11</v>
      </c>
      <c r="G11" s="8">
        <f>G10+1</f>
        <v>2</v>
      </c>
    </row>
    <row r="12" spans="1:8" ht="15.4">
      <c r="A12" s="8">
        <f t="shared" ref="A12:A23" si="0">A11+1</f>
        <v>3</v>
      </c>
      <c r="B12" s="5"/>
      <c r="C12" s="12"/>
      <c r="D12" s="14"/>
      <c r="E12" s="14"/>
      <c r="F12" s="12"/>
      <c r="G12" s="8">
        <f t="shared" ref="G12:G23" si="1">G11+1</f>
        <v>3</v>
      </c>
    </row>
    <row r="13" spans="1:8" ht="15.4">
      <c r="A13" s="8">
        <f t="shared" si="0"/>
        <v>4</v>
      </c>
      <c r="B13" s="5" t="s">
        <v>12</v>
      </c>
      <c r="C13" s="12"/>
      <c r="D13" s="15">
        <f>'Pg8 TO5 C2 Int Calc'!G65</f>
        <v>-63.438868902270961</v>
      </c>
      <c r="E13" s="16"/>
      <c r="F13" s="12" t="s">
        <v>13</v>
      </c>
      <c r="G13" s="8">
        <f t="shared" si="1"/>
        <v>4</v>
      </c>
    </row>
    <row r="14" spans="1:8" ht="15.4">
      <c r="A14" s="8">
        <f t="shared" si="0"/>
        <v>5</v>
      </c>
      <c r="B14" s="5"/>
      <c r="C14" s="12"/>
      <c r="D14" s="17"/>
      <c r="E14" s="17"/>
      <c r="F14" s="12"/>
      <c r="G14" s="8">
        <f t="shared" si="1"/>
        <v>5</v>
      </c>
    </row>
    <row r="15" spans="1:8" ht="15.4">
      <c r="A15" s="8">
        <f t="shared" si="0"/>
        <v>6</v>
      </c>
      <c r="B15" s="566" t="s">
        <v>14</v>
      </c>
      <c r="C15" s="10"/>
      <c r="D15" s="549">
        <f>D11+D13</f>
        <v>-451.03013432910319</v>
      </c>
      <c r="E15" s="14"/>
      <c r="F15" s="12" t="s">
        <v>15</v>
      </c>
      <c r="G15" s="8">
        <f t="shared" si="1"/>
        <v>6</v>
      </c>
    </row>
    <row r="16" spans="1:8" ht="15.4">
      <c r="A16" s="8">
        <f t="shared" si="0"/>
        <v>7</v>
      </c>
      <c r="B16" s="5"/>
      <c r="C16" s="12"/>
      <c r="D16" s="5"/>
      <c r="E16" s="5"/>
      <c r="F16" s="5"/>
      <c r="G16" s="8">
        <f t="shared" si="1"/>
        <v>7</v>
      </c>
    </row>
    <row r="17" spans="1:8" ht="15.4">
      <c r="A17" s="8">
        <f t="shared" si="0"/>
        <v>8</v>
      </c>
      <c r="B17" s="5" t="s">
        <v>16</v>
      </c>
      <c r="C17" s="13"/>
      <c r="D17" s="18">
        <f>ROUND(D15*0.010275,0)</f>
        <v>-5</v>
      </c>
      <c r="E17" s="5"/>
      <c r="F17" s="8" t="s">
        <v>17</v>
      </c>
      <c r="G17" s="8">
        <f t="shared" si="1"/>
        <v>8</v>
      </c>
      <c r="H17" s="553"/>
    </row>
    <row r="18" spans="1:8" ht="15.4">
      <c r="A18" s="8">
        <f t="shared" si="0"/>
        <v>9</v>
      </c>
      <c r="B18" s="5"/>
      <c r="C18" s="12"/>
      <c r="D18" s="14"/>
      <c r="E18" s="5"/>
      <c r="G18" s="8">
        <f t="shared" si="1"/>
        <v>9</v>
      </c>
    </row>
    <row r="19" spans="1:8" ht="15.4">
      <c r="A19" s="8">
        <f t="shared" si="0"/>
        <v>10</v>
      </c>
      <c r="B19" s="19" t="s">
        <v>18</v>
      </c>
      <c r="C19" s="12"/>
      <c r="D19" s="550">
        <f>D15+D17</f>
        <v>-456.03013432910319</v>
      </c>
      <c r="E19" s="5"/>
      <c r="F19" s="12" t="s">
        <v>19</v>
      </c>
      <c r="G19" s="8">
        <f t="shared" si="1"/>
        <v>10</v>
      </c>
      <c r="H19" s="552"/>
    </row>
    <row r="20" spans="1:8" ht="15.4">
      <c r="A20" s="8">
        <f t="shared" si="0"/>
        <v>11</v>
      </c>
      <c r="B20" s="5"/>
      <c r="C20" s="12"/>
      <c r="D20" s="14"/>
      <c r="E20" s="5"/>
      <c r="G20" s="8">
        <f t="shared" si="1"/>
        <v>11</v>
      </c>
    </row>
    <row r="21" spans="1:8" ht="15.4">
      <c r="A21" s="8">
        <f t="shared" si="0"/>
        <v>12</v>
      </c>
      <c r="B21" s="5" t="s">
        <v>20</v>
      </c>
      <c r="C21" s="13"/>
      <c r="D21" s="18">
        <f>ROUND(D15*0.00165,0)</f>
        <v>-1</v>
      </c>
      <c r="E21" s="5"/>
      <c r="F21" s="8" t="s">
        <v>21</v>
      </c>
      <c r="G21" s="8">
        <f t="shared" si="1"/>
        <v>12</v>
      </c>
    </row>
    <row r="22" spans="1:8" ht="15.4">
      <c r="A22" s="8">
        <f t="shared" si="0"/>
        <v>13</v>
      </c>
      <c r="B22" s="5"/>
      <c r="C22" s="12"/>
      <c r="D22" s="20"/>
      <c r="E22" s="5"/>
      <c r="F22" s="8"/>
      <c r="G22" s="8">
        <f t="shared" si="1"/>
        <v>13</v>
      </c>
    </row>
    <row r="23" spans="1:8" ht="15.75" thickBot="1">
      <c r="A23" s="8">
        <f t="shared" si="0"/>
        <v>14</v>
      </c>
      <c r="B23" s="19" t="s">
        <v>22</v>
      </c>
      <c r="C23" s="13"/>
      <c r="D23" s="21">
        <f>D19+D21</f>
        <v>-457.03013432910319</v>
      </c>
      <c r="E23" s="5"/>
      <c r="F23" s="12" t="s">
        <v>23</v>
      </c>
      <c r="G23" s="8">
        <f t="shared" si="1"/>
        <v>14</v>
      </c>
    </row>
    <row r="24" spans="1:8" ht="15.75" thickTop="1">
      <c r="B24" s="5"/>
      <c r="C24" s="5"/>
      <c r="D24" s="5"/>
      <c r="E24" s="5"/>
      <c r="F24" s="5"/>
      <c r="G24" s="5"/>
    </row>
    <row r="25" spans="1:8" ht="15.4">
      <c r="B25" s="5"/>
      <c r="C25" s="5"/>
      <c r="D25" s="5"/>
      <c r="E25" s="5"/>
      <c r="F25" s="5"/>
      <c r="G25" s="5"/>
    </row>
    <row r="26" spans="1:8" ht="16.149999999999999">
      <c r="A26" s="22">
        <v>1</v>
      </c>
      <c r="B26" s="23" t="s">
        <v>24</v>
      </c>
      <c r="C26" s="5"/>
      <c r="D26" s="5"/>
      <c r="E26" s="5"/>
      <c r="F26" s="5"/>
      <c r="G26" s="5"/>
    </row>
    <row r="27" spans="1:8" ht="15.4">
      <c r="B27" s="5" t="s">
        <v>25</v>
      </c>
      <c r="C27" s="5"/>
      <c r="D27" s="5"/>
      <c r="E27" s="5"/>
      <c r="F27" s="5"/>
      <c r="G27" s="5"/>
    </row>
    <row r="28" spans="1:8" ht="15.4">
      <c r="B28" s="5"/>
      <c r="C28" s="5"/>
      <c r="D28" s="5"/>
      <c r="E28" s="5"/>
      <c r="F28" s="5"/>
      <c r="G28" s="5"/>
    </row>
    <row r="29" spans="1:8" ht="15.4">
      <c r="B29" s="5"/>
      <c r="C29" s="5"/>
      <c r="D29" s="5"/>
      <c r="E29" s="5"/>
      <c r="F29" s="5"/>
      <c r="G29" s="5"/>
    </row>
    <row r="30" spans="1:8" ht="15.4">
      <c r="B30" s="5"/>
      <c r="C30" s="5"/>
      <c r="D30" s="5"/>
      <c r="E30" s="5"/>
      <c r="F30" s="5"/>
      <c r="G30" s="5"/>
    </row>
    <row r="31" spans="1:8" ht="16.149999999999999">
      <c r="A31" s="22"/>
      <c r="B31" s="5"/>
      <c r="C31" s="5"/>
      <c r="D31" s="5"/>
      <c r="E31" s="5"/>
      <c r="F31" s="5"/>
      <c r="G31" s="5"/>
    </row>
    <row r="32" spans="1:8" ht="15.4">
      <c r="B32" s="5"/>
      <c r="C32" s="5"/>
      <c r="D32" s="5"/>
      <c r="E32" s="5"/>
      <c r="F32" s="5"/>
      <c r="G32" s="5"/>
    </row>
    <row r="33" spans="2:7" ht="15.4">
      <c r="B33" s="5"/>
      <c r="C33" s="5"/>
      <c r="D33" s="5"/>
      <c r="E33" s="5"/>
      <c r="F33" s="5"/>
      <c r="G33" s="5"/>
    </row>
    <row r="34" spans="2:7" ht="15.4">
      <c r="B34" s="5"/>
      <c r="C34" s="5"/>
      <c r="D34" s="5"/>
      <c r="E34" s="5"/>
      <c r="F34" s="5"/>
      <c r="G34" s="5"/>
    </row>
    <row r="35" spans="2:7" ht="15.4">
      <c r="B35" s="5"/>
      <c r="C35" s="5"/>
      <c r="D35" s="5"/>
      <c r="E35" s="5"/>
      <c r="F35" s="5"/>
      <c r="G35" s="5"/>
    </row>
    <row r="36" spans="2:7" ht="15.4">
      <c r="B36" s="5"/>
      <c r="C36" s="5"/>
      <c r="D36" s="5"/>
      <c r="E36" s="5"/>
      <c r="F36" s="5"/>
      <c r="G36" s="5"/>
    </row>
    <row r="37" spans="2:7" ht="15.4">
      <c r="B37" s="5"/>
      <c r="C37" s="5"/>
      <c r="D37" s="5"/>
      <c r="E37" s="5"/>
      <c r="F37" s="5"/>
      <c r="G37" s="5"/>
    </row>
    <row r="38" spans="2:7" ht="15.4">
      <c r="B38" s="5"/>
      <c r="C38" s="5"/>
      <c r="D38" s="5"/>
      <c r="E38" s="5"/>
      <c r="F38" s="5"/>
      <c r="G38" s="5"/>
    </row>
    <row r="39" spans="2:7" ht="15.4">
      <c r="B39" s="5"/>
      <c r="C39" s="5"/>
      <c r="D39" s="5"/>
      <c r="E39" s="5"/>
      <c r="F39" s="5"/>
      <c r="G39" s="5"/>
    </row>
    <row r="40" spans="2:7" ht="15.4">
      <c r="B40" s="5"/>
      <c r="C40" s="5"/>
      <c r="D40" s="5"/>
      <c r="E40" s="5"/>
      <c r="F40" s="5"/>
      <c r="G40" s="5"/>
    </row>
    <row r="41" spans="2:7" ht="15.4">
      <c r="B41" s="5"/>
      <c r="C41" s="5"/>
      <c r="D41" s="5"/>
      <c r="E41" s="5"/>
      <c r="F41" s="5"/>
      <c r="G41" s="5"/>
    </row>
    <row r="42" spans="2:7" ht="15.4">
      <c r="B42" s="5"/>
      <c r="C42" s="5"/>
      <c r="D42" s="5"/>
      <c r="E42" s="5"/>
      <c r="F42" s="5"/>
      <c r="G42" s="5"/>
    </row>
    <row r="43" spans="2:7" ht="15.4">
      <c r="B43" s="5"/>
      <c r="C43" s="5"/>
      <c r="D43" s="5"/>
      <c r="E43" s="5"/>
      <c r="F43" s="5"/>
      <c r="G43" s="5"/>
    </row>
  </sheetData>
  <mergeCells count="1">
    <mergeCell ref="B5:F5"/>
  </mergeCells>
  <printOptions horizontalCentered="1"/>
  <pageMargins left="0.25" right="0.25" top="0.5" bottom="0.5" header="0.25" footer="0.25"/>
  <pageSetup scale="69" orientation="portrait" r:id="rId1"/>
  <headerFooter scaleWithDoc="0" alignWithMargins="0">
    <oddFooter>&amp;C&amp;"Times New Roman,Regular"Page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ACCF-A50D-465B-BBC6-FF4C8B85F00E}">
  <sheetPr>
    <pageSetUpPr fitToPage="1"/>
  </sheetPr>
  <dimension ref="A1:L71"/>
  <sheetViews>
    <sheetView zoomScale="80" zoomScaleNormal="80" workbookViewId="0"/>
  </sheetViews>
  <sheetFormatPr defaultColWidth="9.140625" defaultRowHeight="15.4"/>
  <cols>
    <col min="1" max="1" width="5.140625" style="567" customWidth="1"/>
    <col min="2" max="2" width="12.5703125" style="472" customWidth="1"/>
    <col min="3" max="3" width="20" style="472" customWidth="1"/>
    <col min="4" max="8" width="21.5703125" style="472" customWidth="1"/>
    <col min="9" max="9" width="5.140625" style="567" customWidth="1"/>
    <col min="10" max="10" width="13.5703125" style="472" customWidth="1"/>
    <col min="11" max="11" width="12.5703125" style="472" customWidth="1"/>
    <col min="12" max="16384" width="9.140625" style="472"/>
  </cols>
  <sheetData>
    <row r="1" spans="1:9">
      <c r="D1" s="568"/>
    </row>
    <row r="2" spans="1:9">
      <c r="B2" s="625" t="s">
        <v>214</v>
      </c>
      <c r="C2" s="625"/>
      <c r="D2" s="625"/>
      <c r="E2" s="625"/>
      <c r="F2" s="625"/>
      <c r="G2" s="625"/>
      <c r="H2" s="625"/>
      <c r="I2" s="569"/>
    </row>
    <row r="3" spans="1:9">
      <c r="B3" s="626" t="s">
        <v>705</v>
      </c>
      <c r="C3" s="626"/>
      <c r="D3" s="626"/>
      <c r="E3" s="626"/>
      <c r="F3" s="626"/>
      <c r="G3" s="626"/>
      <c r="H3" s="626"/>
      <c r="I3" s="569"/>
    </row>
    <row r="4" spans="1:9">
      <c r="B4" s="626" t="s">
        <v>706</v>
      </c>
      <c r="C4" s="626"/>
      <c r="D4" s="626"/>
      <c r="E4" s="626"/>
      <c r="F4" s="626"/>
      <c r="G4" s="626"/>
      <c r="H4" s="626"/>
      <c r="I4" s="569"/>
    </row>
    <row r="5" spans="1:9">
      <c r="B5" s="627" t="s">
        <v>3</v>
      </c>
      <c r="C5" s="627"/>
      <c r="D5" s="627"/>
      <c r="E5" s="627"/>
      <c r="F5" s="627"/>
      <c r="G5" s="627"/>
      <c r="H5" s="627"/>
      <c r="I5" s="569"/>
    </row>
    <row r="6" spans="1:9">
      <c r="A6" s="569"/>
      <c r="B6" s="569"/>
      <c r="C6" s="569"/>
      <c r="D6" s="569"/>
      <c r="E6" s="569"/>
      <c r="F6" s="569"/>
      <c r="G6" s="569"/>
      <c r="H6" s="569"/>
      <c r="I6" s="569"/>
    </row>
    <row r="7" spans="1:9">
      <c r="A7" s="214" t="s">
        <v>4</v>
      </c>
      <c r="B7" s="245"/>
      <c r="I7" s="214" t="s">
        <v>4</v>
      </c>
    </row>
    <row r="8" spans="1:9">
      <c r="A8" s="220" t="s">
        <v>5</v>
      </c>
      <c r="B8" s="245"/>
      <c r="I8" s="220" t="s">
        <v>5</v>
      </c>
    </row>
    <row r="9" spans="1:9">
      <c r="A9" s="214">
        <v>1</v>
      </c>
      <c r="C9" s="570" t="s">
        <v>707</v>
      </c>
      <c r="D9" s="570" t="s">
        <v>708</v>
      </c>
      <c r="E9" s="570" t="s">
        <v>709</v>
      </c>
      <c r="F9" s="570" t="s">
        <v>710</v>
      </c>
      <c r="G9" s="570" t="s">
        <v>711</v>
      </c>
      <c r="H9" s="570" t="s">
        <v>712</v>
      </c>
      <c r="I9" s="214">
        <v>1</v>
      </c>
    </row>
    <row r="10" spans="1:9">
      <c r="A10" s="214">
        <f t="shared" ref="A10:A65" si="0">A9+1</f>
        <v>2</v>
      </c>
      <c r="B10" s="571" t="s">
        <v>713</v>
      </c>
      <c r="C10" s="214"/>
      <c r="D10" s="263" t="s">
        <v>714</v>
      </c>
      <c r="E10" s="214"/>
      <c r="F10" s="214" t="s">
        <v>715</v>
      </c>
      <c r="G10" s="214" t="s">
        <v>716</v>
      </c>
      <c r="H10" s="263" t="s">
        <v>717</v>
      </c>
      <c r="I10" s="214">
        <f t="shared" ref="I10:I65" si="1">I9+1</f>
        <v>2</v>
      </c>
    </row>
    <row r="11" spans="1:9">
      <c r="A11" s="214">
        <f t="shared" si="0"/>
        <v>3</v>
      </c>
      <c r="B11" s="571"/>
      <c r="C11" s="214"/>
      <c r="D11" s="263"/>
      <c r="E11" s="214"/>
      <c r="F11" s="214"/>
      <c r="G11" s="214"/>
      <c r="H11" s="263"/>
      <c r="I11" s="214">
        <f t="shared" si="1"/>
        <v>3</v>
      </c>
    </row>
    <row r="12" spans="1:9">
      <c r="A12" s="214">
        <f t="shared" si="0"/>
        <v>4</v>
      </c>
      <c r="C12" s="570"/>
      <c r="F12" s="218" t="s">
        <v>718</v>
      </c>
      <c r="H12" s="218" t="s">
        <v>718</v>
      </c>
      <c r="I12" s="214">
        <f t="shared" si="1"/>
        <v>4</v>
      </c>
    </row>
    <row r="13" spans="1:9">
      <c r="A13" s="214">
        <f t="shared" si="0"/>
        <v>5</v>
      </c>
      <c r="C13" s="570"/>
      <c r="D13" s="218" t="s">
        <v>719</v>
      </c>
      <c r="E13" s="218"/>
      <c r="F13" s="218" t="s">
        <v>720</v>
      </c>
      <c r="H13" s="218" t="s">
        <v>720</v>
      </c>
      <c r="I13" s="214">
        <f t="shared" si="1"/>
        <v>5</v>
      </c>
    </row>
    <row r="14" spans="1:9">
      <c r="A14" s="214">
        <f t="shared" si="0"/>
        <v>6</v>
      </c>
      <c r="C14" s="218"/>
      <c r="D14" s="218" t="s">
        <v>720</v>
      </c>
      <c r="E14" s="218" t="s">
        <v>719</v>
      </c>
      <c r="F14" s="218" t="s">
        <v>721</v>
      </c>
      <c r="H14" s="218" t="s">
        <v>721</v>
      </c>
      <c r="I14" s="214">
        <f t="shared" si="1"/>
        <v>6</v>
      </c>
    </row>
    <row r="15" spans="1:9">
      <c r="A15" s="214">
        <f t="shared" si="0"/>
        <v>7</v>
      </c>
      <c r="C15" s="218"/>
      <c r="D15" s="218" t="s">
        <v>721</v>
      </c>
      <c r="E15" s="218" t="s">
        <v>722</v>
      </c>
      <c r="F15" s="218" t="s">
        <v>723</v>
      </c>
      <c r="G15" s="218"/>
      <c r="H15" s="218" t="s">
        <v>723</v>
      </c>
      <c r="I15" s="214">
        <f t="shared" si="1"/>
        <v>7</v>
      </c>
    </row>
    <row r="16" spans="1:9" ht="17.25">
      <c r="A16" s="214">
        <f t="shared" si="0"/>
        <v>8</v>
      </c>
      <c r="B16" s="572" t="s">
        <v>724</v>
      </c>
      <c r="C16" s="572" t="s">
        <v>725</v>
      </c>
      <c r="D16" s="279" t="s">
        <v>723</v>
      </c>
      <c r="E16" s="279" t="s">
        <v>726</v>
      </c>
      <c r="F16" s="279" t="s">
        <v>727</v>
      </c>
      <c r="G16" s="573" t="s">
        <v>722</v>
      </c>
      <c r="H16" s="279" t="s">
        <v>728</v>
      </c>
      <c r="I16" s="214">
        <f t="shared" si="1"/>
        <v>8</v>
      </c>
    </row>
    <row r="17" spans="1:12">
      <c r="A17" s="214">
        <f t="shared" si="0"/>
        <v>9</v>
      </c>
      <c r="B17" s="466" t="s">
        <v>729</v>
      </c>
      <c r="C17" s="574">
        <v>2018</v>
      </c>
      <c r="D17" s="575">
        <f>'Pg2 BK-1 Comparison '!I93/12</f>
        <v>-32.299272118902685</v>
      </c>
      <c r="E17" s="576">
        <v>3.5999999999999999E-3</v>
      </c>
      <c r="F17" s="577">
        <f>D17</f>
        <v>-32.299272118902685</v>
      </c>
      <c r="G17" s="578">
        <f>(D17/2)*E17</f>
        <v>-5.8138689814024834E-2</v>
      </c>
      <c r="H17" s="578">
        <f t="shared" ref="H17:H64" si="2">F17+G17</f>
        <v>-32.357410808716708</v>
      </c>
      <c r="I17" s="214">
        <f t="shared" si="1"/>
        <v>9</v>
      </c>
      <c r="J17" s="579"/>
    </row>
    <row r="18" spans="1:12">
      <c r="A18" s="214">
        <f t="shared" si="0"/>
        <v>10</v>
      </c>
      <c r="B18" s="466" t="s">
        <v>730</v>
      </c>
      <c r="C18" s="574">
        <f>C17</f>
        <v>2018</v>
      </c>
      <c r="D18" s="580">
        <f>D17</f>
        <v>-32.299272118902685</v>
      </c>
      <c r="E18" s="576">
        <v>3.3E-3</v>
      </c>
      <c r="F18" s="581">
        <f>H17+D18</f>
        <v>-64.656682927619386</v>
      </c>
      <c r="G18" s="582">
        <f t="shared" ref="G18:G64" si="3">(H17+F18)/2*E18</f>
        <v>-0.16007325466495456</v>
      </c>
      <c r="H18" s="582">
        <f t="shared" si="2"/>
        <v>-64.816756182284337</v>
      </c>
      <c r="I18" s="214">
        <f t="shared" si="1"/>
        <v>10</v>
      </c>
      <c r="J18" s="583"/>
    </row>
    <row r="19" spans="1:12">
      <c r="A19" s="214">
        <f t="shared" si="0"/>
        <v>11</v>
      </c>
      <c r="B19" s="466" t="s">
        <v>731</v>
      </c>
      <c r="C19" s="574">
        <f>C17</f>
        <v>2018</v>
      </c>
      <c r="D19" s="580">
        <f>D18</f>
        <v>-32.299272118902685</v>
      </c>
      <c r="E19" s="576">
        <v>3.5999999999999999E-3</v>
      </c>
      <c r="F19" s="581">
        <f>H18+D19</f>
        <v>-97.116028301187015</v>
      </c>
      <c r="G19" s="582">
        <f>(H18+F19)/2*E19</f>
        <v>-0.2914790120702484</v>
      </c>
      <c r="H19" s="582">
        <f t="shared" si="2"/>
        <v>-97.40750731325727</v>
      </c>
      <c r="I19" s="214">
        <f t="shared" si="1"/>
        <v>11</v>
      </c>
      <c r="J19" s="583"/>
    </row>
    <row r="20" spans="1:12">
      <c r="A20" s="214">
        <f t="shared" si="0"/>
        <v>12</v>
      </c>
      <c r="B20" s="466" t="s">
        <v>732</v>
      </c>
      <c r="C20" s="574">
        <f>C17</f>
        <v>2018</v>
      </c>
      <c r="D20" s="580">
        <f t="shared" ref="D20:D28" si="4">D19</f>
        <v>-32.299272118902685</v>
      </c>
      <c r="E20" s="576">
        <v>3.7000000000000002E-3</v>
      </c>
      <c r="F20" s="581">
        <f>H19+D20</f>
        <v>-129.70677943215995</v>
      </c>
      <c r="G20" s="582">
        <f>(H19+F20)/2*E20</f>
        <v>-0.42016143047902188</v>
      </c>
      <c r="H20" s="582">
        <f t="shared" si="2"/>
        <v>-130.12694086263897</v>
      </c>
      <c r="I20" s="214">
        <f t="shared" si="1"/>
        <v>12</v>
      </c>
      <c r="J20" s="583"/>
      <c r="L20" s="584"/>
    </row>
    <row r="21" spans="1:12">
      <c r="A21" s="214">
        <f t="shared" si="0"/>
        <v>13</v>
      </c>
      <c r="B21" s="466" t="s">
        <v>733</v>
      </c>
      <c r="C21" s="574">
        <f>C17</f>
        <v>2018</v>
      </c>
      <c r="D21" s="580">
        <f t="shared" si="4"/>
        <v>-32.299272118902685</v>
      </c>
      <c r="E21" s="576">
        <v>3.8E-3</v>
      </c>
      <c r="F21" s="581">
        <f t="shared" ref="F21:F64" si="5">H20+D21</f>
        <v>-162.42621298154165</v>
      </c>
      <c r="G21" s="582">
        <f t="shared" si="3"/>
        <v>-0.55585099230394319</v>
      </c>
      <c r="H21" s="582">
        <f t="shared" si="2"/>
        <v>-162.98206397384558</v>
      </c>
      <c r="I21" s="214">
        <f t="shared" si="1"/>
        <v>13</v>
      </c>
      <c r="J21" s="583"/>
    </row>
    <row r="22" spans="1:12">
      <c r="A22" s="214">
        <f t="shared" si="0"/>
        <v>14</v>
      </c>
      <c r="B22" s="466" t="s">
        <v>734</v>
      </c>
      <c r="C22" s="574">
        <f>C17</f>
        <v>2018</v>
      </c>
      <c r="D22" s="580">
        <f t="shared" si="4"/>
        <v>-32.299272118902685</v>
      </c>
      <c r="E22" s="576">
        <v>3.7000000000000002E-3</v>
      </c>
      <c r="F22" s="581">
        <f t="shared" si="5"/>
        <v>-195.28133609274826</v>
      </c>
      <c r="G22" s="582">
        <f>(H21+F22)/2*E22</f>
        <v>-0.66278729012319859</v>
      </c>
      <c r="H22" s="582">
        <f t="shared" si="2"/>
        <v>-195.94412338287145</v>
      </c>
      <c r="I22" s="214">
        <f t="shared" si="1"/>
        <v>14</v>
      </c>
      <c r="J22" s="583"/>
    </row>
    <row r="23" spans="1:12">
      <c r="A23" s="214">
        <f t="shared" si="0"/>
        <v>15</v>
      </c>
      <c r="B23" s="466" t="s">
        <v>735</v>
      </c>
      <c r="C23" s="574">
        <f>C17</f>
        <v>2018</v>
      </c>
      <c r="D23" s="580">
        <f t="shared" si="4"/>
        <v>-32.299272118902685</v>
      </c>
      <c r="E23" s="576">
        <v>4.0000000000000001E-3</v>
      </c>
      <c r="F23" s="581">
        <f t="shared" si="5"/>
        <v>-228.24339550177413</v>
      </c>
      <c r="G23" s="582">
        <f t="shared" si="3"/>
        <v>-0.84837503776929113</v>
      </c>
      <c r="H23" s="582">
        <f t="shared" si="2"/>
        <v>-229.09177053954343</v>
      </c>
      <c r="I23" s="214">
        <f t="shared" si="1"/>
        <v>15</v>
      </c>
      <c r="J23" s="583"/>
    </row>
    <row r="24" spans="1:12">
      <c r="A24" s="214">
        <f t="shared" si="0"/>
        <v>16</v>
      </c>
      <c r="B24" s="466" t="s">
        <v>736</v>
      </c>
      <c r="C24" s="574">
        <f>C17</f>
        <v>2018</v>
      </c>
      <c r="D24" s="580">
        <f t="shared" si="4"/>
        <v>-32.299272118902685</v>
      </c>
      <c r="E24" s="576">
        <v>4.0000000000000001E-3</v>
      </c>
      <c r="F24" s="581">
        <f t="shared" si="5"/>
        <v>-261.39104265844611</v>
      </c>
      <c r="G24" s="582">
        <f t="shared" si="3"/>
        <v>-0.98096562639597917</v>
      </c>
      <c r="H24" s="582">
        <f t="shared" si="2"/>
        <v>-262.37200828484208</v>
      </c>
      <c r="I24" s="214">
        <f t="shared" si="1"/>
        <v>16</v>
      </c>
      <c r="J24" s="583"/>
    </row>
    <row r="25" spans="1:12">
      <c r="A25" s="214">
        <f t="shared" si="0"/>
        <v>17</v>
      </c>
      <c r="B25" s="466" t="s">
        <v>737</v>
      </c>
      <c r="C25" s="574">
        <f>C17</f>
        <v>2018</v>
      </c>
      <c r="D25" s="580">
        <f t="shared" si="4"/>
        <v>-32.299272118902685</v>
      </c>
      <c r="E25" s="576">
        <v>3.8999999999999998E-3</v>
      </c>
      <c r="F25" s="581">
        <f t="shared" si="5"/>
        <v>-294.67128040374479</v>
      </c>
      <c r="G25" s="582">
        <f t="shared" si="3"/>
        <v>-1.0862344129427444</v>
      </c>
      <c r="H25" s="582">
        <f t="shared" si="2"/>
        <v>-295.75751481668755</v>
      </c>
      <c r="I25" s="214">
        <f t="shared" si="1"/>
        <v>17</v>
      </c>
      <c r="J25" s="583"/>
    </row>
    <row r="26" spans="1:12">
      <c r="A26" s="214">
        <f t="shared" si="0"/>
        <v>18</v>
      </c>
      <c r="B26" s="466" t="s">
        <v>738</v>
      </c>
      <c r="C26" s="574">
        <f>C17</f>
        <v>2018</v>
      </c>
      <c r="D26" s="580">
        <f t="shared" si="4"/>
        <v>-32.299272118902685</v>
      </c>
      <c r="E26" s="576">
        <v>4.1999999999999997E-3</v>
      </c>
      <c r="F26" s="581">
        <f t="shared" si="5"/>
        <v>-328.05678693559025</v>
      </c>
      <c r="G26" s="582">
        <f t="shared" si="3"/>
        <v>-1.3100100336797831</v>
      </c>
      <c r="H26" s="582">
        <f t="shared" si="2"/>
        <v>-329.36679696927001</v>
      </c>
      <c r="I26" s="214">
        <f t="shared" si="1"/>
        <v>18</v>
      </c>
      <c r="J26" s="583"/>
    </row>
    <row r="27" spans="1:12">
      <c r="A27" s="214">
        <f t="shared" si="0"/>
        <v>19</v>
      </c>
      <c r="B27" s="466" t="s">
        <v>739</v>
      </c>
      <c r="C27" s="574">
        <f>C17</f>
        <v>2018</v>
      </c>
      <c r="D27" s="580">
        <f t="shared" si="4"/>
        <v>-32.299272118902685</v>
      </c>
      <c r="E27" s="576">
        <v>4.1000000000000003E-3</v>
      </c>
      <c r="F27" s="581">
        <f t="shared" si="5"/>
        <v>-361.66606908817272</v>
      </c>
      <c r="G27" s="175">
        <f t="shared" si="3"/>
        <v>-1.4166173754177578</v>
      </c>
      <c r="H27" s="175">
        <f t="shared" si="2"/>
        <v>-363.08268646359045</v>
      </c>
      <c r="I27" s="214">
        <f t="shared" si="1"/>
        <v>19</v>
      </c>
      <c r="J27" s="583"/>
    </row>
    <row r="28" spans="1:12">
      <c r="A28" s="214">
        <f t="shared" si="0"/>
        <v>20</v>
      </c>
      <c r="B28" s="585" t="s">
        <v>740</v>
      </c>
      <c r="C28" s="586">
        <f>C17</f>
        <v>2018</v>
      </c>
      <c r="D28" s="587">
        <f t="shared" si="4"/>
        <v>-32.299272118902685</v>
      </c>
      <c r="E28" s="588">
        <v>4.1999999999999997E-3</v>
      </c>
      <c r="F28" s="589">
        <f t="shared" si="5"/>
        <v>-395.38195858249316</v>
      </c>
      <c r="G28" s="590">
        <f t="shared" si="3"/>
        <v>-1.5927757545967756</v>
      </c>
      <c r="H28" s="590">
        <f t="shared" si="2"/>
        <v>-396.97473433708996</v>
      </c>
      <c r="I28" s="214">
        <f t="shared" si="1"/>
        <v>20</v>
      </c>
      <c r="J28" s="583"/>
    </row>
    <row r="29" spans="1:12">
      <c r="A29" s="214">
        <f t="shared" si="0"/>
        <v>21</v>
      </c>
      <c r="B29" s="466" t="s">
        <v>729</v>
      </c>
      <c r="C29" s="574">
        <f>C28+1</f>
        <v>2019</v>
      </c>
      <c r="D29" s="591"/>
      <c r="E29" s="576">
        <v>4.4000000000000003E-3</v>
      </c>
      <c r="F29" s="592">
        <f t="shared" si="5"/>
        <v>-396.97473433708996</v>
      </c>
      <c r="G29" s="593">
        <f t="shared" si="3"/>
        <v>-1.7466888310831958</v>
      </c>
      <c r="H29" s="593">
        <f t="shared" si="2"/>
        <v>-398.72142316817315</v>
      </c>
      <c r="I29" s="214">
        <f t="shared" si="1"/>
        <v>21</v>
      </c>
      <c r="J29" s="583"/>
    </row>
    <row r="30" spans="1:12">
      <c r="A30" s="214">
        <f t="shared" si="0"/>
        <v>22</v>
      </c>
      <c r="B30" s="466" t="s">
        <v>730</v>
      </c>
      <c r="C30" s="574">
        <f>C29</f>
        <v>2019</v>
      </c>
      <c r="D30" s="591"/>
      <c r="E30" s="576">
        <v>4.0000000000000001E-3</v>
      </c>
      <c r="F30" s="592">
        <f t="shared" si="5"/>
        <v>-398.72142316817315</v>
      </c>
      <c r="G30" s="593">
        <f t="shared" si="3"/>
        <v>-1.5948856926726926</v>
      </c>
      <c r="H30" s="593">
        <f t="shared" si="2"/>
        <v>-400.31630886084582</v>
      </c>
      <c r="I30" s="214">
        <f t="shared" si="1"/>
        <v>22</v>
      </c>
      <c r="J30" s="583"/>
    </row>
    <row r="31" spans="1:12">
      <c r="A31" s="214">
        <f t="shared" si="0"/>
        <v>23</v>
      </c>
      <c r="B31" s="466" t="s">
        <v>731</v>
      </c>
      <c r="C31" s="574">
        <f t="shared" ref="C31:C39" si="6">C30</f>
        <v>2019</v>
      </c>
      <c r="D31" s="591"/>
      <c r="E31" s="576">
        <v>4.4000000000000003E-3</v>
      </c>
      <c r="F31" s="592">
        <f t="shared" si="5"/>
        <v>-400.31630886084582</v>
      </c>
      <c r="G31" s="593">
        <f t="shared" si="3"/>
        <v>-1.7613917589877217</v>
      </c>
      <c r="H31" s="593">
        <f t="shared" si="2"/>
        <v>-402.07770061983354</v>
      </c>
      <c r="I31" s="214">
        <f t="shared" si="1"/>
        <v>23</v>
      </c>
      <c r="J31" s="583"/>
    </row>
    <row r="32" spans="1:12">
      <c r="A32" s="214">
        <f t="shared" si="0"/>
        <v>24</v>
      </c>
      <c r="B32" s="466" t="s">
        <v>732</v>
      </c>
      <c r="C32" s="574">
        <f t="shared" si="6"/>
        <v>2019</v>
      </c>
      <c r="D32" s="591"/>
      <c r="E32" s="576">
        <v>4.4999999999999997E-3</v>
      </c>
      <c r="F32" s="592">
        <f t="shared" si="5"/>
        <v>-402.07770061983354</v>
      </c>
      <c r="G32" s="593">
        <f t="shared" si="3"/>
        <v>-1.8093496527892508</v>
      </c>
      <c r="H32" s="593">
        <f t="shared" si="2"/>
        <v>-403.88705027262279</v>
      </c>
      <c r="I32" s="214">
        <f t="shared" si="1"/>
        <v>24</v>
      </c>
      <c r="J32" s="583"/>
    </row>
    <row r="33" spans="1:10">
      <c r="A33" s="214">
        <f t="shared" si="0"/>
        <v>25</v>
      </c>
      <c r="B33" s="466" t="s">
        <v>733</v>
      </c>
      <c r="C33" s="574">
        <f t="shared" si="6"/>
        <v>2019</v>
      </c>
      <c r="D33" s="591"/>
      <c r="E33" s="576">
        <v>4.5999999999999999E-3</v>
      </c>
      <c r="F33" s="592">
        <f t="shared" si="5"/>
        <v>-403.88705027262279</v>
      </c>
      <c r="G33" s="593">
        <f t="shared" si="3"/>
        <v>-1.8578804312540649</v>
      </c>
      <c r="H33" s="593">
        <f t="shared" si="2"/>
        <v>-405.74493070387683</v>
      </c>
      <c r="I33" s="214">
        <f t="shared" si="1"/>
        <v>25</v>
      </c>
      <c r="J33" s="583"/>
    </row>
    <row r="34" spans="1:10">
      <c r="A34" s="214">
        <f t="shared" si="0"/>
        <v>26</v>
      </c>
      <c r="B34" s="466" t="s">
        <v>734</v>
      </c>
      <c r="C34" s="574">
        <f t="shared" si="6"/>
        <v>2019</v>
      </c>
      <c r="D34" s="591"/>
      <c r="E34" s="576">
        <v>4.4999999999999997E-3</v>
      </c>
      <c r="F34" s="592">
        <f t="shared" si="5"/>
        <v>-405.74493070387683</v>
      </c>
      <c r="G34" s="593">
        <f t="shared" si="3"/>
        <v>-1.8258521881674457</v>
      </c>
      <c r="H34" s="593">
        <f t="shared" si="2"/>
        <v>-407.57078289204429</v>
      </c>
      <c r="I34" s="214">
        <f t="shared" si="1"/>
        <v>26</v>
      </c>
      <c r="J34" s="583"/>
    </row>
    <row r="35" spans="1:10">
      <c r="A35" s="214">
        <f t="shared" si="0"/>
        <v>27</v>
      </c>
      <c r="B35" s="466" t="s">
        <v>735</v>
      </c>
      <c r="C35" s="574">
        <f t="shared" si="6"/>
        <v>2019</v>
      </c>
      <c r="D35" s="591"/>
      <c r="E35" s="576">
        <v>4.7000000000000002E-3</v>
      </c>
      <c r="F35" s="592">
        <f t="shared" si="5"/>
        <v>-407.57078289204429</v>
      </c>
      <c r="G35" s="593">
        <f t="shared" si="3"/>
        <v>-1.9155826795926083</v>
      </c>
      <c r="H35" s="593">
        <f t="shared" si="2"/>
        <v>-409.4863655716369</v>
      </c>
      <c r="I35" s="214">
        <f t="shared" si="1"/>
        <v>27</v>
      </c>
      <c r="J35" s="583"/>
    </row>
    <row r="36" spans="1:10">
      <c r="A36" s="214">
        <f t="shared" si="0"/>
        <v>28</v>
      </c>
      <c r="B36" s="466" t="s">
        <v>736</v>
      </c>
      <c r="C36" s="574">
        <f t="shared" si="6"/>
        <v>2019</v>
      </c>
      <c r="D36" s="591"/>
      <c r="E36" s="576">
        <v>4.7000000000000002E-3</v>
      </c>
      <c r="F36" s="592">
        <f t="shared" si="5"/>
        <v>-409.4863655716369</v>
      </c>
      <c r="G36" s="593">
        <f t="shared" si="3"/>
        <v>-1.9245859181866936</v>
      </c>
      <c r="H36" s="593">
        <f t="shared" si="2"/>
        <v>-411.41095148982362</v>
      </c>
      <c r="I36" s="214">
        <f t="shared" si="1"/>
        <v>28</v>
      </c>
      <c r="J36" s="583"/>
    </row>
    <row r="37" spans="1:10">
      <c r="A37" s="214">
        <f t="shared" si="0"/>
        <v>29</v>
      </c>
      <c r="B37" s="466" t="s">
        <v>737</v>
      </c>
      <c r="C37" s="574">
        <f t="shared" si="6"/>
        <v>2019</v>
      </c>
      <c r="D37" s="591"/>
      <c r="E37" s="576">
        <v>4.4999999999999997E-3</v>
      </c>
      <c r="F37" s="592">
        <f t="shared" si="5"/>
        <v>-411.41095148982362</v>
      </c>
      <c r="G37" s="593">
        <f t="shared" si="3"/>
        <v>-1.8513492817042061</v>
      </c>
      <c r="H37" s="593">
        <f t="shared" si="2"/>
        <v>-413.2623007715278</v>
      </c>
      <c r="I37" s="214">
        <f t="shared" si="1"/>
        <v>29</v>
      </c>
      <c r="J37" s="583"/>
    </row>
    <row r="38" spans="1:10">
      <c r="A38" s="214">
        <f t="shared" si="0"/>
        <v>30</v>
      </c>
      <c r="B38" s="466" t="s">
        <v>738</v>
      </c>
      <c r="C38" s="574">
        <f t="shared" si="6"/>
        <v>2019</v>
      </c>
      <c r="D38" s="591"/>
      <c r="E38" s="576">
        <v>4.5999999999999999E-3</v>
      </c>
      <c r="F38" s="592">
        <f t="shared" si="5"/>
        <v>-413.2623007715278</v>
      </c>
      <c r="G38" s="593">
        <f t="shared" si="3"/>
        <v>-1.901006583549028</v>
      </c>
      <c r="H38" s="593">
        <f t="shared" si="2"/>
        <v>-415.16330735507682</v>
      </c>
      <c r="I38" s="214">
        <f t="shared" si="1"/>
        <v>30</v>
      </c>
      <c r="J38" s="583"/>
    </row>
    <row r="39" spans="1:10">
      <c r="A39" s="214">
        <f t="shared" si="0"/>
        <v>31</v>
      </c>
      <c r="B39" s="466" t="s">
        <v>739</v>
      </c>
      <c r="C39" s="574">
        <f t="shared" si="6"/>
        <v>2019</v>
      </c>
      <c r="D39" s="591"/>
      <c r="E39" s="576">
        <v>4.4999999999999997E-3</v>
      </c>
      <c r="F39" s="592">
        <f t="shared" si="5"/>
        <v>-415.16330735507682</v>
      </c>
      <c r="G39" s="593">
        <f t="shared" si="3"/>
        <v>-1.8682348830978455</v>
      </c>
      <c r="H39" s="593">
        <f t="shared" si="2"/>
        <v>-417.03154223817467</v>
      </c>
      <c r="I39" s="214">
        <f t="shared" si="1"/>
        <v>31</v>
      </c>
      <c r="J39" s="583"/>
    </row>
    <row r="40" spans="1:10">
      <c r="A40" s="214">
        <f t="shared" si="0"/>
        <v>32</v>
      </c>
      <c r="B40" s="585" t="s">
        <v>740</v>
      </c>
      <c r="C40" s="586">
        <f>C39</f>
        <v>2019</v>
      </c>
      <c r="D40" s="594"/>
      <c r="E40" s="588">
        <v>4.5999999999999999E-3</v>
      </c>
      <c r="F40" s="589">
        <f t="shared" si="5"/>
        <v>-417.03154223817467</v>
      </c>
      <c r="G40" s="590">
        <f t="shared" si="3"/>
        <v>-1.9183450942956035</v>
      </c>
      <c r="H40" s="590">
        <f t="shared" si="2"/>
        <v>-418.94988733247027</v>
      </c>
      <c r="I40" s="214">
        <f t="shared" si="1"/>
        <v>32</v>
      </c>
      <c r="J40" s="583"/>
    </row>
    <row r="41" spans="1:10">
      <c r="A41" s="214">
        <f t="shared" si="0"/>
        <v>33</v>
      </c>
      <c r="B41" s="466" t="s">
        <v>729</v>
      </c>
      <c r="C41" s="574">
        <f>C40+1</f>
        <v>2020</v>
      </c>
      <c r="D41" s="591"/>
      <c r="E41" s="576">
        <v>4.1999999999999997E-3</v>
      </c>
      <c r="F41" s="592">
        <f t="shared" si="5"/>
        <v>-418.94988733247027</v>
      </c>
      <c r="G41" s="593">
        <f t="shared" si="3"/>
        <v>-1.759589526796375</v>
      </c>
      <c r="H41" s="593">
        <f t="shared" si="2"/>
        <v>-420.70947685926666</v>
      </c>
      <c r="I41" s="214">
        <f t="shared" si="1"/>
        <v>33</v>
      </c>
      <c r="J41" s="583"/>
    </row>
    <row r="42" spans="1:10">
      <c r="A42" s="214">
        <f t="shared" si="0"/>
        <v>34</v>
      </c>
      <c r="B42" s="466" t="s">
        <v>730</v>
      </c>
      <c r="C42" s="574">
        <f>C41</f>
        <v>2020</v>
      </c>
      <c r="D42" s="591"/>
      <c r="E42" s="576">
        <v>3.8999999999999998E-3</v>
      </c>
      <c r="F42" s="592">
        <f t="shared" si="5"/>
        <v>-420.70947685926666</v>
      </c>
      <c r="G42" s="593">
        <f t="shared" si="3"/>
        <v>-1.6407669597511398</v>
      </c>
      <c r="H42" s="593">
        <f t="shared" si="2"/>
        <v>-422.35024381901781</v>
      </c>
      <c r="I42" s="214">
        <f t="shared" si="1"/>
        <v>34</v>
      </c>
      <c r="J42" s="583"/>
    </row>
    <row r="43" spans="1:10">
      <c r="A43" s="214">
        <f t="shared" si="0"/>
        <v>35</v>
      </c>
      <c r="B43" s="466" t="s">
        <v>731</v>
      </c>
      <c r="C43" s="574">
        <f t="shared" ref="C43:C51" si="7">C42</f>
        <v>2020</v>
      </c>
      <c r="D43" s="591"/>
      <c r="E43" s="576">
        <v>4.1999999999999997E-3</v>
      </c>
      <c r="F43" s="592">
        <f t="shared" si="5"/>
        <v>-422.35024381901781</v>
      </c>
      <c r="G43" s="593">
        <f t="shared" si="3"/>
        <v>-1.7738710240398747</v>
      </c>
      <c r="H43" s="593">
        <f t="shared" si="2"/>
        <v>-424.12411484305767</v>
      </c>
      <c r="I43" s="214">
        <f t="shared" si="1"/>
        <v>35</v>
      </c>
      <c r="J43" s="583"/>
    </row>
    <row r="44" spans="1:10">
      <c r="A44" s="214">
        <f t="shared" si="0"/>
        <v>36</v>
      </c>
      <c r="B44" s="466" t="s">
        <v>732</v>
      </c>
      <c r="C44" s="574">
        <f t="shared" si="7"/>
        <v>2020</v>
      </c>
      <c r="D44" s="591"/>
      <c r="E44" s="576">
        <v>3.8999999999999998E-3</v>
      </c>
      <c r="F44" s="592">
        <f t="shared" si="5"/>
        <v>-424.12411484305767</v>
      </c>
      <c r="G44" s="593">
        <f t="shared" si="3"/>
        <v>-1.6540840478879248</v>
      </c>
      <c r="H44" s="593">
        <f t="shared" si="2"/>
        <v>-425.77819889094559</v>
      </c>
      <c r="I44" s="214">
        <f t="shared" si="1"/>
        <v>36</v>
      </c>
      <c r="J44" s="583"/>
    </row>
    <row r="45" spans="1:10">
      <c r="A45" s="214">
        <f t="shared" si="0"/>
        <v>37</v>
      </c>
      <c r="B45" s="466" t="s">
        <v>733</v>
      </c>
      <c r="C45" s="574">
        <f t="shared" si="7"/>
        <v>2020</v>
      </c>
      <c r="D45" s="591"/>
      <c r="E45" s="576">
        <v>4.0000000000000001E-3</v>
      </c>
      <c r="F45" s="592">
        <f t="shared" si="5"/>
        <v>-425.77819889094559</v>
      </c>
      <c r="G45" s="593">
        <f t="shared" si="3"/>
        <v>-1.7031127955637824</v>
      </c>
      <c r="H45" s="593">
        <f t="shared" si="2"/>
        <v>-427.48131168650934</v>
      </c>
      <c r="I45" s="214">
        <f t="shared" si="1"/>
        <v>37</v>
      </c>
      <c r="J45" s="583"/>
    </row>
    <row r="46" spans="1:10">
      <c r="A46" s="214">
        <f t="shared" si="0"/>
        <v>38</v>
      </c>
      <c r="B46" s="466" t="s">
        <v>734</v>
      </c>
      <c r="C46" s="574">
        <f t="shared" si="7"/>
        <v>2020</v>
      </c>
      <c r="D46" s="591"/>
      <c r="E46" s="576">
        <v>3.8999999999999998E-3</v>
      </c>
      <c r="F46" s="592">
        <f t="shared" si="5"/>
        <v>-427.48131168650934</v>
      </c>
      <c r="G46" s="593">
        <f t="shared" si="3"/>
        <v>-1.6671771155773865</v>
      </c>
      <c r="H46" s="593">
        <f t="shared" si="2"/>
        <v>-429.14848880208672</v>
      </c>
      <c r="I46" s="214">
        <f t="shared" si="1"/>
        <v>38</v>
      </c>
      <c r="J46" s="583"/>
    </row>
    <row r="47" spans="1:10">
      <c r="A47" s="214">
        <f t="shared" si="0"/>
        <v>39</v>
      </c>
      <c r="B47" s="466" t="s">
        <v>735</v>
      </c>
      <c r="C47" s="574">
        <f t="shared" si="7"/>
        <v>2020</v>
      </c>
      <c r="D47" s="591"/>
      <c r="E47" s="576">
        <v>2.8999999999999998E-3</v>
      </c>
      <c r="F47" s="592">
        <f t="shared" si="5"/>
        <v>-429.14848880208672</v>
      </c>
      <c r="G47" s="593">
        <f t="shared" si="3"/>
        <v>-1.2445306175260513</v>
      </c>
      <c r="H47" s="593">
        <f t="shared" si="2"/>
        <v>-430.39301941961276</v>
      </c>
      <c r="I47" s="214">
        <f t="shared" si="1"/>
        <v>39</v>
      </c>
      <c r="J47" s="583"/>
    </row>
    <row r="48" spans="1:10">
      <c r="A48" s="214">
        <f t="shared" si="0"/>
        <v>40</v>
      </c>
      <c r="B48" s="466" t="s">
        <v>736</v>
      </c>
      <c r="C48" s="574">
        <f t="shared" si="7"/>
        <v>2020</v>
      </c>
      <c r="D48" s="591"/>
      <c r="E48" s="576">
        <v>2.8999999999999998E-3</v>
      </c>
      <c r="F48" s="592">
        <f t="shared" si="5"/>
        <v>-430.39301941961276</v>
      </c>
      <c r="G48" s="593">
        <f t="shared" si="3"/>
        <v>-1.248139756316877</v>
      </c>
      <c r="H48" s="593">
        <f t="shared" si="2"/>
        <v>-431.64115917592966</v>
      </c>
      <c r="I48" s="214">
        <f t="shared" si="1"/>
        <v>40</v>
      </c>
      <c r="J48" s="583"/>
    </row>
    <row r="49" spans="1:10">
      <c r="A49" s="214">
        <f t="shared" si="0"/>
        <v>41</v>
      </c>
      <c r="B49" s="466" t="s">
        <v>737</v>
      </c>
      <c r="C49" s="574">
        <f t="shared" si="7"/>
        <v>2020</v>
      </c>
      <c r="D49" s="591"/>
      <c r="E49" s="576">
        <v>2.8E-3</v>
      </c>
      <c r="F49" s="592">
        <f t="shared" si="5"/>
        <v>-431.64115917592966</v>
      </c>
      <c r="G49" s="593">
        <f t="shared" si="3"/>
        <v>-1.208595245692603</v>
      </c>
      <c r="H49" s="593">
        <f t="shared" si="2"/>
        <v>-432.84975442162226</v>
      </c>
      <c r="I49" s="214">
        <f t="shared" si="1"/>
        <v>41</v>
      </c>
      <c r="J49" s="583"/>
    </row>
    <row r="50" spans="1:10">
      <c r="A50" s="214">
        <f t="shared" si="0"/>
        <v>42</v>
      </c>
      <c r="B50" s="466" t="s">
        <v>738</v>
      </c>
      <c r="C50" s="574">
        <f t="shared" si="7"/>
        <v>2020</v>
      </c>
      <c r="D50" s="591"/>
      <c r="E50" s="576">
        <v>2.8E-3</v>
      </c>
      <c r="F50" s="592">
        <f t="shared" si="5"/>
        <v>-432.84975442162226</v>
      </c>
      <c r="G50" s="593">
        <f t="shared" si="3"/>
        <v>-1.2119793123805422</v>
      </c>
      <c r="H50" s="593">
        <f t="shared" si="2"/>
        <v>-434.06173373400281</v>
      </c>
      <c r="I50" s="214">
        <f t="shared" si="1"/>
        <v>42</v>
      </c>
      <c r="J50" s="583"/>
    </row>
    <row r="51" spans="1:10">
      <c r="A51" s="214">
        <f t="shared" si="0"/>
        <v>43</v>
      </c>
      <c r="B51" s="466" t="s">
        <v>739</v>
      </c>
      <c r="C51" s="574">
        <f t="shared" si="7"/>
        <v>2020</v>
      </c>
      <c r="D51" s="591"/>
      <c r="E51" s="576">
        <v>2.7000000000000001E-3</v>
      </c>
      <c r="F51" s="592">
        <f t="shared" si="5"/>
        <v>-434.06173373400281</v>
      </c>
      <c r="G51" s="593">
        <f t="shared" si="3"/>
        <v>-1.1719666810818077</v>
      </c>
      <c r="H51" s="593">
        <f t="shared" si="2"/>
        <v>-435.23370041508463</v>
      </c>
      <c r="I51" s="214">
        <f t="shared" si="1"/>
        <v>43</v>
      </c>
      <c r="J51" s="583"/>
    </row>
    <row r="52" spans="1:10">
      <c r="A52" s="214">
        <f t="shared" si="0"/>
        <v>44</v>
      </c>
      <c r="B52" s="585" t="s">
        <v>740</v>
      </c>
      <c r="C52" s="586">
        <f>C51</f>
        <v>2020</v>
      </c>
      <c r="D52" s="594"/>
      <c r="E52" s="588">
        <v>2.8E-3</v>
      </c>
      <c r="F52" s="589">
        <f t="shared" si="5"/>
        <v>-435.23370041508463</v>
      </c>
      <c r="G52" s="590">
        <f t="shared" si="3"/>
        <v>-1.2186543611622369</v>
      </c>
      <c r="H52" s="590">
        <f t="shared" si="2"/>
        <v>-436.45235477624686</v>
      </c>
      <c r="I52" s="214">
        <f t="shared" si="1"/>
        <v>44</v>
      </c>
      <c r="J52" s="583"/>
    </row>
    <row r="53" spans="1:10">
      <c r="A53" s="214">
        <f t="shared" si="0"/>
        <v>45</v>
      </c>
      <c r="B53" s="466" t="s">
        <v>729</v>
      </c>
      <c r="C53" s="574">
        <f>C52+1</f>
        <v>2021</v>
      </c>
      <c r="D53" s="591"/>
      <c r="E53" s="576">
        <v>2.8E-3</v>
      </c>
      <c r="F53" s="592">
        <f t="shared" si="5"/>
        <v>-436.45235477624686</v>
      </c>
      <c r="G53" s="593">
        <f t="shared" si="3"/>
        <v>-1.2220665933734911</v>
      </c>
      <c r="H53" s="593">
        <f t="shared" si="2"/>
        <v>-437.67442136962035</v>
      </c>
      <c r="I53" s="214">
        <f t="shared" si="1"/>
        <v>45</v>
      </c>
      <c r="J53" s="583"/>
    </row>
    <row r="54" spans="1:10">
      <c r="A54" s="214">
        <f t="shared" si="0"/>
        <v>46</v>
      </c>
      <c r="B54" s="466" t="s">
        <v>730</v>
      </c>
      <c r="C54" s="574">
        <f>C53</f>
        <v>2021</v>
      </c>
      <c r="D54" s="591"/>
      <c r="E54" s="576">
        <v>2.5000000000000001E-3</v>
      </c>
      <c r="F54" s="592">
        <f t="shared" si="5"/>
        <v>-437.67442136962035</v>
      </c>
      <c r="G54" s="593">
        <f t="shared" si="3"/>
        <v>-1.0941860534240508</v>
      </c>
      <c r="H54" s="593">
        <f t="shared" si="2"/>
        <v>-438.76860742304439</v>
      </c>
      <c r="I54" s="214">
        <f t="shared" si="1"/>
        <v>46</v>
      </c>
      <c r="J54" s="583"/>
    </row>
    <row r="55" spans="1:10">
      <c r="A55" s="214">
        <f t="shared" si="0"/>
        <v>47</v>
      </c>
      <c r="B55" s="466" t="s">
        <v>731</v>
      </c>
      <c r="C55" s="574">
        <f t="shared" ref="C55:C63" si="8">C54</f>
        <v>2021</v>
      </c>
      <c r="D55" s="591"/>
      <c r="E55" s="576">
        <v>2.8E-3</v>
      </c>
      <c r="F55" s="592">
        <f t="shared" si="5"/>
        <v>-438.76860742304439</v>
      </c>
      <c r="G55" s="593">
        <f t="shared" si="3"/>
        <v>-1.2285521007845244</v>
      </c>
      <c r="H55" s="593">
        <f t="shared" si="2"/>
        <v>-439.99715952382888</v>
      </c>
      <c r="I55" s="214">
        <f t="shared" si="1"/>
        <v>47</v>
      </c>
      <c r="J55" s="583"/>
    </row>
    <row r="56" spans="1:10">
      <c r="A56" s="214">
        <f t="shared" si="0"/>
        <v>48</v>
      </c>
      <c r="B56" s="466" t="s">
        <v>732</v>
      </c>
      <c r="C56" s="574">
        <f t="shared" si="8"/>
        <v>2021</v>
      </c>
      <c r="D56" s="591"/>
      <c r="E56" s="576">
        <v>2.7000000000000001E-3</v>
      </c>
      <c r="F56" s="592">
        <f t="shared" si="5"/>
        <v>-439.99715952382888</v>
      </c>
      <c r="G56" s="593">
        <f t="shared" si="3"/>
        <v>-1.1879923307143381</v>
      </c>
      <c r="H56" s="593">
        <f t="shared" si="2"/>
        <v>-441.18515185454322</v>
      </c>
      <c r="I56" s="214">
        <f t="shared" si="1"/>
        <v>48</v>
      </c>
      <c r="J56" s="583"/>
    </row>
    <row r="57" spans="1:10">
      <c r="A57" s="214">
        <f t="shared" si="0"/>
        <v>49</v>
      </c>
      <c r="B57" s="466" t="s">
        <v>733</v>
      </c>
      <c r="C57" s="574">
        <f t="shared" si="8"/>
        <v>2021</v>
      </c>
      <c r="D57" s="591"/>
      <c r="E57" s="576">
        <v>2.8E-3</v>
      </c>
      <c r="F57" s="592">
        <f t="shared" si="5"/>
        <v>-441.18515185454322</v>
      </c>
      <c r="G57" s="593">
        <f t="shared" si="3"/>
        <v>-1.2353184251927209</v>
      </c>
      <c r="H57" s="593">
        <f t="shared" si="2"/>
        <v>-442.42047027973592</v>
      </c>
      <c r="I57" s="214">
        <f t="shared" si="1"/>
        <v>49</v>
      </c>
      <c r="J57" s="583"/>
    </row>
    <row r="58" spans="1:10">
      <c r="A58" s="214">
        <f t="shared" si="0"/>
        <v>50</v>
      </c>
      <c r="B58" s="466" t="s">
        <v>734</v>
      </c>
      <c r="C58" s="574">
        <f t="shared" si="8"/>
        <v>2021</v>
      </c>
      <c r="D58" s="591"/>
      <c r="E58" s="576">
        <v>2.7000000000000001E-3</v>
      </c>
      <c r="F58" s="592">
        <f t="shared" si="5"/>
        <v>-442.42047027973592</v>
      </c>
      <c r="G58" s="593">
        <f t="shared" si="3"/>
        <v>-1.1945352697552871</v>
      </c>
      <c r="H58" s="593">
        <f t="shared" si="2"/>
        <v>-443.61500554949123</v>
      </c>
      <c r="I58" s="214">
        <f t="shared" si="1"/>
        <v>50</v>
      </c>
      <c r="J58" s="583"/>
    </row>
    <row r="59" spans="1:10">
      <c r="A59" s="214">
        <f t="shared" si="0"/>
        <v>51</v>
      </c>
      <c r="B59" s="466" t="s">
        <v>735</v>
      </c>
      <c r="C59" s="574">
        <f t="shared" si="8"/>
        <v>2021</v>
      </c>
      <c r="D59" s="591"/>
      <c r="E59" s="576">
        <v>2.8E-3</v>
      </c>
      <c r="F59" s="592">
        <f t="shared" si="5"/>
        <v>-443.61500554949123</v>
      </c>
      <c r="G59" s="593">
        <f t="shared" si="3"/>
        <v>-1.2421220155385755</v>
      </c>
      <c r="H59" s="593">
        <f t="shared" si="2"/>
        <v>-444.85712756502983</v>
      </c>
      <c r="I59" s="214">
        <f t="shared" si="1"/>
        <v>51</v>
      </c>
      <c r="J59" s="583"/>
    </row>
    <row r="60" spans="1:10">
      <c r="A60" s="214">
        <f t="shared" si="0"/>
        <v>52</v>
      </c>
      <c r="B60" s="466" t="s">
        <v>736</v>
      </c>
      <c r="C60" s="574">
        <f t="shared" si="8"/>
        <v>2021</v>
      </c>
      <c r="D60" s="591"/>
      <c r="E60" s="576">
        <v>2.8E-3</v>
      </c>
      <c r="F60" s="592">
        <f t="shared" si="5"/>
        <v>-444.85712756502983</v>
      </c>
      <c r="G60" s="593">
        <f t="shared" si="3"/>
        <v>-1.2455999571820835</v>
      </c>
      <c r="H60" s="593">
        <f t="shared" si="2"/>
        <v>-446.10272752221192</v>
      </c>
      <c r="I60" s="214">
        <f t="shared" si="1"/>
        <v>52</v>
      </c>
      <c r="J60" s="583"/>
    </row>
    <row r="61" spans="1:10">
      <c r="A61" s="214">
        <f t="shared" si="0"/>
        <v>53</v>
      </c>
      <c r="B61" s="466" t="s">
        <v>737</v>
      </c>
      <c r="C61" s="574">
        <f t="shared" si="8"/>
        <v>2021</v>
      </c>
      <c r="D61" s="591"/>
      <c r="E61" s="576">
        <v>2.7000000000000001E-3</v>
      </c>
      <c r="F61" s="592">
        <f t="shared" si="5"/>
        <v>-446.10272752221192</v>
      </c>
      <c r="G61" s="593">
        <f t="shared" si="3"/>
        <v>-1.2044773643099722</v>
      </c>
      <c r="H61" s="593">
        <f t="shared" si="2"/>
        <v>-447.3072048865219</v>
      </c>
      <c r="I61" s="214">
        <f t="shared" si="1"/>
        <v>53</v>
      </c>
      <c r="J61" s="583"/>
    </row>
    <row r="62" spans="1:10">
      <c r="A62" s="214">
        <f t="shared" si="0"/>
        <v>54</v>
      </c>
      <c r="B62" s="466" t="s">
        <v>738</v>
      </c>
      <c r="C62" s="574">
        <f t="shared" si="8"/>
        <v>2021</v>
      </c>
      <c r="D62" s="591"/>
      <c r="E62" s="576">
        <v>2.8E-3</v>
      </c>
      <c r="F62" s="592">
        <f t="shared" si="5"/>
        <v>-447.3072048865219</v>
      </c>
      <c r="G62" s="593">
        <f t="shared" si="3"/>
        <v>-1.2524601736822614</v>
      </c>
      <c r="H62" s="593">
        <f t="shared" si="2"/>
        <v>-448.55966506020417</v>
      </c>
      <c r="I62" s="214">
        <f t="shared" si="1"/>
        <v>54</v>
      </c>
      <c r="J62" s="583"/>
    </row>
    <row r="63" spans="1:10">
      <c r="A63" s="214">
        <f t="shared" si="0"/>
        <v>55</v>
      </c>
      <c r="B63" s="466" t="s">
        <v>739</v>
      </c>
      <c r="C63" s="574">
        <f t="shared" si="8"/>
        <v>2021</v>
      </c>
      <c r="D63" s="591"/>
      <c r="E63" s="576">
        <v>2.7000000000000001E-3</v>
      </c>
      <c r="F63" s="592">
        <f t="shared" si="5"/>
        <v>-448.55966506020417</v>
      </c>
      <c r="G63" s="593">
        <f t="shared" si="3"/>
        <v>-1.2111110956625513</v>
      </c>
      <c r="H63" s="593">
        <f t="shared" si="2"/>
        <v>-449.77077615586671</v>
      </c>
      <c r="I63" s="214">
        <f t="shared" si="1"/>
        <v>55</v>
      </c>
      <c r="J63" s="583"/>
    </row>
    <row r="64" spans="1:10">
      <c r="A64" s="214">
        <f t="shared" si="0"/>
        <v>56</v>
      </c>
      <c r="B64" s="585" t="s">
        <v>740</v>
      </c>
      <c r="C64" s="586">
        <f>C63</f>
        <v>2021</v>
      </c>
      <c r="D64" s="594"/>
      <c r="E64" s="588">
        <v>2.8E-3</v>
      </c>
      <c r="F64" s="589">
        <f t="shared" si="5"/>
        <v>-449.77077615586671</v>
      </c>
      <c r="G64" s="590">
        <f t="shared" si="3"/>
        <v>-1.2593581732364267</v>
      </c>
      <c r="H64" s="590">
        <f t="shared" si="2"/>
        <v>-451.03013432910313</v>
      </c>
      <c r="I64" s="214">
        <f t="shared" si="1"/>
        <v>56</v>
      </c>
      <c r="J64" s="583"/>
    </row>
    <row r="65" spans="1:9" ht="15.75" thickBot="1">
      <c r="A65" s="214">
        <f t="shared" si="0"/>
        <v>57</v>
      </c>
      <c r="D65" s="595">
        <f>SUM(D17:D28)</f>
        <v>-387.59126542683231</v>
      </c>
      <c r="E65" s="596"/>
      <c r="F65" s="597"/>
      <c r="G65" s="598">
        <f>SUM(G17:G64)</f>
        <v>-63.438868902270961</v>
      </c>
      <c r="H65" s="599"/>
      <c r="I65" s="214">
        <f t="shared" si="1"/>
        <v>57</v>
      </c>
    </row>
    <row r="66" spans="1:9" ht="15.75" thickTop="1">
      <c r="D66" s="600"/>
      <c r="E66" s="600"/>
      <c r="F66" s="600"/>
      <c r="G66" s="601"/>
      <c r="H66" s="601"/>
    </row>
    <row r="67" spans="1:9">
      <c r="B67" s="602"/>
    </row>
    <row r="68" spans="1:9" ht="17.25">
      <c r="A68" s="603">
        <v>1</v>
      </c>
      <c r="B68" s="472" t="s">
        <v>741</v>
      </c>
      <c r="C68" s="604"/>
    </row>
    <row r="69" spans="1:9" ht="17.25">
      <c r="A69" s="603">
        <v>2</v>
      </c>
      <c r="B69" s="472" t="s">
        <v>742</v>
      </c>
    </row>
    <row r="70" spans="1:9" ht="17.25">
      <c r="A70" s="603">
        <v>3</v>
      </c>
      <c r="B70" s="472" t="s">
        <v>743</v>
      </c>
    </row>
    <row r="71" spans="1:9">
      <c r="B71" s="472" t="s">
        <v>744</v>
      </c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4" orientation="portrait" r:id="rId1"/>
  <headerFooter scaleWithDoc="0" alignWithMargins="0">
    <oddFooter>&amp;CPage 8.1&amp;R&amp;F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2743-E65B-4B58-AFB4-7C2BC716B955}">
  <dimension ref="A1:M233"/>
  <sheetViews>
    <sheetView zoomScale="80" zoomScaleNormal="80" workbookViewId="0"/>
  </sheetViews>
  <sheetFormatPr defaultColWidth="9.28515625" defaultRowHeight="15"/>
  <cols>
    <col min="1" max="1" width="4.85546875" style="29" bestFit="1" customWidth="1"/>
    <col min="2" max="2" width="75.85546875" style="29" customWidth="1"/>
    <col min="3" max="3" width="15.7109375" style="29" customWidth="1"/>
    <col min="4" max="4" width="1.7109375" style="29" customWidth="1"/>
    <col min="5" max="5" width="13.7109375" style="29" bestFit="1" customWidth="1"/>
    <col min="6" max="6" width="1.7109375" style="29" customWidth="1"/>
    <col min="7" max="7" width="12.28515625" style="29" bestFit="1" customWidth="1"/>
    <col min="8" max="8" width="1.5703125" style="29" customWidth="1"/>
    <col min="9" max="9" width="11.42578125" style="29" bestFit="1" customWidth="1"/>
    <col min="10" max="10" width="35.7109375" style="29" customWidth="1"/>
    <col min="11" max="11" width="4.85546875" style="124" bestFit="1" customWidth="1"/>
    <col min="12" max="12" width="10.7109375" style="29" bestFit="1" customWidth="1"/>
    <col min="13" max="16384" width="9.28515625" style="29"/>
  </cols>
  <sheetData>
    <row r="1" spans="1:13" ht="15.4">
      <c r="A1" s="24"/>
      <c r="B1" s="24"/>
      <c r="C1" s="24"/>
      <c r="D1" s="24"/>
      <c r="E1" s="24"/>
      <c r="F1" s="24"/>
      <c r="G1" s="24"/>
      <c r="H1" s="24"/>
      <c r="I1" s="24"/>
      <c r="J1" s="8"/>
      <c r="K1" s="8"/>
    </row>
    <row r="2" spans="1:13" ht="15.4">
      <c r="A2" s="8"/>
      <c r="B2" s="607" t="s">
        <v>0</v>
      </c>
      <c r="C2" s="628"/>
      <c r="D2" s="628"/>
      <c r="E2" s="628"/>
      <c r="F2" s="628"/>
      <c r="G2" s="628"/>
      <c r="H2" s="628"/>
      <c r="I2" s="628"/>
      <c r="J2" s="628"/>
      <c r="K2" s="8"/>
    </row>
    <row r="3" spans="1:13" ht="15.4">
      <c r="A3" s="8"/>
      <c r="B3" s="607" t="s">
        <v>26</v>
      </c>
      <c r="C3" s="629"/>
      <c r="D3" s="629"/>
      <c r="E3" s="629"/>
      <c r="F3" s="629"/>
      <c r="G3" s="629"/>
      <c r="H3" s="629"/>
      <c r="I3" s="629"/>
      <c r="J3" s="629"/>
      <c r="K3" s="8"/>
    </row>
    <row r="4" spans="1:13" ht="15.4">
      <c r="A4" s="8"/>
      <c r="B4" s="607" t="s">
        <v>2</v>
      </c>
      <c r="C4" s="607"/>
      <c r="D4" s="607"/>
      <c r="E4" s="607"/>
      <c r="F4" s="607"/>
      <c r="G4" s="607"/>
      <c r="H4" s="607"/>
      <c r="I4" s="607"/>
      <c r="J4" s="607"/>
      <c r="K4" s="8"/>
    </row>
    <row r="5" spans="1:13" ht="15.4">
      <c r="A5" s="8"/>
      <c r="B5" s="606" t="s">
        <v>3</v>
      </c>
      <c r="C5" s="628"/>
      <c r="D5" s="628"/>
      <c r="E5" s="628"/>
      <c r="F5" s="628"/>
      <c r="G5" s="628"/>
      <c r="H5" s="628"/>
      <c r="I5" s="628"/>
      <c r="J5" s="628"/>
      <c r="K5" s="8"/>
    </row>
    <row r="6" spans="1:13" ht="15.4">
      <c r="A6" s="8"/>
      <c r="B6" s="28"/>
      <c r="C6" s="4"/>
      <c r="D6" s="4"/>
      <c r="E6" s="125"/>
      <c r="F6" s="126"/>
      <c r="G6" s="125"/>
      <c r="H6" s="4"/>
      <c r="J6" s="4"/>
      <c r="K6" s="8"/>
    </row>
    <row r="7" spans="1:13" ht="15.4">
      <c r="A7" s="8"/>
      <c r="B7" s="28"/>
      <c r="C7" s="4"/>
      <c r="D7" s="4"/>
      <c r="E7" s="30" t="s">
        <v>27</v>
      </c>
      <c r="F7"/>
      <c r="G7" s="30" t="s">
        <v>28</v>
      </c>
      <c r="H7"/>
      <c r="I7" s="30" t="s">
        <v>29</v>
      </c>
      <c r="J7" s="4"/>
      <c r="K7" s="8"/>
    </row>
    <row r="8" spans="1:13" ht="45.4">
      <c r="A8" s="8" t="s">
        <v>4</v>
      </c>
      <c r="B8" s="24"/>
      <c r="C8" s="24"/>
      <c r="D8" s="24"/>
      <c r="E8" s="31" t="s">
        <v>30</v>
      </c>
      <c r="F8" s="32"/>
      <c r="G8" s="31" t="s">
        <v>31</v>
      </c>
      <c r="H8" s="32"/>
      <c r="I8" s="33" t="s">
        <v>32</v>
      </c>
      <c r="J8" s="8"/>
      <c r="K8" s="8" t="s">
        <v>4</v>
      </c>
      <c r="M8" s="31"/>
    </row>
    <row r="9" spans="1:13" ht="15.4">
      <c r="A9" s="11" t="s">
        <v>5</v>
      </c>
      <c r="B9" s="32" t="s">
        <v>33</v>
      </c>
      <c r="C9" s="24"/>
      <c r="D9" s="24"/>
      <c r="E9" s="34" t="s">
        <v>34</v>
      </c>
      <c r="F9" s="24"/>
      <c r="G9" s="34" t="s">
        <v>34</v>
      </c>
      <c r="H9" s="24"/>
      <c r="I9" s="35" t="s">
        <v>35</v>
      </c>
      <c r="J9" s="11" t="s">
        <v>8</v>
      </c>
      <c r="K9" s="11" t="s">
        <v>5</v>
      </c>
    </row>
    <row r="10" spans="1:13" ht="15.4">
      <c r="A10" s="8"/>
      <c r="B10" s="36" t="s">
        <v>36</v>
      </c>
      <c r="C10" s="37"/>
      <c r="D10" s="37"/>
      <c r="E10" s="24"/>
      <c r="F10" s="24"/>
      <c r="G10" s="24"/>
      <c r="H10" s="24"/>
      <c r="I10" s="24"/>
      <c r="J10" s="8"/>
      <c r="K10" s="8"/>
    </row>
    <row r="11" spans="1:13" ht="15.75">
      <c r="A11" s="8">
        <f t="shared" ref="A11:A40" si="0">A10+1</f>
        <v>1</v>
      </c>
      <c r="B11" s="38" t="s">
        <v>37</v>
      </c>
      <c r="C11" s="39"/>
      <c r="D11" s="39"/>
      <c r="E11" s="40">
        <f>'Pg3 BK-1 Rev TO5 C2-Cost Adj '!E11</f>
        <v>76265.098909999986</v>
      </c>
      <c r="F11" s="41" t="s">
        <v>38</v>
      </c>
      <c r="G11" s="42">
        <f>'Pg4 As Filed BK-1 Retail TRR '!E11</f>
        <v>76808.669909999982</v>
      </c>
      <c r="H11" s="24"/>
      <c r="I11" s="43">
        <f>E11-G11</f>
        <v>-543.57099999999627</v>
      </c>
      <c r="J11" s="8" t="s">
        <v>39</v>
      </c>
      <c r="K11" s="8">
        <f>K10+1</f>
        <v>1</v>
      </c>
    </row>
    <row r="12" spans="1:13" ht="15.4">
      <c r="A12" s="8">
        <f t="shared" si="0"/>
        <v>2</v>
      </c>
      <c r="B12" s="38" t="s">
        <v>33</v>
      </c>
      <c r="C12" s="39"/>
      <c r="D12" s="39"/>
      <c r="E12" s="24" t="s">
        <v>33</v>
      </c>
      <c r="F12" s="24"/>
      <c r="G12" s="24" t="s">
        <v>33</v>
      </c>
      <c r="H12" s="24"/>
      <c r="I12" s="24"/>
      <c r="J12" s="8"/>
      <c r="K12" s="8">
        <f>K11+1</f>
        <v>2</v>
      </c>
    </row>
    <row r="13" spans="1:13" ht="15.75">
      <c r="A13" s="8">
        <f t="shared" si="0"/>
        <v>3</v>
      </c>
      <c r="B13" s="38" t="s">
        <v>40</v>
      </c>
      <c r="C13" s="39"/>
      <c r="D13" s="39"/>
      <c r="E13" s="44">
        <f>'Pg3 BK-1 Rev TO5 C2-Cost Adj '!E13</f>
        <v>66061.797539703955</v>
      </c>
      <c r="F13" s="41" t="s">
        <v>38</v>
      </c>
      <c r="G13" s="45">
        <f>'Pg4 As Filed BK-1 Retail TRR '!E13</f>
        <v>65900.971198974905</v>
      </c>
      <c r="I13" s="46">
        <f>E13-G13</f>
        <v>160.82634072905057</v>
      </c>
      <c r="J13" s="8" t="s">
        <v>41</v>
      </c>
      <c r="K13" s="8">
        <f>K12+1</f>
        <v>3</v>
      </c>
    </row>
    <row r="14" spans="1:13" ht="15.4">
      <c r="A14" s="8">
        <f t="shared" si="0"/>
        <v>4</v>
      </c>
      <c r="B14" s="38"/>
      <c r="C14" s="39"/>
      <c r="D14" s="39"/>
      <c r="E14" s="24"/>
      <c r="F14" s="32"/>
      <c r="G14" s="24"/>
      <c r="H14" s="32"/>
      <c r="I14" s="24"/>
      <c r="J14" s="8"/>
      <c r="K14" s="8">
        <f t="shared" ref="K14:K40" si="1">K13+1</f>
        <v>4</v>
      </c>
    </row>
    <row r="15" spans="1:13" ht="15.4">
      <c r="A15" s="8">
        <f t="shared" si="0"/>
        <v>5</v>
      </c>
      <c r="B15" s="38" t="s">
        <v>42</v>
      </c>
      <c r="C15" s="39"/>
      <c r="D15" s="39"/>
      <c r="E15" s="53">
        <f>'Pg3 BK-1 Rev TO5 C2-Cost Adj '!E15</f>
        <v>0</v>
      </c>
      <c r="F15" s="24"/>
      <c r="G15" s="53">
        <f>'Pg4 As Filed BK-1 Retail TRR '!E15</f>
        <v>0</v>
      </c>
      <c r="H15" s="24"/>
      <c r="I15" s="95">
        <f>E15-G15</f>
        <v>0</v>
      </c>
      <c r="J15" s="8" t="s">
        <v>43</v>
      </c>
      <c r="K15" s="8">
        <f t="shared" si="1"/>
        <v>5</v>
      </c>
    </row>
    <row r="16" spans="1:13" ht="15.75">
      <c r="A16" s="8">
        <f t="shared" si="0"/>
        <v>6</v>
      </c>
      <c r="B16" s="38" t="s">
        <v>44</v>
      </c>
      <c r="C16" s="39"/>
      <c r="D16" s="39"/>
      <c r="E16" s="48">
        <f>E11+E13+E15</f>
        <v>142326.89644970396</v>
      </c>
      <c r="F16" s="41" t="s">
        <v>38</v>
      </c>
      <c r="G16" s="49">
        <f>G11+G13+G15</f>
        <v>142709.64110897487</v>
      </c>
      <c r="H16" s="24"/>
      <c r="I16" s="48">
        <f>I11+I13+I15</f>
        <v>-382.7446592709457</v>
      </c>
      <c r="J16" s="8" t="s">
        <v>45</v>
      </c>
      <c r="K16" s="8">
        <f t="shared" si="1"/>
        <v>6</v>
      </c>
    </row>
    <row r="17" spans="1:12" ht="15.4">
      <c r="A17" s="8">
        <f t="shared" si="0"/>
        <v>7</v>
      </c>
      <c r="B17" s="24"/>
      <c r="C17" s="24"/>
      <c r="D17" s="24"/>
      <c r="E17" s="24"/>
      <c r="F17" s="24"/>
      <c r="G17" s="24"/>
      <c r="H17" s="24"/>
      <c r="I17" s="24"/>
      <c r="J17" s="8"/>
      <c r="K17" s="8">
        <f t="shared" si="1"/>
        <v>7</v>
      </c>
    </row>
    <row r="18" spans="1:12" ht="15.75">
      <c r="A18" s="8">
        <f t="shared" si="0"/>
        <v>8</v>
      </c>
      <c r="B18" s="24" t="s">
        <v>46</v>
      </c>
      <c r="C18" s="39"/>
      <c r="D18" s="39"/>
      <c r="E18" s="45">
        <f>'Pg3 BK-1 Rev TO5 C2-Cost Adj '!E18</f>
        <v>175542.86873830605</v>
      </c>
      <c r="F18" s="50"/>
      <c r="G18" s="45">
        <f>'Pg4 As Filed BK-1 Retail TRR '!E18</f>
        <v>175542.86873830605</v>
      </c>
      <c r="H18" s="24"/>
      <c r="I18" s="605">
        <f>E18-G18</f>
        <v>0</v>
      </c>
      <c r="J18" s="8" t="s">
        <v>47</v>
      </c>
      <c r="K18" s="8">
        <f t="shared" si="1"/>
        <v>8</v>
      </c>
    </row>
    <row r="19" spans="1:12" ht="15.4">
      <c r="A19" s="8">
        <f t="shared" si="0"/>
        <v>9</v>
      </c>
      <c r="B19" s="24"/>
      <c r="C19" s="24"/>
      <c r="D19" s="24"/>
      <c r="E19" s="45" t="s">
        <v>33</v>
      </c>
      <c r="F19" s="24"/>
      <c r="G19" s="45" t="s">
        <v>33</v>
      </c>
      <c r="H19" s="24"/>
      <c r="I19" s="24"/>
      <c r="J19" s="8"/>
      <c r="K19" s="8">
        <f t="shared" si="1"/>
        <v>9</v>
      </c>
    </row>
    <row r="20" spans="1:12" ht="17.25">
      <c r="A20" s="8">
        <f t="shared" si="0"/>
        <v>10</v>
      </c>
      <c r="B20" s="51" t="s">
        <v>48</v>
      </c>
      <c r="C20" s="24"/>
      <c r="D20" s="24"/>
      <c r="E20" s="45">
        <f>'Pg3 BK-1 Rev TO5 C2-Cost Adj '!E20</f>
        <v>0</v>
      </c>
      <c r="F20" s="24"/>
      <c r="G20" s="45">
        <f>'Pg4 As Filed BK-1 Retail TRR '!E20</f>
        <v>0</v>
      </c>
      <c r="H20" s="24"/>
      <c r="I20" s="605">
        <f>E20-G20</f>
        <v>0</v>
      </c>
      <c r="J20" s="8" t="s">
        <v>49</v>
      </c>
      <c r="K20" s="8">
        <f t="shared" si="1"/>
        <v>10</v>
      </c>
    </row>
    <row r="21" spans="1:12" ht="15.4">
      <c r="A21" s="8">
        <f t="shared" si="0"/>
        <v>11</v>
      </c>
      <c r="B21" s="24"/>
      <c r="C21" s="24"/>
      <c r="D21" s="24"/>
      <c r="E21" s="45"/>
      <c r="F21" s="24"/>
      <c r="G21" s="45"/>
      <c r="H21" s="24"/>
      <c r="I21" s="24"/>
      <c r="J21" s="8"/>
      <c r="K21" s="8">
        <f t="shared" si="1"/>
        <v>11</v>
      </c>
    </row>
    <row r="22" spans="1:12" ht="15.75">
      <c r="A22" s="8">
        <f t="shared" si="0"/>
        <v>12</v>
      </c>
      <c r="B22" s="24" t="s">
        <v>50</v>
      </c>
      <c r="C22" s="39"/>
      <c r="D22" s="39"/>
      <c r="E22" s="45">
        <f>'Pg3 BK-1 Rev TO5 C2-Cost Adj '!E22</f>
        <v>44622.147197809747</v>
      </c>
      <c r="F22" s="50"/>
      <c r="G22" s="45">
        <f>'Pg4 As Filed BK-1 Retail TRR '!E22</f>
        <v>44622.147197809747</v>
      </c>
      <c r="H22" s="32"/>
      <c r="I22" s="605">
        <f>E22-G22</f>
        <v>0</v>
      </c>
      <c r="J22" s="8" t="s">
        <v>51</v>
      </c>
      <c r="K22" s="8">
        <f t="shared" si="1"/>
        <v>12</v>
      </c>
    </row>
    <row r="23" spans="1:12" ht="15.4">
      <c r="A23" s="8">
        <f t="shared" si="0"/>
        <v>13</v>
      </c>
      <c r="B23" s="38"/>
      <c r="C23" s="39"/>
      <c r="D23" s="39"/>
      <c r="E23" s="45"/>
      <c r="F23" s="24"/>
      <c r="G23" s="45"/>
      <c r="H23" s="24"/>
      <c r="I23" s="24"/>
      <c r="J23" s="52"/>
      <c r="K23" s="8">
        <f t="shared" si="1"/>
        <v>13</v>
      </c>
    </row>
    <row r="24" spans="1:12" ht="15.75">
      <c r="A24" s="8">
        <f t="shared" si="0"/>
        <v>14</v>
      </c>
      <c r="B24" s="24" t="s">
        <v>52</v>
      </c>
      <c r="C24" s="39"/>
      <c r="D24" s="39"/>
      <c r="E24" s="53">
        <f>'Pg3 BK-1 Rev TO5 C2-Cost Adj '!E24</f>
        <v>2616.0247561182027</v>
      </c>
      <c r="F24" s="50"/>
      <c r="G24" s="53">
        <f>'Pg4 As Filed BK-1 Retail TRR '!E24</f>
        <v>2616.0247561182027</v>
      </c>
      <c r="H24" s="24"/>
      <c r="I24" s="95">
        <f>E24-G24</f>
        <v>0</v>
      </c>
      <c r="J24" s="8" t="s">
        <v>53</v>
      </c>
      <c r="K24" s="8">
        <f t="shared" si="1"/>
        <v>14</v>
      </c>
    </row>
    <row r="25" spans="1:12" ht="15.75">
      <c r="A25" s="8">
        <f t="shared" si="0"/>
        <v>15</v>
      </c>
      <c r="B25" s="38" t="s">
        <v>54</v>
      </c>
      <c r="C25" s="39"/>
      <c r="D25" s="39"/>
      <c r="E25" s="54">
        <f>SUM(E16:E24)</f>
        <v>365107.93714193796</v>
      </c>
      <c r="F25" s="50" t="s">
        <v>38</v>
      </c>
      <c r="G25" s="55">
        <f>SUM(G16:G24)</f>
        <v>365490.68180120888</v>
      </c>
      <c r="I25" s="54">
        <f>SUM(I16:I24)</f>
        <v>-382.7446592709457</v>
      </c>
      <c r="J25" s="52" t="s">
        <v>55</v>
      </c>
      <c r="K25" s="8">
        <f t="shared" si="1"/>
        <v>15</v>
      </c>
      <c r="L25" s="551"/>
    </row>
    <row r="26" spans="1:12" ht="15.4">
      <c r="A26" s="8">
        <f t="shared" si="0"/>
        <v>16</v>
      </c>
      <c r="B26" s="38"/>
      <c r="C26" s="39"/>
      <c r="D26" s="39"/>
      <c r="E26" s="32"/>
      <c r="F26" s="24"/>
      <c r="G26" s="24"/>
      <c r="I26" s="24"/>
      <c r="J26" s="8"/>
      <c r="K26" s="8">
        <f t="shared" si="1"/>
        <v>16</v>
      </c>
    </row>
    <row r="27" spans="1:12" ht="17.649999999999999">
      <c r="A27" s="8">
        <f t="shared" si="0"/>
        <v>17</v>
      </c>
      <c r="B27" s="38" t="s">
        <v>56</v>
      </c>
      <c r="C27" s="39"/>
      <c r="D27" s="39"/>
      <c r="E27" s="56">
        <f>'Pg3 BK-1 Rev TO5 C2-Cost Adj '!E27</f>
        <v>9.6203495288120069E-2</v>
      </c>
      <c r="F27" s="50" t="s">
        <v>38</v>
      </c>
      <c r="G27" s="57">
        <f>'Pg4 As Filed BK-1 Retail TRR '!E27</f>
        <v>9.6203509888900945E-2</v>
      </c>
      <c r="I27" s="58">
        <f>E27-G27-0.000001</f>
        <v>-1.0146007808760062E-6</v>
      </c>
      <c r="J27" s="8" t="s">
        <v>57</v>
      </c>
      <c r="K27" s="8">
        <f t="shared" si="1"/>
        <v>17</v>
      </c>
    </row>
    <row r="28" spans="1:12" ht="15.75">
      <c r="A28" s="8">
        <f t="shared" si="0"/>
        <v>18</v>
      </c>
      <c r="B28" s="38" t="s">
        <v>58</v>
      </c>
      <c r="C28" s="39"/>
      <c r="D28" s="39"/>
      <c r="E28" s="54">
        <f>'Pg3 BK-1 Rev TO5 C2-Cost Adj '!E28</f>
        <v>4005249.9121370139</v>
      </c>
      <c r="F28" s="50" t="s">
        <v>38</v>
      </c>
      <c r="G28" s="55">
        <f>'Pg4 As Filed BK-1 Retail TRR '!E28</f>
        <v>4005297.7552194232</v>
      </c>
      <c r="I28" s="47">
        <f>E28-G28</f>
        <v>-47.843082409352064</v>
      </c>
      <c r="J28" s="8" t="s">
        <v>59</v>
      </c>
      <c r="K28" s="8">
        <f t="shared" si="1"/>
        <v>18</v>
      </c>
    </row>
    <row r="29" spans="1:12" ht="15.75">
      <c r="A29" s="8">
        <f t="shared" si="0"/>
        <v>19</v>
      </c>
      <c r="B29" s="51" t="s">
        <v>60</v>
      </c>
      <c r="C29" s="24"/>
      <c r="D29" s="24"/>
      <c r="E29" s="59">
        <f>E27*E28</f>
        <v>385319.04105001653</v>
      </c>
      <c r="F29" s="50" t="s">
        <v>38</v>
      </c>
      <c r="G29" s="60">
        <f>G27*G28</f>
        <v>385323.70220224455</v>
      </c>
      <c r="I29" s="59">
        <f>E29-G29</f>
        <v>-4.6611522280145437</v>
      </c>
      <c r="J29" s="52" t="s">
        <v>61</v>
      </c>
      <c r="K29" s="8">
        <f t="shared" si="1"/>
        <v>19</v>
      </c>
      <c r="L29" s="551"/>
    </row>
    <row r="30" spans="1:12" ht="15.75">
      <c r="A30" s="8">
        <f t="shared" si="0"/>
        <v>20</v>
      </c>
      <c r="B30" s="51"/>
      <c r="C30" s="24"/>
      <c r="D30" s="24"/>
      <c r="E30" s="59"/>
      <c r="F30" s="50"/>
      <c r="G30" s="60"/>
      <c r="I30" s="60"/>
      <c r="J30" s="52"/>
      <c r="K30" s="8">
        <f t="shared" si="1"/>
        <v>20</v>
      </c>
    </row>
    <row r="31" spans="1:12" ht="17.649999999999999">
      <c r="A31" s="8">
        <f t="shared" si="0"/>
        <v>21</v>
      </c>
      <c r="B31" s="61" t="s">
        <v>62</v>
      </c>
      <c r="C31" s="24"/>
      <c r="D31" s="24"/>
      <c r="E31" s="62">
        <f>'Pg3 BK-1 Rev TO5 C2-Cost Adj '!E31</f>
        <v>3.8762955624239964E-3</v>
      </c>
      <c r="F31" s="50"/>
      <c r="G31" s="62">
        <f>'Pg4 As Filed BK-1 Retail TRR '!E31</f>
        <v>3.8762955624239964E-3</v>
      </c>
      <c r="I31" s="62">
        <f>E31-G31</f>
        <v>0</v>
      </c>
      <c r="J31" s="8" t="s">
        <v>63</v>
      </c>
      <c r="K31" s="8">
        <f t="shared" si="1"/>
        <v>21</v>
      </c>
    </row>
    <row r="32" spans="1:12" ht="15.75">
      <c r="A32" s="8">
        <f t="shared" si="0"/>
        <v>22</v>
      </c>
      <c r="B32" s="61" t="s">
        <v>58</v>
      </c>
      <c r="C32" s="24"/>
      <c r="D32" s="24"/>
      <c r="E32" s="54">
        <f>'Pg3 BK-1 Rev TO5 C2-Cost Adj '!E32</f>
        <v>4005249.9121370139</v>
      </c>
      <c r="F32" s="50" t="s">
        <v>38</v>
      </c>
      <c r="G32" s="55">
        <f>'Pg4 As Filed BK-1 Retail TRR '!E32</f>
        <v>4005297.7552194232</v>
      </c>
      <c r="I32" s="63">
        <f>E32-G32</f>
        <v>-47.843082409352064</v>
      </c>
      <c r="J32" s="8" t="s">
        <v>64</v>
      </c>
      <c r="K32" s="8">
        <f t="shared" si="1"/>
        <v>22</v>
      </c>
    </row>
    <row r="33" spans="1:12" ht="15.75">
      <c r="A33" s="8">
        <f t="shared" si="0"/>
        <v>23</v>
      </c>
      <c r="B33" s="51" t="s">
        <v>65</v>
      </c>
      <c r="C33" s="24"/>
      <c r="D33" s="24"/>
      <c r="E33" s="60">
        <f>E31*E32</f>
        <v>15525.532460815808</v>
      </c>
      <c r="F33" s="50"/>
      <c r="G33" s="60">
        <f>G31*G32</f>
        <v>15525.717914743844</v>
      </c>
      <c r="I33" s="60">
        <f>E33-G33</f>
        <v>-0.18545392803571303</v>
      </c>
      <c r="J33" s="52" t="s">
        <v>66</v>
      </c>
      <c r="K33" s="8">
        <f t="shared" si="1"/>
        <v>23</v>
      </c>
      <c r="L33" s="551"/>
    </row>
    <row r="34" spans="1:12" ht="15.75">
      <c r="A34" s="8">
        <f t="shared" si="0"/>
        <v>24</v>
      </c>
      <c r="B34" s="24"/>
      <c r="C34" s="24"/>
      <c r="D34" s="24"/>
      <c r="E34" s="59"/>
      <c r="F34" s="50"/>
      <c r="G34" s="60"/>
      <c r="I34" s="59"/>
      <c r="J34" s="8"/>
      <c r="K34" s="8">
        <f t="shared" si="1"/>
        <v>24</v>
      </c>
    </row>
    <row r="35" spans="1:12" ht="15.4">
      <c r="A35" s="8">
        <f t="shared" si="0"/>
        <v>25</v>
      </c>
      <c r="B35" s="51" t="s">
        <v>67</v>
      </c>
      <c r="C35" s="24"/>
      <c r="D35" s="24"/>
      <c r="E35" s="42">
        <f>'Pg3 BK-1 Rev TO5 C2-Cost Adj '!E35</f>
        <v>1346.7699665379248</v>
      </c>
      <c r="F35" s="45"/>
      <c r="G35" s="42">
        <f>'Pg4 As Filed BK-1 Retail TRR '!E35</f>
        <v>1346.7699665379248</v>
      </c>
      <c r="H35" s="45"/>
      <c r="I35" s="42">
        <f t="shared" ref="I35:I38" si="2">E35-G35</f>
        <v>0</v>
      </c>
      <c r="J35" s="8" t="s">
        <v>68</v>
      </c>
      <c r="K35" s="8">
        <f t="shared" si="1"/>
        <v>25</v>
      </c>
    </row>
    <row r="36" spans="1:12" ht="15.4">
      <c r="A36" s="8">
        <f t="shared" si="0"/>
        <v>26</v>
      </c>
      <c r="B36" s="51" t="s">
        <v>69</v>
      </c>
      <c r="C36" s="24"/>
      <c r="D36" s="24"/>
      <c r="E36" s="45">
        <f>'Pg3 BK-1 Rev TO5 C2-Cost Adj '!E36</f>
        <v>-4687.6774299999997</v>
      </c>
      <c r="F36" s="24"/>
      <c r="G36" s="45">
        <f>'Pg4 As Filed BK-1 Retail TRR '!E36</f>
        <v>-4687.6774299999997</v>
      </c>
      <c r="H36" s="24"/>
      <c r="I36" s="605">
        <f t="shared" si="2"/>
        <v>0</v>
      </c>
      <c r="J36" s="8" t="s">
        <v>70</v>
      </c>
      <c r="K36" s="8">
        <f t="shared" si="1"/>
        <v>26</v>
      </c>
    </row>
    <row r="37" spans="1:12" ht="15.4">
      <c r="A37" s="8">
        <f t="shared" si="0"/>
        <v>27</v>
      </c>
      <c r="B37" s="51" t="s">
        <v>71</v>
      </c>
      <c r="C37" s="24"/>
      <c r="D37" s="24"/>
      <c r="E37" s="45">
        <f>'Pg3 BK-1 Rev TO5 C2-Cost Adj '!E37</f>
        <v>0</v>
      </c>
      <c r="F37" s="24"/>
      <c r="G37" s="45">
        <f>'Pg4 As Filed BK-1 Retail TRR '!E37</f>
        <v>0</v>
      </c>
      <c r="H37" s="24"/>
      <c r="I37" s="605">
        <f t="shared" si="2"/>
        <v>0</v>
      </c>
      <c r="J37" s="8" t="s">
        <v>72</v>
      </c>
      <c r="K37" s="8">
        <f t="shared" si="1"/>
        <v>27</v>
      </c>
    </row>
    <row r="38" spans="1:12" ht="15.75">
      <c r="A38" s="8">
        <f t="shared" si="0"/>
        <v>28</v>
      </c>
      <c r="B38" s="64" t="s">
        <v>73</v>
      </c>
      <c r="C38" s="24"/>
      <c r="D38" s="24"/>
      <c r="E38" s="53">
        <f>'Pg3 BK-1 Rev TO5 C2-Cost Adj '!E38</f>
        <v>0</v>
      </c>
      <c r="F38" s="50"/>
      <c r="G38" s="53">
        <f>'Pg4 As Filed BK-1 Retail TRR '!E38</f>
        <v>0</v>
      </c>
      <c r="H38" s="24"/>
      <c r="I38" s="95">
        <f t="shared" si="2"/>
        <v>0</v>
      </c>
      <c r="J38" s="8" t="s">
        <v>74</v>
      </c>
      <c r="K38" s="8">
        <f t="shared" si="1"/>
        <v>28</v>
      </c>
    </row>
    <row r="39" spans="1:12" ht="15.4">
      <c r="A39" s="8">
        <f t="shared" si="0"/>
        <v>29</v>
      </c>
      <c r="B39" s="24"/>
      <c r="C39" s="24"/>
      <c r="D39" s="24"/>
      <c r="E39" s="24"/>
      <c r="F39" s="24"/>
      <c r="G39" s="24"/>
      <c r="H39" s="24"/>
      <c r="I39" s="24"/>
      <c r="J39" s="52"/>
      <c r="K39" s="8">
        <f t="shared" si="1"/>
        <v>29</v>
      </c>
    </row>
    <row r="40" spans="1:12" ht="31.15" thickBot="1">
      <c r="A40" s="8">
        <f t="shared" si="0"/>
        <v>30</v>
      </c>
      <c r="B40" s="51" t="s">
        <v>75</v>
      </c>
      <c r="C40" s="39"/>
      <c r="D40" s="39"/>
      <c r="E40" s="65">
        <f>E25+E29+E33+SUM(E35:E38)</f>
        <v>762611.60318930831</v>
      </c>
      <c r="F40" s="50" t="s">
        <v>38</v>
      </c>
      <c r="G40" s="66">
        <f>G25+G29+G33+SUM(G35:G38)</f>
        <v>762999.19445473514</v>
      </c>
      <c r="I40" s="65">
        <f>I25+I29+I33+SUM(I35:I38)</f>
        <v>-387.59126542699596</v>
      </c>
      <c r="J40" s="118" t="s">
        <v>76</v>
      </c>
      <c r="K40" s="8">
        <f t="shared" si="1"/>
        <v>30</v>
      </c>
      <c r="L40" s="551"/>
    </row>
    <row r="41" spans="1:12" ht="16.149999999999999" thickTop="1">
      <c r="A41" s="8"/>
      <c r="B41" s="24"/>
      <c r="C41" s="39"/>
      <c r="D41" s="39"/>
      <c r="E41" s="67"/>
      <c r="F41" s="50"/>
      <c r="G41" s="68"/>
      <c r="I41" s="68"/>
      <c r="J41" s="8"/>
      <c r="K41" s="8"/>
    </row>
    <row r="42" spans="1:12" ht="15.75">
      <c r="A42" s="41" t="s">
        <v>38</v>
      </c>
      <c r="B42" s="32" t="s">
        <v>77</v>
      </c>
      <c r="C42" s="39"/>
      <c r="D42" s="39"/>
      <c r="E42" s="24"/>
      <c r="F42" s="24"/>
      <c r="G42" s="24"/>
      <c r="H42" s="24"/>
      <c r="I42" s="24"/>
      <c r="J42" s="8"/>
      <c r="K42" s="8"/>
    </row>
    <row r="43" spans="1:12" ht="17.25">
      <c r="A43" s="69">
        <v>1</v>
      </c>
      <c r="B43" s="51" t="s">
        <v>78</v>
      </c>
      <c r="C43" s="39"/>
      <c r="D43" s="39"/>
      <c r="E43" s="24"/>
      <c r="F43" s="24"/>
      <c r="G43" s="24"/>
      <c r="H43" s="24"/>
      <c r="I43" s="24"/>
      <c r="J43" s="8"/>
      <c r="K43" s="8"/>
    </row>
    <row r="44" spans="1:12" ht="15.4">
      <c r="A44" s="8"/>
      <c r="B44" s="32"/>
      <c r="C44" s="39"/>
      <c r="D44" s="39"/>
      <c r="E44" s="24"/>
      <c r="F44" s="24"/>
      <c r="G44" s="24"/>
      <c r="H44" s="24"/>
      <c r="I44" s="24"/>
      <c r="J44" s="8"/>
      <c r="K44" s="8"/>
    </row>
    <row r="45" spans="1:12" ht="15.4">
      <c r="A45" s="8"/>
      <c r="B45" s="32"/>
      <c r="C45" s="39"/>
      <c r="D45" s="39"/>
      <c r="E45" s="24"/>
      <c r="F45" s="24"/>
      <c r="G45" s="24"/>
      <c r="H45" s="24"/>
      <c r="I45" s="24"/>
      <c r="J45" s="8"/>
      <c r="K45" s="8"/>
    </row>
    <row r="46" spans="1:12" ht="15.4">
      <c r="A46" s="8"/>
      <c r="B46" s="607" t="s">
        <v>0</v>
      </c>
      <c r="C46" s="628"/>
      <c r="D46" s="628"/>
      <c r="E46" s="628"/>
      <c r="F46" s="628"/>
      <c r="G46" s="628"/>
      <c r="H46" s="628"/>
      <c r="I46" s="628"/>
      <c r="J46" s="628"/>
      <c r="K46" s="8"/>
    </row>
    <row r="47" spans="1:12" ht="15.4">
      <c r="A47" s="8"/>
      <c r="B47" s="607" t="str">
        <f>B3</f>
        <v>TO5 Cycle 4 Annual Informational Filing</v>
      </c>
      <c r="C47" s="628"/>
      <c r="D47" s="628"/>
      <c r="E47" s="628"/>
      <c r="F47" s="628"/>
      <c r="G47" s="628"/>
      <c r="H47" s="628"/>
      <c r="I47" s="628"/>
      <c r="J47" s="628"/>
      <c r="K47" s="8"/>
    </row>
    <row r="48" spans="1:12" ht="15.4">
      <c r="A48" s="8" t="s">
        <v>33</v>
      </c>
      <c r="B48" s="607" t="str">
        <f>B4</f>
        <v>Derivation of Other BTRR Adjustment Applicable to TO5 Cycle 2</v>
      </c>
      <c r="C48" s="629"/>
      <c r="D48" s="629"/>
      <c r="E48" s="629"/>
      <c r="F48" s="629"/>
      <c r="G48" s="629"/>
      <c r="H48" s="629"/>
      <c r="I48" s="629"/>
      <c r="J48" s="629"/>
      <c r="K48" s="8" t="s">
        <v>33</v>
      </c>
    </row>
    <row r="49" spans="1:11" ht="15.4">
      <c r="A49" s="8"/>
      <c r="B49" s="606" t="s">
        <v>3</v>
      </c>
      <c r="C49" s="628"/>
      <c r="D49" s="628"/>
      <c r="E49" s="628"/>
      <c r="F49" s="628"/>
      <c r="G49" s="628"/>
      <c r="H49" s="628"/>
      <c r="I49" s="628"/>
      <c r="J49" s="628"/>
      <c r="K49" s="8"/>
    </row>
    <row r="50" spans="1:11" ht="15.4">
      <c r="A50" s="8"/>
      <c r="B50" s="28"/>
      <c r="C50" s="4"/>
      <c r="D50" s="4"/>
      <c r="F50" s="4"/>
      <c r="H50" s="4"/>
      <c r="J50" s="4"/>
      <c r="K50" s="8"/>
    </row>
    <row r="51" spans="1:11" ht="15.4">
      <c r="A51" s="8"/>
      <c r="B51" s="28"/>
      <c r="C51" s="4"/>
      <c r="D51" s="4"/>
      <c r="E51" s="30" t="s">
        <v>27</v>
      </c>
      <c r="F51"/>
      <c r="G51" s="30" t="s">
        <v>28</v>
      </c>
      <c r="H51"/>
      <c r="I51" s="30" t="s">
        <v>29</v>
      </c>
      <c r="J51" s="4"/>
      <c r="K51" s="8"/>
    </row>
    <row r="52" spans="1:11" ht="46.15" customHeight="1">
      <c r="A52" s="8" t="s">
        <v>4</v>
      </c>
      <c r="B52" s="24"/>
      <c r="C52" s="24"/>
      <c r="D52" s="24"/>
      <c r="E52" s="31" t="str">
        <f>E8</f>
        <v xml:space="preserve">Revised - TO5 C2 </v>
      </c>
      <c r="F52" s="32"/>
      <c r="G52" s="31" t="str">
        <f>G8</f>
        <v>As Filed - TO5 C2 per ER 20-503</v>
      </c>
      <c r="H52" s="32"/>
      <c r="I52" s="33" t="s">
        <v>32</v>
      </c>
      <c r="J52" s="8"/>
      <c r="K52" s="8" t="s">
        <v>4</v>
      </c>
    </row>
    <row r="53" spans="1:11" ht="15.4">
      <c r="A53" s="11" t="s">
        <v>5</v>
      </c>
      <c r="B53" s="32" t="s">
        <v>33</v>
      </c>
      <c r="C53" s="24"/>
      <c r="D53" s="24"/>
      <c r="E53" s="34" t="s">
        <v>7</v>
      </c>
      <c r="F53" s="24"/>
      <c r="G53" s="34" t="s">
        <v>7</v>
      </c>
      <c r="H53" s="24"/>
      <c r="I53" s="35" t="s">
        <v>35</v>
      </c>
      <c r="J53" s="11" t="s">
        <v>8</v>
      </c>
      <c r="K53" s="11" t="s">
        <v>5</v>
      </c>
    </row>
    <row r="54" spans="1:11" ht="17.25">
      <c r="A54" s="8"/>
      <c r="B54" s="70" t="s">
        <v>79</v>
      </c>
      <c r="C54" s="39"/>
      <c r="D54" s="39"/>
      <c r="E54" s="24"/>
      <c r="F54" s="24"/>
      <c r="G54" s="24"/>
      <c r="H54" s="24"/>
      <c r="I54" s="24"/>
      <c r="J54" s="8"/>
      <c r="K54" s="8"/>
    </row>
    <row r="55" spans="1:11" ht="15.4">
      <c r="A55" s="8">
        <v>1</v>
      </c>
      <c r="B55" s="61" t="s">
        <v>80</v>
      </c>
      <c r="C55" s="39"/>
      <c r="D55" s="39"/>
      <c r="E55" s="71">
        <f>'Pg3 BK-1 Rev TO5 C2-Cost Adj '!E55</f>
        <v>0</v>
      </c>
      <c r="F55" s="24"/>
      <c r="G55" s="71">
        <f>'Pg4 As Filed BK-1 Retail TRR '!E54</f>
        <v>0</v>
      </c>
      <c r="H55" s="24"/>
      <c r="I55" s="72">
        <f>E55-G55</f>
        <v>0</v>
      </c>
      <c r="J55" s="8" t="s">
        <v>81</v>
      </c>
      <c r="K55" s="8">
        <v>1</v>
      </c>
    </row>
    <row r="56" spans="1:11" ht="15.4">
      <c r="A56" s="8">
        <f>A55+1</f>
        <v>2</v>
      </c>
      <c r="B56" s="61"/>
      <c r="C56" s="39"/>
      <c r="D56" s="39"/>
      <c r="E56" s="24"/>
      <c r="F56" s="24"/>
      <c r="G56" s="24"/>
      <c r="H56" s="24"/>
      <c r="I56" s="24"/>
      <c r="J56" s="52"/>
      <c r="K56" s="8">
        <f>K55+1</f>
        <v>2</v>
      </c>
    </row>
    <row r="57" spans="1:11" ht="17.649999999999999">
      <c r="A57" s="8">
        <f t="shared" ref="A57:A93" si="3">A56+1</f>
        <v>3</v>
      </c>
      <c r="B57" s="61" t="s">
        <v>82</v>
      </c>
      <c r="C57" s="39"/>
      <c r="D57" s="39"/>
      <c r="E57" s="73">
        <f>'Pg3 BK-1 Rev TO5 C2-Cost Adj '!E57</f>
        <v>1.9124664122712989E-2</v>
      </c>
      <c r="F57" s="24"/>
      <c r="G57" s="73">
        <f>'Pg4 As Filed BK-1 Retail TRR '!E56</f>
        <v>1.9124664122712989E-2</v>
      </c>
      <c r="H57" s="24"/>
      <c r="I57" s="74">
        <f>E57-G57</f>
        <v>0</v>
      </c>
      <c r="J57" s="8" t="s">
        <v>83</v>
      </c>
      <c r="K57" s="8">
        <f t="shared" ref="K57:K93" si="4">K56+1</f>
        <v>3</v>
      </c>
    </row>
    <row r="58" spans="1:11" ht="15.4">
      <c r="A58" s="8">
        <f t="shared" si="3"/>
        <v>4</v>
      </c>
      <c r="B58" s="51" t="s">
        <v>84</v>
      </c>
      <c r="C58" s="39"/>
      <c r="D58" s="39"/>
      <c r="E58" s="75">
        <f>'Pg3 BK-1 Rev TO5 C2-Cost Adj '!E58</f>
        <v>0</v>
      </c>
      <c r="F58" s="24"/>
      <c r="G58" s="75">
        <f>'Pg4 As Filed BK-1 Retail TRR '!E57</f>
        <v>0</v>
      </c>
      <c r="H58" s="24"/>
      <c r="I58" s="75">
        <f>E58-G58</f>
        <v>0</v>
      </c>
      <c r="J58" s="8" t="s">
        <v>85</v>
      </c>
      <c r="K58" s="8">
        <f t="shared" si="4"/>
        <v>4</v>
      </c>
    </row>
    <row r="59" spans="1:11" ht="15.4">
      <c r="A59" s="8">
        <f t="shared" si="3"/>
        <v>5</v>
      </c>
      <c r="B59" s="51" t="s">
        <v>86</v>
      </c>
      <c r="C59" s="39"/>
      <c r="D59" s="39"/>
      <c r="E59" s="76">
        <f>E57*E58</f>
        <v>0</v>
      </c>
      <c r="F59" s="24"/>
      <c r="G59" s="76">
        <f>G57*G58</f>
        <v>0</v>
      </c>
      <c r="H59" s="24"/>
      <c r="I59" s="72">
        <f>E59-G59</f>
        <v>0</v>
      </c>
      <c r="J59" s="52" t="s">
        <v>87</v>
      </c>
      <c r="K59" s="8">
        <f t="shared" si="4"/>
        <v>5</v>
      </c>
    </row>
    <row r="60" spans="1:11" ht="15.4">
      <c r="A60" s="8">
        <f t="shared" si="3"/>
        <v>6</v>
      </c>
      <c r="B60" s="51"/>
      <c r="C60" s="39"/>
      <c r="D60" s="39"/>
      <c r="E60" s="24"/>
      <c r="F60" s="24"/>
      <c r="G60" s="24"/>
      <c r="H60" s="24"/>
      <c r="I60" s="24"/>
      <c r="J60" s="52"/>
      <c r="K60" s="8">
        <f t="shared" si="4"/>
        <v>6</v>
      </c>
    </row>
    <row r="61" spans="1:11" ht="17.649999999999999">
      <c r="A61" s="8">
        <f t="shared" si="3"/>
        <v>7</v>
      </c>
      <c r="B61" s="61" t="s">
        <v>62</v>
      </c>
      <c r="C61" s="39"/>
      <c r="D61" s="39"/>
      <c r="E61" s="73">
        <f>'Pg3 BK-1 Rev TO5 C2-Cost Adj '!E61</f>
        <v>0</v>
      </c>
      <c r="F61" s="24"/>
      <c r="G61" s="73">
        <f>'Pg4 As Filed BK-1 Retail TRR '!E60</f>
        <v>0</v>
      </c>
      <c r="H61" s="24"/>
      <c r="I61" s="74">
        <f>E61-G61</f>
        <v>0</v>
      </c>
      <c r="J61" s="8" t="s">
        <v>88</v>
      </c>
      <c r="K61" s="8">
        <f t="shared" si="4"/>
        <v>7</v>
      </c>
    </row>
    <row r="62" spans="1:11" ht="15.4">
      <c r="A62" s="8">
        <f t="shared" si="3"/>
        <v>8</v>
      </c>
      <c r="B62" s="51" t="s">
        <v>84</v>
      </c>
      <c r="C62" s="39"/>
      <c r="D62" s="39"/>
      <c r="E62" s="75">
        <f>'Pg3 BK-1 Rev TO5 C2-Cost Adj '!E62</f>
        <v>0</v>
      </c>
      <c r="F62" s="24"/>
      <c r="G62" s="75">
        <f>'Pg4 As Filed BK-1 Retail TRR '!E61</f>
        <v>0</v>
      </c>
      <c r="H62" s="24"/>
      <c r="I62" s="75">
        <f>E62-G62</f>
        <v>0</v>
      </c>
      <c r="J62" s="8" t="s">
        <v>89</v>
      </c>
      <c r="K62" s="8">
        <f t="shared" si="4"/>
        <v>8</v>
      </c>
    </row>
    <row r="63" spans="1:11" ht="15.4">
      <c r="A63" s="8">
        <f t="shared" si="3"/>
        <v>9</v>
      </c>
      <c r="B63" s="51" t="s">
        <v>65</v>
      </c>
      <c r="C63" s="39"/>
      <c r="D63" s="39"/>
      <c r="E63" s="76">
        <f>E61*E62</f>
        <v>0</v>
      </c>
      <c r="F63" s="24"/>
      <c r="G63" s="76">
        <f>G61*G62</f>
        <v>0</v>
      </c>
      <c r="H63" s="24"/>
      <c r="I63" s="72">
        <f>E63-G63</f>
        <v>0</v>
      </c>
      <c r="J63" s="52" t="s">
        <v>90</v>
      </c>
      <c r="K63" s="8">
        <f t="shared" si="4"/>
        <v>9</v>
      </c>
    </row>
    <row r="64" spans="1:11" ht="15.4">
      <c r="A64" s="8">
        <f t="shared" si="3"/>
        <v>10</v>
      </c>
      <c r="B64" s="51"/>
      <c r="C64" s="39"/>
      <c r="D64" s="39"/>
      <c r="E64" s="24"/>
      <c r="F64" s="24"/>
      <c r="G64" s="24"/>
      <c r="H64" s="24"/>
      <c r="I64" s="24"/>
      <c r="J64" s="52"/>
      <c r="K64" s="8">
        <f t="shared" si="4"/>
        <v>10</v>
      </c>
    </row>
    <row r="65" spans="1:11" ht="15.75" thickBot="1">
      <c r="A65" s="8">
        <f t="shared" si="3"/>
        <v>11</v>
      </c>
      <c r="B65" s="51" t="s">
        <v>91</v>
      </c>
      <c r="C65" s="39"/>
      <c r="D65" s="39"/>
      <c r="E65" s="77">
        <f>E55+E59+E63</f>
        <v>0</v>
      </c>
      <c r="F65" s="24"/>
      <c r="G65" s="77">
        <f>G55+G59+G63</f>
        <v>0</v>
      </c>
      <c r="H65" s="24"/>
      <c r="I65" s="77">
        <f>E65-G65</f>
        <v>0</v>
      </c>
      <c r="J65" s="52" t="s">
        <v>92</v>
      </c>
      <c r="K65" s="8">
        <f t="shared" si="4"/>
        <v>11</v>
      </c>
    </row>
    <row r="66" spans="1:11" ht="15.75" thickTop="1">
      <c r="A66" s="8">
        <f t="shared" si="3"/>
        <v>12</v>
      </c>
      <c r="B66" s="51"/>
      <c r="C66" s="39"/>
      <c r="D66" s="39"/>
      <c r="E66" s="24"/>
      <c r="F66" s="24"/>
      <c r="G66" s="24"/>
      <c r="H66" s="24"/>
      <c r="I66" s="24"/>
      <c r="J66" s="52"/>
      <c r="K66" s="8">
        <f t="shared" si="4"/>
        <v>12</v>
      </c>
    </row>
    <row r="67" spans="1:11" ht="17.25">
      <c r="A67" s="8">
        <f t="shared" si="3"/>
        <v>13</v>
      </c>
      <c r="B67" s="78" t="s">
        <v>93</v>
      </c>
      <c r="C67" s="39"/>
      <c r="D67" s="39"/>
      <c r="E67" s="24"/>
      <c r="F67" s="24"/>
      <c r="G67" s="24"/>
      <c r="H67" s="24"/>
      <c r="I67" s="24"/>
      <c r="J67" s="52"/>
      <c r="K67" s="8">
        <f t="shared" si="4"/>
        <v>13</v>
      </c>
    </row>
    <row r="68" spans="1:11" ht="15.4">
      <c r="A68" s="8">
        <f t="shared" si="3"/>
        <v>14</v>
      </c>
      <c r="B68" s="61" t="s">
        <v>94</v>
      </c>
      <c r="C68" s="39"/>
      <c r="D68" s="39"/>
      <c r="E68" s="71">
        <f>'Pg3 BK-1 Rev TO5 C2-Cost Adj '!E68</f>
        <v>0</v>
      </c>
      <c r="F68" s="24"/>
      <c r="G68" s="71">
        <f>'Pg4 As Filed BK-1 Retail TRR '!E67</f>
        <v>0</v>
      </c>
      <c r="H68" s="24"/>
      <c r="I68" s="72">
        <f>E68-G68</f>
        <v>0</v>
      </c>
      <c r="J68" s="8" t="s">
        <v>95</v>
      </c>
      <c r="K68" s="8">
        <f t="shared" si="4"/>
        <v>14</v>
      </c>
    </row>
    <row r="69" spans="1:11" ht="15.4">
      <c r="A69" s="8">
        <f t="shared" si="3"/>
        <v>15</v>
      </c>
      <c r="B69" s="61"/>
      <c r="C69" s="39"/>
      <c r="D69" s="39"/>
      <c r="E69" s="24"/>
      <c r="F69" s="24"/>
      <c r="G69" s="24"/>
      <c r="H69" s="24"/>
      <c r="I69" s="24"/>
      <c r="J69" s="52"/>
      <c r="K69" s="8">
        <f t="shared" si="4"/>
        <v>15</v>
      </c>
    </row>
    <row r="70" spans="1:11" ht="15.4">
      <c r="A70" s="8">
        <f t="shared" si="3"/>
        <v>16</v>
      </c>
      <c r="B70" s="61" t="s">
        <v>96</v>
      </c>
      <c r="C70" s="39"/>
      <c r="D70" s="39"/>
      <c r="E70" s="76">
        <f>'Pg3 BK-1 Rev TO5 C2-Cost Adj '!E70</f>
        <v>0</v>
      </c>
      <c r="F70" s="76"/>
      <c r="G70" s="76">
        <f>'Pg4 As Filed BK-1 Retail TRR '!E69</f>
        <v>0</v>
      </c>
      <c r="H70" s="76"/>
      <c r="I70" s="76">
        <f>E70-G70</f>
        <v>0</v>
      </c>
      <c r="J70" s="8" t="s">
        <v>97</v>
      </c>
      <c r="K70" s="8">
        <f t="shared" si="4"/>
        <v>16</v>
      </c>
    </row>
    <row r="71" spans="1:11" ht="17.649999999999999">
      <c r="A71" s="8">
        <f t="shared" si="3"/>
        <v>17</v>
      </c>
      <c r="B71" s="61" t="s">
        <v>98</v>
      </c>
      <c r="C71" s="39"/>
      <c r="D71" s="39"/>
      <c r="E71" s="79">
        <f>'Pg3 BK-1 Rev TO5 C2-Cost Adj '!E71</f>
        <v>9.6203495288120069E-2</v>
      </c>
      <c r="F71" s="41" t="s">
        <v>38</v>
      </c>
      <c r="G71" s="80">
        <f>'Pg4 As Filed BK-1 Retail TRR '!E70</f>
        <v>9.6203509888900945E-2</v>
      </c>
      <c r="H71" s="24"/>
      <c r="I71" s="81">
        <f>E71-G71-0.000001</f>
        <v>-1.0146007808760062E-6</v>
      </c>
      <c r="J71" s="8" t="s">
        <v>99</v>
      </c>
      <c r="K71" s="8">
        <f t="shared" si="4"/>
        <v>17</v>
      </c>
    </row>
    <row r="72" spans="1:11" ht="15.4">
      <c r="A72" s="8">
        <f t="shared" si="3"/>
        <v>18</v>
      </c>
      <c r="B72" s="51" t="s">
        <v>100</v>
      </c>
      <c r="C72" s="39"/>
      <c r="D72" s="39"/>
      <c r="E72" s="82">
        <f>E70*E71</f>
        <v>0</v>
      </c>
      <c r="F72" s="24"/>
      <c r="G72" s="82">
        <f>G70*G71</f>
        <v>0</v>
      </c>
      <c r="H72" s="24"/>
      <c r="I72" s="82">
        <f>E72-G72</f>
        <v>0</v>
      </c>
      <c r="J72" s="52" t="s">
        <v>101</v>
      </c>
      <c r="K72" s="8">
        <f t="shared" si="4"/>
        <v>18</v>
      </c>
    </row>
    <row r="73" spans="1:11" ht="15.4">
      <c r="A73" s="8">
        <f t="shared" si="3"/>
        <v>19</v>
      </c>
      <c r="B73" s="51"/>
      <c r="C73" s="39"/>
      <c r="D73" s="39"/>
      <c r="E73" s="24"/>
      <c r="F73" s="24"/>
      <c r="G73" s="24"/>
      <c r="H73" s="24"/>
      <c r="I73" s="24"/>
      <c r="J73" s="52"/>
      <c r="K73" s="8">
        <f t="shared" si="4"/>
        <v>19</v>
      </c>
    </row>
    <row r="74" spans="1:11" ht="15.4">
      <c r="A74" s="8">
        <f t="shared" si="3"/>
        <v>20</v>
      </c>
      <c r="B74" s="61" t="s">
        <v>96</v>
      </c>
      <c r="C74" s="39"/>
      <c r="D74" s="39"/>
      <c r="E74" s="27">
        <f>'Pg3 BK-1 Rev TO5 C2-Cost Adj '!E74</f>
        <v>0</v>
      </c>
      <c r="F74" s="24"/>
      <c r="G74" s="27">
        <f>'Pg4 As Filed BK-1 Retail TRR '!E73</f>
        <v>0</v>
      </c>
      <c r="H74" s="24"/>
      <c r="I74" s="27">
        <f>E74-G74</f>
        <v>0</v>
      </c>
      <c r="J74" s="8" t="s">
        <v>102</v>
      </c>
      <c r="K74" s="8">
        <f t="shared" si="4"/>
        <v>20</v>
      </c>
    </row>
    <row r="75" spans="1:11" ht="17.649999999999999">
      <c r="A75" s="8">
        <f t="shared" si="3"/>
        <v>21</v>
      </c>
      <c r="B75" s="61" t="s">
        <v>62</v>
      </c>
      <c r="C75" s="39"/>
      <c r="D75" s="39"/>
      <c r="E75" s="80">
        <f>'Pg3 BK-1 Rev TO5 C2-Cost Adj '!E75</f>
        <v>0</v>
      </c>
      <c r="F75" s="24"/>
      <c r="G75" s="80">
        <f>'Pg4 As Filed BK-1 Retail TRR '!E74</f>
        <v>0</v>
      </c>
      <c r="H75" s="24"/>
      <c r="I75" s="83">
        <f>E75-G75</f>
        <v>0</v>
      </c>
      <c r="J75" s="8" t="s">
        <v>103</v>
      </c>
      <c r="K75" s="8">
        <f t="shared" si="4"/>
        <v>21</v>
      </c>
    </row>
    <row r="76" spans="1:11" ht="15.4">
      <c r="A76" s="8">
        <f t="shared" si="3"/>
        <v>22</v>
      </c>
      <c r="B76" s="51" t="s">
        <v>104</v>
      </c>
      <c r="C76" s="39"/>
      <c r="D76" s="39"/>
      <c r="E76" s="76">
        <f>E74*E75</f>
        <v>0</v>
      </c>
      <c r="F76" s="24"/>
      <c r="G76" s="76">
        <f>G74*G75</f>
        <v>0</v>
      </c>
      <c r="H76" s="24"/>
      <c r="I76" s="72">
        <f>E76-G76</f>
        <v>0</v>
      </c>
      <c r="J76" s="52" t="s">
        <v>105</v>
      </c>
      <c r="K76" s="8">
        <f t="shared" si="4"/>
        <v>22</v>
      </c>
    </row>
    <row r="77" spans="1:11" ht="15.4">
      <c r="A77" s="8">
        <f t="shared" si="3"/>
        <v>23</v>
      </c>
      <c r="B77" s="51"/>
      <c r="C77" s="39"/>
      <c r="D77" s="39"/>
      <c r="E77" s="24"/>
      <c r="F77" s="24"/>
      <c r="G77" s="24"/>
      <c r="H77" s="24"/>
      <c r="I77" s="24"/>
      <c r="J77" s="52"/>
      <c r="K77" s="8">
        <f t="shared" si="4"/>
        <v>23</v>
      </c>
    </row>
    <row r="78" spans="1:11" ht="15.75" thickBot="1">
      <c r="A78" s="8">
        <f t="shared" si="3"/>
        <v>24</v>
      </c>
      <c r="B78" s="51" t="s">
        <v>106</v>
      </c>
      <c r="C78" s="39"/>
      <c r="D78" s="39"/>
      <c r="E78" s="84">
        <f>E68+E72+E76</f>
        <v>0</v>
      </c>
      <c r="F78" s="24"/>
      <c r="G78" s="84">
        <f>G68+G72+G76</f>
        <v>0</v>
      </c>
      <c r="H78" s="24"/>
      <c r="I78" s="84">
        <f>E78-G78</f>
        <v>0</v>
      </c>
      <c r="J78" s="52" t="s">
        <v>107</v>
      </c>
      <c r="K78" s="8">
        <f t="shared" si="4"/>
        <v>24</v>
      </c>
    </row>
    <row r="79" spans="1:11" ht="15.75" thickTop="1">
      <c r="A79" s="8">
        <f t="shared" si="3"/>
        <v>25</v>
      </c>
      <c r="B79" s="51"/>
      <c r="C79" s="39"/>
      <c r="D79" s="39"/>
      <c r="E79" s="24"/>
      <c r="F79" s="24"/>
      <c r="G79" s="24"/>
      <c r="H79" s="24"/>
      <c r="I79" s="24"/>
      <c r="J79" s="52"/>
      <c r="K79" s="8">
        <f t="shared" si="4"/>
        <v>25</v>
      </c>
    </row>
    <row r="80" spans="1:11" ht="17.25">
      <c r="A80" s="8">
        <f t="shared" si="3"/>
        <v>26</v>
      </c>
      <c r="B80" s="78" t="s">
        <v>108</v>
      </c>
      <c r="C80" s="39"/>
      <c r="D80" s="39"/>
      <c r="E80" s="24"/>
      <c r="F80" s="24"/>
      <c r="G80" s="24"/>
      <c r="H80" s="24"/>
      <c r="I80" s="24"/>
      <c r="J80" s="52"/>
      <c r="K80" s="8">
        <f t="shared" si="4"/>
        <v>26</v>
      </c>
    </row>
    <row r="81" spans="1:11" ht="15.4">
      <c r="A81" s="8">
        <f t="shared" si="3"/>
        <v>27</v>
      </c>
      <c r="B81" s="51" t="s">
        <v>109</v>
      </c>
      <c r="C81" s="39"/>
      <c r="D81" s="39"/>
      <c r="E81" s="27">
        <f>'Pg3 BK-1 Rev TO5 C2-Cost Adj '!E81</f>
        <v>0</v>
      </c>
      <c r="F81" s="24"/>
      <c r="G81" s="27">
        <f>'Pg4 As Filed BK-1 Retail TRR '!E80</f>
        <v>0</v>
      </c>
      <c r="H81" s="24"/>
      <c r="I81" s="27">
        <f>E81-G81</f>
        <v>0</v>
      </c>
      <c r="J81" s="8" t="s">
        <v>110</v>
      </c>
      <c r="K81" s="8">
        <f t="shared" si="4"/>
        <v>27</v>
      </c>
    </row>
    <row r="82" spans="1:11" ht="17.649999999999999">
      <c r="A82" s="8">
        <f t="shared" si="3"/>
        <v>28</v>
      </c>
      <c r="B82" s="61" t="s">
        <v>98</v>
      </c>
      <c r="C82" s="39"/>
      <c r="D82" s="39"/>
      <c r="E82" s="81">
        <f>'Pg3 BK-1 Rev TO5 C2-Cost Adj '!E82</f>
        <v>9.6203495288120069E-2</v>
      </c>
      <c r="F82" s="41" t="s">
        <v>38</v>
      </c>
      <c r="G82" s="83">
        <f>'Pg4 As Filed BK-1 Retail TRR '!E81</f>
        <v>9.6203509888900945E-2</v>
      </c>
      <c r="H82" s="24"/>
      <c r="I82" s="81">
        <f>E82-G82-0.000001</f>
        <v>-1.0146007808760062E-6</v>
      </c>
      <c r="J82" s="8" t="s">
        <v>111</v>
      </c>
      <c r="K82" s="8">
        <f t="shared" si="4"/>
        <v>28</v>
      </c>
    </row>
    <row r="83" spans="1:11" ht="15.4">
      <c r="A83" s="8">
        <f t="shared" si="3"/>
        <v>29</v>
      </c>
      <c r="B83" s="51" t="s">
        <v>112</v>
      </c>
      <c r="C83" s="39"/>
      <c r="D83" s="39"/>
      <c r="E83" s="76">
        <f>E81*E82</f>
        <v>0</v>
      </c>
      <c r="F83" s="24"/>
      <c r="G83" s="76">
        <f>G81*G82</f>
        <v>0</v>
      </c>
      <c r="H83" s="24"/>
      <c r="I83" s="72">
        <f>E83-G83</f>
        <v>0</v>
      </c>
      <c r="J83" s="52" t="s">
        <v>113</v>
      </c>
      <c r="K83" s="8">
        <f t="shared" si="4"/>
        <v>29</v>
      </c>
    </row>
    <row r="84" spans="1:11" ht="15.4">
      <c r="A84" s="8">
        <f t="shared" si="3"/>
        <v>30</v>
      </c>
      <c r="B84" s="51"/>
      <c r="C84" s="39"/>
      <c r="D84" s="39"/>
      <c r="E84" s="24"/>
      <c r="F84" s="24"/>
      <c r="G84" s="24"/>
      <c r="H84" s="24"/>
      <c r="I84" s="24"/>
      <c r="J84" s="52"/>
      <c r="K84" s="8">
        <f t="shared" si="4"/>
        <v>30</v>
      </c>
    </row>
    <row r="85" spans="1:11" ht="15.4">
      <c r="A85" s="8">
        <f t="shared" si="3"/>
        <v>31</v>
      </c>
      <c r="B85" s="51" t="s">
        <v>109</v>
      </c>
      <c r="C85" s="39"/>
      <c r="D85" s="39"/>
      <c r="E85" s="27">
        <f>'Pg3 BK-1 Rev TO5 C2-Cost Adj '!E85</f>
        <v>0</v>
      </c>
      <c r="F85" s="24"/>
      <c r="G85" s="27">
        <f>'Pg4 As Filed BK-1 Retail TRR '!E84</f>
        <v>0</v>
      </c>
      <c r="H85" s="24"/>
      <c r="I85" s="27">
        <f>E85-G85</f>
        <v>0</v>
      </c>
      <c r="J85" s="8" t="s">
        <v>114</v>
      </c>
      <c r="K85" s="8">
        <f t="shared" si="4"/>
        <v>31</v>
      </c>
    </row>
    <row r="86" spans="1:11" ht="17.649999999999999">
      <c r="A86" s="8">
        <f t="shared" si="3"/>
        <v>32</v>
      </c>
      <c r="B86" s="61" t="s">
        <v>62</v>
      </c>
      <c r="C86" s="39"/>
      <c r="D86" s="39"/>
      <c r="E86" s="80">
        <f>'Pg3 BK-1 Rev TO5 C2-Cost Adj '!E86</f>
        <v>3.8762955624239964E-3</v>
      </c>
      <c r="F86" s="24"/>
      <c r="G86" s="80">
        <f>'Pg4 As Filed BK-1 Retail TRR '!E85</f>
        <v>3.8762955624239964E-3</v>
      </c>
      <c r="H86" s="24"/>
      <c r="I86" s="83">
        <f>E86-G86</f>
        <v>0</v>
      </c>
      <c r="J86" s="8" t="s">
        <v>115</v>
      </c>
      <c r="K86" s="8">
        <f t="shared" si="4"/>
        <v>32</v>
      </c>
    </row>
    <row r="87" spans="1:11" ht="15.4">
      <c r="A87" s="8">
        <f t="shared" si="3"/>
        <v>33</v>
      </c>
      <c r="B87" s="51" t="s">
        <v>116</v>
      </c>
      <c r="C87" s="39"/>
      <c r="D87" s="39"/>
      <c r="E87" s="76">
        <f>E85*E86</f>
        <v>0</v>
      </c>
      <c r="F87" s="24"/>
      <c r="G87" s="76">
        <f>G85*G86</f>
        <v>0</v>
      </c>
      <c r="H87" s="24"/>
      <c r="I87" s="72">
        <f>E87-G87</f>
        <v>0</v>
      </c>
      <c r="J87" s="52" t="s">
        <v>117</v>
      </c>
      <c r="K87" s="8">
        <f t="shared" si="4"/>
        <v>33</v>
      </c>
    </row>
    <row r="88" spans="1:11" ht="15.4">
      <c r="A88" s="8">
        <f t="shared" si="3"/>
        <v>34</v>
      </c>
      <c r="B88" s="51"/>
      <c r="C88" s="39"/>
      <c r="D88" s="39"/>
      <c r="E88" s="24"/>
      <c r="F88" s="24"/>
      <c r="G88" s="24"/>
      <c r="H88" s="24"/>
      <c r="I88" s="24"/>
      <c r="J88" s="52"/>
      <c r="K88" s="8">
        <f t="shared" si="4"/>
        <v>34</v>
      </c>
    </row>
    <row r="89" spans="1:11" ht="15.75" thickBot="1">
      <c r="A89" s="8">
        <f t="shared" si="3"/>
        <v>35</v>
      </c>
      <c r="B89" s="51" t="s">
        <v>118</v>
      </c>
      <c r="C89" s="39"/>
      <c r="D89" s="39"/>
      <c r="E89" s="77">
        <f>E83+E87</f>
        <v>0</v>
      </c>
      <c r="F89" s="24"/>
      <c r="G89" s="77">
        <f>G83+G87</f>
        <v>0</v>
      </c>
      <c r="H89" s="24"/>
      <c r="I89" s="77">
        <f>E89-G89</f>
        <v>0</v>
      </c>
      <c r="J89" s="52" t="s">
        <v>119</v>
      </c>
      <c r="K89" s="8">
        <f t="shared" si="4"/>
        <v>35</v>
      </c>
    </row>
    <row r="90" spans="1:11" ht="15.75" thickTop="1">
      <c r="A90" s="8">
        <f t="shared" si="3"/>
        <v>36</v>
      </c>
      <c r="B90" s="51"/>
      <c r="C90" s="39"/>
      <c r="D90" s="39"/>
      <c r="E90" s="24"/>
      <c r="F90" s="24"/>
      <c r="G90" s="24"/>
      <c r="H90" s="24"/>
      <c r="I90" s="24"/>
      <c r="J90" s="52"/>
      <c r="K90" s="8">
        <f t="shared" si="4"/>
        <v>36</v>
      </c>
    </row>
    <row r="91" spans="1:11" ht="18" thickBot="1">
      <c r="A91" s="8">
        <f t="shared" si="3"/>
        <v>37</v>
      </c>
      <c r="B91" s="51" t="s">
        <v>120</v>
      </c>
      <c r="C91" s="39"/>
      <c r="D91" s="39"/>
      <c r="E91" s="85">
        <f>E65+E78+E89</f>
        <v>0</v>
      </c>
      <c r="F91" s="24"/>
      <c r="G91" s="85">
        <f>G65+G78+G89</f>
        <v>0</v>
      </c>
      <c r="H91" s="24"/>
      <c r="I91" s="85">
        <f>E91-G91</f>
        <v>0</v>
      </c>
      <c r="J91" s="52" t="s">
        <v>121</v>
      </c>
      <c r="K91" s="8">
        <f t="shared" si="4"/>
        <v>37</v>
      </c>
    </row>
    <row r="92" spans="1:11" ht="15.75" thickTop="1">
      <c r="A92" s="8">
        <f t="shared" si="3"/>
        <v>38</v>
      </c>
      <c r="B92" s="51"/>
      <c r="C92" s="39"/>
      <c r="D92" s="39"/>
      <c r="E92" s="24"/>
      <c r="F92" s="24"/>
      <c r="G92" s="24"/>
      <c r="H92" s="24"/>
      <c r="I92" s="24"/>
      <c r="J92" s="52"/>
      <c r="K92" s="8">
        <f t="shared" si="4"/>
        <v>38</v>
      </c>
    </row>
    <row r="93" spans="1:11" ht="18.399999999999999" thickBot="1">
      <c r="A93" s="8">
        <f t="shared" si="3"/>
        <v>39</v>
      </c>
      <c r="B93" s="78" t="s">
        <v>122</v>
      </c>
      <c r="C93" s="39"/>
      <c r="D93" s="39"/>
      <c r="E93" s="86">
        <f>E40+E91</f>
        <v>762611.60318930831</v>
      </c>
      <c r="F93" s="41" t="s">
        <v>38</v>
      </c>
      <c r="G93" s="87">
        <f>G40+G91</f>
        <v>762999.19445473514</v>
      </c>
      <c r="H93" s="24"/>
      <c r="I93" s="86">
        <f>E93-G93</f>
        <v>-387.59126542683225</v>
      </c>
      <c r="J93" s="52" t="s">
        <v>123</v>
      </c>
      <c r="K93" s="8">
        <f t="shared" si="4"/>
        <v>39</v>
      </c>
    </row>
    <row r="94" spans="1:11" ht="15.75" thickTop="1">
      <c r="A94" s="8"/>
      <c r="B94" s="24"/>
      <c r="C94" s="39"/>
      <c r="D94" s="39"/>
      <c r="E94" s="24"/>
      <c r="F94" s="24"/>
      <c r="G94" s="24"/>
      <c r="H94" s="24"/>
      <c r="I94" s="24"/>
      <c r="J94" s="8"/>
      <c r="K94" s="8"/>
    </row>
    <row r="95" spans="1:11" ht="15.75">
      <c r="A95" s="41" t="s">
        <v>38</v>
      </c>
      <c r="B95" s="32" t="str">
        <f>B42</f>
        <v>Items that are in BOLD have changed compared to the original TO5 Cycle 2 filing per ER20-503.</v>
      </c>
      <c r="C95" s="39"/>
      <c r="D95" s="39"/>
      <c r="E95" s="24"/>
      <c r="F95" s="24"/>
      <c r="G95" s="24"/>
      <c r="H95" s="24"/>
      <c r="I95" s="24"/>
      <c r="J95" s="8"/>
      <c r="K95" s="8"/>
    </row>
    <row r="96" spans="1:11" ht="17.25">
      <c r="A96" s="69">
        <v>1</v>
      </c>
      <c r="B96" s="51" t="s">
        <v>78</v>
      </c>
      <c r="C96" s="39"/>
      <c r="D96" s="39"/>
      <c r="E96" s="24"/>
      <c r="F96" s="24"/>
      <c r="G96" s="24"/>
      <c r="H96" s="24"/>
      <c r="I96" s="24"/>
      <c r="J96" s="8"/>
      <c r="K96" s="8"/>
    </row>
    <row r="97" spans="1:11" ht="17.25">
      <c r="A97" s="69">
        <v>2</v>
      </c>
      <c r="B97" s="51" t="s">
        <v>124</v>
      </c>
      <c r="C97" s="39"/>
      <c r="D97" s="39"/>
      <c r="E97" s="24"/>
      <c r="F97" s="24"/>
      <c r="G97" s="24"/>
      <c r="H97" s="24"/>
      <c r="I97" s="24"/>
      <c r="J97" s="8"/>
      <c r="K97" s="8"/>
    </row>
    <row r="98" spans="1:11" ht="17.25">
      <c r="A98" s="69">
        <v>3</v>
      </c>
      <c r="B98" s="51" t="s">
        <v>125</v>
      </c>
      <c r="C98" s="39"/>
      <c r="D98" s="39"/>
      <c r="E98" s="24"/>
      <c r="F98" s="24"/>
      <c r="G98" s="24"/>
      <c r="H98" s="24"/>
      <c r="I98" s="24"/>
      <c r="J98" s="8"/>
      <c r="K98" s="8"/>
    </row>
    <row r="99" spans="1:11" ht="15.4">
      <c r="A99" s="8"/>
      <c r="B99" s="24"/>
      <c r="C99" s="39"/>
      <c r="D99" s="39"/>
      <c r="E99" s="24"/>
      <c r="F99" s="24"/>
      <c r="G99" s="24"/>
      <c r="H99" s="24"/>
      <c r="I99" s="24"/>
      <c r="J99" s="8"/>
      <c r="K99" s="8"/>
    </row>
    <row r="100" spans="1:11" ht="15.4">
      <c r="A100" s="8"/>
      <c r="B100" s="24"/>
      <c r="C100" s="39"/>
      <c r="D100" s="39"/>
      <c r="E100" s="24"/>
      <c r="F100" s="24"/>
      <c r="G100" s="24"/>
      <c r="H100" s="24"/>
      <c r="I100" s="24"/>
      <c r="J100" s="8"/>
      <c r="K100" s="8"/>
    </row>
    <row r="101" spans="1:11" ht="15.4">
      <c r="A101" s="8"/>
      <c r="B101" s="607" t="s">
        <v>0</v>
      </c>
      <c r="C101" s="628"/>
      <c r="D101" s="628"/>
      <c r="E101" s="628"/>
      <c r="F101" s="628"/>
      <c r="G101" s="628"/>
      <c r="H101" s="628"/>
      <c r="I101" s="628"/>
      <c r="J101" s="628"/>
      <c r="K101" s="8"/>
    </row>
    <row r="102" spans="1:11" ht="15.4">
      <c r="A102" s="8"/>
      <c r="B102" s="607" t="str">
        <f>B3</f>
        <v>TO5 Cycle 4 Annual Informational Filing</v>
      </c>
      <c r="C102" s="628"/>
      <c r="D102" s="628"/>
      <c r="E102" s="628"/>
      <c r="F102" s="628"/>
      <c r="G102" s="628"/>
      <c r="H102" s="628"/>
      <c r="I102" s="628"/>
      <c r="J102" s="628"/>
      <c r="K102" s="8"/>
    </row>
    <row r="103" spans="1:11" ht="15.4">
      <c r="A103" s="8" t="s">
        <v>33</v>
      </c>
      <c r="B103" s="607" t="str">
        <f>B4</f>
        <v>Derivation of Other BTRR Adjustment Applicable to TO5 Cycle 2</v>
      </c>
      <c r="C103" s="629"/>
      <c r="D103" s="629"/>
      <c r="E103" s="629"/>
      <c r="F103" s="629"/>
      <c r="G103" s="629"/>
      <c r="H103" s="629"/>
      <c r="I103" s="629"/>
      <c r="J103" s="629"/>
      <c r="K103" s="8" t="s">
        <v>33</v>
      </c>
    </row>
    <row r="104" spans="1:11" ht="15.4">
      <c r="A104" s="8"/>
      <c r="B104" s="606" t="s">
        <v>3</v>
      </c>
      <c r="C104" s="628"/>
      <c r="D104" s="628"/>
      <c r="E104" s="628"/>
      <c r="F104" s="628"/>
      <c r="G104" s="628"/>
      <c r="H104" s="628"/>
      <c r="I104" s="628"/>
      <c r="J104" s="628"/>
      <c r="K104" s="8"/>
    </row>
    <row r="105" spans="1:11" ht="15.4">
      <c r="A105" s="8"/>
      <c r="B105" s="28"/>
      <c r="C105" s="4"/>
      <c r="D105" s="4"/>
      <c r="F105" s="4"/>
      <c r="H105" s="4"/>
      <c r="J105" s="4"/>
      <c r="K105" s="8"/>
    </row>
    <row r="106" spans="1:11" ht="15.4">
      <c r="A106" s="8"/>
      <c r="B106" s="28"/>
      <c r="C106" s="4"/>
      <c r="D106" s="4"/>
      <c r="E106" s="30" t="s">
        <v>27</v>
      </c>
      <c r="F106"/>
      <c r="G106" s="30" t="s">
        <v>28</v>
      </c>
      <c r="H106"/>
      <c r="I106" s="30" t="s">
        <v>29</v>
      </c>
      <c r="J106" s="4"/>
      <c r="K106" s="8"/>
    </row>
    <row r="107" spans="1:11" ht="45.4">
      <c r="A107" s="8" t="s">
        <v>4</v>
      </c>
      <c r="B107" s="24"/>
      <c r="C107" s="24"/>
      <c r="D107" s="24"/>
      <c r="E107" s="31" t="str">
        <f>E8</f>
        <v xml:space="preserve">Revised - TO5 C2 </v>
      </c>
      <c r="F107" s="32"/>
      <c r="G107" s="31" t="str">
        <f>G8</f>
        <v>As Filed - TO5 C2 per ER 20-503</v>
      </c>
      <c r="H107" s="32"/>
      <c r="I107" s="33" t="s">
        <v>32</v>
      </c>
      <c r="J107" s="8"/>
      <c r="K107" s="8" t="s">
        <v>4</v>
      </c>
    </row>
    <row r="108" spans="1:11" ht="15.4">
      <c r="A108" s="11" t="s">
        <v>5</v>
      </c>
      <c r="B108" s="32" t="s">
        <v>33</v>
      </c>
      <c r="C108" s="24"/>
      <c r="D108" s="24"/>
      <c r="E108" s="34" t="s">
        <v>7</v>
      </c>
      <c r="F108" s="24"/>
      <c r="G108" s="34" t="s">
        <v>7</v>
      </c>
      <c r="H108" s="24"/>
      <c r="I108" s="35" t="s">
        <v>35</v>
      </c>
      <c r="J108" s="11" t="s">
        <v>8</v>
      </c>
      <c r="K108" s="11" t="s">
        <v>5</v>
      </c>
    </row>
    <row r="109" spans="1:11" ht="15.4">
      <c r="A109" s="8"/>
      <c r="B109" s="36" t="s">
        <v>126</v>
      </c>
      <c r="C109" s="88"/>
      <c r="D109" s="88"/>
      <c r="E109" s="24"/>
      <c r="F109" s="24"/>
      <c r="G109" s="24"/>
      <c r="H109" s="24"/>
      <c r="I109" s="24"/>
      <c r="J109" s="8"/>
      <c r="K109" s="8"/>
    </row>
    <row r="110" spans="1:11" ht="15.4">
      <c r="A110" s="8">
        <v>1</v>
      </c>
      <c r="B110" s="89" t="s">
        <v>127</v>
      </c>
      <c r="C110" s="88"/>
      <c r="D110" s="88"/>
      <c r="E110" s="24"/>
      <c r="F110" s="24"/>
      <c r="G110" s="24"/>
      <c r="H110" s="24"/>
      <c r="I110" s="24"/>
      <c r="J110" s="8"/>
      <c r="K110" s="8">
        <v>1</v>
      </c>
    </row>
    <row r="111" spans="1:11" ht="15.75">
      <c r="A111" s="8">
        <f t="shared" ref="A111:A148" si="5">A110+1</f>
        <v>2</v>
      </c>
      <c r="B111" s="38" t="s">
        <v>128</v>
      </c>
      <c r="C111" s="88"/>
      <c r="D111" s="88"/>
      <c r="E111" s="90">
        <f>'Pg3 BK-1 Rev TO5 C2-Cost Adj '!E111</f>
        <v>4558369.6291265385</v>
      </c>
      <c r="F111" s="41"/>
      <c r="G111" s="90">
        <f>'Pg4 As Filed BK-1 Retail TRR '!E109</f>
        <v>4558369.6291265385</v>
      </c>
      <c r="H111" s="24"/>
      <c r="I111" s="27">
        <f>E111-G111</f>
        <v>0</v>
      </c>
      <c r="J111" s="8" t="s">
        <v>129</v>
      </c>
      <c r="K111" s="8">
        <f>K110+1</f>
        <v>2</v>
      </c>
    </row>
    <row r="112" spans="1:11" ht="15.75">
      <c r="A112" s="8">
        <f t="shared" si="5"/>
        <v>3</v>
      </c>
      <c r="B112" s="38" t="s">
        <v>130</v>
      </c>
      <c r="C112" s="88"/>
      <c r="D112" s="88"/>
      <c r="E112" s="91">
        <f>'Pg3 BK-1 Rev TO5 C2-Cost Adj '!E112</f>
        <v>11322.49192710959</v>
      </c>
      <c r="F112" s="50"/>
      <c r="G112" s="91">
        <f>'Pg4 As Filed BK-1 Retail TRR '!E110</f>
        <v>11322.49192710959</v>
      </c>
      <c r="I112" s="605">
        <f>E112-G112</f>
        <v>0</v>
      </c>
      <c r="J112" s="8" t="s">
        <v>131</v>
      </c>
      <c r="K112" s="8">
        <f>K111+1</f>
        <v>3</v>
      </c>
    </row>
    <row r="113" spans="1:11" ht="15.4">
      <c r="A113" s="8">
        <f t="shared" si="5"/>
        <v>4</v>
      </c>
      <c r="B113" s="38" t="s">
        <v>132</v>
      </c>
      <c r="C113" s="88"/>
      <c r="D113" s="88"/>
      <c r="E113" s="91">
        <f>'Pg3 BK-1 Rev TO5 C2-Cost Adj '!E113</f>
        <v>48316.721508113143</v>
      </c>
      <c r="F113" s="24"/>
      <c r="G113" s="91">
        <f>'Pg4 As Filed BK-1 Retail TRR '!E111</f>
        <v>48316.721508113143</v>
      </c>
      <c r="I113" s="605">
        <f t="shared" ref="I113:I114" si="6">E113-G113</f>
        <v>0</v>
      </c>
      <c r="J113" s="8" t="s">
        <v>133</v>
      </c>
      <c r="K113" s="8">
        <f>K112+1</f>
        <v>4</v>
      </c>
    </row>
    <row r="114" spans="1:11" ht="15.4">
      <c r="A114" s="8">
        <f t="shared" si="5"/>
        <v>5</v>
      </c>
      <c r="B114" s="38" t="s">
        <v>134</v>
      </c>
      <c r="C114" s="88"/>
      <c r="D114" s="88"/>
      <c r="E114" s="92">
        <f>'Pg3 BK-1 Rev TO5 C2-Cost Adj '!E114</f>
        <v>92493.61877057403</v>
      </c>
      <c r="F114" s="24"/>
      <c r="G114" s="92">
        <f>'Pg4 As Filed BK-1 Retail TRR '!E112</f>
        <v>92493.61877057403</v>
      </c>
      <c r="I114" s="95">
        <f t="shared" si="6"/>
        <v>0</v>
      </c>
      <c r="J114" s="8" t="s">
        <v>135</v>
      </c>
      <c r="K114" s="8">
        <f>K113+1</f>
        <v>5</v>
      </c>
    </row>
    <row r="115" spans="1:11" ht="15.75">
      <c r="A115" s="8">
        <f t="shared" si="5"/>
        <v>6</v>
      </c>
      <c r="B115" s="38" t="s">
        <v>136</v>
      </c>
      <c r="C115" s="8"/>
      <c r="D115" s="8"/>
      <c r="E115" s="60">
        <f>SUM(E111:E114)</f>
        <v>4710502.4613323351</v>
      </c>
      <c r="F115" s="41"/>
      <c r="G115" s="60">
        <f>SUM(G111:G114)</f>
        <v>4710502.4613323351</v>
      </c>
      <c r="I115" s="60">
        <f>SUM(I111:I114)</f>
        <v>0</v>
      </c>
      <c r="J115" s="8" t="s">
        <v>137</v>
      </c>
      <c r="K115" s="8">
        <f t="shared" ref="K115:K148" si="7">K114+1</f>
        <v>6</v>
      </c>
    </row>
    <row r="116" spans="1:11" ht="15.4">
      <c r="A116" s="8">
        <f t="shared" si="5"/>
        <v>7</v>
      </c>
      <c r="B116" s="38"/>
      <c r="C116" s="8"/>
      <c r="D116" s="8"/>
      <c r="E116" s="93"/>
      <c r="F116" s="24"/>
      <c r="G116" s="93"/>
      <c r="I116" s="24"/>
      <c r="J116" s="8"/>
      <c r="K116" s="8">
        <f t="shared" si="7"/>
        <v>7</v>
      </c>
    </row>
    <row r="117" spans="1:11" ht="15.4">
      <c r="A117" s="8">
        <f t="shared" si="5"/>
        <v>8</v>
      </c>
      <c r="B117" s="89" t="s">
        <v>138</v>
      </c>
      <c r="C117" s="8"/>
      <c r="D117" s="8"/>
      <c r="E117" s="60"/>
      <c r="F117" s="24"/>
      <c r="G117" s="60"/>
      <c r="I117" s="26"/>
      <c r="J117" s="8"/>
      <c r="K117" s="8">
        <f t="shared" si="7"/>
        <v>8</v>
      </c>
    </row>
    <row r="118" spans="1:11" ht="15.4">
      <c r="A118" s="8">
        <f t="shared" si="5"/>
        <v>9</v>
      </c>
      <c r="B118" s="38" t="s">
        <v>139</v>
      </c>
      <c r="C118" s="8"/>
      <c r="D118" s="8"/>
      <c r="E118" s="60">
        <f>'Pg3 BK-1 Rev TO5 C2-Cost Adj '!E118</f>
        <v>950.34505384615397</v>
      </c>
      <c r="F118" s="24"/>
      <c r="G118" s="60">
        <f>'Pg4 As Filed BK-1 Retail TRR '!E116</f>
        <v>950.34505384615397</v>
      </c>
      <c r="I118" s="26">
        <f>E118-G118</f>
        <v>0</v>
      </c>
      <c r="J118" s="8" t="s">
        <v>140</v>
      </c>
      <c r="K118" s="8">
        <f t="shared" si="7"/>
        <v>9</v>
      </c>
    </row>
    <row r="119" spans="1:11" ht="15.4">
      <c r="A119" s="8">
        <f t="shared" si="5"/>
        <v>10</v>
      </c>
      <c r="B119" s="38" t="s">
        <v>141</v>
      </c>
      <c r="C119" s="8"/>
      <c r="D119" s="8"/>
      <c r="E119" s="94">
        <f>'Pg3 BK-1 Rev TO5 C2-Cost Adj '!E119</f>
        <v>0</v>
      </c>
      <c r="F119" s="24"/>
      <c r="G119" s="94">
        <f>'Pg4 As Filed BK-1 Retail TRR '!E117</f>
        <v>0</v>
      </c>
      <c r="I119" s="95">
        <f>E119-G119</f>
        <v>0</v>
      </c>
      <c r="J119" s="8" t="s">
        <v>142</v>
      </c>
      <c r="K119" s="8">
        <f t="shared" si="7"/>
        <v>10</v>
      </c>
    </row>
    <row r="120" spans="1:11" ht="15.4">
      <c r="A120" s="8">
        <f t="shared" si="5"/>
        <v>11</v>
      </c>
      <c r="B120" s="38" t="s">
        <v>143</v>
      </c>
      <c r="C120" s="8"/>
      <c r="D120" s="8"/>
      <c r="E120" s="96">
        <f>SUM(E118:E119)</f>
        <v>950.34505384615397</v>
      </c>
      <c r="F120" s="24"/>
      <c r="G120" s="96">
        <f>SUM(G118:G119)</f>
        <v>950.34505384615397</v>
      </c>
      <c r="I120" s="96">
        <f>SUM(I118:I119)</f>
        <v>0</v>
      </c>
      <c r="J120" s="52" t="s">
        <v>144</v>
      </c>
      <c r="K120" s="8">
        <f t="shared" si="7"/>
        <v>11</v>
      </c>
    </row>
    <row r="121" spans="1:11" ht="15.4">
      <c r="A121" s="8">
        <f t="shared" si="5"/>
        <v>12</v>
      </c>
      <c r="B121" s="38"/>
      <c r="C121" s="8"/>
      <c r="D121" s="8"/>
      <c r="E121" s="93"/>
      <c r="F121" s="24"/>
      <c r="G121" s="93"/>
      <c r="I121" s="24"/>
      <c r="J121" s="8"/>
      <c r="K121" s="8">
        <f t="shared" si="7"/>
        <v>12</v>
      </c>
    </row>
    <row r="122" spans="1:11" ht="15.4">
      <c r="A122" s="8">
        <f t="shared" si="5"/>
        <v>13</v>
      </c>
      <c r="B122" s="89" t="s">
        <v>145</v>
      </c>
      <c r="C122" s="24"/>
      <c r="D122" s="24"/>
      <c r="E122" s="93"/>
      <c r="F122" s="24"/>
      <c r="G122" s="93"/>
      <c r="I122" s="24"/>
      <c r="J122" s="8"/>
      <c r="K122" s="8">
        <f t="shared" si="7"/>
        <v>13</v>
      </c>
    </row>
    <row r="123" spans="1:11" ht="15.4">
      <c r="A123" s="8">
        <f t="shared" si="5"/>
        <v>14</v>
      </c>
      <c r="B123" s="24" t="s">
        <v>146</v>
      </c>
      <c r="C123" s="8"/>
      <c r="D123" s="8"/>
      <c r="E123" s="60">
        <f>'Pg3 BK-1 Rev TO5 C2-Cost Adj '!E123</f>
        <v>-789049.57673542202</v>
      </c>
      <c r="F123" s="24"/>
      <c r="G123" s="60">
        <f>'Pg4 As Filed BK-1 Retail TRR '!E121</f>
        <v>-789049.57673542202</v>
      </c>
      <c r="I123" s="26">
        <f t="shared" ref="I123" si="8">E123-G123</f>
        <v>0</v>
      </c>
      <c r="J123" s="8" t="s">
        <v>147</v>
      </c>
      <c r="K123" s="8">
        <f t="shared" si="7"/>
        <v>14</v>
      </c>
    </row>
    <row r="124" spans="1:11" ht="15.4">
      <c r="A124" s="8">
        <f t="shared" si="5"/>
        <v>15</v>
      </c>
      <c r="B124" s="24" t="s">
        <v>148</v>
      </c>
      <c r="C124" s="8"/>
      <c r="D124" s="8"/>
      <c r="E124" s="97">
        <f>'Pg3 BK-1 Rev TO5 C2-Cost Adj '!E124</f>
        <v>0</v>
      </c>
      <c r="F124" s="24"/>
      <c r="G124" s="97">
        <f>'Pg4 As Filed BK-1 Retail TRR '!E122</f>
        <v>0</v>
      </c>
      <c r="I124" s="98">
        <f>E124-G124</f>
        <v>0</v>
      </c>
      <c r="J124" s="8" t="s">
        <v>149</v>
      </c>
      <c r="K124" s="8">
        <f t="shared" si="7"/>
        <v>15</v>
      </c>
    </row>
    <row r="125" spans="1:11" ht="15.4">
      <c r="A125" s="8">
        <f t="shared" si="5"/>
        <v>16</v>
      </c>
      <c r="B125" s="24" t="s">
        <v>150</v>
      </c>
      <c r="C125" s="8"/>
      <c r="D125" s="8"/>
      <c r="E125" s="60">
        <f>SUM(E123:E124)</f>
        <v>-789049.57673542202</v>
      </c>
      <c r="F125" s="24"/>
      <c r="G125" s="60">
        <f>SUM(G123:G124)</f>
        <v>-789049.57673542202</v>
      </c>
      <c r="I125" s="26">
        <f>SUM(I123:I124)</f>
        <v>0</v>
      </c>
      <c r="J125" s="52" t="s">
        <v>151</v>
      </c>
      <c r="K125" s="8">
        <f t="shared" si="7"/>
        <v>16</v>
      </c>
    </row>
    <row r="126" spans="1:11" ht="15.4">
      <c r="A126" s="8">
        <f t="shared" si="5"/>
        <v>17</v>
      </c>
      <c r="B126" s="24"/>
      <c r="C126" s="8"/>
      <c r="D126" s="8"/>
      <c r="E126" s="60"/>
      <c r="F126" s="24"/>
      <c r="G126" s="60"/>
      <c r="I126" s="26"/>
      <c r="J126" s="8"/>
      <c r="K126" s="8">
        <f t="shared" si="7"/>
        <v>17</v>
      </c>
    </row>
    <row r="127" spans="1:11" ht="15.4">
      <c r="A127" s="8">
        <f t="shared" si="5"/>
        <v>18</v>
      </c>
      <c r="B127" s="89" t="s">
        <v>152</v>
      </c>
      <c r="C127" s="8"/>
      <c r="D127" s="8"/>
      <c r="E127" s="99"/>
      <c r="F127" s="24"/>
      <c r="G127" s="99"/>
      <c r="I127" s="24"/>
      <c r="J127" s="8"/>
      <c r="K127" s="8">
        <f t="shared" si="7"/>
        <v>18</v>
      </c>
    </row>
    <row r="128" spans="1:11" ht="15.75">
      <c r="A128" s="8">
        <f t="shared" si="5"/>
        <v>19</v>
      </c>
      <c r="B128" s="38" t="s">
        <v>153</v>
      </c>
      <c r="C128" s="8"/>
      <c r="D128" s="8"/>
      <c r="E128" s="49">
        <f>'Pg3 BK-1 Rev TO5 C2-Cost Adj '!E128</f>
        <v>53379.94143889867</v>
      </c>
      <c r="F128" s="41"/>
      <c r="G128" s="49">
        <f>'Pg4 As Filed BK-1 Retail TRR '!E126</f>
        <v>53379.94143889867</v>
      </c>
      <c r="I128" s="42">
        <f t="shared" ref="I128:I130" si="9">E128-G128</f>
        <v>0</v>
      </c>
      <c r="J128" s="8" t="s">
        <v>154</v>
      </c>
      <c r="K128" s="8">
        <f t="shared" si="7"/>
        <v>19</v>
      </c>
    </row>
    <row r="129" spans="1:11" ht="15.75">
      <c r="A129" s="8">
        <f t="shared" si="5"/>
        <v>20</v>
      </c>
      <c r="B129" s="38" t="s">
        <v>155</v>
      </c>
      <c r="C129" s="8"/>
      <c r="D129" s="8"/>
      <c r="E129" s="99">
        <f>'Pg3 BK-1 Rev TO5 C2-Cost Adj '!E129</f>
        <v>20174.06332246157</v>
      </c>
      <c r="F129" s="41"/>
      <c r="G129" s="99">
        <f>'Pg4 As Filed BK-1 Retail TRR '!E127</f>
        <v>20174.06332246157</v>
      </c>
      <c r="I129" s="605">
        <f t="shared" si="9"/>
        <v>0</v>
      </c>
      <c r="J129" s="8" t="s">
        <v>156</v>
      </c>
      <c r="K129" s="8">
        <f t="shared" si="7"/>
        <v>20</v>
      </c>
    </row>
    <row r="130" spans="1:11" ht="15.75">
      <c r="A130" s="8">
        <f t="shared" si="5"/>
        <v>21</v>
      </c>
      <c r="B130" s="38" t="s">
        <v>157</v>
      </c>
      <c r="C130" s="8"/>
      <c r="D130" s="8"/>
      <c r="E130" s="100">
        <f>'Pg3 BK-1 Rev TO5 C2-Cost Adj '!E130</f>
        <v>17790.862056212995</v>
      </c>
      <c r="F130" s="41" t="s">
        <v>38</v>
      </c>
      <c r="G130" s="101">
        <f>'Pg4 As Filed BK-1 Retail TRR '!E128</f>
        <v>17838.705138621859</v>
      </c>
      <c r="I130" s="47">
        <f t="shared" si="9"/>
        <v>-47.843082408864575</v>
      </c>
      <c r="J130" s="8" t="s">
        <v>158</v>
      </c>
      <c r="K130" s="8">
        <f t="shared" si="7"/>
        <v>21</v>
      </c>
    </row>
    <row r="131" spans="1:11" ht="15.75">
      <c r="A131" s="8">
        <f t="shared" si="5"/>
        <v>22</v>
      </c>
      <c r="B131" s="38" t="s">
        <v>159</v>
      </c>
      <c r="C131" s="24"/>
      <c r="D131" s="24"/>
      <c r="E131" s="59">
        <f>SUM(E128:E130)</f>
        <v>91344.866817573231</v>
      </c>
      <c r="F131" s="41" t="s">
        <v>38</v>
      </c>
      <c r="G131" s="60">
        <f>SUM(G128:G130)</f>
        <v>91392.709899982088</v>
      </c>
      <c r="I131" s="59">
        <f>SUM(I128:I130)</f>
        <v>-47.843082408864575</v>
      </c>
      <c r="J131" s="52" t="s">
        <v>160</v>
      </c>
      <c r="K131" s="8">
        <f t="shared" si="7"/>
        <v>22</v>
      </c>
    </row>
    <row r="132" spans="1:11" ht="15.75">
      <c r="A132" s="8">
        <f t="shared" si="5"/>
        <v>23</v>
      </c>
      <c r="B132" s="38"/>
      <c r="C132" s="24"/>
      <c r="D132" s="24"/>
      <c r="E132" s="59"/>
      <c r="F132" s="41"/>
      <c r="G132" s="60"/>
      <c r="I132" s="59"/>
      <c r="J132" s="8"/>
      <c r="K132" s="8">
        <f t="shared" si="7"/>
        <v>23</v>
      </c>
    </row>
    <row r="133" spans="1:11" ht="15.75">
      <c r="A133" s="8">
        <f t="shared" si="5"/>
        <v>24</v>
      </c>
      <c r="B133" s="38" t="s">
        <v>161</v>
      </c>
      <c r="C133" s="24"/>
      <c r="D133" s="24"/>
      <c r="E133" s="102">
        <f>'Pg3 BK-1 Rev TO5 C2-Cost Adj '!E133</f>
        <v>0</v>
      </c>
      <c r="F133" s="41"/>
      <c r="G133" s="102">
        <f>'Pg4 As Filed BK-1 Retail TRR '!E131</f>
        <v>0</v>
      </c>
      <c r="I133" s="103">
        <f>E133-G133</f>
        <v>0</v>
      </c>
      <c r="J133" s="8" t="s">
        <v>162</v>
      </c>
      <c r="K133" s="8">
        <f t="shared" si="7"/>
        <v>24</v>
      </c>
    </row>
    <row r="134" spans="1:11" ht="15.75">
      <c r="A134" s="8">
        <f t="shared" si="5"/>
        <v>25</v>
      </c>
      <c r="B134" s="38" t="s">
        <v>163</v>
      </c>
      <c r="C134" s="24"/>
      <c r="D134" s="24"/>
      <c r="E134" s="104">
        <f>'Pg3 BK-1 Rev TO5 C2-Cost Adj '!E134</f>
        <v>-8498.1843313184672</v>
      </c>
      <c r="F134" s="41"/>
      <c r="G134" s="104">
        <f>'Pg4 As Filed BK-1 Retail TRR '!E132</f>
        <v>-8498.1843313184672</v>
      </c>
      <c r="I134" s="105">
        <f>E134-G134</f>
        <v>0</v>
      </c>
      <c r="J134" s="8" t="s">
        <v>164</v>
      </c>
      <c r="K134" s="8">
        <f t="shared" si="7"/>
        <v>25</v>
      </c>
    </row>
    <row r="135" spans="1:11" ht="15.4">
      <c r="A135" s="8">
        <f t="shared" si="5"/>
        <v>26</v>
      </c>
      <c r="B135" s="38"/>
      <c r="C135" s="24"/>
      <c r="D135" s="24"/>
      <c r="E135" s="106"/>
      <c r="F135" s="24"/>
      <c r="G135" s="106"/>
      <c r="H135" s="24"/>
      <c r="I135" s="24"/>
      <c r="J135" s="52"/>
      <c r="K135" s="8">
        <f t="shared" si="7"/>
        <v>26</v>
      </c>
    </row>
    <row r="136" spans="1:11" ht="16.149999999999999" thickBot="1">
      <c r="A136" s="8">
        <f t="shared" si="5"/>
        <v>27</v>
      </c>
      <c r="B136" s="61" t="s">
        <v>165</v>
      </c>
      <c r="C136" s="24"/>
      <c r="D136" s="24"/>
      <c r="E136" s="107">
        <f>E115+E120+E125+E131+E133+E134</f>
        <v>4005249.9121370139</v>
      </c>
      <c r="F136" s="41" t="s">
        <v>38</v>
      </c>
      <c r="G136" s="108">
        <f>G115+G120+G125+G131+G133+G134</f>
        <v>4005297.7552194227</v>
      </c>
      <c r="I136" s="107">
        <f>E136-G136</f>
        <v>-47.843082408886403</v>
      </c>
      <c r="J136" s="52" t="s">
        <v>166</v>
      </c>
      <c r="K136" s="8">
        <f t="shared" si="7"/>
        <v>27</v>
      </c>
    </row>
    <row r="137" spans="1:11" ht="16.149999999999999" thickTop="1">
      <c r="A137" s="8">
        <f t="shared" si="5"/>
        <v>28</v>
      </c>
      <c r="B137" s="38"/>
      <c r="C137" s="24"/>
      <c r="D137" s="24"/>
      <c r="E137" s="59"/>
      <c r="F137" s="41"/>
      <c r="G137" s="60"/>
      <c r="I137" s="59"/>
      <c r="J137" s="8"/>
      <c r="K137" s="8">
        <f t="shared" si="7"/>
        <v>28</v>
      </c>
    </row>
    <row r="138" spans="1:11" ht="17.25">
      <c r="A138" s="8">
        <f t="shared" si="5"/>
        <v>29</v>
      </c>
      <c r="B138" s="70" t="s">
        <v>167</v>
      </c>
      <c r="C138" s="24"/>
      <c r="D138" s="24"/>
      <c r="E138" s="59"/>
      <c r="F138" s="41"/>
      <c r="G138" s="60"/>
      <c r="I138" s="59"/>
      <c r="J138" s="8"/>
      <c r="K138" s="8">
        <f t="shared" si="7"/>
        <v>29</v>
      </c>
    </row>
    <row r="139" spans="1:11" ht="15.75">
      <c r="A139" s="8">
        <f t="shared" si="5"/>
        <v>30</v>
      </c>
      <c r="B139" s="61" t="s">
        <v>168</v>
      </c>
      <c r="C139" s="24"/>
      <c r="D139" s="24"/>
      <c r="E139" s="60">
        <f>'Pg3 BK-1 Rev TO5 C2-Cost Adj '!E139</f>
        <v>0</v>
      </c>
      <c r="F139" s="41"/>
      <c r="G139" s="60">
        <f>'Pg4 As Filed BK-1 Retail TRR '!E137</f>
        <v>0</v>
      </c>
      <c r="I139" s="60">
        <f>E139-G139</f>
        <v>0</v>
      </c>
      <c r="J139" s="8" t="s">
        <v>169</v>
      </c>
      <c r="K139" s="8">
        <f t="shared" si="7"/>
        <v>30</v>
      </c>
    </row>
    <row r="140" spans="1:11" ht="15.75">
      <c r="A140" s="8">
        <f t="shared" si="5"/>
        <v>31</v>
      </c>
      <c r="B140" s="61" t="s">
        <v>170</v>
      </c>
      <c r="C140" s="24"/>
      <c r="D140" s="24"/>
      <c r="E140" s="97">
        <f>'Pg3 BK-1 Rev TO5 C2-Cost Adj '!E140</f>
        <v>0</v>
      </c>
      <c r="F140" s="109"/>
      <c r="G140" s="97">
        <f>'Pg4 As Filed BK-1 Retail TRR '!E138</f>
        <v>0</v>
      </c>
      <c r="I140" s="97">
        <f>E140-G140</f>
        <v>0</v>
      </c>
      <c r="J140" s="8" t="s">
        <v>171</v>
      </c>
      <c r="K140" s="8">
        <f t="shared" si="7"/>
        <v>31</v>
      </c>
    </row>
    <row r="141" spans="1:11" ht="15.75">
      <c r="A141" s="8">
        <f t="shared" si="5"/>
        <v>32</v>
      </c>
      <c r="B141" s="51" t="s">
        <v>172</v>
      </c>
      <c r="C141" s="24"/>
      <c r="D141" s="24"/>
      <c r="E141" s="60">
        <f>SUM(E139:E140)</f>
        <v>0</v>
      </c>
      <c r="F141" s="41"/>
      <c r="G141" s="60">
        <f>SUM(G139:G140)</f>
        <v>0</v>
      </c>
      <c r="I141" s="60">
        <f>SUM(I139:I140)</f>
        <v>0</v>
      </c>
      <c r="J141" s="52" t="s">
        <v>173</v>
      </c>
      <c r="K141" s="8">
        <f t="shared" si="7"/>
        <v>32</v>
      </c>
    </row>
    <row r="142" spans="1:11" ht="15.75">
      <c r="A142" s="8">
        <f t="shared" si="5"/>
        <v>33</v>
      </c>
      <c r="B142" s="61"/>
      <c r="C142" s="24"/>
      <c r="D142" s="24"/>
      <c r="E142" s="59"/>
      <c r="F142" s="41"/>
      <c r="G142" s="60"/>
      <c r="I142" s="59"/>
      <c r="J142" s="52"/>
      <c r="K142" s="8">
        <f t="shared" si="7"/>
        <v>33</v>
      </c>
    </row>
    <row r="143" spans="1:11" ht="17.25">
      <c r="A143" s="8">
        <f t="shared" si="5"/>
        <v>34</v>
      </c>
      <c r="B143" s="70" t="s">
        <v>174</v>
      </c>
      <c r="C143" s="24"/>
      <c r="D143" s="24"/>
      <c r="E143" s="59"/>
      <c r="F143" s="41"/>
      <c r="G143" s="60"/>
      <c r="I143" s="59"/>
      <c r="J143" s="52"/>
      <c r="K143" s="8">
        <f t="shared" si="7"/>
        <v>34</v>
      </c>
    </row>
    <row r="144" spans="1:11" ht="15.75">
      <c r="A144" s="8">
        <f t="shared" si="5"/>
        <v>35</v>
      </c>
      <c r="B144" s="61" t="s">
        <v>175</v>
      </c>
      <c r="C144" s="24"/>
      <c r="D144" s="24"/>
      <c r="E144" s="60">
        <f>'Pg3 BK-1 Rev TO5 C2-Cost Adj '!E144</f>
        <v>0</v>
      </c>
      <c r="F144" s="41"/>
      <c r="G144" s="60">
        <f>'Pg4 As Filed BK-1 Retail TRR '!E142</f>
        <v>0</v>
      </c>
      <c r="I144" s="60">
        <f>E144-G144</f>
        <v>0</v>
      </c>
      <c r="J144" s="8" t="s">
        <v>176</v>
      </c>
      <c r="K144" s="8">
        <f t="shared" si="7"/>
        <v>35</v>
      </c>
    </row>
    <row r="145" spans="1:11" ht="15.75">
      <c r="A145" s="8">
        <f t="shared" si="5"/>
        <v>36</v>
      </c>
      <c r="B145" s="51" t="s">
        <v>177</v>
      </c>
      <c r="C145" s="24"/>
      <c r="D145" s="24"/>
      <c r="E145" s="97">
        <f>'Pg3 BK-1 Rev TO5 C2-Cost Adj '!E145</f>
        <v>0</v>
      </c>
      <c r="F145" s="41"/>
      <c r="G145" s="97">
        <f>'Pg4 As Filed BK-1 Retail TRR '!E143</f>
        <v>0</v>
      </c>
      <c r="I145" s="97">
        <f>E145-G145</f>
        <v>0</v>
      </c>
      <c r="J145" s="8" t="s">
        <v>178</v>
      </c>
      <c r="K145" s="8">
        <f t="shared" si="7"/>
        <v>36</v>
      </c>
    </row>
    <row r="146" spans="1:11" ht="15.75">
      <c r="A146" s="8">
        <f t="shared" si="5"/>
        <v>37</v>
      </c>
      <c r="B146" s="51" t="s">
        <v>179</v>
      </c>
      <c r="C146" s="24"/>
      <c r="D146" s="24"/>
      <c r="E146" s="60">
        <f>SUM(E144:E145)</f>
        <v>0</v>
      </c>
      <c r="F146" s="41"/>
      <c r="G146" s="60">
        <f>SUM(G144:G145)</f>
        <v>0</v>
      </c>
      <c r="I146" s="60">
        <f>SUM(I144:I145)</f>
        <v>0</v>
      </c>
      <c r="J146" s="52" t="s">
        <v>180</v>
      </c>
      <c r="K146" s="8">
        <f t="shared" si="7"/>
        <v>37</v>
      </c>
    </row>
    <row r="147" spans="1:11" ht="15.75">
      <c r="A147" s="8">
        <f t="shared" si="5"/>
        <v>38</v>
      </c>
      <c r="B147" s="61"/>
      <c r="C147" s="24"/>
      <c r="D147" s="24"/>
      <c r="E147" s="59"/>
      <c r="F147" s="41"/>
      <c r="G147" s="60"/>
      <c r="I147" s="59"/>
      <c r="J147" s="52"/>
      <c r="K147" s="8">
        <f t="shared" si="7"/>
        <v>38</v>
      </c>
    </row>
    <row r="148" spans="1:11" ht="17.25">
      <c r="A148" s="8">
        <f t="shared" si="5"/>
        <v>39</v>
      </c>
      <c r="B148" s="70" t="s">
        <v>181</v>
      </c>
      <c r="C148" s="24"/>
      <c r="D148" s="24"/>
      <c r="E148" s="60">
        <f>'Pg3 BK-1 Rev TO5 C2-Cost Adj '!E148</f>
        <v>0</v>
      </c>
      <c r="F148" s="41"/>
      <c r="G148" s="60">
        <f>'Pg4 As Filed BK-1 Retail TRR '!E146</f>
        <v>0</v>
      </c>
      <c r="I148" s="60">
        <f>E148-G148</f>
        <v>0</v>
      </c>
      <c r="J148" s="8" t="s">
        <v>182</v>
      </c>
      <c r="K148" s="8">
        <f t="shared" si="7"/>
        <v>39</v>
      </c>
    </row>
    <row r="149" spans="1:11" ht="15.75">
      <c r="A149" s="8"/>
      <c r="B149" s="38"/>
      <c r="C149" s="24"/>
      <c r="D149" s="24"/>
      <c r="E149" s="59"/>
      <c r="F149" s="41"/>
      <c r="G149" s="60"/>
      <c r="I149" s="59"/>
      <c r="J149" s="8"/>
      <c r="K149" s="8"/>
    </row>
    <row r="150" spans="1:11" ht="15.75">
      <c r="A150" s="41" t="s">
        <v>38</v>
      </c>
      <c r="B150" s="32" t="str">
        <f>B42</f>
        <v>Items that are in BOLD have changed compared to the original TO5 Cycle 2 filing per ER20-503.</v>
      </c>
      <c r="C150" s="24"/>
      <c r="D150" s="24"/>
      <c r="E150" s="24"/>
      <c r="F150" s="24"/>
      <c r="G150" s="24"/>
      <c r="H150" s="24"/>
      <c r="I150" s="24"/>
      <c r="J150" s="8"/>
      <c r="K150" s="8"/>
    </row>
    <row r="151" spans="1:11" ht="17.25">
      <c r="A151" s="69">
        <v>1</v>
      </c>
      <c r="B151" s="51" t="s">
        <v>124</v>
      </c>
      <c r="C151" s="24"/>
      <c r="D151" s="24"/>
      <c r="E151" s="24"/>
      <c r="F151" s="24"/>
      <c r="G151" s="24"/>
      <c r="H151" s="24"/>
      <c r="I151" s="24"/>
      <c r="J151" s="8"/>
      <c r="K151" s="8"/>
    </row>
    <row r="152" spans="1:11" ht="15.4">
      <c r="A152" s="8"/>
      <c r="B152" s="32"/>
      <c r="C152" s="24"/>
      <c r="D152" s="24"/>
      <c r="E152" s="24"/>
      <c r="F152" s="24"/>
      <c r="G152" s="24"/>
      <c r="H152" s="24"/>
      <c r="I152" s="24"/>
      <c r="J152" s="8"/>
      <c r="K152" s="8"/>
    </row>
    <row r="153" spans="1:11" ht="15.4">
      <c r="A153" s="8"/>
      <c r="B153" s="32"/>
      <c r="C153" s="24"/>
      <c r="D153" s="24"/>
      <c r="E153" s="24"/>
      <c r="F153" s="24"/>
      <c r="G153" s="24"/>
      <c r="H153" s="24"/>
      <c r="I153" s="24"/>
      <c r="J153" s="8"/>
      <c r="K153" s="8"/>
    </row>
    <row r="154" spans="1:11" ht="15.4">
      <c r="A154" s="8"/>
      <c r="B154" s="607" t="s">
        <v>0</v>
      </c>
      <c r="C154" s="628"/>
      <c r="D154" s="628"/>
      <c r="E154" s="628"/>
      <c r="F154" s="628"/>
      <c r="G154" s="628"/>
      <c r="H154" s="628"/>
      <c r="I154" s="628"/>
      <c r="J154" s="628"/>
      <c r="K154" s="8"/>
    </row>
    <row r="155" spans="1:11" ht="15.4">
      <c r="A155" s="8" t="s">
        <v>33</v>
      </c>
      <c r="B155" s="607" t="str">
        <f>B3</f>
        <v>TO5 Cycle 4 Annual Informational Filing</v>
      </c>
      <c r="C155" s="628"/>
      <c r="D155" s="628"/>
      <c r="E155" s="628"/>
      <c r="F155" s="628"/>
      <c r="G155" s="628"/>
      <c r="H155" s="628"/>
      <c r="I155" s="628"/>
      <c r="J155" s="628"/>
      <c r="K155" s="8"/>
    </row>
    <row r="156" spans="1:11" ht="15.4">
      <c r="A156" s="8"/>
      <c r="B156" s="607" t="str">
        <f>B4</f>
        <v>Derivation of Other BTRR Adjustment Applicable to TO5 Cycle 2</v>
      </c>
      <c r="C156" s="629"/>
      <c r="D156" s="629"/>
      <c r="E156" s="629"/>
      <c r="F156" s="629"/>
      <c r="G156" s="629"/>
      <c r="H156" s="629"/>
      <c r="I156" s="629"/>
      <c r="J156" s="629"/>
      <c r="K156" s="8"/>
    </row>
    <row r="157" spans="1:11" ht="15.4">
      <c r="A157" s="8"/>
      <c r="B157" s="606" t="s">
        <v>3</v>
      </c>
      <c r="C157" s="628"/>
      <c r="D157" s="628"/>
      <c r="E157" s="628"/>
      <c r="F157" s="628"/>
      <c r="G157" s="628"/>
      <c r="H157" s="628"/>
      <c r="I157" s="628"/>
      <c r="J157" s="628"/>
      <c r="K157" s="8"/>
    </row>
    <row r="158" spans="1:11" ht="15.4">
      <c r="A158" s="8"/>
      <c r="B158" s="28"/>
      <c r="C158" s="4"/>
      <c r="D158" s="4"/>
      <c r="F158" s="4"/>
      <c r="H158" s="4"/>
      <c r="J158" s="4"/>
      <c r="K158" s="8"/>
    </row>
    <row r="159" spans="1:11" ht="15.4">
      <c r="A159" s="8"/>
      <c r="B159" s="110"/>
      <c r="E159" s="30" t="s">
        <v>27</v>
      </c>
      <c r="F159"/>
      <c r="G159" s="30" t="s">
        <v>28</v>
      </c>
      <c r="H159"/>
      <c r="I159" s="30" t="s">
        <v>29</v>
      </c>
      <c r="K159" s="8"/>
    </row>
    <row r="160" spans="1:11" ht="45.4">
      <c r="A160" s="8" t="s">
        <v>4</v>
      </c>
      <c r="B160" s="24"/>
      <c r="C160" s="24"/>
      <c r="D160" s="24"/>
      <c r="E160" s="31" t="str">
        <f>E8</f>
        <v xml:space="preserve">Revised - TO5 C2 </v>
      </c>
      <c r="F160" s="32"/>
      <c r="G160" s="31" t="str">
        <f>G8</f>
        <v>As Filed - TO5 C2 per ER 20-503</v>
      </c>
      <c r="H160" s="32"/>
      <c r="I160" s="33" t="s">
        <v>32</v>
      </c>
      <c r="J160" s="8"/>
      <c r="K160" s="8" t="s">
        <v>4</v>
      </c>
    </row>
    <row r="161" spans="1:12" ht="15.4">
      <c r="A161" s="11" t="s">
        <v>5</v>
      </c>
      <c r="B161" s="32" t="s">
        <v>33</v>
      </c>
      <c r="C161" s="24"/>
      <c r="D161" s="24"/>
      <c r="E161" s="34" t="s">
        <v>7</v>
      </c>
      <c r="F161" s="24"/>
      <c r="G161" s="34" t="s">
        <v>7</v>
      </c>
      <c r="H161" s="24"/>
      <c r="I161" s="35" t="s">
        <v>35</v>
      </c>
      <c r="J161" s="11" t="s">
        <v>8</v>
      </c>
      <c r="K161" s="11" t="s">
        <v>5</v>
      </c>
    </row>
    <row r="162" spans="1:12" ht="15.4">
      <c r="A162" s="8"/>
      <c r="B162" s="36" t="s">
        <v>183</v>
      </c>
      <c r="C162" s="24"/>
      <c r="D162" s="24"/>
      <c r="E162" s="24"/>
      <c r="F162" s="24"/>
      <c r="G162" s="24"/>
      <c r="H162" s="24"/>
      <c r="I162" s="24"/>
      <c r="J162" s="8"/>
      <c r="K162" s="8"/>
    </row>
    <row r="163" spans="1:12" ht="15.4">
      <c r="A163" s="8">
        <v>1</v>
      </c>
      <c r="B163" s="89" t="s">
        <v>184</v>
      </c>
      <c r="C163" s="24"/>
      <c r="D163" s="24"/>
      <c r="E163" s="24"/>
      <c r="F163" s="24"/>
      <c r="G163" s="24"/>
      <c r="H163" s="24"/>
      <c r="I163" s="24"/>
      <c r="J163" s="8"/>
      <c r="K163" s="8">
        <v>1</v>
      </c>
    </row>
    <row r="164" spans="1:12" ht="15.75">
      <c r="A164" s="8">
        <f t="shared" ref="A164:A187" si="10">A163+1</f>
        <v>2</v>
      </c>
      <c r="B164" s="38" t="s">
        <v>128</v>
      </c>
      <c r="C164" s="24"/>
      <c r="D164" s="24"/>
      <c r="E164" s="49">
        <f>'Pg3 BK-1 Rev TO5 C2-Cost Adj '!E164</f>
        <v>5678390.0500223078</v>
      </c>
      <c r="F164" s="41"/>
      <c r="G164" s="49">
        <f>'Pg4 As Filed BK-1 Retail TRR '!E161</f>
        <v>5678390.0500223078</v>
      </c>
      <c r="H164" s="32"/>
      <c r="I164" s="27">
        <f>E164-G164</f>
        <v>0</v>
      </c>
      <c r="J164" s="8" t="s">
        <v>185</v>
      </c>
      <c r="K164" s="8">
        <f t="shared" ref="K164:K187" si="11">K163+1</f>
        <v>2</v>
      </c>
    </row>
    <row r="165" spans="1:12" ht="15.75">
      <c r="A165" s="8">
        <f t="shared" si="10"/>
        <v>3</v>
      </c>
      <c r="B165" s="38" t="s">
        <v>130</v>
      </c>
      <c r="C165" s="24"/>
      <c r="D165" s="24"/>
      <c r="E165" s="99">
        <f>'Pg3 BK-1 Rev TO5 C2-Cost Adj '!E165</f>
        <v>34502.158789044915</v>
      </c>
      <c r="F165" s="50"/>
      <c r="G165" s="99">
        <f>'Pg4 As Filed BK-1 Retail TRR '!E162</f>
        <v>34502.158789044915</v>
      </c>
      <c r="I165" s="605">
        <f>E165-G165</f>
        <v>0</v>
      </c>
      <c r="J165" s="8" t="s">
        <v>186</v>
      </c>
      <c r="K165" s="8">
        <f t="shared" si="11"/>
        <v>3</v>
      </c>
    </row>
    <row r="166" spans="1:12" ht="15.4">
      <c r="A166" s="8">
        <f t="shared" si="10"/>
        <v>4</v>
      </c>
      <c r="B166" s="38" t="s">
        <v>132</v>
      </c>
      <c r="C166" s="24"/>
      <c r="D166" s="24"/>
      <c r="E166" s="99">
        <f>'Pg3 BK-1 Rev TO5 C2-Cost Adj '!E166</f>
        <v>79064.08395179348</v>
      </c>
      <c r="F166" s="32"/>
      <c r="G166" s="99">
        <f>'Pg4 As Filed BK-1 Retail TRR '!E163</f>
        <v>79064.08395179348</v>
      </c>
      <c r="I166" s="605">
        <f t="shared" ref="I166:I167" si="12">E166-G166</f>
        <v>0</v>
      </c>
      <c r="J166" s="8" t="s">
        <v>187</v>
      </c>
      <c r="K166" s="8">
        <f t="shared" si="11"/>
        <v>4</v>
      </c>
      <c r="L166" s="111"/>
    </row>
    <row r="167" spans="1:12" ht="15.4">
      <c r="A167" s="8">
        <f t="shared" si="10"/>
        <v>5</v>
      </c>
      <c r="B167" s="38" t="s">
        <v>134</v>
      </c>
      <c r="C167" s="8"/>
      <c r="D167" s="8"/>
      <c r="E167" s="101">
        <f>'Pg3 BK-1 Rev TO5 C2-Cost Adj '!E167</f>
        <v>178047.85010868488</v>
      </c>
      <c r="F167" s="32"/>
      <c r="G167" s="101">
        <f>'Pg4 As Filed BK-1 Retail TRR '!E164</f>
        <v>178047.85010868488</v>
      </c>
      <c r="I167" s="95">
        <f t="shared" si="12"/>
        <v>0</v>
      </c>
      <c r="J167" s="8" t="s">
        <v>188</v>
      </c>
      <c r="K167" s="8">
        <f t="shared" si="11"/>
        <v>5</v>
      </c>
    </row>
    <row r="168" spans="1:12" ht="15.75">
      <c r="A168" s="8">
        <f t="shared" si="10"/>
        <v>6</v>
      </c>
      <c r="B168" s="38" t="s">
        <v>189</v>
      </c>
      <c r="C168" s="24"/>
      <c r="D168" s="24"/>
      <c r="E168" s="60">
        <f>SUM(E164:E167)</f>
        <v>5970004.1428718315</v>
      </c>
      <c r="F168" s="41"/>
      <c r="G168" s="60">
        <f>SUM(G164:G167)</f>
        <v>5970004.1428718315</v>
      </c>
      <c r="I168" s="60">
        <f>SUM(I164:I167)</f>
        <v>0</v>
      </c>
      <c r="J168" s="52" t="s">
        <v>137</v>
      </c>
      <c r="K168" s="8">
        <f t="shared" si="11"/>
        <v>6</v>
      </c>
    </row>
    <row r="169" spans="1:12" ht="15.4">
      <c r="A169" s="8">
        <f t="shared" si="10"/>
        <v>7</v>
      </c>
      <c r="B169" s="24"/>
      <c r="C169" s="8"/>
      <c r="D169" s="8"/>
      <c r="E169" s="112"/>
      <c r="F169" s="24"/>
      <c r="G169" s="112"/>
      <c r="I169" s="24"/>
      <c r="J169" s="52"/>
      <c r="K169" s="8">
        <f t="shared" si="11"/>
        <v>7</v>
      </c>
    </row>
    <row r="170" spans="1:12" ht="15.4">
      <c r="A170" s="8">
        <f t="shared" si="10"/>
        <v>8</v>
      </c>
      <c r="B170" s="113" t="s">
        <v>190</v>
      </c>
      <c r="C170" s="24"/>
      <c r="D170" s="24"/>
      <c r="E170" s="112"/>
      <c r="F170" s="24"/>
      <c r="G170" s="112"/>
      <c r="I170" s="24"/>
      <c r="J170" s="52"/>
      <c r="K170" s="8">
        <f t="shared" si="11"/>
        <v>8</v>
      </c>
    </row>
    <row r="171" spans="1:12" ht="15.75">
      <c r="A171" s="8">
        <f t="shared" si="10"/>
        <v>9</v>
      </c>
      <c r="B171" s="24" t="s">
        <v>191</v>
      </c>
      <c r="C171" s="24"/>
      <c r="D171" s="24"/>
      <c r="E171" s="49">
        <f>'Pg3 BK-1 Rev TO5 C2-Cost Adj '!E171</f>
        <v>1120020.4208957693</v>
      </c>
      <c r="F171" s="41"/>
      <c r="G171" s="49">
        <f>'Pg4 As Filed BK-1 Retail TRR '!E168</f>
        <v>1120020.4208957693</v>
      </c>
      <c r="I171" s="27">
        <f>E171-G171</f>
        <v>0</v>
      </c>
      <c r="J171" s="8" t="s">
        <v>192</v>
      </c>
      <c r="K171" s="8">
        <f t="shared" si="11"/>
        <v>9</v>
      </c>
    </row>
    <row r="172" spans="1:12" ht="15.75">
      <c r="A172" s="8">
        <f t="shared" si="10"/>
        <v>10</v>
      </c>
      <c r="B172" s="24" t="s">
        <v>193</v>
      </c>
      <c r="C172" s="24"/>
      <c r="D172" s="24"/>
      <c r="E172" s="99">
        <f>'Pg3 BK-1 Rev TO5 C2-Cost Adj '!E172</f>
        <v>23179.666861935326</v>
      </c>
      <c r="F172" s="50"/>
      <c r="G172" s="99">
        <f>'Pg4 As Filed BK-1 Retail TRR '!E169</f>
        <v>23179.666861935326</v>
      </c>
      <c r="I172" s="605">
        <f t="shared" ref="I172:I174" si="13">E172-G172</f>
        <v>0</v>
      </c>
      <c r="J172" s="8" t="s">
        <v>194</v>
      </c>
      <c r="K172" s="8">
        <f t="shared" si="11"/>
        <v>10</v>
      </c>
    </row>
    <row r="173" spans="1:12" ht="15.4">
      <c r="A173" s="8">
        <f t="shared" si="10"/>
        <v>11</v>
      </c>
      <c r="B173" s="24" t="s">
        <v>195</v>
      </c>
      <c r="C173" s="24"/>
      <c r="D173" s="24"/>
      <c r="E173" s="99">
        <f>'Pg3 BK-1 Rev TO5 C2-Cost Adj '!E173</f>
        <v>30747.36244368034</v>
      </c>
      <c r="F173" s="32"/>
      <c r="G173" s="99">
        <f>'Pg4 As Filed BK-1 Retail TRR '!E170</f>
        <v>30747.36244368034</v>
      </c>
      <c r="I173" s="605">
        <f t="shared" si="13"/>
        <v>0</v>
      </c>
      <c r="J173" s="8" t="s">
        <v>196</v>
      </c>
      <c r="K173" s="8">
        <f t="shared" si="11"/>
        <v>11</v>
      </c>
    </row>
    <row r="174" spans="1:12" ht="15.4">
      <c r="A174" s="8">
        <f t="shared" si="10"/>
        <v>12</v>
      </c>
      <c r="B174" s="24" t="s">
        <v>197</v>
      </c>
      <c r="C174" s="24"/>
      <c r="D174" s="24"/>
      <c r="E174" s="101">
        <f>'Pg3 BK-1 Rev TO5 C2-Cost Adj '!E174</f>
        <v>85554.231338110854</v>
      </c>
      <c r="F174" s="32"/>
      <c r="G174" s="101">
        <f>'Pg4 As Filed BK-1 Retail TRR '!E171</f>
        <v>85554.231338110854</v>
      </c>
      <c r="I174" s="95">
        <f t="shared" si="13"/>
        <v>0</v>
      </c>
      <c r="J174" s="8" t="s">
        <v>198</v>
      </c>
      <c r="K174" s="8">
        <f t="shared" si="11"/>
        <v>12</v>
      </c>
    </row>
    <row r="175" spans="1:12" ht="15.75">
      <c r="A175" s="8">
        <f t="shared" si="10"/>
        <v>13</v>
      </c>
      <c r="B175" s="114" t="s">
        <v>199</v>
      </c>
      <c r="C175" s="114"/>
      <c r="D175" s="114"/>
      <c r="E175" s="115">
        <f>SUM(E171:E174)</f>
        <v>1259501.6815394957</v>
      </c>
      <c r="F175" s="41"/>
      <c r="G175" s="115">
        <f>SUM(G171:G174)</f>
        <v>1259501.6815394957</v>
      </c>
      <c r="I175" s="115">
        <f>SUM(I171:I174)</f>
        <v>0</v>
      </c>
      <c r="J175" s="52" t="s">
        <v>200</v>
      </c>
      <c r="K175" s="8">
        <f t="shared" si="11"/>
        <v>13</v>
      </c>
    </row>
    <row r="176" spans="1:12" ht="15.4">
      <c r="A176" s="8">
        <f t="shared" si="10"/>
        <v>14</v>
      </c>
      <c r="B176" s="114"/>
      <c r="C176" s="114"/>
      <c r="D176" s="114"/>
      <c r="E176" s="99"/>
      <c r="F176" s="24"/>
      <c r="G176" s="99"/>
      <c r="I176" s="24"/>
      <c r="J176" s="8"/>
      <c r="K176" s="8">
        <f t="shared" si="11"/>
        <v>14</v>
      </c>
    </row>
    <row r="177" spans="1:11" ht="15.4">
      <c r="A177" s="8">
        <f t="shared" si="10"/>
        <v>15</v>
      </c>
      <c r="B177" s="89" t="s">
        <v>127</v>
      </c>
      <c r="C177" s="114"/>
      <c r="D177" s="114"/>
      <c r="E177" s="99"/>
      <c r="F177" s="24"/>
      <c r="G177" s="99"/>
      <c r="I177" s="24"/>
      <c r="J177" s="8"/>
      <c r="K177" s="8">
        <f t="shared" si="11"/>
        <v>15</v>
      </c>
    </row>
    <row r="178" spans="1:11" ht="15.75">
      <c r="A178" s="8">
        <f t="shared" si="10"/>
        <v>16</v>
      </c>
      <c r="B178" s="38" t="s">
        <v>128</v>
      </c>
      <c r="C178" s="24"/>
      <c r="D178" s="24"/>
      <c r="E178" s="49">
        <f>'Pg3 BK-1 Rev TO5 C2-Cost Adj '!E178</f>
        <v>4558369.6291265385</v>
      </c>
      <c r="F178" s="41"/>
      <c r="G178" s="49">
        <f>'Pg4 As Filed BK-1 Retail TRR '!E175</f>
        <v>4558369.6291265385</v>
      </c>
      <c r="I178" s="27">
        <f>E178-G178</f>
        <v>0</v>
      </c>
      <c r="J178" s="8" t="s">
        <v>201</v>
      </c>
      <c r="K178" s="8">
        <f t="shared" si="11"/>
        <v>16</v>
      </c>
    </row>
    <row r="179" spans="1:11" ht="15.75">
      <c r="A179" s="8">
        <f t="shared" si="10"/>
        <v>17</v>
      </c>
      <c r="B179" s="38" t="s">
        <v>130</v>
      </c>
      <c r="C179" s="24"/>
      <c r="D179" s="24"/>
      <c r="E179" s="99">
        <f>'Pg3 BK-1 Rev TO5 C2-Cost Adj '!E179</f>
        <v>11322.49192710959</v>
      </c>
      <c r="F179" s="50"/>
      <c r="G179" s="99">
        <f>'Pg4 As Filed BK-1 Retail TRR '!E176</f>
        <v>11322.49192710959</v>
      </c>
      <c r="I179" s="605">
        <f t="shared" ref="I179:I181" si="14">E179-G179</f>
        <v>0</v>
      </c>
      <c r="J179" s="8" t="s">
        <v>202</v>
      </c>
      <c r="K179" s="8">
        <f t="shared" si="11"/>
        <v>17</v>
      </c>
    </row>
    <row r="180" spans="1:11" ht="15.4">
      <c r="A180" s="8">
        <f t="shared" si="10"/>
        <v>18</v>
      </c>
      <c r="B180" s="38" t="s">
        <v>132</v>
      </c>
      <c r="C180" s="24"/>
      <c r="D180" s="24"/>
      <c r="E180" s="99">
        <f>'Pg3 BK-1 Rev TO5 C2-Cost Adj '!E180</f>
        <v>48316.721508113143</v>
      </c>
      <c r="F180" s="24"/>
      <c r="G180" s="99">
        <f>'Pg4 As Filed BK-1 Retail TRR '!E177</f>
        <v>48316.721508113143</v>
      </c>
      <c r="I180" s="605">
        <f t="shared" si="14"/>
        <v>0</v>
      </c>
      <c r="J180" s="8" t="s">
        <v>203</v>
      </c>
      <c r="K180" s="8">
        <f t="shared" si="11"/>
        <v>18</v>
      </c>
    </row>
    <row r="181" spans="1:11" ht="15.4">
      <c r="A181" s="8">
        <f t="shared" si="10"/>
        <v>19</v>
      </c>
      <c r="B181" s="38" t="s">
        <v>134</v>
      </c>
      <c r="C181" s="24"/>
      <c r="D181" s="24"/>
      <c r="E181" s="101">
        <f>'Pg3 BK-1 Rev TO5 C2-Cost Adj '!E181</f>
        <v>92493.61877057403</v>
      </c>
      <c r="F181" s="24"/>
      <c r="G181" s="101">
        <f>'Pg4 As Filed BK-1 Retail TRR '!E178</f>
        <v>92493.61877057403</v>
      </c>
      <c r="I181" s="605">
        <f t="shared" si="14"/>
        <v>0</v>
      </c>
      <c r="J181" s="8" t="s">
        <v>204</v>
      </c>
      <c r="K181" s="8">
        <f t="shared" si="11"/>
        <v>19</v>
      </c>
    </row>
    <row r="182" spans="1:11" ht="16.149999999999999" thickBot="1">
      <c r="A182" s="8">
        <f t="shared" si="10"/>
        <v>20</v>
      </c>
      <c r="B182" s="24" t="s">
        <v>136</v>
      </c>
      <c r="C182" s="24"/>
      <c r="D182" s="24"/>
      <c r="E182" s="116">
        <f>SUM(E178:E181)</f>
        <v>4710502.4613323351</v>
      </c>
      <c r="F182" s="41"/>
      <c r="G182" s="116">
        <f>SUM(G178:G181)</f>
        <v>4710502.4613323351</v>
      </c>
      <c r="I182" s="116">
        <f>SUM(I178:I181)</f>
        <v>0</v>
      </c>
      <c r="J182" s="8" t="s">
        <v>205</v>
      </c>
      <c r="K182" s="8">
        <f t="shared" si="11"/>
        <v>20</v>
      </c>
    </row>
    <row r="183" spans="1:11" ht="16.149999999999999" thickTop="1">
      <c r="A183" s="8">
        <f t="shared" si="10"/>
        <v>21</v>
      </c>
      <c r="B183" s="24"/>
      <c r="C183" s="24"/>
      <c r="D183" s="24"/>
      <c r="E183" s="59"/>
      <c r="F183" s="41"/>
      <c r="G183" s="60"/>
      <c r="I183" s="59"/>
      <c r="J183" s="8"/>
      <c r="K183" s="8">
        <f t="shared" si="11"/>
        <v>21</v>
      </c>
    </row>
    <row r="184" spans="1:11" ht="17.25">
      <c r="A184" s="8">
        <f t="shared" si="10"/>
        <v>22</v>
      </c>
      <c r="B184" s="70" t="s">
        <v>206</v>
      </c>
      <c r="C184" s="24"/>
      <c r="D184" s="24"/>
      <c r="E184" s="59"/>
      <c r="F184" s="41"/>
      <c r="G184" s="60"/>
      <c r="I184" s="59"/>
      <c r="J184" s="8"/>
      <c r="K184" s="8">
        <f t="shared" si="11"/>
        <v>22</v>
      </c>
    </row>
    <row r="185" spans="1:11" ht="15.75">
      <c r="A185" s="8">
        <f t="shared" si="10"/>
        <v>23</v>
      </c>
      <c r="B185" s="61" t="s">
        <v>207</v>
      </c>
      <c r="C185" s="24"/>
      <c r="D185" s="24"/>
      <c r="E185" s="60">
        <f>'Pg3 BK-1 Rev TO5 C2-Cost Adj '!E185</f>
        <v>0</v>
      </c>
      <c r="F185" s="41"/>
      <c r="G185" s="60">
        <f>'Pg4 As Filed BK-1 Retail TRR '!E182</f>
        <v>0</v>
      </c>
      <c r="I185" s="60">
        <f>E185-G185</f>
        <v>0</v>
      </c>
      <c r="J185" s="8" t="s">
        <v>208</v>
      </c>
      <c r="K185" s="8">
        <f t="shared" si="11"/>
        <v>23</v>
      </c>
    </row>
    <row r="186" spans="1:11" ht="15.75">
      <c r="A186" s="8">
        <f t="shared" si="10"/>
        <v>24</v>
      </c>
      <c r="B186" s="51" t="s">
        <v>209</v>
      </c>
      <c r="C186" s="24"/>
      <c r="D186" s="24"/>
      <c r="E186" s="97">
        <f>'Pg3 BK-1 Rev TO5 C2-Cost Adj '!E186</f>
        <v>0</v>
      </c>
      <c r="F186" s="109"/>
      <c r="G186" s="97">
        <f>'Pg4 As Filed BK-1 Retail TRR '!E183</f>
        <v>0</v>
      </c>
      <c r="I186" s="117">
        <f>E186-G186</f>
        <v>0</v>
      </c>
      <c r="J186" s="8" t="s">
        <v>210</v>
      </c>
      <c r="K186" s="8">
        <f t="shared" si="11"/>
        <v>24</v>
      </c>
    </row>
    <row r="187" spans="1:11" ht="16.149999999999999" thickBot="1">
      <c r="A187" s="8">
        <f t="shared" si="10"/>
        <v>25</v>
      </c>
      <c r="B187" s="61" t="s">
        <v>211</v>
      </c>
      <c r="C187" s="24"/>
      <c r="D187" s="24"/>
      <c r="E187" s="108">
        <f>E185-E186</f>
        <v>0</v>
      </c>
      <c r="F187" s="41"/>
      <c r="G187" s="108">
        <f>G185-G186</f>
        <v>0</v>
      </c>
      <c r="I187" s="116">
        <f>E187-G187</f>
        <v>0</v>
      </c>
      <c r="J187" s="52" t="s">
        <v>212</v>
      </c>
      <c r="K187" s="8">
        <f t="shared" si="11"/>
        <v>25</v>
      </c>
    </row>
    <row r="188" spans="1:11" ht="16.149999999999999" thickTop="1">
      <c r="A188" s="8"/>
      <c r="B188" s="24"/>
      <c r="C188" s="24"/>
      <c r="D188" s="24"/>
      <c r="E188" s="59"/>
      <c r="F188" s="41"/>
      <c r="G188" s="60"/>
      <c r="I188" s="59"/>
      <c r="J188" s="8"/>
      <c r="K188" s="8"/>
    </row>
    <row r="189" spans="1:11" ht="15.75">
      <c r="A189" s="41" t="s">
        <v>38</v>
      </c>
      <c r="B189" s="32" t="str">
        <f>B42</f>
        <v>Items that are in BOLD have changed compared to the original TO5 Cycle 2 filing per ER20-503.</v>
      </c>
      <c r="C189" s="24"/>
      <c r="D189" s="24"/>
      <c r="E189" s="24"/>
      <c r="F189" s="24"/>
      <c r="G189" s="24"/>
      <c r="H189" s="24"/>
      <c r="I189" s="24"/>
      <c r="J189" s="8"/>
      <c r="K189" s="8"/>
    </row>
    <row r="190" spans="1:11" ht="17.25">
      <c r="A190" s="69">
        <v>1</v>
      </c>
      <c r="B190" s="51" t="s">
        <v>213</v>
      </c>
      <c r="C190" s="24"/>
      <c r="D190" s="24"/>
      <c r="E190" s="24"/>
      <c r="F190" s="24"/>
      <c r="G190" s="24"/>
      <c r="H190" s="24"/>
      <c r="I190" s="24"/>
      <c r="J190" s="8"/>
      <c r="K190" s="8"/>
    </row>
    <row r="191" spans="1:11" ht="15.4">
      <c r="A191" s="8"/>
      <c r="B191" s="24"/>
      <c r="C191" s="24"/>
      <c r="D191" s="24"/>
      <c r="E191" s="24"/>
      <c r="F191" s="24"/>
      <c r="G191" s="24"/>
      <c r="H191" s="24"/>
      <c r="I191" s="27"/>
      <c r="J191" s="24"/>
      <c r="K191" s="8"/>
    </row>
    <row r="192" spans="1:11" ht="15.4">
      <c r="A192" s="8"/>
      <c r="B192" s="32" t="s">
        <v>33</v>
      </c>
      <c r="C192" s="24"/>
      <c r="D192" s="24"/>
      <c r="E192" s="24"/>
      <c r="F192" s="24"/>
      <c r="G192" s="24"/>
      <c r="H192" s="24"/>
      <c r="I192" s="24"/>
      <c r="J192" s="8"/>
      <c r="K192" s="8"/>
    </row>
    <row r="193" spans="1:11" ht="15.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8"/>
    </row>
    <row r="194" spans="1:11" ht="15.4">
      <c r="A194" s="24"/>
      <c r="B194" s="24" t="s">
        <v>33</v>
      </c>
      <c r="C194" s="24"/>
      <c r="D194" s="24"/>
      <c r="E194" s="24"/>
      <c r="F194" s="24"/>
      <c r="G194" s="24"/>
      <c r="H194" s="24"/>
      <c r="I194" s="24"/>
      <c r="J194" s="24"/>
      <c r="K194" s="8"/>
    </row>
    <row r="195" spans="1:11" ht="15.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8"/>
    </row>
    <row r="196" spans="1:11" ht="15.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8"/>
    </row>
    <row r="197" spans="1:11" ht="15.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8"/>
    </row>
    <row r="198" spans="1:11" ht="15.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8"/>
    </row>
    <row r="199" spans="1:11" ht="15.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8"/>
    </row>
    <row r="200" spans="1:11" ht="15.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8"/>
    </row>
    <row r="201" spans="1:11" ht="15.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8"/>
    </row>
    <row r="202" spans="1:11" ht="15.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8"/>
    </row>
    <row r="203" spans="1:11" ht="15.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8"/>
    </row>
    <row r="204" spans="1:11" ht="15.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8"/>
    </row>
    <row r="205" spans="1:11" ht="15.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8"/>
    </row>
    <row r="206" spans="1:11" ht="15.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8"/>
    </row>
    <row r="207" spans="1:11" ht="15.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8"/>
    </row>
    <row r="208" spans="1:11" ht="15.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8"/>
    </row>
    <row r="209" spans="1:11" ht="15.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8"/>
    </row>
    <row r="210" spans="1:11" ht="15.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8"/>
    </row>
    <row r="211" spans="1:11" ht="15.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8"/>
    </row>
    <row r="212" spans="1:11" ht="15.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8"/>
    </row>
    <row r="213" spans="1:11" ht="15.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8"/>
    </row>
    <row r="214" spans="1:11" ht="15.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8"/>
    </row>
    <row r="215" spans="1:11" ht="15.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8"/>
    </row>
    <row r="216" spans="1:11" ht="15.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8"/>
    </row>
    <row r="217" spans="1:11" ht="15.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8"/>
    </row>
    <row r="218" spans="1:11" ht="15.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8"/>
    </row>
    <row r="219" spans="1:11" ht="15.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8"/>
    </row>
    <row r="220" spans="1:11" ht="15.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8"/>
    </row>
    <row r="221" spans="1:11" ht="15.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8"/>
    </row>
    <row r="222" spans="1:11" ht="15.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8"/>
    </row>
    <row r="223" spans="1:11" ht="15.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8"/>
    </row>
    <row r="224" spans="1:11" ht="15.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8"/>
    </row>
    <row r="225" spans="1:11" ht="15.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8"/>
    </row>
    <row r="226" spans="1:11" ht="15.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8"/>
    </row>
    <row r="227" spans="1:11" ht="15.4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8"/>
    </row>
    <row r="228" spans="1:11" ht="15.4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8"/>
    </row>
    <row r="229" spans="1:11" ht="15.4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8"/>
    </row>
    <row r="230" spans="1:11" ht="15.4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8"/>
    </row>
    <row r="231" spans="1:11" ht="15.4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8"/>
    </row>
    <row r="232" spans="1:11" ht="15.4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8"/>
    </row>
    <row r="233" spans="1:11" ht="15.4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8"/>
    </row>
  </sheetData>
  <mergeCells count="16">
    <mergeCell ref="B157:J157"/>
    <mergeCell ref="B156:J156"/>
    <mergeCell ref="B47:J47"/>
    <mergeCell ref="B48:J48"/>
    <mergeCell ref="B49:J49"/>
    <mergeCell ref="B101:J101"/>
    <mergeCell ref="B102:J102"/>
    <mergeCell ref="B103:J103"/>
    <mergeCell ref="B104:J104"/>
    <mergeCell ref="B154:J154"/>
    <mergeCell ref="B155:J155"/>
    <mergeCell ref="B46:J46"/>
    <mergeCell ref="B2:J2"/>
    <mergeCell ref="B3:J3"/>
    <mergeCell ref="B4:J4"/>
    <mergeCell ref="B5:J5"/>
  </mergeCells>
  <printOptions horizontalCentered="1"/>
  <pageMargins left="0" right="0" top="0.5" bottom="0.5" header="0.25" footer="0.25"/>
  <pageSetup scale="50" orientation="portrait" r:id="rId1"/>
  <headerFooter scaleWithDoc="0" alignWithMargins="0">
    <oddFooter>&amp;CPage 2.&amp;P &amp;R&amp;F</oddFooter>
  </headerFooter>
  <rowBreaks count="3" manualBreakCount="3">
    <brk id="44" max="16383" man="1"/>
    <brk id="99" max="16383" man="1"/>
    <brk id="1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4B53-FF2A-418B-AD38-7B7506B1CEC5}">
  <dimension ref="A1:J192"/>
  <sheetViews>
    <sheetView zoomScale="80" zoomScaleNormal="80" workbookViewId="0"/>
  </sheetViews>
  <sheetFormatPr defaultColWidth="9.140625" defaultRowHeight="15.4"/>
  <cols>
    <col min="1" max="1" width="5.140625" style="51" customWidth="1"/>
    <col min="2" max="2" width="86.140625" style="51" customWidth="1"/>
    <col min="3" max="3" width="10.42578125" style="51" customWidth="1"/>
    <col min="4" max="4" width="1.5703125" style="51" customWidth="1"/>
    <col min="5" max="5" width="16.85546875" style="51" customWidth="1"/>
    <col min="6" max="6" width="1.5703125" style="51" customWidth="1"/>
    <col min="7" max="7" width="51.42578125" style="51" customWidth="1"/>
    <col min="8" max="8" width="5.140625" style="52" customWidth="1"/>
    <col min="9" max="9" width="22.42578125" style="51" customWidth="1"/>
    <col min="10" max="10" width="20.140625" style="51" bestFit="1" customWidth="1"/>
    <col min="11" max="16384" width="9.140625" style="51"/>
  </cols>
  <sheetData>
    <row r="1" spans="1:10">
      <c r="G1" s="127"/>
    </row>
    <row r="2" spans="1:10">
      <c r="A2" s="52"/>
      <c r="B2" s="608" t="s">
        <v>214</v>
      </c>
      <c r="C2" s="609"/>
      <c r="D2" s="609"/>
      <c r="E2" s="609"/>
      <c r="F2" s="609"/>
      <c r="G2" s="609"/>
    </row>
    <row r="3" spans="1:10">
      <c r="A3" s="52" t="s">
        <v>33</v>
      </c>
      <c r="B3" s="608" t="s">
        <v>215</v>
      </c>
      <c r="C3" s="609"/>
      <c r="D3" s="609"/>
      <c r="E3" s="609"/>
      <c r="F3" s="609"/>
      <c r="G3" s="609"/>
    </row>
    <row r="4" spans="1:10" ht="18">
      <c r="A4" s="52"/>
      <c r="B4" s="608" t="s">
        <v>216</v>
      </c>
      <c r="C4" s="610"/>
      <c r="D4" s="610"/>
      <c r="E4" s="610"/>
      <c r="F4" s="610"/>
      <c r="G4" s="610"/>
    </row>
    <row r="5" spans="1:10">
      <c r="A5" s="52"/>
      <c r="B5" s="611" t="s">
        <v>217</v>
      </c>
      <c r="C5" s="611"/>
      <c r="D5" s="611"/>
      <c r="E5" s="611"/>
      <c r="F5" s="611"/>
      <c r="G5" s="611"/>
    </row>
    <row r="6" spans="1:10">
      <c r="A6" s="52"/>
      <c r="B6" s="612" t="s">
        <v>3</v>
      </c>
      <c r="C6" s="609"/>
      <c r="D6" s="609"/>
      <c r="E6" s="609"/>
      <c r="F6" s="609"/>
      <c r="G6" s="609"/>
    </row>
    <row r="7" spans="1:10">
      <c r="A7" s="52"/>
      <c r="B7" s="128"/>
      <c r="C7" s="123"/>
      <c r="D7" s="123"/>
      <c r="E7" s="123"/>
      <c r="F7" s="123"/>
      <c r="G7" s="123"/>
    </row>
    <row r="8" spans="1:10">
      <c r="A8" s="52" t="s">
        <v>4</v>
      </c>
      <c r="E8" s="129"/>
      <c r="G8" s="52"/>
      <c r="H8" s="52" t="s">
        <v>4</v>
      </c>
    </row>
    <row r="9" spans="1:10" ht="15.6" customHeight="1">
      <c r="A9" s="131" t="s">
        <v>5</v>
      </c>
      <c r="B9" s="123" t="s">
        <v>33</v>
      </c>
      <c r="E9" s="130" t="s">
        <v>7</v>
      </c>
      <c r="G9" s="131" t="s">
        <v>8</v>
      </c>
      <c r="H9" s="131" t="s">
        <v>5</v>
      </c>
    </row>
    <row r="10" spans="1:10">
      <c r="A10" s="132"/>
      <c r="B10" s="70" t="s">
        <v>36</v>
      </c>
      <c r="E10" s="133"/>
      <c r="G10" s="52"/>
      <c r="H10" s="132"/>
    </row>
    <row r="11" spans="1:10" ht="15.75">
      <c r="A11" s="52">
        <v>1</v>
      </c>
      <c r="B11" s="61" t="s">
        <v>37</v>
      </c>
      <c r="C11" s="134"/>
      <c r="D11" s="134"/>
      <c r="E11" s="135">
        <f>'Pg5 Revised Stmt AH'!E20</f>
        <v>76265.098909999986</v>
      </c>
      <c r="F11" s="41" t="s">
        <v>38</v>
      </c>
      <c r="G11" s="52" t="s">
        <v>218</v>
      </c>
      <c r="H11" s="52">
        <f>A11</f>
        <v>1</v>
      </c>
      <c r="I11" s="136"/>
    </row>
    <row r="12" spans="1:10">
      <c r="A12" s="52">
        <f t="shared" ref="A12:A40" si="0">A11+1</f>
        <v>2</v>
      </c>
      <c r="B12" s="61" t="s">
        <v>33</v>
      </c>
      <c r="C12" s="134"/>
      <c r="D12" s="134"/>
      <c r="E12" s="137" t="s">
        <v>33</v>
      </c>
      <c r="G12" s="52"/>
      <c r="H12" s="52">
        <f t="shared" ref="H12:H40" si="1">H11+1</f>
        <v>2</v>
      </c>
      <c r="I12" s="136"/>
    </row>
    <row r="13" spans="1:10" ht="15.75">
      <c r="A13" s="52">
        <f t="shared" si="0"/>
        <v>3</v>
      </c>
      <c r="B13" s="61" t="s">
        <v>40</v>
      </c>
      <c r="C13" s="134"/>
      <c r="D13" s="134"/>
      <c r="E13" s="138">
        <f>'Pg5 Revised Stmt AH'!E42</f>
        <v>66061.797539703955</v>
      </c>
      <c r="F13" s="41" t="s">
        <v>38</v>
      </c>
      <c r="G13" s="52" t="s">
        <v>219</v>
      </c>
      <c r="H13" s="52">
        <f t="shared" si="1"/>
        <v>3</v>
      </c>
      <c r="I13" s="136"/>
    </row>
    <row r="14" spans="1:10">
      <c r="A14" s="52">
        <f t="shared" si="0"/>
        <v>4</v>
      </c>
      <c r="B14" s="61"/>
      <c r="C14" s="134"/>
      <c r="D14" s="134"/>
      <c r="E14" s="137"/>
      <c r="F14" s="123"/>
      <c r="G14" s="52"/>
      <c r="H14" s="52">
        <f t="shared" si="1"/>
        <v>4</v>
      </c>
      <c r="J14" s="139"/>
    </row>
    <row r="15" spans="1:10">
      <c r="A15" s="52">
        <f t="shared" si="0"/>
        <v>5</v>
      </c>
      <c r="B15" s="61" t="s">
        <v>42</v>
      </c>
      <c r="C15" s="134"/>
      <c r="D15" s="134"/>
      <c r="E15" s="140">
        <f>'Pg5 Revised Stmt AH'!E27</f>
        <v>0</v>
      </c>
      <c r="G15" s="52" t="s">
        <v>220</v>
      </c>
      <c r="H15" s="52">
        <f t="shared" si="1"/>
        <v>5</v>
      </c>
      <c r="J15" s="139"/>
    </row>
    <row r="16" spans="1:10" ht="15.75">
      <c r="A16" s="52">
        <f t="shared" si="0"/>
        <v>6</v>
      </c>
      <c r="B16" s="61" t="s">
        <v>44</v>
      </c>
      <c r="C16" s="134"/>
      <c r="D16" s="134"/>
      <c r="E16" s="141">
        <f>E11+E13+E15</f>
        <v>142326.89644970396</v>
      </c>
      <c r="F16" s="41" t="s">
        <v>38</v>
      </c>
      <c r="G16" s="52" t="s">
        <v>45</v>
      </c>
      <c r="H16" s="52">
        <f t="shared" si="1"/>
        <v>6</v>
      </c>
      <c r="I16" s="142"/>
      <c r="J16" s="139"/>
    </row>
    <row r="17" spans="1:9">
      <c r="A17" s="52">
        <f t="shared" si="0"/>
        <v>7</v>
      </c>
      <c r="E17" s="143"/>
      <c r="G17" s="52"/>
      <c r="H17" s="52">
        <f t="shared" si="1"/>
        <v>7</v>
      </c>
    </row>
    <row r="18" spans="1:9">
      <c r="A18" s="52">
        <f t="shared" si="0"/>
        <v>8</v>
      </c>
      <c r="B18" s="51" t="s">
        <v>46</v>
      </c>
      <c r="C18" s="134"/>
      <c r="D18" s="134"/>
      <c r="E18" s="144">
        <v>175542.86873830605</v>
      </c>
      <c r="F18" s="145"/>
      <c r="G18" s="52" t="s">
        <v>221</v>
      </c>
      <c r="H18" s="52">
        <f t="shared" si="1"/>
        <v>8</v>
      </c>
    </row>
    <row r="19" spans="1:9">
      <c r="A19" s="52">
        <f t="shared" si="0"/>
        <v>9</v>
      </c>
      <c r="E19" s="146" t="s">
        <v>33</v>
      </c>
      <c r="G19" s="52"/>
      <c r="H19" s="52">
        <f t="shared" si="1"/>
        <v>9</v>
      </c>
    </row>
    <row r="20" spans="1:9" ht="17.25">
      <c r="A20" s="52">
        <f t="shared" si="0"/>
        <v>10</v>
      </c>
      <c r="B20" s="51" t="s">
        <v>48</v>
      </c>
      <c r="E20" s="147">
        <v>0</v>
      </c>
      <c r="G20" s="52" t="s">
        <v>222</v>
      </c>
      <c r="H20" s="52">
        <f t="shared" si="1"/>
        <v>10</v>
      </c>
      <c r="I20" s="136"/>
    </row>
    <row r="21" spans="1:9">
      <c r="A21" s="52">
        <f t="shared" si="0"/>
        <v>11</v>
      </c>
      <c r="E21" s="146"/>
      <c r="G21" s="52"/>
      <c r="H21" s="52">
        <f t="shared" si="1"/>
        <v>11</v>
      </c>
    </row>
    <row r="22" spans="1:9">
      <c r="A22" s="52">
        <f t="shared" si="0"/>
        <v>12</v>
      </c>
      <c r="B22" s="51" t="s">
        <v>50</v>
      </c>
      <c r="C22" s="134"/>
      <c r="D22" s="134"/>
      <c r="E22" s="148">
        <v>44622.147197809747</v>
      </c>
      <c r="F22" s="123"/>
      <c r="G22" s="52" t="s">
        <v>223</v>
      </c>
      <c r="H22" s="52">
        <f t="shared" si="1"/>
        <v>12</v>
      </c>
      <c r="I22" s="136"/>
    </row>
    <row r="23" spans="1:9">
      <c r="A23" s="52">
        <f t="shared" si="0"/>
        <v>13</v>
      </c>
      <c r="B23" s="61"/>
      <c r="C23" s="134"/>
      <c r="D23" s="134"/>
      <c r="E23" s="149"/>
      <c r="G23" s="52"/>
      <c r="H23" s="52">
        <f t="shared" si="1"/>
        <v>13</v>
      </c>
    </row>
    <row r="24" spans="1:9">
      <c r="A24" s="52">
        <f t="shared" si="0"/>
        <v>14</v>
      </c>
      <c r="B24" s="51" t="s">
        <v>52</v>
      </c>
      <c r="C24" s="134"/>
      <c r="D24" s="134"/>
      <c r="E24" s="150">
        <v>2616.0247561182027</v>
      </c>
      <c r="F24" s="123"/>
      <c r="G24" s="52" t="s">
        <v>224</v>
      </c>
      <c r="H24" s="52">
        <f t="shared" si="1"/>
        <v>14</v>
      </c>
      <c r="I24" s="136"/>
    </row>
    <row r="25" spans="1:9" ht="15.75">
      <c r="A25" s="52">
        <f t="shared" si="0"/>
        <v>15</v>
      </c>
      <c r="B25" s="61" t="s">
        <v>54</v>
      </c>
      <c r="C25" s="134"/>
      <c r="D25" s="134"/>
      <c r="E25" s="151">
        <f>SUM(E16+E18+E20+E22+E24)</f>
        <v>365107.93714193796</v>
      </c>
      <c r="F25" s="41" t="s">
        <v>38</v>
      </c>
      <c r="G25" s="52" t="s">
        <v>55</v>
      </c>
      <c r="H25" s="52">
        <f t="shared" si="1"/>
        <v>15</v>
      </c>
    </row>
    <row r="26" spans="1:9">
      <c r="A26" s="52">
        <f t="shared" si="0"/>
        <v>16</v>
      </c>
      <c r="B26" s="61"/>
      <c r="C26" s="134"/>
      <c r="D26" s="134"/>
      <c r="E26" s="152"/>
      <c r="G26" s="52"/>
      <c r="H26" s="52">
        <f t="shared" si="1"/>
        <v>16</v>
      </c>
    </row>
    <row r="27" spans="1:9" ht="17.649999999999999">
      <c r="A27" s="52">
        <f t="shared" si="0"/>
        <v>17</v>
      </c>
      <c r="B27" s="61" t="s">
        <v>98</v>
      </c>
      <c r="C27" s="134"/>
      <c r="D27" s="134"/>
      <c r="E27" s="153">
        <f>'Pg7 Revised Stmt AV'!G147</f>
        <v>9.6203495288120069E-2</v>
      </c>
      <c r="F27" s="41" t="s">
        <v>38</v>
      </c>
      <c r="G27" s="52" t="s">
        <v>225</v>
      </c>
      <c r="H27" s="52">
        <f t="shared" si="1"/>
        <v>17</v>
      </c>
    </row>
    <row r="28" spans="1:9" ht="15.75">
      <c r="A28" s="52">
        <f t="shared" si="0"/>
        <v>18</v>
      </c>
      <c r="B28" s="61" t="s">
        <v>58</v>
      </c>
      <c r="C28" s="134"/>
      <c r="D28" s="134"/>
      <c r="E28" s="154">
        <f>E136</f>
        <v>4005249.9121370139</v>
      </c>
      <c r="F28" s="41" t="s">
        <v>38</v>
      </c>
      <c r="G28" s="52" t="s">
        <v>226</v>
      </c>
      <c r="H28" s="52">
        <f t="shared" si="1"/>
        <v>18</v>
      </c>
    </row>
    <row r="29" spans="1:9" ht="15.75">
      <c r="A29" s="52">
        <f t="shared" si="0"/>
        <v>19</v>
      </c>
      <c r="B29" s="51" t="s">
        <v>227</v>
      </c>
      <c r="C29" s="134"/>
      <c r="D29" s="134"/>
      <c r="E29" s="155">
        <f>E28*E27</f>
        <v>385319.04105001653</v>
      </c>
      <c r="F29" s="41" t="s">
        <v>38</v>
      </c>
      <c r="G29" s="52" t="s">
        <v>61</v>
      </c>
      <c r="H29" s="52">
        <f t="shared" si="1"/>
        <v>19</v>
      </c>
    </row>
    <row r="30" spans="1:9">
      <c r="A30" s="52">
        <f t="shared" si="0"/>
        <v>20</v>
      </c>
      <c r="C30" s="134"/>
      <c r="D30" s="134"/>
      <c r="E30" s="152"/>
      <c r="G30" s="52"/>
      <c r="H30" s="52">
        <f t="shared" si="1"/>
        <v>20</v>
      </c>
    </row>
    <row r="31" spans="1:9" ht="17.649999999999999">
      <c r="A31" s="52">
        <f t="shared" si="0"/>
        <v>21</v>
      </c>
      <c r="B31" s="61" t="s">
        <v>62</v>
      </c>
      <c r="C31" s="134"/>
      <c r="D31" s="137"/>
      <c r="E31" s="156">
        <f>'Pg7 Revised Stmt AV'!G180</f>
        <v>3.8762955624239964E-3</v>
      </c>
      <c r="F31" s="123"/>
      <c r="G31" s="52" t="s">
        <v>228</v>
      </c>
      <c r="H31" s="52">
        <f t="shared" si="1"/>
        <v>21</v>
      </c>
      <c r="I31" s="136"/>
    </row>
    <row r="32" spans="1:9" ht="15.75">
      <c r="A32" s="52">
        <f t="shared" si="0"/>
        <v>22</v>
      </c>
      <c r="B32" s="61" t="s">
        <v>58</v>
      </c>
      <c r="C32" s="134"/>
      <c r="D32" s="134"/>
      <c r="E32" s="154">
        <f>E136-E119</f>
        <v>4005249.9121370139</v>
      </c>
      <c r="F32" s="41" t="s">
        <v>38</v>
      </c>
      <c r="G32" s="52" t="s">
        <v>229</v>
      </c>
      <c r="H32" s="52">
        <f t="shared" si="1"/>
        <v>22</v>
      </c>
    </row>
    <row r="33" spans="1:9" ht="15.75">
      <c r="A33" s="52">
        <f t="shared" si="0"/>
        <v>23</v>
      </c>
      <c r="B33" s="51" t="s">
        <v>65</v>
      </c>
      <c r="E33" s="188">
        <f>E32*E31</f>
        <v>15525.532460815808</v>
      </c>
      <c r="F33" s="41"/>
      <c r="G33" s="52" t="s">
        <v>66</v>
      </c>
      <c r="H33" s="52">
        <f t="shared" si="1"/>
        <v>23</v>
      </c>
    </row>
    <row r="34" spans="1:9">
      <c r="A34" s="52">
        <f t="shared" si="0"/>
        <v>24</v>
      </c>
      <c r="E34" s="157"/>
      <c r="G34" s="52"/>
      <c r="H34" s="52">
        <f t="shared" si="1"/>
        <v>24</v>
      </c>
    </row>
    <row r="35" spans="1:9">
      <c r="A35" s="52">
        <f t="shared" si="0"/>
        <v>25</v>
      </c>
      <c r="B35" s="51" t="s">
        <v>67</v>
      </c>
      <c r="E35" s="158">
        <v>1346.7699665379248</v>
      </c>
      <c r="G35" s="52" t="s">
        <v>230</v>
      </c>
      <c r="H35" s="52">
        <f t="shared" si="1"/>
        <v>25</v>
      </c>
      <c r="I35" s="136"/>
    </row>
    <row r="36" spans="1:9">
      <c r="A36" s="52">
        <f t="shared" si="0"/>
        <v>26</v>
      </c>
      <c r="B36" s="51" t="s">
        <v>69</v>
      </c>
      <c r="E36" s="159">
        <v>-4687.6774299999997</v>
      </c>
      <c r="F36" s="123"/>
      <c r="G36" s="52" t="s">
        <v>231</v>
      </c>
      <c r="H36" s="52">
        <f t="shared" si="1"/>
        <v>26</v>
      </c>
      <c r="I36" s="136"/>
    </row>
    <row r="37" spans="1:9">
      <c r="A37" s="52">
        <f t="shared" si="0"/>
        <v>27</v>
      </c>
      <c r="B37" s="51" t="s">
        <v>71</v>
      </c>
      <c r="E37" s="160">
        <v>0</v>
      </c>
      <c r="G37" s="52" t="s">
        <v>232</v>
      </c>
      <c r="H37" s="52">
        <f t="shared" si="1"/>
        <v>27</v>
      </c>
    </row>
    <row r="38" spans="1:9">
      <c r="A38" s="52">
        <f t="shared" si="0"/>
        <v>28</v>
      </c>
      <c r="B38" s="64" t="s">
        <v>73</v>
      </c>
      <c r="E38" s="161">
        <v>0</v>
      </c>
      <c r="G38" s="52" t="s">
        <v>233</v>
      </c>
      <c r="H38" s="52">
        <f t="shared" si="1"/>
        <v>28</v>
      </c>
      <c r="I38" s="136"/>
    </row>
    <row r="39" spans="1:9">
      <c r="A39" s="52">
        <f t="shared" si="0"/>
        <v>29</v>
      </c>
      <c r="E39" s="146" t="s">
        <v>33</v>
      </c>
      <c r="G39" s="52"/>
      <c r="H39" s="52">
        <f t="shared" si="1"/>
        <v>29</v>
      </c>
      <c r="I39" s="136"/>
    </row>
    <row r="40" spans="1:9" ht="18" thickBot="1">
      <c r="A40" s="52">
        <f t="shared" si="0"/>
        <v>30</v>
      </c>
      <c r="B40" s="51" t="s">
        <v>75</v>
      </c>
      <c r="C40" s="134"/>
      <c r="D40" s="134"/>
      <c r="E40" s="162">
        <f>E29+E33+E25+SUM(E35:E38)</f>
        <v>762611.6031893082</v>
      </c>
      <c r="F40" s="41" t="s">
        <v>38</v>
      </c>
      <c r="G40" s="52" t="s">
        <v>76</v>
      </c>
      <c r="H40" s="52">
        <f t="shared" si="1"/>
        <v>30</v>
      </c>
      <c r="I40" s="136"/>
    </row>
    <row r="41" spans="1:9" ht="15.75" thickTop="1">
      <c r="A41" s="132"/>
      <c r="C41" s="134"/>
      <c r="D41" s="134"/>
      <c r="E41" s="163"/>
      <c r="F41" s="123"/>
      <c r="G41" s="132"/>
      <c r="H41" s="132"/>
      <c r="I41" s="136"/>
    </row>
    <row r="42" spans="1:9" ht="15.75">
      <c r="A42" s="41" t="s">
        <v>38</v>
      </c>
      <c r="B42" s="32" t="s">
        <v>234</v>
      </c>
      <c r="C42" s="134"/>
      <c r="D42" s="134"/>
      <c r="E42" s="163"/>
      <c r="F42" s="123"/>
      <c r="G42" s="132"/>
      <c r="H42" s="132"/>
      <c r="I42" s="136"/>
    </row>
    <row r="43" spans="1:9" ht="17.25">
      <c r="A43" s="69">
        <v>1</v>
      </c>
      <c r="B43" s="51" t="s">
        <v>78</v>
      </c>
      <c r="C43" s="134"/>
      <c r="D43" s="134"/>
      <c r="E43" s="163"/>
      <c r="F43" s="123"/>
      <c r="G43" s="132"/>
      <c r="H43" s="132"/>
      <c r="I43" s="136"/>
    </row>
    <row r="44" spans="1:9" ht="17.25">
      <c r="A44" s="69"/>
      <c r="C44" s="134"/>
      <c r="D44" s="134"/>
      <c r="E44" s="163"/>
      <c r="F44" s="123"/>
      <c r="G44" s="132"/>
      <c r="H44" s="132"/>
      <c r="I44" s="136"/>
    </row>
    <row r="45" spans="1:9">
      <c r="A45" s="132"/>
      <c r="C45" s="134"/>
      <c r="D45" s="134"/>
      <c r="E45" s="163"/>
      <c r="F45" s="123"/>
      <c r="G45" s="127"/>
      <c r="H45" s="132"/>
      <c r="I45" s="136"/>
    </row>
    <row r="46" spans="1:9">
      <c r="A46" s="132"/>
      <c r="B46" s="608" t="s">
        <v>214</v>
      </c>
      <c r="C46" s="609"/>
      <c r="D46" s="609"/>
      <c r="E46" s="609"/>
      <c r="F46" s="609"/>
      <c r="G46" s="609"/>
      <c r="H46" s="132"/>
      <c r="I46" s="136"/>
    </row>
    <row r="47" spans="1:9">
      <c r="A47" s="132"/>
      <c r="B47" s="608" t="s">
        <v>215</v>
      </c>
      <c r="C47" s="609"/>
      <c r="D47" s="609"/>
      <c r="E47" s="609"/>
      <c r="F47" s="609"/>
      <c r="G47" s="609"/>
      <c r="H47" s="132"/>
      <c r="I47" s="136"/>
    </row>
    <row r="48" spans="1:9" ht="18">
      <c r="A48" s="132"/>
      <c r="B48" s="608" t="s">
        <v>216</v>
      </c>
      <c r="C48" s="610"/>
      <c r="D48" s="610"/>
      <c r="E48" s="610"/>
      <c r="F48" s="610"/>
      <c r="G48" s="610"/>
      <c r="H48" s="132"/>
      <c r="I48" s="136"/>
    </row>
    <row r="49" spans="1:9">
      <c r="A49" s="132"/>
      <c r="B49" s="613" t="str">
        <f>B5</f>
        <v>For the Base Period &amp; True-Up Period Ending December 31, 2018</v>
      </c>
      <c r="C49" s="614"/>
      <c r="D49" s="614"/>
      <c r="E49" s="614"/>
      <c r="F49" s="614"/>
      <c r="G49" s="614"/>
      <c r="H49" s="132"/>
      <c r="I49" s="136"/>
    </row>
    <row r="50" spans="1:9">
      <c r="A50" s="132"/>
      <c r="B50" s="612" t="s">
        <v>3</v>
      </c>
      <c r="C50" s="609"/>
      <c r="D50" s="609"/>
      <c r="E50" s="609"/>
      <c r="F50" s="609"/>
      <c r="G50" s="609"/>
      <c r="H50" s="132"/>
      <c r="I50" s="136"/>
    </row>
    <row r="51" spans="1:9">
      <c r="A51" s="132"/>
      <c r="C51" s="134"/>
      <c r="D51" s="134"/>
      <c r="E51" s="163"/>
      <c r="F51" s="123"/>
      <c r="G51" s="132"/>
      <c r="H51" s="132"/>
      <c r="I51" s="136"/>
    </row>
    <row r="52" spans="1:9">
      <c r="A52" s="52" t="s">
        <v>4</v>
      </c>
      <c r="E52" s="129"/>
      <c r="G52" s="52"/>
      <c r="H52" s="52" t="s">
        <v>4</v>
      </c>
      <c r="I52" s="136"/>
    </row>
    <row r="53" spans="1:9">
      <c r="A53" s="52" t="s">
        <v>5</v>
      </c>
      <c r="B53" s="123" t="s">
        <v>33</v>
      </c>
      <c r="E53" s="130" t="s">
        <v>7</v>
      </c>
      <c r="G53" s="131" t="s">
        <v>8</v>
      </c>
      <c r="H53" s="52" t="s">
        <v>5</v>
      </c>
      <c r="I53" s="136"/>
    </row>
    <row r="54" spans="1:9" ht="17.25">
      <c r="A54" s="132"/>
      <c r="B54" s="70" t="s">
        <v>79</v>
      </c>
      <c r="E54" s="52"/>
      <c r="G54" s="52"/>
      <c r="H54" s="132"/>
      <c r="I54" s="136"/>
    </row>
    <row r="55" spans="1:9">
      <c r="A55" s="52">
        <v>1</v>
      </c>
      <c r="B55" s="61" t="s">
        <v>80</v>
      </c>
      <c r="C55" s="134"/>
      <c r="D55" s="134"/>
      <c r="E55" s="164">
        <v>0</v>
      </c>
      <c r="G55" s="52" t="s">
        <v>235</v>
      </c>
      <c r="H55" s="52">
        <f>A55</f>
        <v>1</v>
      </c>
      <c r="I55" s="136"/>
    </row>
    <row r="56" spans="1:9">
      <c r="A56" s="52">
        <f t="shared" ref="A56:A93" si="2">A55+1</f>
        <v>2</v>
      </c>
      <c r="B56" s="61"/>
      <c r="C56" s="134"/>
      <c r="D56" s="134"/>
      <c r="E56" s="165"/>
      <c r="G56" s="52"/>
      <c r="H56" s="52">
        <f t="shared" ref="H56:H93" si="3">H55+1</f>
        <v>2</v>
      </c>
    </row>
    <row r="57" spans="1:9" ht="17.649999999999999">
      <c r="A57" s="52">
        <f t="shared" si="2"/>
        <v>3</v>
      </c>
      <c r="B57" s="61" t="s">
        <v>82</v>
      </c>
      <c r="C57" s="134"/>
      <c r="D57" s="134"/>
      <c r="E57" s="156">
        <f>'Pg7 Revised Stmt AV'!G224</f>
        <v>1.9124664122712989E-2</v>
      </c>
      <c r="F57" s="166"/>
      <c r="G57" s="52" t="s">
        <v>236</v>
      </c>
      <c r="H57" s="52">
        <f t="shared" si="3"/>
        <v>3</v>
      </c>
    </row>
    <row r="58" spans="1:9">
      <c r="A58" s="52">
        <f t="shared" si="2"/>
        <v>4</v>
      </c>
      <c r="B58" s="51" t="s">
        <v>84</v>
      </c>
      <c r="C58" s="134"/>
      <c r="D58" s="134"/>
      <c r="E58" s="167">
        <f>E141</f>
        <v>0</v>
      </c>
      <c r="G58" s="52" t="s">
        <v>237</v>
      </c>
      <c r="H58" s="52">
        <f t="shared" si="3"/>
        <v>4</v>
      </c>
    </row>
    <row r="59" spans="1:9">
      <c r="A59" s="52">
        <f t="shared" si="2"/>
        <v>5</v>
      </c>
      <c r="B59" s="51" t="s">
        <v>86</v>
      </c>
      <c r="E59" s="168">
        <f>E58*E57</f>
        <v>0</v>
      </c>
      <c r="G59" s="52" t="s">
        <v>87</v>
      </c>
      <c r="H59" s="52">
        <f t="shared" si="3"/>
        <v>5</v>
      </c>
    </row>
    <row r="60" spans="1:9">
      <c r="A60" s="52">
        <f t="shared" si="2"/>
        <v>6</v>
      </c>
      <c r="E60" s="169"/>
      <c r="G60" s="52"/>
      <c r="H60" s="52">
        <f t="shared" si="3"/>
        <v>6</v>
      </c>
    </row>
    <row r="61" spans="1:9" ht="17.649999999999999">
      <c r="A61" s="52">
        <f t="shared" si="2"/>
        <v>7</v>
      </c>
      <c r="B61" s="61" t="s">
        <v>62</v>
      </c>
      <c r="E61" s="156">
        <f>'Pg7 Revised Stmt AV'!G257</f>
        <v>0</v>
      </c>
      <c r="G61" s="52" t="s">
        <v>238</v>
      </c>
      <c r="H61" s="52">
        <f t="shared" si="3"/>
        <v>7</v>
      </c>
    </row>
    <row r="62" spans="1:9">
      <c r="A62" s="52">
        <f t="shared" si="2"/>
        <v>8</v>
      </c>
      <c r="B62" s="51" t="s">
        <v>84</v>
      </c>
      <c r="E62" s="167">
        <f>E141</f>
        <v>0</v>
      </c>
      <c r="G62" s="52" t="s">
        <v>237</v>
      </c>
      <c r="H62" s="52">
        <f t="shared" si="3"/>
        <v>8</v>
      </c>
    </row>
    <row r="63" spans="1:9">
      <c r="A63" s="52">
        <f t="shared" si="2"/>
        <v>9</v>
      </c>
      <c r="B63" s="51" t="s">
        <v>65</v>
      </c>
      <c r="E63" s="168">
        <f>E62*E61</f>
        <v>0</v>
      </c>
      <c r="G63" s="52" t="s">
        <v>90</v>
      </c>
      <c r="H63" s="52">
        <f t="shared" si="3"/>
        <v>9</v>
      </c>
    </row>
    <row r="64" spans="1:9">
      <c r="A64" s="52">
        <f t="shared" si="2"/>
        <v>10</v>
      </c>
      <c r="E64" s="169"/>
      <c r="G64" s="52"/>
      <c r="H64" s="52">
        <f t="shared" si="3"/>
        <v>10</v>
      </c>
    </row>
    <row r="65" spans="1:9" ht="15.75" thickBot="1">
      <c r="A65" s="52">
        <f t="shared" si="2"/>
        <v>11</v>
      </c>
      <c r="B65" s="51" t="s">
        <v>91</v>
      </c>
      <c r="E65" s="170">
        <f>E55+E59+E63</f>
        <v>0</v>
      </c>
      <c r="G65" s="52" t="s">
        <v>92</v>
      </c>
      <c r="H65" s="52">
        <f t="shared" si="3"/>
        <v>11</v>
      </c>
    </row>
    <row r="66" spans="1:9" ht="15.75" thickTop="1">
      <c r="A66" s="52">
        <f t="shared" si="2"/>
        <v>12</v>
      </c>
      <c r="E66" s="171"/>
      <c r="G66" s="52"/>
      <c r="H66" s="52">
        <f t="shared" si="3"/>
        <v>12</v>
      </c>
    </row>
    <row r="67" spans="1:9" ht="17.25">
      <c r="A67" s="52">
        <f t="shared" si="2"/>
        <v>13</v>
      </c>
      <c r="B67" s="78" t="s">
        <v>93</v>
      </c>
      <c r="E67" s="171"/>
      <c r="G67" s="52"/>
      <c r="H67" s="52">
        <f t="shared" si="3"/>
        <v>13</v>
      </c>
    </row>
    <row r="68" spans="1:9">
      <c r="A68" s="52">
        <f t="shared" si="2"/>
        <v>14</v>
      </c>
      <c r="B68" s="61" t="s">
        <v>94</v>
      </c>
      <c r="E68" s="172">
        <v>0</v>
      </c>
      <c r="G68" s="52" t="s">
        <v>239</v>
      </c>
      <c r="H68" s="52">
        <f t="shared" si="3"/>
        <v>14</v>
      </c>
    </row>
    <row r="69" spans="1:9">
      <c r="A69" s="52">
        <f t="shared" si="2"/>
        <v>15</v>
      </c>
      <c r="B69" s="61"/>
      <c r="E69" s="173"/>
      <c r="G69" s="52"/>
      <c r="H69" s="52">
        <f t="shared" si="3"/>
        <v>15</v>
      </c>
    </row>
    <row r="70" spans="1:9">
      <c r="A70" s="52">
        <f t="shared" si="2"/>
        <v>16</v>
      </c>
      <c r="B70" s="61" t="s">
        <v>96</v>
      </c>
      <c r="E70" s="172">
        <f>E146</f>
        <v>0</v>
      </c>
      <c r="G70" s="52" t="s">
        <v>240</v>
      </c>
      <c r="H70" s="52">
        <f t="shared" si="3"/>
        <v>16</v>
      </c>
    </row>
    <row r="71" spans="1:9" ht="17.649999999999999">
      <c r="A71" s="52">
        <f t="shared" si="2"/>
        <v>17</v>
      </c>
      <c r="B71" s="61" t="s">
        <v>98</v>
      </c>
      <c r="C71" s="134"/>
      <c r="D71" s="137"/>
      <c r="E71" s="174">
        <f>'Pg7 Revised Stmt AV'!G147</f>
        <v>9.6203495288120069E-2</v>
      </c>
      <c r="F71" s="41" t="s">
        <v>38</v>
      </c>
      <c r="G71" s="52" t="s">
        <v>225</v>
      </c>
      <c r="H71" s="52">
        <f t="shared" si="3"/>
        <v>17</v>
      </c>
    </row>
    <row r="72" spans="1:9">
      <c r="A72" s="52">
        <f t="shared" si="2"/>
        <v>18</v>
      </c>
      <c r="B72" s="51" t="s">
        <v>100</v>
      </c>
      <c r="E72" s="168">
        <f>E70*E71</f>
        <v>0</v>
      </c>
      <c r="G72" s="52" t="s">
        <v>101</v>
      </c>
      <c r="H72" s="52">
        <f t="shared" si="3"/>
        <v>18</v>
      </c>
    </row>
    <row r="73" spans="1:9">
      <c r="A73" s="52">
        <f t="shared" si="2"/>
        <v>19</v>
      </c>
      <c r="E73" s="169"/>
      <c r="G73" s="52"/>
      <c r="H73" s="52">
        <f t="shared" si="3"/>
        <v>19</v>
      </c>
    </row>
    <row r="74" spans="1:9">
      <c r="A74" s="52">
        <f t="shared" si="2"/>
        <v>20</v>
      </c>
      <c r="B74" s="61" t="s">
        <v>96</v>
      </c>
      <c r="E74" s="172">
        <f>E146</f>
        <v>0</v>
      </c>
      <c r="G74" s="52" t="s">
        <v>240</v>
      </c>
      <c r="H74" s="52">
        <f t="shared" si="3"/>
        <v>20</v>
      </c>
    </row>
    <row r="75" spans="1:9" ht="17.649999999999999">
      <c r="A75" s="52">
        <f t="shared" si="2"/>
        <v>21</v>
      </c>
      <c r="B75" s="61" t="s">
        <v>62</v>
      </c>
      <c r="C75" s="175"/>
      <c r="D75" s="137"/>
      <c r="E75" s="176">
        <v>0</v>
      </c>
      <c r="F75" s="123"/>
      <c r="G75" s="52" t="s">
        <v>241</v>
      </c>
      <c r="H75" s="52">
        <f t="shared" si="3"/>
        <v>21</v>
      </c>
      <c r="I75" s="175"/>
    </row>
    <row r="76" spans="1:9">
      <c r="A76" s="52">
        <f t="shared" si="2"/>
        <v>22</v>
      </c>
      <c r="B76" s="51" t="s">
        <v>104</v>
      </c>
      <c r="E76" s="168">
        <f>E74*E75</f>
        <v>0</v>
      </c>
      <c r="G76" s="52" t="s">
        <v>105</v>
      </c>
      <c r="H76" s="52">
        <f t="shared" si="3"/>
        <v>22</v>
      </c>
    </row>
    <row r="77" spans="1:9">
      <c r="A77" s="52">
        <f t="shared" si="2"/>
        <v>23</v>
      </c>
      <c r="E77" s="171"/>
      <c r="G77" s="52"/>
      <c r="H77" s="52">
        <f t="shared" si="3"/>
        <v>23</v>
      </c>
    </row>
    <row r="78" spans="1:9" ht="15.75" thickBot="1">
      <c r="A78" s="52">
        <f t="shared" si="2"/>
        <v>24</v>
      </c>
      <c r="B78" s="51" t="s">
        <v>106</v>
      </c>
      <c r="E78" s="170">
        <f>E68+E72+E76</f>
        <v>0</v>
      </c>
      <c r="G78" s="52" t="s">
        <v>107</v>
      </c>
      <c r="H78" s="52">
        <f t="shared" si="3"/>
        <v>24</v>
      </c>
    </row>
    <row r="79" spans="1:9" ht="15.75" thickTop="1">
      <c r="A79" s="52">
        <f t="shared" si="2"/>
        <v>25</v>
      </c>
      <c r="E79" s="171"/>
      <c r="G79" s="52"/>
      <c r="H79" s="52">
        <f t="shared" si="3"/>
        <v>25</v>
      </c>
    </row>
    <row r="80" spans="1:9" ht="17.25">
      <c r="A80" s="52">
        <f t="shared" si="2"/>
        <v>26</v>
      </c>
      <c r="B80" s="78" t="s">
        <v>108</v>
      </c>
      <c r="C80" s="134"/>
      <c r="D80" s="134"/>
      <c r="E80" s="165"/>
      <c r="G80" s="52"/>
      <c r="H80" s="52">
        <f t="shared" si="3"/>
        <v>26</v>
      </c>
    </row>
    <row r="81" spans="1:8">
      <c r="A81" s="52">
        <f t="shared" si="2"/>
        <v>27</v>
      </c>
      <c r="B81" s="51" t="s">
        <v>109</v>
      </c>
      <c r="C81" s="134"/>
      <c r="D81" s="134"/>
      <c r="E81" s="164">
        <f>E148</f>
        <v>0</v>
      </c>
      <c r="G81" s="52" t="s">
        <v>242</v>
      </c>
      <c r="H81" s="52">
        <f t="shared" si="3"/>
        <v>27</v>
      </c>
    </row>
    <row r="82" spans="1:8" ht="17.649999999999999">
      <c r="A82" s="52">
        <f t="shared" si="2"/>
        <v>28</v>
      </c>
      <c r="B82" s="61" t="s">
        <v>98</v>
      </c>
      <c r="C82" s="134"/>
      <c r="D82" s="134"/>
      <c r="E82" s="177">
        <f>'Pg7 Revised Stmt AV'!G147</f>
        <v>9.6203495288120069E-2</v>
      </c>
      <c r="F82" s="41" t="s">
        <v>38</v>
      </c>
      <c r="G82" s="52" t="s">
        <v>225</v>
      </c>
      <c r="H82" s="52">
        <f t="shared" si="3"/>
        <v>28</v>
      </c>
    </row>
    <row r="83" spans="1:8">
      <c r="A83" s="52">
        <f t="shared" si="2"/>
        <v>29</v>
      </c>
      <c r="B83" s="51" t="s">
        <v>112</v>
      </c>
      <c r="C83" s="134"/>
      <c r="D83" s="134"/>
      <c r="E83" s="178">
        <f>E81*E82</f>
        <v>0</v>
      </c>
      <c r="G83" s="52" t="s">
        <v>113</v>
      </c>
      <c r="H83" s="52">
        <f t="shared" si="3"/>
        <v>29</v>
      </c>
    </row>
    <row r="84" spans="1:8">
      <c r="A84" s="52">
        <f t="shared" si="2"/>
        <v>30</v>
      </c>
      <c r="C84" s="134"/>
      <c r="D84" s="134"/>
      <c r="E84" s="179"/>
      <c r="G84" s="52"/>
      <c r="H84" s="52">
        <f t="shared" si="3"/>
        <v>30</v>
      </c>
    </row>
    <row r="85" spans="1:8">
      <c r="A85" s="52">
        <f t="shared" si="2"/>
        <v>31</v>
      </c>
      <c r="B85" s="51" t="s">
        <v>109</v>
      </c>
      <c r="C85" s="134"/>
      <c r="D85" s="134"/>
      <c r="E85" s="164">
        <f>E148</f>
        <v>0</v>
      </c>
      <c r="G85" s="52" t="s">
        <v>242</v>
      </c>
      <c r="H85" s="52">
        <f t="shared" si="3"/>
        <v>31</v>
      </c>
    </row>
    <row r="86" spans="1:8" ht="17.649999999999999">
      <c r="A86" s="52">
        <f t="shared" si="2"/>
        <v>32</v>
      </c>
      <c r="B86" s="61" t="s">
        <v>62</v>
      </c>
      <c r="C86" s="134"/>
      <c r="D86" s="134"/>
      <c r="E86" s="180">
        <f>'Pg7 Revised Stmt AV'!G180</f>
        <v>3.8762955624239964E-3</v>
      </c>
      <c r="F86" s="123"/>
      <c r="G86" s="52" t="s">
        <v>228</v>
      </c>
      <c r="H86" s="52">
        <f t="shared" si="3"/>
        <v>32</v>
      </c>
    </row>
    <row r="87" spans="1:8">
      <c r="A87" s="52">
        <f t="shared" si="2"/>
        <v>33</v>
      </c>
      <c r="B87" s="51" t="s">
        <v>116</v>
      </c>
      <c r="C87" s="134"/>
      <c r="D87" s="134"/>
      <c r="E87" s="178">
        <f>E85*E86</f>
        <v>0</v>
      </c>
      <c r="G87" s="52" t="s">
        <v>117</v>
      </c>
      <c r="H87" s="52">
        <f t="shared" si="3"/>
        <v>33</v>
      </c>
    </row>
    <row r="88" spans="1:8">
      <c r="A88" s="52">
        <f t="shared" si="2"/>
        <v>34</v>
      </c>
      <c r="C88" s="134"/>
      <c r="D88" s="134"/>
      <c r="E88" s="179"/>
      <c r="G88" s="52"/>
      <c r="H88" s="52">
        <f t="shared" si="3"/>
        <v>34</v>
      </c>
    </row>
    <row r="89" spans="1:8" ht="15.75" thickBot="1">
      <c r="A89" s="52">
        <f t="shared" si="2"/>
        <v>35</v>
      </c>
      <c r="B89" s="51" t="s">
        <v>118</v>
      </c>
      <c r="C89" s="134"/>
      <c r="D89" s="134"/>
      <c r="E89" s="170">
        <f>E83+E87</f>
        <v>0</v>
      </c>
      <c r="G89" s="52" t="s">
        <v>119</v>
      </c>
      <c r="H89" s="52">
        <f t="shared" si="3"/>
        <v>35</v>
      </c>
    </row>
    <row r="90" spans="1:8" ht="15.75" thickTop="1">
      <c r="A90" s="52">
        <f t="shared" si="2"/>
        <v>36</v>
      </c>
      <c r="C90" s="134"/>
      <c r="D90" s="134"/>
      <c r="E90" s="165"/>
      <c r="G90" s="52"/>
      <c r="H90" s="52">
        <f t="shared" si="3"/>
        <v>36</v>
      </c>
    </row>
    <row r="91" spans="1:8" ht="18" thickBot="1">
      <c r="A91" s="52">
        <f t="shared" si="2"/>
        <v>37</v>
      </c>
      <c r="B91" s="51" t="s">
        <v>120</v>
      </c>
      <c r="E91" s="181">
        <f>E65+E78+E89</f>
        <v>0</v>
      </c>
      <c r="G91" s="52" t="s">
        <v>121</v>
      </c>
      <c r="H91" s="52">
        <f t="shared" si="3"/>
        <v>37</v>
      </c>
    </row>
    <row r="92" spans="1:8" ht="15.75" thickTop="1">
      <c r="A92" s="52">
        <f t="shared" si="2"/>
        <v>38</v>
      </c>
      <c r="C92" s="134"/>
      <c r="D92" s="134"/>
      <c r="E92" s="165"/>
      <c r="G92" s="52"/>
      <c r="H92" s="52">
        <f t="shared" si="3"/>
        <v>38</v>
      </c>
    </row>
    <row r="93" spans="1:8" ht="18.399999999999999" thickBot="1">
      <c r="A93" s="52">
        <f t="shared" si="2"/>
        <v>39</v>
      </c>
      <c r="B93" s="78" t="s">
        <v>122</v>
      </c>
      <c r="C93" s="134"/>
      <c r="D93" s="134"/>
      <c r="E93" s="162">
        <f>+E40+E91</f>
        <v>762611.6031893082</v>
      </c>
      <c r="F93" s="41" t="s">
        <v>38</v>
      </c>
      <c r="G93" s="52" t="s">
        <v>123</v>
      </c>
      <c r="H93" s="52">
        <f t="shared" si="3"/>
        <v>39</v>
      </c>
    </row>
    <row r="94" spans="1:8" ht="15.75" thickTop="1">
      <c r="A94" s="52"/>
      <c r="B94" s="78"/>
      <c r="C94" s="134"/>
      <c r="D94" s="134"/>
      <c r="E94" s="165"/>
      <c r="F94" s="123"/>
      <c r="G94" s="52"/>
    </row>
    <row r="95" spans="1:8" ht="15.75">
      <c r="A95" s="41" t="s">
        <v>38</v>
      </c>
      <c r="B95" s="32" t="str">
        <f>B42</f>
        <v>Items that are in bold have changed compared to the original TO5 Cycle 2 filing per ER20-503.</v>
      </c>
      <c r="C95" s="134"/>
      <c r="D95" s="134"/>
      <c r="E95" s="165"/>
      <c r="F95" s="123"/>
      <c r="G95" s="52"/>
    </row>
    <row r="96" spans="1:8" ht="17.25">
      <c r="A96" s="69">
        <v>1</v>
      </c>
      <c r="B96" s="51" t="s">
        <v>78</v>
      </c>
      <c r="C96" s="134"/>
      <c r="D96" s="134"/>
      <c r="E96" s="165"/>
      <c r="G96" s="52"/>
    </row>
    <row r="97" spans="1:8" ht="17.25">
      <c r="A97" s="69">
        <v>2</v>
      </c>
      <c r="B97" s="51" t="s">
        <v>124</v>
      </c>
      <c r="C97" s="134"/>
      <c r="D97" s="134"/>
      <c r="E97" s="182"/>
      <c r="F97" s="145"/>
      <c r="G97" s="52"/>
    </row>
    <row r="98" spans="1:8" ht="17.25">
      <c r="A98" s="69">
        <v>3</v>
      </c>
      <c r="B98" s="51" t="s">
        <v>125</v>
      </c>
      <c r="C98" s="134"/>
      <c r="D98" s="134"/>
      <c r="E98" s="165"/>
      <c r="G98" s="52"/>
    </row>
    <row r="99" spans="1:8">
      <c r="A99" s="52"/>
      <c r="B99" s="123"/>
      <c r="C99" s="134"/>
      <c r="D99" s="134"/>
      <c r="E99" s="165"/>
      <c r="G99" s="52"/>
    </row>
    <row r="100" spans="1:8">
      <c r="A100" s="52"/>
      <c r="C100" s="134"/>
      <c r="D100" s="134"/>
      <c r="E100" s="165"/>
      <c r="G100" s="127"/>
    </row>
    <row r="101" spans="1:8">
      <c r="A101" s="52"/>
      <c r="B101" s="608" t="s">
        <v>214</v>
      </c>
      <c r="C101" s="609"/>
      <c r="D101" s="609"/>
      <c r="E101" s="609"/>
      <c r="F101" s="609"/>
      <c r="G101" s="609"/>
    </row>
    <row r="102" spans="1:8">
      <c r="A102" s="52"/>
      <c r="B102" s="608" t="s">
        <v>215</v>
      </c>
      <c r="C102" s="609"/>
      <c r="D102" s="609"/>
      <c r="E102" s="609"/>
      <c r="F102" s="609"/>
      <c r="G102" s="609"/>
    </row>
    <row r="103" spans="1:8" ht="18">
      <c r="A103" s="52" t="s">
        <v>33</v>
      </c>
      <c r="B103" s="608" t="s">
        <v>216</v>
      </c>
      <c r="C103" s="610"/>
      <c r="D103" s="610"/>
      <c r="E103" s="610"/>
      <c r="F103" s="610"/>
      <c r="G103" s="610"/>
      <c r="H103" s="52" t="s">
        <v>33</v>
      </c>
    </row>
    <row r="104" spans="1:8">
      <c r="A104" s="52"/>
      <c r="B104" s="613" t="str">
        <f>B5</f>
        <v>For the Base Period &amp; True-Up Period Ending December 31, 2018</v>
      </c>
      <c r="C104" s="614"/>
      <c r="D104" s="614"/>
      <c r="E104" s="614"/>
      <c r="F104" s="614"/>
      <c r="G104" s="614"/>
    </row>
    <row r="105" spans="1:8">
      <c r="A105" s="52"/>
      <c r="B105" s="612" t="s">
        <v>3</v>
      </c>
      <c r="C105" s="609"/>
      <c r="D105" s="609"/>
      <c r="E105" s="609"/>
      <c r="F105" s="609"/>
      <c r="G105" s="609"/>
    </row>
    <row r="106" spans="1:8">
      <c r="A106" s="52"/>
      <c r="B106" s="128"/>
      <c r="C106" s="123"/>
      <c r="D106" s="123"/>
      <c r="E106" s="123"/>
      <c r="F106" s="123"/>
      <c r="G106" s="123"/>
    </row>
    <row r="107" spans="1:8">
      <c r="A107" s="52" t="s">
        <v>4</v>
      </c>
      <c r="E107" s="129"/>
      <c r="G107" s="52"/>
      <c r="H107" s="52" t="s">
        <v>4</v>
      </c>
    </row>
    <row r="108" spans="1:8">
      <c r="A108" s="52" t="s">
        <v>5</v>
      </c>
      <c r="B108" s="123" t="s">
        <v>33</v>
      </c>
      <c r="E108" s="130" t="s">
        <v>7</v>
      </c>
      <c r="G108" s="131" t="s">
        <v>8</v>
      </c>
      <c r="H108" s="52" t="s">
        <v>5</v>
      </c>
    </row>
    <row r="109" spans="1:8">
      <c r="A109" s="132"/>
      <c r="B109" s="70" t="s">
        <v>243</v>
      </c>
      <c r="C109" s="183"/>
      <c r="D109" s="183"/>
      <c r="E109" s="183"/>
      <c r="G109" s="52"/>
      <c r="H109" s="132"/>
    </row>
    <row r="110" spans="1:8">
      <c r="A110" s="52">
        <v>1</v>
      </c>
      <c r="B110" s="184" t="s">
        <v>127</v>
      </c>
      <c r="C110" s="183"/>
      <c r="D110" s="183"/>
      <c r="E110" s="183"/>
      <c r="G110" s="52"/>
      <c r="H110" s="52">
        <f>A110</f>
        <v>1</v>
      </c>
    </row>
    <row r="111" spans="1:8">
      <c r="A111" s="52">
        <f t="shared" ref="A111:A148" si="4">A110+1</f>
        <v>2</v>
      </c>
      <c r="B111" s="61" t="s">
        <v>128</v>
      </c>
      <c r="C111" s="183"/>
      <c r="D111" s="183"/>
      <c r="E111" s="185">
        <f>E178</f>
        <v>4558369.6291265385</v>
      </c>
      <c r="F111" s="145"/>
      <c r="G111" s="52" t="s">
        <v>244</v>
      </c>
      <c r="H111" s="52">
        <f t="shared" ref="H111:H148" si="5">H110+1</f>
        <v>2</v>
      </c>
    </row>
    <row r="112" spans="1:8">
      <c r="A112" s="52">
        <f t="shared" si="4"/>
        <v>3</v>
      </c>
      <c r="B112" s="61" t="s">
        <v>130</v>
      </c>
      <c r="C112" s="183"/>
      <c r="D112" s="183"/>
      <c r="E112" s="186">
        <f>E179</f>
        <v>11322.49192710959</v>
      </c>
      <c r="F112" s="145"/>
      <c r="G112" s="52" t="s">
        <v>245</v>
      </c>
      <c r="H112" s="52">
        <f t="shared" si="5"/>
        <v>3</v>
      </c>
    </row>
    <row r="113" spans="1:8">
      <c r="A113" s="52">
        <f t="shared" si="4"/>
        <v>4</v>
      </c>
      <c r="B113" s="61" t="s">
        <v>132</v>
      </c>
      <c r="C113" s="183"/>
      <c r="D113" s="183"/>
      <c r="E113" s="186">
        <f>E180</f>
        <v>48316.721508113143</v>
      </c>
      <c r="G113" s="52" t="s">
        <v>246</v>
      </c>
      <c r="H113" s="52">
        <f t="shared" si="5"/>
        <v>4</v>
      </c>
    </row>
    <row r="114" spans="1:8">
      <c r="A114" s="52">
        <f t="shared" si="4"/>
        <v>5</v>
      </c>
      <c r="B114" s="61" t="s">
        <v>134</v>
      </c>
      <c r="C114" s="183"/>
      <c r="D114" s="183"/>
      <c r="E114" s="187">
        <f>E181</f>
        <v>92493.61877057403</v>
      </c>
      <c r="G114" s="52" t="s">
        <v>247</v>
      </c>
      <c r="H114" s="52">
        <f t="shared" si="5"/>
        <v>5</v>
      </c>
    </row>
    <row r="115" spans="1:8">
      <c r="A115" s="52">
        <f t="shared" si="4"/>
        <v>6</v>
      </c>
      <c r="B115" s="61" t="s">
        <v>136</v>
      </c>
      <c r="C115" s="52"/>
      <c r="D115" s="52"/>
      <c r="E115" s="188">
        <f>SUM(E111:E114)</f>
        <v>4710502.4613323351</v>
      </c>
      <c r="F115" s="145"/>
      <c r="G115" s="52" t="s">
        <v>137</v>
      </c>
      <c r="H115" s="52">
        <f t="shared" si="5"/>
        <v>6</v>
      </c>
    </row>
    <row r="116" spans="1:8">
      <c r="A116" s="52">
        <f t="shared" si="4"/>
        <v>7</v>
      </c>
      <c r="C116" s="52"/>
      <c r="D116" s="52"/>
      <c r="E116" s="146"/>
      <c r="G116" s="52"/>
      <c r="H116" s="52">
        <f t="shared" si="5"/>
        <v>7</v>
      </c>
    </row>
    <row r="117" spans="1:8">
      <c r="A117" s="52">
        <f t="shared" si="4"/>
        <v>8</v>
      </c>
      <c r="B117" s="184" t="s">
        <v>138</v>
      </c>
      <c r="C117" s="52"/>
      <c r="D117" s="52"/>
      <c r="E117" s="146"/>
      <c r="G117" s="52"/>
      <c r="H117" s="52">
        <f t="shared" si="5"/>
        <v>8</v>
      </c>
    </row>
    <row r="118" spans="1:8">
      <c r="A118" s="52">
        <f t="shared" si="4"/>
        <v>9</v>
      </c>
      <c r="B118" s="61" t="s">
        <v>248</v>
      </c>
      <c r="C118" s="52"/>
      <c r="D118" s="52"/>
      <c r="E118" s="189">
        <v>950.34505384615397</v>
      </c>
      <c r="F118" s="145"/>
      <c r="G118" s="52" t="s">
        <v>249</v>
      </c>
      <c r="H118" s="52">
        <f t="shared" si="5"/>
        <v>9</v>
      </c>
    </row>
    <row r="119" spans="1:8">
      <c r="A119" s="52">
        <f t="shared" si="4"/>
        <v>10</v>
      </c>
      <c r="B119" s="61" t="s">
        <v>141</v>
      </c>
      <c r="C119" s="52"/>
      <c r="D119" s="52"/>
      <c r="E119" s="190">
        <v>0</v>
      </c>
      <c r="G119" s="52" t="s">
        <v>250</v>
      </c>
      <c r="H119" s="52">
        <f t="shared" si="5"/>
        <v>10</v>
      </c>
    </row>
    <row r="120" spans="1:8">
      <c r="A120" s="52">
        <f t="shared" si="4"/>
        <v>11</v>
      </c>
      <c r="B120" s="61" t="s">
        <v>143</v>
      </c>
      <c r="C120" s="52"/>
      <c r="D120" s="52"/>
      <c r="E120" s="191">
        <f>SUM(E118:E119)</f>
        <v>950.34505384615397</v>
      </c>
      <c r="F120" s="145"/>
      <c r="G120" s="52" t="s">
        <v>144</v>
      </c>
      <c r="H120" s="52">
        <f t="shared" si="5"/>
        <v>11</v>
      </c>
    </row>
    <row r="121" spans="1:8">
      <c r="A121" s="52">
        <f t="shared" si="4"/>
        <v>12</v>
      </c>
      <c r="B121" s="61"/>
      <c r="C121" s="52"/>
      <c r="D121" s="52"/>
      <c r="E121" s="165"/>
      <c r="G121" s="52"/>
      <c r="H121" s="52">
        <f t="shared" si="5"/>
        <v>12</v>
      </c>
    </row>
    <row r="122" spans="1:8">
      <c r="A122" s="52">
        <f t="shared" si="4"/>
        <v>13</v>
      </c>
      <c r="B122" s="184" t="s">
        <v>145</v>
      </c>
      <c r="E122" s="146"/>
      <c r="G122" s="52"/>
      <c r="H122" s="52">
        <f t="shared" si="5"/>
        <v>13</v>
      </c>
    </row>
    <row r="123" spans="1:8">
      <c r="A123" s="52">
        <f t="shared" si="4"/>
        <v>14</v>
      </c>
      <c r="B123" s="51" t="s">
        <v>146</v>
      </c>
      <c r="C123" s="52"/>
      <c r="D123" s="52"/>
      <c r="E123" s="192">
        <v>-789049.57673542202</v>
      </c>
      <c r="G123" s="52" t="s">
        <v>251</v>
      </c>
      <c r="H123" s="52">
        <f t="shared" si="5"/>
        <v>14</v>
      </c>
    </row>
    <row r="124" spans="1:8">
      <c r="A124" s="52">
        <f t="shared" si="4"/>
        <v>15</v>
      </c>
      <c r="B124" s="51" t="s">
        <v>148</v>
      </c>
      <c r="C124" s="52"/>
      <c r="D124" s="52"/>
      <c r="E124" s="160">
        <v>0</v>
      </c>
      <c r="G124" s="52" t="s">
        <v>252</v>
      </c>
      <c r="H124" s="52">
        <f t="shared" si="5"/>
        <v>15</v>
      </c>
    </row>
    <row r="125" spans="1:8">
      <c r="A125" s="52">
        <f t="shared" si="4"/>
        <v>16</v>
      </c>
      <c r="B125" s="61" t="s">
        <v>150</v>
      </c>
      <c r="C125" s="52"/>
      <c r="D125" s="52"/>
      <c r="E125" s="188">
        <f>SUM(E123:E124)</f>
        <v>-789049.57673542202</v>
      </c>
      <c r="G125" s="52" t="s">
        <v>151</v>
      </c>
      <c r="H125" s="52">
        <f t="shared" si="5"/>
        <v>16</v>
      </c>
    </row>
    <row r="126" spans="1:8">
      <c r="A126" s="52">
        <f t="shared" si="4"/>
        <v>17</v>
      </c>
      <c r="C126" s="52"/>
      <c r="D126" s="52"/>
      <c r="E126" s="193"/>
      <c r="G126" s="52"/>
      <c r="H126" s="52">
        <f t="shared" si="5"/>
        <v>17</v>
      </c>
    </row>
    <row r="127" spans="1:8">
      <c r="A127" s="52">
        <f t="shared" si="4"/>
        <v>18</v>
      </c>
      <c r="B127" s="184" t="s">
        <v>152</v>
      </c>
      <c r="C127" s="52"/>
      <c r="D127" s="52"/>
      <c r="E127" s="193"/>
      <c r="G127" s="52"/>
      <c r="H127" s="52">
        <f t="shared" si="5"/>
        <v>18</v>
      </c>
    </row>
    <row r="128" spans="1:8">
      <c r="A128" s="52">
        <f t="shared" si="4"/>
        <v>19</v>
      </c>
      <c r="B128" s="61" t="s">
        <v>253</v>
      </c>
      <c r="C128" s="52"/>
      <c r="D128" s="52"/>
      <c r="E128" s="185">
        <f>'Pg6 Revised Stmt AL'!G15</f>
        <v>53379.94143889867</v>
      </c>
      <c r="F128" s="145"/>
      <c r="G128" s="52" t="s">
        <v>254</v>
      </c>
      <c r="H128" s="52">
        <f t="shared" si="5"/>
        <v>19</v>
      </c>
    </row>
    <row r="129" spans="1:8">
      <c r="A129" s="52">
        <f t="shared" si="4"/>
        <v>20</v>
      </c>
      <c r="B129" s="61" t="s">
        <v>155</v>
      </c>
      <c r="C129" s="52"/>
      <c r="D129" s="52"/>
      <c r="E129" s="186">
        <f>'Pg6 Revised Stmt AL'!G19</f>
        <v>20174.06332246157</v>
      </c>
      <c r="F129" s="145"/>
      <c r="G129" s="52" t="s">
        <v>255</v>
      </c>
      <c r="H129" s="52">
        <f t="shared" si="5"/>
        <v>20</v>
      </c>
    </row>
    <row r="130" spans="1:8" ht="15.75">
      <c r="A130" s="52">
        <f t="shared" si="4"/>
        <v>21</v>
      </c>
      <c r="B130" s="61" t="s">
        <v>157</v>
      </c>
      <c r="C130" s="52"/>
      <c r="D130" s="52"/>
      <c r="E130" s="194">
        <f>'Pg6 Revised Stmt AL'!E29</f>
        <v>17790.862056212995</v>
      </c>
      <c r="F130" s="41" t="s">
        <v>38</v>
      </c>
      <c r="G130" s="52" t="s">
        <v>256</v>
      </c>
      <c r="H130" s="52">
        <f t="shared" si="5"/>
        <v>21</v>
      </c>
    </row>
    <row r="131" spans="1:8" ht="15.75">
      <c r="A131" s="52">
        <f t="shared" si="4"/>
        <v>22</v>
      </c>
      <c r="B131" s="61" t="s">
        <v>257</v>
      </c>
      <c r="E131" s="155">
        <f>SUM(E128:E130)</f>
        <v>91344.866817573231</v>
      </c>
      <c r="F131" s="41" t="s">
        <v>38</v>
      </c>
      <c r="G131" s="52" t="s">
        <v>160</v>
      </c>
      <c r="H131" s="52">
        <f t="shared" si="5"/>
        <v>22</v>
      </c>
    </row>
    <row r="132" spans="1:8">
      <c r="A132" s="52">
        <f t="shared" si="4"/>
        <v>23</v>
      </c>
      <c r="B132" s="61"/>
      <c r="E132" s="195"/>
      <c r="G132" s="52"/>
      <c r="H132" s="52">
        <f t="shared" si="5"/>
        <v>23</v>
      </c>
    </row>
    <row r="133" spans="1:8">
      <c r="A133" s="52">
        <f t="shared" si="4"/>
        <v>24</v>
      </c>
      <c r="B133" s="61" t="s">
        <v>161</v>
      </c>
      <c r="E133" s="196">
        <v>0</v>
      </c>
      <c r="G133" s="52" t="s">
        <v>258</v>
      </c>
      <c r="H133" s="52">
        <f t="shared" si="5"/>
        <v>24</v>
      </c>
    </row>
    <row r="134" spans="1:8">
      <c r="A134" s="52">
        <f t="shared" si="4"/>
        <v>25</v>
      </c>
      <c r="B134" s="61" t="s">
        <v>163</v>
      </c>
      <c r="E134" s="167">
        <v>-8498.1843313184672</v>
      </c>
      <c r="G134" s="52" t="s">
        <v>259</v>
      </c>
      <c r="H134" s="52">
        <f t="shared" si="5"/>
        <v>25</v>
      </c>
    </row>
    <row r="135" spans="1:8">
      <c r="A135" s="52">
        <f t="shared" si="4"/>
        <v>26</v>
      </c>
      <c r="B135" s="61"/>
      <c r="E135" s="195"/>
      <c r="G135" s="52"/>
      <c r="H135" s="52">
        <f t="shared" si="5"/>
        <v>26</v>
      </c>
    </row>
    <row r="136" spans="1:8" ht="16.149999999999999" thickBot="1">
      <c r="A136" s="52">
        <f t="shared" si="4"/>
        <v>27</v>
      </c>
      <c r="B136" s="61" t="s">
        <v>165</v>
      </c>
      <c r="E136" s="197">
        <f>E133+E131+E125+E120+E115+E134</f>
        <v>4005249.9121370139</v>
      </c>
      <c r="F136" s="41" t="s">
        <v>38</v>
      </c>
      <c r="G136" s="52" t="s">
        <v>166</v>
      </c>
      <c r="H136" s="52">
        <f t="shared" si="5"/>
        <v>27</v>
      </c>
    </row>
    <row r="137" spans="1:8" ht="15.75" thickTop="1">
      <c r="A137" s="52">
        <f t="shared" si="4"/>
        <v>28</v>
      </c>
      <c r="B137" s="61"/>
      <c r="E137" s="171"/>
      <c r="G137" s="52"/>
      <c r="H137" s="52">
        <f t="shared" si="5"/>
        <v>28</v>
      </c>
    </row>
    <row r="138" spans="1:8" ht="17.25">
      <c r="A138" s="52">
        <f t="shared" si="4"/>
        <v>29</v>
      </c>
      <c r="B138" s="70" t="s">
        <v>167</v>
      </c>
      <c r="E138" s="171"/>
      <c r="G138" s="52"/>
      <c r="H138" s="52">
        <f t="shared" si="5"/>
        <v>29</v>
      </c>
    </row>
    <row r="139" spans="1:8">
      <c r="A139" s="52">
        <f t="shared" si="4"/>
        <v>30</v>
      </c>
      <c r="B139" s="61" t="s">
        <v>168</v>
      </c>
      <c r="E139" s="172">
        <f>E187</f>
        <v>0</v>
      </c>
      <c r="G139" s="52" t="s">
        <v>260</v>
      </c>
      <c r="H139" s="52">
        <f t="shared" si="5"/>
        <v>30</v>
      </c>
    </row>
    <row r="140" spans="1:8">
      <c r="A140" s="52">
        <f t="shared" si="4"/>
        <v>31</v>
      </c>
      <c r="B140" s="61" t="s">
        <v>170</v>
      </c>
      <c r="E140" s="160">
        <v>0</v>
      </c>
      <c r="G140" s="52" t="s">
        <v>261</v>
      </c>
      <c r="H140" s="52">
        <f t="shared" si="5"/>
        <v>31</v>
      </c>
    </row>
    <row r="141" spans="1:8">
      <c r="A141" s="52">
        <f t="shared" si="4"/>
        <v>32</v>
      </c>
      <c r="B141" s="51" t="s">
        <v>172</v>
      </c>
      <c r="E141" s="168">
        <f>SUM(E139:E140)</f>
        <v>0</v>
      </c>
      <c r="G141" s="52" t="s">
        <v>173</v>
      </c>
      <c r="H141" s="52">
        <f t="shared" si="5"/>
        <v>32</v>
      </c>
    </row>
    <row r="142" spans="1:8">
      <c r="A142" s="52">
        <f t="shared" si="4"/>
        <v>33</v>
      </c>
      <c r="B142" s="61"/>
      <c r="E142" s="171"/>
      <c r="G142" s="52"/>
      <c r="H142" s="52">
        <f t="shared" si="5"/>
        <v>33</v>
      </c>
    </row>
    <row r="143" spans="1:8" ht="17.25">
      <c r="A143" s="52">
        <f t="shared" si="4"/>
        <v>34</v>
      </c>
      <c r="B143" s="70" t="s">
        <v>174</v>
      </c>
      <c r="E143" s="171"/>
      <c r="G143" s="52"/>
      <c r="H143" s="52">
        <f t="shared" si="5"/>
        <v>34</v>
      </c>
    </row>
    <row r="144" spans="1:8">
      <c r="A144" s="52">
        <f t="shared" si="4"/>
        <v>35</v>
      </c>
      <c r="B144" s="61" t="s">
        <v>175</v>
      </c>
      <c r="E144" s="172">
        <v>0</v>
      </c>
      <c r="G144" s="52" t="s">
        <v>262</v>
      </c>
      <c r="H144" s="52">
        <f t="shared" si="5"/>
        <v>35</v>
      </c>
    </row>
    <row r="145" spans="1:8">
      <c r="A145" s="52">
        <f t="shared" si="4"/>
        <v>36</v>
      </c>
      <c r="B145" s="51" t="s">
        <v>177</v>
      </c>
      <c r="E145" s="161">
        <v>0</v>
      </c>
      <c r="G145" s="52" t="s">
        <v>263</v>
      </c>
      <c r="H145" s="52">
        <f t="shared" si="5"/>
        <v>36</v>
      </c>
    </row>
    <row r="146" spans="1:8">
      <c r="A146" s="52">
        <f t="shared" si="4"/>
        <v>37</v>
      </c>
      <c r="B146" s="51" t="s">
        <v>179</v>
      </c>
      <c r="E146" s="168">
        <f>SUM(E144:E145)</f>
        <v>0</v>
      </c>
      <c r="G146" s="52" t="s">
        <v>180</v>
      </c>
      <c r="H146" s="52">
        <f t="shared" si="5"/>
        <v>37</v>
      </c>
    </row>
    <row r="147" spans="1:8">
      <c r="A147" s="52">
        <f t="shared" si="4"/>
        <v>38</v>
      </c>
      <c r="B147" s="61"/>
      <c r="E147" s="171"/>
      <c r="G147" s="52"/>
      <c r="H147" s="52">
        <f t="shared" si="5"/>
        <v>38</v>
      </c>
    </row>
    <row r="148" spans="1:8" ht="17.25">
      <c r="A148" s="52">
        <f t="shared" si="4"/>
        <v>39</v>
      </c>
      <c r="B148" s="70" t="s">
        <v>181</v>
      </c>
      <c r="E148" s="172">
        <v>0</v>
      </c>
      <c r="G148" s="52" t="s">
        <v>264</v>
      </c>
      <c r="H148" s="52">
        <f t="shared" si="5"/>
        <v>39</v>
      </c>
    </row>
    <row r="149" spans="1:8">
      <c r="A149" s="52"/>
      <c r="B149" s="61"/>
      <c r="E149" s="171"/>
      <c r="G149" s="52"/>
    </row>
    <row r="150" spans="1:8" ht="15.75">
      <c r="A150" s="41" t="s">
        <v>38</v>
      </c>
      <c r="B150" s="32" t="str">
        <f>B42</f>
        <v>Items that are in bold have changed compared to the original TO5 Cycle 2 filing per ER20-503.</v>
      </c>
      <c r="E150" s="171"/>
      <c r="G150" s="52"/>
    </row>
    <row r="151" spans="1:8" ht="17.25">
      <c r="A151" s="69">
        <v>1</v>
      </c>
      <c r="B151" s="51" t="s">
        <v>124</v>
      </c>
      <c r="E151" s="171"/>
      <c r="G151" s="52"/>
    </row>
    <row r="152" spans="1:8">
      <c r="A152" s="52"/>
      <c r="B152" s="123"/>
      <c r="E152" s="171"/>
      <c r="G152" s="52"/>
    </row>
    <row r="153" spans="1:8">
      <c r="A153" s="52"/>
      <c r="B153" s="123"/>
      <c r="E153" s="171"/>
      <c r="G153" s="52"/>
    </row>
    <row r="154" spans="1:8">
      <c r="A154" s="52"/>
      <c r="B154" s="608" t="s">
        <v>214</v>
      </c>
      <c r="C154" s="609"/>
      <c r="D154" s="609"/>
      <c r="E154" s="609"/>
      <c r="F154" s="609"/>
      <c r="G154" s="609"/>
    </row>
    <row r="155" spans="1:8">
      <c r="A155" s="52" t="s">
        <v>33</v>
      </c>
      <c r="B155" s="608" t="s">
        <v>215</v>
      </c>
      <c r="C155" s="609"/>
      <c r="D155" s="609"/>
      <c r="E155" s="609"/>
      <c r="F155" s="609"/>
      <c r="G155" s="609"/>
    </row>
    <row r="156" spans="1:8" ht="18">
      <c r="A156" s="52"/>
      <c r="B156" s="608" t="s">
        <v>216</v>
      </c>
      <c r="C156" s="610"/>
      <c r="D156" s="610"/>
      <c r="E156" s="610"/>
      <c r="F156" s="610"/>
      <c r="G156" s="610"/>
    </row>
    <row r="157" spans="1:8">
      <c r="A157" s="52"/>
      <c r="B157" s="613" t="str">
        <f>B5</f>
        <v>For the Base Period &amp; True-Up Period Ending December 31, 2018</v>
      </c>
      <c r="C157" s="614"/>
      <c r="D157" s="614"/>
      <c r="E157" s="614"/>
      <c r="F157" s="614"/>
      <c r="G157" s="614"/>
    </row>
    <row r="158" spans="1:8">
      <c r="A158" s="52"/>
      <c r="B158" s="612" t="s">
        <v>3</v>
      </c>
      <c r="C158" s="609"/>
      <c r="D158" s="609"/>
      <c r="E158" s="609"/>
      <c r="F158" s="609"/>
      <c r="G158" s="609"/>
    </row>
    <row r="159" spans="1:8">
      <c r="A159" s="52"/>
      <c r="B159" s="198"/>
    </row>
    <row r="160" spans="1:8">
      <c r="A160" s="52" t="s">
        <v>4</v>
      </c>
      <c r="E160" s="129"/>
      <c r="G160" s="52"/>
      <c r="H160" s="52" t="s">
        <v>4</v>
      </c>
    </row>
    <row r="161" spans="1:10">
      <c r="A161" s="52" t="s">
        <v>5</v>
      </c>
      <c r="B161" s="123" t="s">
        <v>33</v>
      </c>
      <c r="E161" s="130" t="s">
        <v>7</v>
      </c>
      <c r="G161" s="131" t="s">
        <v>8</v>
      </c>
      <c r="H161" s="52" t="s">
        <v>5</v>
      </c>
    </row>
    <row r="162" spans="1:10">
      <c r="A162" s="132"/>
      <c r="B162" s="70" t="s">
        <v>265</v>
      </c>
      <c r="E162" s="129"/>
      <c r="G162" s="52"/>
      <c r="H162" s="132"/>
    </row>
    <row r="163" spans="1:10">
      <c r="A163" s="52">
        <v>1</v>
      </c>
      <c r="B163" s="184" t="s">
        <v>184</v>
      </c>
      <c r="E163" s="129"/>
      <c r="G163" s="52"/>
      <c r="H163" s="52">
        <f>A163</f>
        <v>1</v>
      </c>
    </row>
    <row r="164" spans="1:10">
      <c r="A164" s="52">
        <f t="shared" ref="A164:A187" si="6">A163+1</f>
        <v>2</v>
      </c>
      <c r="B164" s="61" t="s">
        <v>128</v>
      </c>
      <c r="E164" s="158">
        <v>5678390.0500223078</v>
      </c>
      <c r="F164" s="145"/>
      <c r="G164" s="52" t="s">
        <v>266</v>
      </c>
      <c r="H164" s="52">
        <f t="shared" ref="H164:H187" si="7">H163+1</f>
        <v>2</v>
      </c>
      <c r="I164" s="199"/>
    </row>
    <row r="165" spans="1:10">
      <c r="A165" s="52">
        <f t="shared" si="6"/>
        <v>3</v>
      </c>
      <c r="B165" s="61" t="s">
        <v>267</v>
      </c>
      <c r="E165" s="200">
        <v>34502.158789044915</v>
      </c>
      <c r="F165" s="145"/>
      <c r="G165" s="52" t="s">
        <v>268</v>
      </c>
      <c r="H165" s="52">
        <f t="shared" si="7"/>
        <v>3</v>
      </c>
      <c r="I165" s="201"/>
    </row>
    <row r="166" spans="1:10">
      <c r="A166" s="52">
        <f t="shared" si="6"/>
        <v>4</v>
      </c>
      <c r="B166" s="61" t="s">
        <v>132</v>
      </c>
      <c r="E166" s="200">
        <v>79064.08395179348</v>
      </c>
      <c r="F166" s="123"/>
      <c r="G166" s="52" t="s">
        <v>269</v>
      </c>
      <c r="H166" s="52">
        <f t="shared" si="7"/>
        <v>4</v>
      </c>
      <c r="J166" s="202"/>
    </row>
    <row r="167" spans="1:10">
      <c r="A167" s="52">
        <f t="shared" si="6"/>
        <v>5</v>
      </c>
      <c r="B167" s="61" t="s">
        <v>134</v>
      </c>
      <c r="C167" s="52"/>
      <c r="D167" s="52"/>
      <c r="E167" s="150">
        <v>178047.85010868488</v>
      </c>
      <c r="F167" s="123"/>
      <c r="G167" s="52" t="s">
        <v>270</v>
      </c>
      <c r="H167" s="52">
        <f t="shared" si="7"/>
        <v>5</v>
      </c>
    </row>
    <row r="168" spans="1:10">
      <c r="A168" s="52">
        <f t="shared" si="6"/>
        <v>6</v>
      </c>
      <c r="B168" s="61" t="s">
        <v>189</v>
      </c>
      <c r="E168" s="188">
        <f>SUM(E164:E167)</f>
        <v>5970004.1428718315</v>
      </c>
      <c r="F168" s="145"/>
      <c r="G168" s="52" t="s">
        <v>137</v>
      </c>
      <c r="H168" s="52">
        <f t="shared" si="7"/>
        <v>6</v>
      </c>
      <c r="I168" s="201"/>
    </row>
    <row r="169" spans="1:10">
      <c r="A169" s="52">
        <f t="shared" si="6"/>
        <v>7</v>
      </c>
      <c r="C169" s="52"/>
      <c r="D169" s="52"/>
      <c r="E169" s="129"/>
      <c r="G169" s="52"/>
      <c r="H169" s="52">
        <f t="shared" si="7"/>
        <v>7</v>
      </c>
    </row>
    <row r="170" spans="1:10">
      <c r="A170" s="52">
        <f t="shared" si="6"/>
        <v>8</v>
      </c>
      <c r="B170" s="119" t="s">
        <v>190</v>
      </c>
      <c r="E170" s="129"/>
      <c r="G170" s="52"/>
      <c r="H170" s="52">
        <f t="shared" si="7"/>
        <v>8</v>
      </c>
    </row>
    <row r="171" spans="1:10">
      <c r="A171" s="52">
        <f t="shared" si="6"/>
        <v>9</v>
      </c>
      <c r="B171" s="51" t="s">
        <v>191</v>
      </c>
      <c r="E171" s="158">
        <v>1120020.4208957693</v>
      </c>
      <c r="F171" s="145"/>
      <c r="G171" s="52" t="s">
        <v>271</v>
      </c>
      <c r="H171" s="52">
        <f t="shared" si="7"/>
        <v>9</v>
      </c>
    </row>
    <row r="172" spans="1:10">
      <c r="A172" s="52">
        <f t="shared" si="6"/>
        <v>10</v>
      </c>
      <c r="B172" s="51" t="s">
        <v>193</v>
      </c>
      <c r="E172" s="200">
        <v>23179.666861935326</v>
      </c>
      <c r="F172" s="145"/>
      <c r="G172" s="52" t="s">
        <v>272</v>
      </c>
      <c r="H172" s="52">
        <f t="shared" si="7"/>
        <v>10</v>
      </c>
    </row>
    <row r="173" spans="1:10">
      <c r="A173" s="52">
        <f t="shared" si="6"/>
        <v>11</v>
      </c>
      <c r="B173" s="51" t="s">
        <v>195</v>
      </c>
      <c r="E173" s="200">
        <v>30747.36244368034</v>
      </c>
      <c r="F173" s="123"/>
      <c r="G173" s="52" t="s">
        <v>273</v>
      </c>
      <c r="H173" s="52">
        <f t="shared" si="7"/>
        <v>11</v>
      </c>
    </row>
    <row r="174" spans="1:10">
      <c r="A174" s="52">
        <f t="shared" si="6"/>
        <v>12</v>
      </c>
      <c r="B174" s="51" t="s">
        <v>197</v>
      </c>
      <c r="E174" s="150">
        <v>85554.231338110854</v>
      </c>
      <c r="F174" s="123"/>
      <c r="G174" s="52" t="s">
        <v>274</v>
      </c>
      <c r="H174" s="52">
        <f t="shared" si="7"/>
        <v>12</v>
      </c>
    </row>
    <row r="175" spans="1:10">
      <c r="A175" s="52">
        <f t="shared" si="6"/>
        <v>13</v>
      </c>
      <c r="B175" s="201" t="s">
        <v>199</v>
      </c>
      <c r="C175" s="201"/>
      <c r="D175" s="201"/>
      <c r="E175" s="203">
        <f>SUM(E171:E174)</f>
        <v>1259501.6815394957</v>
      </c>
      <c r="F175" s="145"/>
      <c r="G175" s="52" t="s">
        <v>200</v>
      </c>
      <c r="H175" s="52">
        <f t="shared" si="7"/>
        <v>13</v>
      </c>
    </row>
    <row r="176" spans="1:10">
      <c r="A176" s="52">
        <f t="shared" si="6"/>
        <v>14</v>
      </c>
      <c r="B176" s="201"/>
      <c r="C176" s="201"/>
      <c r="D176" s="201"/>
      <c r="E176" s="193"/>
      <c r="G176" s="52"/>
      <c r="H176" s="52">
        <f t="shared" si="7"/>
        <v>14</v>
      </c>
    </row>
    <row r="177" spans="1:8">
      <c r="A177" s="52">
        <f t="shared" si="6"/>
        <v>15</v>
      </c>
      <c r="B177" s="184" t="s">
        <v>127</v>
      </c>
      <c r="C177" s="201"/>
      <c r="D177" s="201"/>
      <c r="E177" s="193"/>
      <c r="G177" s="52"/>
      <c r="H177" s="52">
        <f t="shared" si="7"/>
        <v>15</v>
      </c>
    </row>
    <row r="178" spans="1:8">
      <c r="A178" s="52">
        <f t="shared" si="6"/>
        <v>16</v>
      </c>
      <c r="B178" s="61" t="s">
        <v>128</v>
      </c>
      <c r="E178" s="171">
        <f>+E164-E171</f>
        <v>4558369.6291265385</v>
      </c>
      <c r="F178" s="145"/>
      <c r="G178" s="52" t="s">
        <v>275</v>
      </c>
      <c r="H178" s="52">
        <f t="shared" si="7"/>
        <v>16</v>
      </c>
    </row>
    <row r="179" spans="1:8">
      <c r="A179" s="52">
        <f t="shared" si="6"/>
        <v>17</v>
      </c>
      <c r="B179" s="61" t="s">
        <v>130</v>
      </c>
      <c r="E179" s="149">
        <f>+E165-E172</f>
        <v>11322.49192710959</v>
      </c>
      <c r="F179" s="145"/>
      <c r="G179" s="52" t="s">
        <v>276</v>
      </c>
      <c r="H179" s="52">
        <f t="shared" si="7"/>
        <v>17</v>
      </c>
    </row>
    <row r="180" spans="1:8">
      <c r="A180" s="52">
        <f t="shared" si="6"/>
        <v>18</v>
      </c>
      <c r="B180" s="61" t="s">
        <v>132</v>
      </c>
      <c r="E180" s="149">
        <f>+E166-E173</f>
        <v>48316.721508113143</v>
      </c>
      <c r="G180" s="52" t="s">
        <v>277</v>
      </c>
      <c r="H180" s="52">
        <f t="shared" si="7"/>
        <v>18</v>
      </c>
    </row>
    <row r="181" spans="1:8">
      <c r="A181" s="52">
        <f t="shared" si="6"/>
        <v>19</v>
      </c>
      <c r="B181" s="61" t="s">
        <v>134</v>
      </c>
      <c r="E181" s="204">
        <f>+E167-E174</f>
        <v>92493.61877057403</v>
      </c>
      <c r="G181" s="52" t="s">
        <v>278</v>
      </c>
      <c r="H181" s="52">
        <f t="shared" si="7"/>
        <v>19</v>
      </c>
    </row>
    <row r="182" spans="1:8" ht="15.75" thickBot="1">
      <c r="A182" s="52">
        <f t="shared" si="6"/>
        <v>20</v>
      </c>
      <c r="B182" s="51" t="s">
        <v>136</v>
      </c>
      <c r="E182" s="205">
        <f>SUM(E178:E181)</f>
        <v>4710502.4613323351</v>
      </c>
      <c r="F182" s="145"/>
      <c r="G182" s="52" t="s">
        <v>205</v>
      </c>
      <c r="H182" s="52">
        <f t="shared" si="7"/>
        <v>20</v>
      </c>
    </row>
    <row r="183" spans="1:8" ht="15.75" thickTop="1">
      <c r="A183" s="52">
        <f t="shared" si="6"/>
        <v>21</v>
      </c>
      <c r="E183" s="171"/>
      <c r="G183" s="52"/>
      <c r="H183" s="52">
        <f t="shared" si="7"/>
        <v>21</v>
      </c>
    </row>
    <row r="184" spans="1:8" ht="17.25">
      <c r="A184" s="52">
        <f t="shared" si="6"/>
        <v>22</v>
      </c>
      <c r="B184" s="70" t="s">
        <v>206</v>
      </c>
      <c r="E184" s="171"/>
      <c r="G184" s="52"/>
      <c r="H184" s="52">
        <f t="shared" si="7"/>
        <v>22</v>
      </c>
    </row>
    <row r="185" spans="1:8">
      <c r="A185" s="52">
        <f t="shared" si="6"/>
        <v>23</v>
      </c>
      <c r="B185" s="61" t="s">
        <v>207</v>
      </c>
      <c r="E185" s="172">
        <v>0</v>
      </c>
      <c r="G185" s="52" t="s">
        <v>279</v>
      </c>
      <c r="H185" s="52">
        <f t="shared" si="7"/>
        <v>23</v>
      </c>
    </row>
    <row r="186" spans="1:8">
      <c r="A186" s="52">
        <f t="shared" si="6"/>
        <v>24</v>
      </c>
      <c r="B186" s="51" t="s">
        <v>209</v>
      </c>
      <c r="E186" s="161">
        <v>0</v>
      </c>
      <c r="G186" s="52" t="s">
        <v>280</v>
      </c>
      <c r="H186" s="52">
        <f t="shared" si="7"/>
        <v>24</v>
      </c>
    </row>
    <row r="187" spans="1:8" ht="15.75" thickBot="1">
      <c r="A187" s="52">
        <f t="shared" si="6"/>
        <v>25</v>
      </c>
      <c r="B187" s="61" t="s">
        <v>211</v>
      </c>
      <c r="E187" s="206">
        <f>E185-E186</f>
        <v>0</v>
      </c>
      <c r="G187" s="52" t="s">
        <v>212</v>
      </c>
      <c r="H187" s="52">
        <f t="shared" si="7"/>
        <v>25</v>
      </c>
    </row>
    <row r="188" spans="1:8" ht="15.75" thickTop="1">
      <c r="A188" s="52"/>
      <c r="B188" s="61"/>
      <c r="E188" s="171"/>
      <c r="G188" s="52"/>
    </row>
    <row r="189" spans="1:8" ht="17.25">
      <c r="A189" s="69">
        <v>1</v>
      </c>
      <c r="B189" s="51" t="s">
        <v>213</v>
      </c>
      <c r="E189" s="171"/>
      <c r="G189" s="52"/>
    </row>
    <row r="190" spans="1:8">
      <c r="E190" s="211"/>
    </row>
    <row r="192" spans="1:8">
      <c r="E192" s="207"/>
    </row>
  </sheetData>
  <mergeCells count="20">
    <mergeCell ref="B157:G157"/>
    <mergeCell ref="B158:G158"/>
    <mergeCell ref="B156:G156"/>
    <mergeCell ref="B47:G47"/>
    <mergeCell ref="B48:G48"/>
    <mergeCell ref="B49:G49"/>
    <mergeCell ref="B50:G50"/>
    <mergeCell ref="B101:G101"/>
    <mergeCell ref="B102:G102"/>
    <mergeCell ref="B103:G103"/>
    <mergeCell ref="B104:G104"/>
    <mergeCell ref="B105:G105"/>
    <mergeCell ref="B154:G154"/>
    <mergeCell ref="B155:G155"/>
    <mergeCell ref="B46:G46"/>
    <mergeCell ref="B2:G2"/>
    <mergeCell ref="B3:G3"/>
    <mergeCell ref="B4:G4"/>
    <mergeCell ref="B5:G5"/>
    <mergeCell ref="B6:G6"/>
  </mergeCells>
  <printOptions horizontalCentered="1"/>
  <pageMargins left="0" right="0" top="0.5" bottom="0.5" header="0.35" footer="0.25"/>
  <pageSetup scale="50" orientation="portrait" r:id="rId1"/>
  <headerFooter scaleWithDoc="0" alignWithMargins="0">
    <oddHeader>&amp;C&amp;"Times New Roman,Bold"&amp;10REVISED</oddHeader>
    <oddFooter>&amp;CPage 3.&amp;P&amp;R&amp;F</oddFooter>
  </headerFooter>
  <rowBreaks count="3" manualBreakCount="3">
    <brk id="44" max="16383" man="1"/>
    <brk id="99" max="16383" man="1"/>
    <brk id="1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B27D-F48E-4CB4-9451-CE01AF9172FA}">
  <dimension ref="A2:J192"/>
  <sheetViews>
    <sheetView zoomScale="80" zoomScaleNormal="80" workbookViewId="0"/>
  </sheetViews>
  <sheetFormatPr defaultColWidth="9.140625" defaultRowHeight="15.4"/>
  <cols>
    <col min="1" max="1" width="5.140625" style="51" customWidth="1"/>
    <col min="2" max="2" width="86.140625" style="51" customWidth="1"/>
    <col min="3" max="3" width="10.42578125" style="51" customWidth="1"/>
    <col min="4" max="4" width="1.5703125" style="51" customWidth="1"/>
    <col min="5" max="5" width="16.85546875" style="51" customWidth="1"/>
    <col min="6" max="6" width="1.5703125" style="51" customWidth="1"/>
    <col min="7" max="7" width="51.42578125" style="51" customWidth="1"/>
    <col min="8" max="8" width="5.140625" style="52" customWidth="1"/>
    <col min="9" max="9" width="22.42578125" style="51" customWidth="1"/>
    <col min="10" max="10" width="20.140625" style="51" bestFit="1" customWidth="1"/>
    <col min="11" max="16384" width="9.140625" style="51"/>
  </cols>
  <sheetData>
    <row r="2" spans="1:10">
      <c r="A2" s="52"/>
      <c r="B2" s="608" t="s">
        <v>214</v>
      </c>
      <c r="C2" s="609"/>
      <c r="D2" s="609"/>
      <c r="E2" s="609"/>
      <c r="F2" s="609"/>
      <c r="G2" s="609"/>
    </row>
    <row r="3" spans="1:10">
      <c r="A3" s="52" t="s">
        <v>33</v>
      </c>
      <c r="B3" s="608" t="s">
        <v>215</v>
      </c>
      <c r="C3" s="609"/>
      <c r="D3" s="609"/>
      <c r="E3" s="609"/>
      <c r="F3" s="609"/>
      <c r="G3" s="609"/>
    </row>
    <row r="4" spans="1:10" ht="18">
      <c r="A4" s="52"/>
      <c r="B4" s="608" t="s">
        <v>216</v>
      </c>
      <c r="C4" s="610"/>
      <c r="D4" s="610"/>
      <c r="E4" s="610"/>
      <c r="F4" s="610"/>
      <c r="G4" s="610"/>
    </row>
    <row r="5" spans="1:10">
      <c r="A5" s="52"/>
      <c r="B5" s="611" t="s">
        <v>217</v>
      </c>
      <c r="C5" s="611"/>
      <c r="D5" s="611"/>
      <c r="E5" s="611"/>
      <c r="F5" s="611"/>
      <c r="G5" s="611"/>
    </row>
    <row r="6" spans="1:10">
      <c r="A6" s="52"/>
      <c r="B6" s="612" t="s">
        <v>3</v>
      </c>
      <c r="C6" s="609"/>
      <c r="D6" s="609"/>
      <c r="E6" s="609"/>
      <c r="F6" s="609"/>
      <c r="G6" s="609"/>
    </row>
    <row r="7" spans="1:10">
      <c r="A7" s="52"/>
      <c r="B7" s="128"/>
      <c r="C7" s="123"/>
      <c r="D7" s="123"/>
      <c r="E7" s="123"/>
      <c r="F7" s="123"/>
      <c r="G7" s="123"/>
    </row>
    <row r="8" spans="1:10">
      <c r="A8" s="52" t="s">
        <v>4</v>
      </c>
      <c r="E8" s="129"/>
      <c r="G8" s="52"/>
      <c r="H8" s="52" t="s">
        <v>4</v>
      </c>
    </row>
    <row r="9" spans="1:10" ht="15.6" customHeight="1">
      <c r="A9" s="131" t="s">
        <v>5</v>
      </c>
      <c r="B9" s="123" t="s">
        <v>33</v>
      </c>
      <c r="E9" s="130" t="s">
        <v>7</v>
      </c>
      <c r="G9" s="131" t="s">
        <v>8</v>
      </c>
      <c r="H9" s="131" t="s">
        <v>5</v>
      </c>
    </row>
    <row r="10" spans="1:10">
      <c r="A10" s="132"/>
      <c r="B10" s="70" t="s">
        <v>36</v>
      </c>
      <c r="E10" s="133"/>
      <c r="G10" s="52"/>
      <c r="H10" s="132"/>
    </row>
    <row r="11" spans="1:10">
      <c r="A11" s="52">
        <v>1</v>
      </c>
      <c r="B11" s="61" t="s">
        <v>37</v>
      </c>
      <c r="C11" s="134"/>
      <c r="D11" s="134"/>
      <c r="E11" s="212">
        <v>76808.669909999982</v>
      </c>
      <c r="G11" s="52" t="s">
        <v>281</v>
      </c>
      <c r="H11" s="52">
        <f>A11</f>
        <v>1</v>
      </c>
      <c r="I11" s="136"/>
    </row>
    <row r="12" spans="1:10">
      <c r="A12" s="52">
        <f t="shared" ref="A12:A40" si="0">A11+1</f>
        <v>2</v>
      </c>
      <c r="B12" s="61" t="s">
        <v>33</v>
      </c>
      <c r="C12" s="134"/>
      <c r="D12" s="134"/>
      <c r="E12" s="137" t="s">
        <v>33</v>
      </c>
      <c r="G12" s="52"/>
      <c r="H12" s="52">
        <f t="shared" ref="H12:H40" si="1">H11+1</f>
        <v>2</v>
      </c>
      <c r="I12" s="136"/>
    </row>
    <row r="13" spans="1:10">
      <c r="A13" s="52">
        <f t="shared" si="0"/>
        <v>3</v>
      </c>
      <c r="B13" s="61" t="s">
        <v>40</v>
      </c>
      <c r="C13" s="134"/>
      <c r="D13" s="134"/>
      <c r="E13" s="148">
        <v>65900.971198974905</v>
      </c>
      <c r="F13" s="123"/>
      <c r="G13" s="52" t="s">
        <v>282</v>
      </c>
      <c r="H13" s="52">
        <f t="shared" si="1"/>
        <v>3</v>
      </c>
      <c r="I13" s="136"/>
    </row>
    <row r="14" spans="1:10">
      <c r="A14" s="52">
        <f t="shared" si="0"/>
        <v>4</v>
      </c>
      <c r="B14" s="61"/>
      <c r="C14" s="134"/>
      <c r="D14" s="134"/>
      <c r="E14" s="137"/>
      <c r="F14" s="123"/>
      <c r="G14" s="52"/>
      <c r="H14" s="52">
        <f t="shared" si="1"/>
        <v>4</v>
      </c>
      <c r="J14" s="139"/>
    </row>
    <row r="15" spans="1:10">
      <c r="A15" s="52">
        <f t="shared" si="0"/>
        <v>5</v>
      </c>
      <c r="B15" s="61" t="s">
        <v>42</v>
      </c>
      <c r="C15" s="134"/>
      <c r="D15" s="134"/>
      <c r="E15" s="140">
        <v>0</v>
      </c>
      <c r="G15" s="52" t="s">
        <v>283</v>
      </c>
      <c r="H15" s="52">
        <f t="shared" si="1"/>
        <v>5</v>
      </c>
      <c r="J15" s="139"/>
    </row>
    <row r="16" spans="1:10">
      <c r="A16" s="52">
        <f t="shared" si="0"/>
        <v>6</v>
      </c>
      <c r="B16" s="61" t="s">
        <v>44</v>
      </c>
      <c r="C16" s="134"/>
      <c r="D16" s="134"/>
      <c r="E16" s="157">
        <f>E11+E13+E15</f>
        <v>142709.64110897487</v>
      </c>
      <c r="F16" s="123"/>
      <c r="G16" s="52" t="s">
        <v>45</v>
      </c>
      <c r="H16" s="52">
        <f t="shared" si="1"/>
        <v>6</v>
      </c>
      <c r="I16" s="142"/>
      <c r="J16" s="139"/>
    </row>
    <row r="17" spans="1:9">
      <c r="A17" s="52">
        <f t="shared" si="0"/>
        <v>7</v>
      </c>
      <c r="E17" s="143"/>
      <c r="G17" s="52"/>
      <c r="H17" s="52">
        <f t="shared" si="1"/>
        <v>7</v>
      </c>
    </row>
    <row r="18" spans="1:9">
      <c r="A18" s="52">
        <f t="shared" si="0"/>
        <v>8</v>
      </c>
      <c r="B18" s="51" t="s">
        <v>46</v>
      </c>
      <c r="C18" s="134"/>
      <c r="D18" s="134"/>
      <c r="E18" s="144">
        <v>175542.86873830605</v>
      </c>
      <c r="F18" s="145"/>
      <c r="G18" s="52" t="s">
        <v>221</v>
      </c>
      <c r="H18" s="52">
        <f t="shared" si="1"/>
        <v>8</v>
      </c>
    </row>
    <row r="19" spans="1:9">
      <c r="A19" s="52">
        <f t="shared" si="0"/>
        <v>9</v>
      </c>
      <c r="E19" s="146" t="s">
        <v>33</v>
      </c>
      <c r="G19" s="52"/>
      <c r="H19" s="52">
        <f t="shared" si="1"/>
        <v>9</v>
      </c>
    </row>
    <row r="20" spans="1:9" ht="17.25">
      <c r="A20" s="52">
        <f t="shared" si="0"/>
        <v>10</v>
      </c>
      <c r="B20" s="51" t="s">
        <v>48</v>
      </c>
      <c r="E20" s="147">
        <v>0</v>
      </c>
      <c r="G20" s="52" t="s">
        <v>222</v>
      </c>
      <c r="H20" s="52">
        <f t="shared" si="1"/>
        <v>10</v>
      </c>
      <c r="I20" s="136"/>
    </row>
    <row r="21" spans="1:9">
      <c r="A21" s="52">
        <f t="shared" si="0"/>
        <v>11</v>
      </c>
      <c r="E21" s="146"/>
      <c r="G21" s="52"/>
      <c r="H21" s="52">
        <f t="shared" si="1"/>
        <v>11</v>
      </c>
    </row>
    <row r="22" spans="1:9">
      <c r="A22" s="52">
        <f t="shared" si="0"/>
        <v>12</v>
      </c>
      <c r="B22" s="51" t="s">
        <v>50</v>
      </c>
      <c r="C22" s="134"/>
      <c r="D22" s="134"/>
      <c r="E22" s="148">
        <v>44622.147197809747</v>
      </c>
      <c r="F22" s="123"/>
      <c r="G22" s="52" t="s">
        <v>223</v>
      </c>
      <c r="H22" s="52">
        <f t="shared" si="1"/>
        <v>12</v>
      </c>
      <c r="I22" s="136"/>
    </row>
    <row r="23" spans="1:9">
      <c r="A23" s="52">
        <f t="shared" si="0"/>
        <v>13</v>
      </c>
      <c r="B23" s="61"/>
      <c r="C23" s="134"/>
      <c r="D23" s="134"/>
      <c r="E23" s="149"/>
      <c r="G23" s="52"/>
      <c r="H23" s="52">
        <f t="shared" si="1"/>
        <v>13</v>
      </c>
    </row>
    <row r="24" spans="1:9">
      <c r="A24" s="52">
        <f t="shared" si="0"/>
        <v>14</v>
      </c>
      <c r="B24" s="51" t="s">
        <v>52</v>
      </c>
      <c r="C24" s="134"/>
      <c r="D24" s="134"/>
      <c r="E24" s="150">
        <v>2616.0247561182027</v>
      </c>
      <c r="F24" s="123"/>
      <c r="G24" s="52" t="s">
        <v>224</v>
      </c>
      <c r="H24" s="52">
        <f t="shared" si="1"/>
        <v>14</v>
      </c>
      <c r="I24" s="136"/>
    </row>
    <row r="25" spans="1:9">
      <c r="A25" s="52">
        <f t="shared" si="0"/>
        <v>15</v>
      </c>
      <c r="B25" s="61" t="s">
        <v>54</v>
      </c>
      <c r="C25" s="134"/>
      <c r="D25" s="134"/>
      <c r="E25" s="171">
        <f>SUM(E16+E18+E20+E22+E24)</f>
        <v>365490.68180120888</v>
      </c>
      <c r="F25" s="123"/>
      <c r="G25" s="52" t="s">
        <v>55</v>
      </c>
      <c r="H25" s="52">
        <f t="shared" si="1"/>
        <v>15</v>
      </c>
    </row>
    <row r="26" spans="1:9">
      <c r="A26" s="52">
        <f t="shared" si="0"/>
        <v>16</v>
      </c>
      <c r="B26" s="61"/>
      <c r="C26" s="134"/>
      <c r="D26" s="134"/>
      <c r="E26" s="152"/>
      <c r="G26" s="52"/>
      <c r="H26" s="52">
        <f t="shared" si="1"/>
        <v>16</v>
      </c>
    </row>
    <row r="27" spans="1:9" ht="17.649999999999999">
      <c r="A27" s="52">
        <f t="shared" si="0"/>
        <v>17</v>
      </c>
      <c r="B27" s="61" t="s">
        <v>98</v>
      </c>
      <c r="C27" s="134"/>
      <c r="D27" s="134"/>
      <c r="E27" s="156">
        <v>9.6203509888900945E-2</v>
      </c>
      <c r="G27" s="52" t="s">
        <v>225</v>
      </c>
      <c r="H27" s="52">
        <f t="shared" si="1"/>
        <v>17</v>
      </c>
    </row>
    <row r="28" spans="1:9">
      <c r="A28" s="52">
        <f t="shared" si="0"/>
        <v>18</v>
      </c>
      <c r="B28" s="61" t="s">
        <v>58</v>
      </c>
      <c r="C28" s="134"/>
      <c r="D28" s="134"/>
      <c r="E28" s="167">
        <f>E134</f>
        <v>4005297.7552194232</v>
      </c>
      <c r="G28" s="52" t="s">
        <v>226</v>
      </c>
      <c r="H28" s="52">
        <f t="shared" si="1"/>
        <v>18</v>
      </c>
    </row>
    <row r="29" spans="1:9">
      <c r="A29" s="52">
        <f t="shared" si="0"/>
        <v>19</v>
      </c>
      <c r="B29" s="51" t="s">
        <v>227</v>
      </c>
      <c r="C29" s="134"/>
      <c r="D29" s="134"/>
      <c r="E29" s="188">
        <f>E28*E27</f>
        <v>385323.70220224455</v>
      </c>
      <c r="G29" s="52" t="s">
        <v>61</v>
      </c>
      <c r="H29" s="52">
        <f t="shared" si="1"/>
        <v>19</v>
      </c>
    </row>
    <row r="30" spans="1:9">
      <c r="A30" s="52">
        <f t="shared" si="0"/>
        <v>20</v>
      </c>
      <c r="C30" s="134"/>
      <c r="D30" s="134"/>
      <c r="E30" s="152"/>
      <c r="G30" s="52"/>
      <c r="H30" s="52">
        <f t="shared" si="1"/>
        <v>20</v>
      </c>
    </row>
    <row r="31" spans="1:9" ht="17.649999999999999">
      <c r="A31" s="52">
        <f t="shared" si="0"/>
        <v>21</v>
      </c>
      <c r="B31" s="61" t="s">
        <v>62</v>
      </c>
      <c r="C31" s="134"/>
      <c r="D31" s="137"/>
      <c r="E31" s="156">
        <v>3.8762955624239964E-3</v>
      </c>
      <c r="F31" s="123"/>
      <c r="G31" s="52" t="s">
        <v>228</v>
      </c>
      <c r="H31" s="52">
        <f t="shared" si="1"/>
        <v>21</v>
      </c>
      <c r="I31" s="136"/>
    </row>
    <row r="32" spans="1:9">
      <c r="A32" s="52">
        <f t="shared" si="0"/>
        <v>22</v>
      </c>
      <c r="B32" s="61" t="s">
        <v>58</v>
      </c>
      <c r="C32" s="134"/>
      <c r="D32" s="134"/>
      <c r="E32" s="167">
        <f>E134-E117</f>
        <v>4005297.7552194232</v>
      </c>
      <c r="F32" s="123"/>
      <c r="G32" s="52" t="s">
        <v>229</v>
      </c>
      <c r="H32" s="52">
        <f t="shared" si="1"/>
        <v>22</v>
      </c>
    </row>
    <row r="33" spans="1:9">
      <c r="A33" s="52">
        <f t="shared" si="0"/>
        <v>23</v>
      </c>
      <c r="B33" s="51" t="s">
        <v>65</v>
      </c>
      <c r="E33" s="188">
        <f>E32*E31</f>
        <v>15525.717914743844</v>
      </c>
      <c r="F33" s="123"/>
      <c r="G33" s="52" t="s">
        <v>66</v>
      </c>
      <c r="H33" s="52">
        <f t="shared" si="1"/>
        <v>23</v>
      </c>
    </row>
    <row r="34" spans="1:9">
      <c r="A34" s="52">
        <f t="shared" si="0"/>
        <v>24</v>
      </c>
      <c r="E34" s="157"/>
      <c r="G34" s="52"/>
      <c r="H34" s="52">
        <f t="shared" si="1"/>
        <v>24</v>
      </c>
    </row>
    <row r="35" spans="1:9">
      <c r="A35" s="52">
        <f t="shared" si="0"/>
        <v>25</v>
      </c>
      <c r="B35" s="51" t="s">
        <v>67</v>
      </c>
      <c r="E35" s="158">
        <v>1346.7699665379248</v>
      </c>
      <c r="G35" s="52" t="s">
        <v>230</v>
      </c>
      <c r="H35" s="52">
        <f t="shared" si="1"/>
        <v>25</v>
      </c>
      <c r="I35" s="136"/>
    </row>
    <row r="36" spans="1:9">
      <c r="A36" s="52">
        <f t="shared" si="0"/>
        <v>26</v>
      </c>
      <c r="B36" s="51" t="s">
        <v>69</v>
      </c>
      <c r="E36" s="159">
        <v>-4687.6774299999997</v>
      </c>
      <c r="F36" s="123"/>
      <c r="G36" s="52" t="s">
        <v>231</v>
      </c>
      <c r="H36" s="52">
        <f t="shared" si="1"/>
        <v>26</v>
      </c>
      <c r="I36" s="136"/>
    </row>
    <row r="37" spans="1:9">
      <c r="A37" s="52">
        <f t="shared" si="0"/>
        <v>27</v>
      </c>
      <c r="B37" s="51" t="s">
        <v>71</v>
      </c>
      <c r="E37" s="160">
        <v>0</v>
      </c>
      <c r="G37" s="52" t="s">
        <v>232</v>
      </c>
      <c r="H37" s="52">
        <f t="shared" si="1"/>
        <v>27</v>
      </c>
    </row>
    <row r="38" spans="1:9">
      <c r="A38" s="52">
        <f t="shared" si="0"/>
        <v>28</v>
      </c>
      <c r="B38" s="64" t="s">
        <v>73</v>
      </c>
      <c r="E38" s="161">
        <v>0</v>
      </c>
      <c r="G38" s="52" t="s">
        <v>233</v>
      </c>
      <c r="H38" s="52">
        <f t="shared" si="1"/>
        <v>28</v>
      </c>
      <c r="I38" s="136"/>
    </row>
    <row r="39" spans="1:9">
      <c r="A39" s="52">
        <f t="shared" si="0"/>
        <v>29</v>
      </c>
      <c r="E39" s="146" t="s">
        <v>33</v>
      </c>
      <c r="G39" s="52"/>
      <c r="H39" s="52">
        <f t="shared" si="1"/>
        <v>29</v>
      </c>
      <c r="I39" s="136"/>
    </row>
    <row r="40" spans="1:9" ht="18" thickBot="1">
      <c r="A40" s="52">
        <f t="shared" si="0"/>
        <v>30</v>
      </c>
      <c r="B40" s="51" t="s">
        <v>75</v>
      </c>
      <c r="C40" s="134"/>
      <c r="D40" s="134"/>
      <c r="E40" s="181">
        <f>E29+E33+E25+SUM(E35:E38)</f>
        <v>762999.19445473514</v>
      </c>
      <c r="F40" s="123"/>
      <c r="G40" s="52" t="s">
        <v>76</v>
      </c>
      <c r="H40" s="52">
        <f t="shared" si="1"/>
        <v>30</v>
      </c>
      <c r="I40" s="136"/>
    </row>
    <row r="41" spans="1:9" ht="15.75" thickTop="1">
      <c r="A41" s="132"/>
      <c r="C41" s="134"/>
      <c r="D41" s="134"/>
      <c r="E41" s="163"/>
      <c r="F41" s="123"/>
      <c r="G41" s="132"/>
      <c r="H41" s="132"/>
      <c r="I41" s="136"/>
    </row>
    <row r="42" spans="1:9" ht="17.25">
      <c r="A42" s="69">
        <v>1</v>
      </c>
      <c r="B42" s="51" t="s">
        <v>78</v>
      </c>
      <c r="C42" s="134"/>
      <c r="D42" s="134"/>
      <c r="E42" s="163"/>
      <c r="F42" s="123"/>
      <c r="G42" s="132"/>
      <c r="H42" s="132"/>
      <c r="I42" s="136"/>
    </row>
    <row r="43" spans="1:9" ht="17.25">
      <c r="A43" s="69"/>
      <c r="C43" s="134"/>
      <c r="D43" s="134"/>
      <c r="E43" s="163"/>
      <c r="F43" s="123"/>
      <c r="G43" s="132"/>
      <c r="H43" s="132"/>
      <c r="I43" s="136"/>
    </row>
    <row r="44" spans="1:9">
      <c r="A44" s="132"/>
      <c r="C44" s="134"/>
      <c r="D44" s="134"/>
      <c r="E44" s="163"/>
      <c r="F44" s="123"/>
      <c r="G44" s="132"/>
      <c r="H44" s="132"/>
      <c r="I44" s="136"/>
    </row>
    <row r="45" spans="1:9">
      <c r="A45" s="132"/>
      <c r="B45" s="608" t="s">
        <v>214</v>
      </c>
      <c r="C45" s="609"/>
      <c r="D45" s="609"/>
      <c r="E45" s="609"/>
      <c r="F45" s="609"/>
      <c r="G45" s="609"/>
      <c r="H45" s="132"/>
      <c r="I45" s="136"/>
    </row>
    <row r="46" spans="1:9">
      <c r="A46" s="132"/>
      <c r="B46" s="608" t="s">
        <v>215</v>
      </c>
      <c r="C46" s="609"/>
      <c r="D46" s="609"/>
      <c r="E46" s="609"/>
      <c r="F46" s="609"/>
      <c r="G46" s="609"/>
      <c r="H46" s="132"/>
      <c r="I46" s="136"/>
    </row>
    <row r="47" spans="1:9" ht="18">
      <c r="A47" s="132"/>
      <c r="B47" s="608" t="s">
        <v>216</v>
      </c>
      <c r="C47" s="610"/>
      <c r="D47" s="610"/>
      <c r="E47" s="610"/>
      <c r="F47" s="610"/>
      <c r="G47" s="610"/>
      <c r="H47" s="132"/>
      <c r="I47" s="136"/>
    </row>
    <row r="48" spans="1:9">
      <c r="A48" s="132"/>
      <c r="B48" s="613" t="str">
        <f>B5</f>
        <v>For the Base Period &amp; True-Up Period Ending December 31, 2018</v>
      </c>
      <c r="C48" s="614"/>
      <c r="D48" s="614"/>
      <c r="E48" s="614"/>
      <c r="F48" s="614"/>
      <c r="G48" s="614"/>
      <c r="H48" s="132"/>
      <c r="I48" s="136"/>
    </row>
    <row r="49" spans="1:9">
      <c r="A49" s="132"/>
      <c r="B49" s="612" t="s">
        <v>3</v>
      </c>
      <c r="C49" s="609"/>
      <c r="D49" s="609"/>
      <c r="E49" s="609"/>
      <c r="F49" s="609"/>
      <c r="G49" s="609"/>
      <c r="H49" s="132"/>
      <c r="I49" s="136"/>
    </row>
    <row r="50" spans="1:9">
      <c r="A50" s="132"/>
      <c r="C50" s="134"/>
      <c r="D50" s="134"/>
      <c r="E50" s="163"/>
      <c r="F50" s="123"/>
      <c r="G50" s="132"/>
      <c r="H50" s="132"/>
      <c r="I50" s="136"/>
    </row>
    <row r="51" spans="1:9">
      <c r="A51" s="52" t="s">
        <v>4</v>
      </c>
      <c r="E51" s="129"/>
      <c r="G51" s="52"/>
      <c r="H51" s="52" t="s">
        <v>4</v>
      </c>
      <c r="I51" s="136"/>
    </row>
    <row r="52" spans="1:9">
      <c r="A52" s="52" t="s">
        <v>5</v>
      </c>
      <c r="B52" s="123" t="s">
        <v>33</v>
      </c>
      <c r="E52" s="130" t="s">
        <v>7</v>
      </c>
      <c r="G52" s="131" t="s">
        <v>8</v>
      </c>
      <c r="H52" s="52" t="s">
        <v>5</v>
      </c>
      <c r="I52" s="136"/>
    </row>
    <row r="53" spans="1:9" ht="17.25">
      <c r="A53" s="132"/>
      <c r="B53" s="70" t="s">
        <v>79</v>
      </c>
      <c r="E53" s="52"/>
      <c r="G53" s="52"/>
      <c r="H53" s="132"/>
      <c r="I53" s="136"/>
    </row>
    <row r="54" spans="1:9">
      <c r="A54" s="52">
        <v>1</v>
      </c>
      <c r="B54" s="61" t="s">
        <v>80</v>
      </c>
      <c r="C54" s="134"/>
      <c r="D54" s="134"/>
      <c r="E54" s="164">
        <v>0</v>
      </c>
      <c r="G54" s="52" t="s">
        <v>235</v>
      </c>
      <c r="H54" s="52">
        <f>A54</f>
        <v>1</v>
      </c>
      <c r="I54" s="136"/>
    </row>
    <row r="55" spans="1:9">
      <c r="A55" s="52">
        <f t="shared" ref="A55:A92" si="2">A54+1</f>
        <v>2</v>
      </c>
      <c r="B55" s="61"/>
      <c r="C55" s="134"/>
      <c r="D55" s="134"/>
      <c r="E55" s="165"/>
      <c r="G55" s="52"/>
      <c r="H55" s="52">
        <f t="shared" ref="H55:H92" si="3">H54+1</f>
        <v>2</v>
      </c>
    </row>
    <row r="56" spans="1:9" ht="17.649999999999999">
      <c r="A56" s="52">
        <f t="shared" si="2"/>
        <v>3</v>
      </c>
      <c r="B56" s="61" t="s">
        <v>82</v>
      </c>
      <c r="C56" s="134"/>
      <c r="D56" s="134"/>
      <c r="E56" s="156">
        <v>1.9124664122712989E-2</v>
      </c>
      <c r="F56" s="166"/>
      <c r="G56" s="52" t="s">
        <v>236</v>
      </c>
      <c r="H56" s="52">
        <f t="shared" si="3"/>
        <v>3</v>
      </c>
    </row>
    <row r="57" spans="1:9">
      <c r="A57" s="52">
        <f t="shared" si="2"/>
        <v>4</v>
      </c>
      <c r="B57" s="51" t="s">
        <v>84</v>
      </c>
      <c r="C57" s="134"/>
      <c r="D57" s="134"/>
      <c r="E57" s="167">
        <f>E139</f>
        <v>0</v>
      </c>
      <c r="G57" s="52" t="s">
        <v>237</v>
      </c>
      <c r="H57" s="52">
        <f t="shared" si="3"/>
        <v>4</v>
      </c>
    </row>
    <row r="58" spans="1:9">
      <c r="A58" s="52">
        <f t="shared" si="2"/>
        <v>5</v>
      </c>
      <c r="B58" s="51" t="s">
        <v>86</v>
      </c>
      <c r="E58" s="168">
        <f>E57*E56</f>
        <v>0</v>
      </c>
      <c r="G58" s="52" t="s">
        <v>87</v>
      </c>
      <c r="H58" s="52">
        <f t="shared" si="3"/>
        <v>5</v>
      </c>
    </row>
    <row r="59" spans="1:9">
      <c r="A59" s="52">
        <f t="shared" si="2"/>
        <v>6</v>
      </c>
      <c r="E59" s="169"/>
      <c r="G59" s="52"/>
      <c r="H59" s="52">
        <f t="shared" si="3"/>
        <v>6</v>
      </c>
    </row>
    <row r="60" spans="1:9" ht="17.649999999999999">
      <c r="A60" s="52">
        <f t="shared" si="2"/>
        <v>7</v>
      </c>
      <c r="B60" s="61" t="s">
        <v>62</v>
      </c>
      <c r="E60" s="156">
        <v>0</v>
      </c>
      <c r="G60" s="52" t="s">
        <v>238</v>
      </c>
      <c r="H60" s="52">
        <f t="shared" si="3"/>
        <v>7</v>
      </c>
    </row>
    <row r="61" spans="1:9">
      <c r="A61" s="52">
        <f t="shared" si="2"/>
        <v>8</v>
      </c>
      <c r="B61" s="51" t="s">
        <v>84</v>
      </c>
      <c r="E61" s="167">
        <f>E139</f>
        <v>0</v>
      </c>
      <c r="G61" s="52" t="s">
        <v>237</v>
      </c>
      <c r="H61" s="52">
        <f t="shared" si="3"/>
        <v>8</v>
      </c>
    </row>
    <row r="62" spans="1:9">
      <c r="A62" s="52">
        <f t="shared" si="2"/>
        <v>9</v>
      </c>
      <c r="B62" s="51" t="s">
        <v>65</v>
      </c>
      <c r="E62" s="168">
        <f>E61*E60</f>
        <v>0</v>
      </c>
      <c r="G62" s="52" t="s">
        <v>90</v>
      </c>
      <c r="H62" s="52">
        <f t="shared" si="3"/>
        <v>9</v>
      </c>
    </row>
    <row r="63" spans="1:9">
      <c r="A63" s="52">
        <f t="shared" si="2"/>
        <v>10</v>
      </c>
      <c r="E63" s="169"/>
      <c r="G63" s="52"/>
      <c r="H63" s="52">
        <f t="shared" si="3"/>
        <v>10</v>
      </c>
    </row>
    <row r="64" spans="1:9" ht="15.75" thickBot="1">
      <c r="A64" s="52">
        <f t="shared" si="2"/>
        <v>11</v>
      </c>
      <c r="B64" s="51" t="s">
        <v>91</v>
      </c>
      <c r="E64" s="170">
        <f>E54+E58+E62</f>
        <v>0</v>
      </c>
      <c r="G64" s="52" t="s">
        <v>92</v>
      </c>
      <c r="H64" s="52">
        <f t="shared" si="3"/>
        <v>11</v>
      </c>
    </row>
    <row r="65" spans="1:9" ht="15.75" thickTop="1">
      <c r="A65" s="52">
        <f t="shared" si="2"/>
        <v>12</v>
      </c>
      <c r="E65" s="171"/>
      <c r="G65" s="52"/>
      <c r="H65" s="52">
        <f t="shared" si="3"/>
        <v>12</v>
      </c>
    </row>
    <row r="66" spans="1:9" ht="17.25">
      <c r="A66" s="52">
        <f t="shared" si="2"/>
        <v>13</v>
      </c>
      <c r="B66" s="78" t="s">
        <v>93</v>
      </c>
      <c r="E66" s="171"/>
      <c r="G66" s="52"/>
      <c r="H66" s="52">
        <f t="shared" si="3"/>
        <v>13</v>
      </c>
    </row>
    <row r="67" spans="1:9">
      <c r="A67" s="52">
        <f t="shared" si="2"/>
        <v>14</v>
      </c>
      <c r="B67" s="61" t="s">
        <v>94</v>
      </c>
      <c r="E67" s="172">
        <v>0</v>
      </c>
      <c r="G67" s="52" t="s">
        <v>239</v>
      </c>
      <c r="H67" s="52">
        <f t="shared" si="3"/>
        <v>14</v>
      </c>
    </row>
    <row r="68" spans="1:9">
      <c r="A68" s="52">
        <f t="shared" si="2"/>
        <v>15</v>
      </c>
      <c r="B68" s="61"/>
      <c r="E68" s="173"/>
      <c r="G68" s="52"/>
      <c r="H68" s="52">
        <f t="shared" si="3"/>
        <v>15</v>
      </c>
    </row>
    <row r="69" spans="1:9">
      <c r="A69" s="52">
        <f t="shared" si="2"/>
        <v>16</v>
      </c>
      <c r="B69" s="61" t="s">
        <v>96</v>
      </c>
      <c r="E69" s="172">
        <f>E144</f>
        <v>0</v>
      </c>
      <c r="G69" s="52" t="s">
        <v>240</v>
      </c>
      <c r="H69" s="52">
        <f t="shared" si="3"/>
        <v>16</v>
      </c>
    </row>
    <row r="70" spans="1:9" ht="17.649999999999999">
      <c r="A70" s="52">
        <f t="shared" si="2"/>
        <v>17</v>
      </c>
      <c r="B70" s="61" t="s">
        <v>98</v>
      </c>
      <c r="C70" s="134"/>
      <c r="D70" s="137"/>
      <c r="E70" s="213">
        <v>9.6203509888900945E-2</v>
      </c>
      <c r="F70" s="123"/>
      <c r="G70" s="52" t="s">
        <v>225</v>
      </c>
      <c r="H70" s="52">
        <f t="shared" si="3"/>
        <v>17</v>
      </c>
    </row>
    <row r="71" spans="1:9">
      <c r="A71" s="52">
        <f t="shared" si="2"/>
        <v>18</v>
      </c>
      <c r="B71" s="51" t="s">
        <v>100</v>
      </c>
      <c r="E71" s="168">
        <f>E69*E70</f>
        <v>0</v>
      </c>
      <c r="G71" s="52" t="s">
        <v>101</v>
      </c>
      <c r="H71" s="52">
        <f t="shared" si="3"/>
        <v>18</v>
      </c>
    </row>
    <row r="72" spans="1:9">
      <c r="A72" s="52">
        <f t="shared" si="2"/>
        <v>19</v>
      </c>
      <c r="E72" s="169"/>
      <c r="G72" s="52"/>
      <c r="H72" s="52">
        <f t="shared" si="3"/>
        <v>19</v>
      </c>
    </row>
    <row r="73" spans="1:9">
      <c r="A73" s="52">
        <f t="shared" si="2"/>
        <v>20</v>
      </c>
      <c r="B73" s="61" t="s">
        <v>96</v>
      </c>
      <c r="E73" s="172">
        <f>E144</f>
        <v>0</v>
      </c>
      <c r="G73" s="52" t="s">
        <v>240</v>
      </c>
      <c r="H73" s="52">
        <f t="shared" si="3"/>
        <v>20</v>
      </c>
    </row>
    <row r="74" spans="1:9" ht="17.649999999999999">
      <c r="A74" s="52">
        <f t="shared" si="2"/>
        <v>21</v>
      </c>
      <c r="B74" s="61" t="s">
        <v>62</v>
      </c>
      <c r="C74" s="175"/>
      <c r="D74" s="137"/>
      <c r="E74" s="176">
        <v>0</v>
      </c>
      <c r="F74" s="123"/>
      <c r="G74" s="52" t="s">
        <v>241</v>
      </c>
      <c r="H74" s="52">
        <f t="shared" si="3"/>
        <v>21</v>
      </c>
      <c r="I74" s="175"/>
    </row>
    <row r="75" spans="1:9">
      <c r="A75" s="52">
        <f t="shared" si="2"/>
        <v>22</v>
      </c>
      <c r="B75" s="51" t="s">
        <v>104</v>
      </c>
      <c r="E75" s="168">
        <f>E73*E74</f>
        <v>0</v>
      </c>
      <c r="G75" s="52" t="s">
        <v>105</v>
      </c>
      <c r="H75" s="52">
        <f t="shared" si="3"/>
        <v>22</v>
      </c>
    </row>
    <row r="76" spans="1:9">
      <c r="A76" s="52">
        <f t="shared" si="2"/>
        <v>23</v>
      </c>
      <c r="E76" s="171"/>
      <c r="G76" s="52"/>
      <c r="H76" s="52">
        <f t="shared" si="3"/>
        <v>23</v>
      </c>
    </row>
    <row r="77" spans="1:9" ht="15.75" thickBot="1">
      <c r="A77" s="52">
        <f t="shared" si="2"/>
        <v>24</v>
      </c>
      <c r="B77" s="51" t="s">
        <v>106</v>
      </c>
      <c r="E77" s="170">
        <f>E67+E71+E75</f>
        <v>0</v>
      </c>
      <c r="G77" s="52" t="s">
        <v>107</v>
      </c>
      <c r="H77" s="52">
        <f t="shared" si="3"/>
        <v>24</v>
      </c>
    </row>
    <row r="78" spans="1:9" ht="15.75" thickTop="1">
      <c r="A78" s="52">
        <f t="shared" si="2"/>
        <v>25</v>
      </c>
      <c r="E78" s="171"/>
      <c r="G78" s="52"/>
      <c r="H78" s="52">
        <f t="shared" si="3"/>
        <v>25</v>
      </c>
    </row>
    <row r="79" spans="1:9" ht="17.25">
      <c r="A79" s="52">
        <f t="shared" si="2"/>
        <v>26</v>
      </c>
      <c r="B79" s="78" t="s">
        <v>108</v>
      </c>
      <c r="C79" s="134"/>
      <c r="D79" s="134"/>
      <c r="E79" s="165"/>
      <c r="G79" s="52"/>
      <c r="H79" s="52">
        <f t="shared" si="3"/>
        <v>26</v>
      </c>
    </row>
    <row r="80" spans="1:9">
      <c r="A80" s="52">
        <f t="shared" si="2"/>
        <v>27</v>
      </c>
      <c r="B80" s="51" t="s">
        <v>109</v>
      </c>
      <c r="C80" s="134"/>
      <c r="D80" s="134"/>
      <c r="E80" s="164">
        <f>E146</f>
        <v>0</v>
      </c>
      <c r="G80" s="52" t="s">
        <v>242</v>
      </c>
      <c r="H80" s="52">
        <f t="shared" si="3"/>
        <v>27</v>
      </c>
    </row>
    <row r="81" spans="1:8" ht="17.649999999999999">
      <c r="A81" s="52">
        <f t="shared" si="2"/>
        <v>28</v>
      </c>
      <c r="B81" s="61" t="s">
        <v>98</v>
      </c>
      <c r="C81" s="134"/>
      <c r="D81" s="134"/>
      <c r="E81" s="180">
        <v>9.6203509888900945E-2</v>
      </c>
      <c r="F81" s="123"/>
      <c r="G81" s="52" t="s">
        <v>225</v>
      </c>
      <c r="H81" s="52">
        <f t="shared" si="3"/>
        <v>28</v>
      </c>
    </row>
    <row r="82" spans="1:8">
      <c r="A82" s="52">
        <f t="shared" si="2"/>
        <v>29</v>
      </c>
      <c r="B82" s="51" t="s">
        <v>112</v>
      </c>
      <c r="C82" s="134"/>
      <c r="D82" s="134"/>
      <c r="E82" s="178">
        <f>E80*E81</f>
        <v>0</v>
      </c>
      <c r="G82" s="52" t="s">
        <v>113</v>
      </c>
      <c r="H82" s="52">
        <f t="shared" si="3"/>
        <v>29</v>
      </c>
    </row>
    <row r="83" spans="1:8">
      <c r="A83" s="52">
        <f t="shared" si="2"/>
        <v>30</v>
      </c>
      <c r="C83" s="134"/>
      <c r="D83" s="134"/>
      <c r="E83" s="179"/>
      <c r="G83" s="52"/>
      <c r="H83" s="52">
        <f t="shared" si="3"/>
        <v>30</v>
      </c>
    </row>
    <row r="84" spans="1:8">
      <c r="A84" s="52">
        <f t="shared" si="2"/>
        <v>31</v>
      </c>
      <c r="B84" s="51" t="s">
        <v>109</v>
      </c>
      <c r="C84" s="134"/>
      <c r="D84" s="134"/>
      <c r="E84" s="164">
        <f>E146</f>
        <v>0</v>
      </c>
      <c r="G84" s="52" t="s">
        <v>242</v>
      </c>
      <c r="H84" s="52">
        <f t="shared" si="3"/>
        <v>31</v>
      </c>
    </row>
    <row r="85" spans="1:8" ht="17.649999999999999">
      <c r="A85" s="52">
        <f t="shared" si="2"/>
        <v>32</v>
      </c>
      <c r="B85" s="61" t="s">
        <v>62</v>
      </c>
      <c r="C85" s="134"/>
      <c r="D85" s="134"/>
      <c r="E85" s="180">
        <v>3.8762955624239964E-3</v>
      </c>
      <c r="F85" s="123"/>
      <c r="G85" s="52" t="s">
        <v>228</v>
      </c>
      <c r="H85" s="52">
        <f t="shared" si="3"/>
        <v>32</v>
      </c>
    </row>
    <row r="86" spans="1:8">
      <c r="A86" s="52">
        <f t="shared" si="2"/>
        <v>33</v>
      </c>
      <c r="B86" s="51" t="s">
        <v>116</v>
      </c>
      <c r="C86" s="134"/>
      <c r="D86" s="134"/>
      <c r="E86" s="178">
        <f>E84*E85</f>
        <v>0</v>
      </c>
      <c r="G86" s="52" t="s">
        <v>117</v>
      </c>
      <c r="H86" s="52">
        <f t="shared" si="3"/>
        <v>33</v>
      </c>
    </row>
    <row r="87" spans="1:8">
      <c r="A87" s="52">
        <f t="shared" si="2"/>
        <v>34</v>
      </c>
      <c r="C87" s="134"/>
      <c r="D87" s="134"/>
      <c r="E87" s="179"/>
      <c r="G87" s="52"/>
      <c r="H87" s="52">
        <f t="shared" si="3"/>
        <v>34</v>
      </c>
    </row>
    <row r="88" spans="1:8" ht="15.75" thickBot="1">
      <c r="A88" s="52">
        <f t="shared" si="2"/>
        <v>35</v>
      </c>
      <c r="B88" s="51" t="s">
        <v>118</v>
      </c>
      <c r="C88" s="134"/>
      <c r="D88" s="134"/>
      <c r="E88" s="170">
        <f>E82+E86</f>
        <v>0</v>
      </c>
      <c r="G88" s="52" t="s">
        <v>119</v>
      </c>
      <c r="H88" s="52">
        <f t="shared" si="3"/>
        <v>35</v>
      </c>
    </row>
    <row r="89" spans="1:8" ht="15.75" thickTop="1">
      <c r="A89" s="52">
        <f t="shared" si="2"/>
        <v>36</v>
      </c>
      <c r="C89" s="134"/>
      <c r="D89" s="134"/>
      <c r="E89" s="165"/>
      <c r="G89" s="52"/>
      <c r="H89" s="52">
        <f t="shared" si="3"/>
        <v>36</v>
      </c>
    </row>
    <row r="90" spans="1:8" ht="18" thickBot="1">
      <c r="A90" s="52">
        <f t="shared" si="2"/>
        <v>37</v>
      </c>
      <c r="B90" s="51" t="s">
        <v>120</v>
      </c>
      <c r="E90" s="181">
        <f>E64+E77+E88</f>
        <v>0</v>
      </c>
      <c r="G90" s="52" t="s">
        <v>121</v>
      </c>
      <c r="H90" s="52">
        <f t="shared" si="3"/>
        <v>37</v>
      </c>
    </row>
    <row r="91" spans="1:8" ht="15.75" thickTop="1">
      <c r="A91" s="52">
        <f t="shared" si="2"/>
        <v>38</v>
      </c>
      <c r="C91" s="134"/>
      <c r="D91" s="134"/>
      <c r="E91" s="165"/>
      <c r="G91" s="52"/>
      <c r="H91" s="52">
        <f t="shared" si="3"/>
        <v>38</v>
      </c>
    </row>
    <row r="92" spans="1:8" ht="18.399999999999999" thickBot="1">
      <c r="A92" s="52">
        <f t="shared" si="2"/>
        <v>39</v>
      </c>
      <c r="B92" s="78" t="s">
        <v>122</v>
      </c>
      <c r="C92" s="134"/>
      <c r="D92" s="134"/>
      <c r="E92" s="181">
        <f>+E40+E90</f>
        <v>762999.19445473514</v>
      </c>
      <c r="F92" s="123"/>
      <c r="G92" s="52" t="s">
        <v>123</v>
      </c>
      <c r="H92" s="52">
        <f t="shared" si="3"/>
        <v>39</v>
      </c>
    </row>
    <row r="93" spans="1:8" ht="15.75" thickTop="1">
      <c r="A93" s="52"/>
      <c r="B93" s="78"/>
      <c r="C93" s="134"/>
      <c r="D93" s="134"/>
      <c r="E93" s="165"/>
      <c r="F93" s="123"/>
      <c r="G93" s="52"/>
    </row>
    <row r="94" spans="1:8" ht="17.25">
      <c r="A94" s="69">
        <v>1</v>
      </c>
      <c r="B94" s="51" t="s">
        <v>78</v>
      </c>
      <c r="C94" s="134"/>
      <c r="D94" s="134"/>
      <c r="E94" s="165"/>
      <c r="G94" s="52"/>
    </row>
    <row r="95" spans="1:8" ht="17.25">
      <c r="A95" s="69">
        <v>2</v>
      </c>
      <c r="B95" s="51" t="s">
        <v>124</v>
      </c>
      <c r="C95" s="134"/>
      <c r="D95" s="134"/>
      <c r="E95" s="182"/>
      <c r="F95" s="145"/>
      <c r="G95" s="52"/>
    </row>
    <row r="96" spans="1:8" ht="17.25">
      <c r="A96" s="69">
        <v>3</v>
      </c>
      <c r="B96" s="51" t="s">
        <v>125</v>
      </c>
      <c r="C96" s="134"/>
      <c r="D96" s="134"/>
      <c r="E96" s="165"/>
      <c r="G96" s="52"/>
    </row>
    <row r="97" spans="1:8">
      <c r="A97" s="52"/>
      <c r="B97" s="123"/>
      <c r="C97" s="134"/>
      <c r="D97" s="134"/>
      <c r="E97" s="165"/>
      <c r="G97" s="52"/>
    </row>
    <row r="98" spans="1:8">
      <c r="A98" s="52"/>
      <c r="C98" s="134"/>
      <c r="D98" s="134"/>
      <c r="E98" s="165"/>
      <c r="G98" s="52"/>
    </row>
    <row r="99" spans="1:8">
      <c r="A99" s="52"/>
      <c r="B99" s="608" t="s">
        <v>214</v>
      </c>
      <c r="C99" s="609"/>
      <c r="D99" s="609"/>
      <c r="E99" s="609"/>
      <c r="F99" s="609"/>
      <c r="G99" s="609"/>
    </row>
    <row r="100" spans="1:8">
      <c r="A100" s="52"/>
      <c r="B100" s="608" t="s">
        <v>215</v>
      </c>
      <c r="C100" s="609"/>
      <c r="D100" s="609"/>
      <c r="E100" s="609"/>
      <c r="F100" s="609"/>
      <c r="G100" s="609"/>
    </row>
    <row r="101" spans="1:8" ht="18">
      <c r="A101" s="52" t="s">
        <v>33</v>
      </c>
      <c r="B101" s="608" t="s">
        <v>216</v>
      </c>
      <c r="C101" s="610"/>
      <c r="D101" s="610"/>
      <c r="E101" s="610"/>
      <c r="F101" s="610"/>
      <c r="G101" s="610"/>
      <c r="H101" s="52" t="s">
        <v>33</v>
      </c>
    </row>
    <row r="102" spans="1:8">
      <c r="A102" s="52"/>
      <c r="B102" s="613" t="str">
        <f>B5</f>
        <v>For the Base Period &amp; True-Up Period Ending December 31, 2018</v>
      </c>
      <c r="C102" s="614"/>
      <c r="D102" s="614"/>
      <c r="E102" s="614"/>
      <c r="F102" s="614"/>
      <c r="G102" s="614"/>
    </row>
    <row r="103" spans="1:8">
      <c r="A103" s="52"/>
      <c r="B103" s="612" t="s">
        <v>3</v>
      </c>
      <c r="C103" s="609"/>
      <c r="D103" s="609"/>
      <c r="E103" s="609"/>
      <c r="F103" s="609"/>
      <c r="G103" s="609"/>
    </row>
    <row r="104" spans="1:8">
      <c r="A104" s="52"/>
      <c r="B104" s="128"/>
      <c r="C104" s="123"/>
      <c r="D104" s="123"/>
      <c r="E104" s="123"/>
      <c r="F104" s="123"/>
      <c r="G104" s="123"/>
    </row>
    <row r="105" spans="1:8">
      <c r="A105" s="52" t="s">
        <v>4</v>
      </c>
      <c r="E105" s="129"/>
      <c r="G105" s="52"/>
      <c r="H105" s="52" t="s">
        <v>4</v>
      </c>
    </row>
    <row r="106" spans="1:8">
      <c r="A106" s="52" t="s">
        <v>5</v>
      </c>
      <c r="B106" s="123" t="s">
        <v>33</v>
      </c>
      <c r="E106" s="130" t="s">
        <v>7</v>
      </c>
      <c r="G106" s="131" t="s">
        <v>8</v>
      </c>
      <c r="H106" s="52" t="s">
        <v>5</v>
      </c>
    </row>
    <row r="107" spans="1:8">
      <c r="A107" s="132"/>
      <c r="B107" s="70" t="s">
        <v>243</v>
      </c>
      <c r="C107" s="183"/>
      <c r="D107" s="183"/>
      <c r="E107" s="183"/>
      <c r="G107" s="52"/>
      <c r="H107" s="132"/>
    </row>
    <row r="108" spans="1:8">
      <c r="A108" s="52">
        <v>1</v>
      </c>
      <c r="B108" s="184" t="s">
        <v>127</v>
      </c>
      <c r="C108" s="183"/>
      <c r="D108" s="183"/>
      <c r="E108" s="183"/>
      <c r="G108" s="52"/>
      <c r="H108" s="52">
        <f>A108</f>
        <v>1</v>
      </c>
    </row>
    <row r="109" spans="1:8">
      <c r="A109" s="52">
        <f t="shared" ref="A109:A146" si="4">A108+1</f>
        <v>2</v>
      </c>
      <c r="B109" s="61" t="s">
        <v>128</v>
      </c>
      <c r="C109" s="183"/>
      <c r="D109" s="183"/>
      <c r="E109" s="185">
        <f>E175</f>
        <v>4558369.6291265385</v>
      </c>
      <c r="F109" s="145"/>
      <c r="G109" s="52" t="s">
        <v>244</v>
      </c>
      <c r="H109" s="52">
        <f t="shared" ref="H109:H146" si="5">H108+1</f>
        <v>2</v>
      </c>
    </row>
    <row r="110" spans="1:8">
      <c r="A110" s="52">
        <f t="shared" si="4"/>
        <v>3</v>
      </c>
      <c r="B110" s="61" t="s">
        <v>130</v>
      </c>
      <c r="C110" s="183"/>
      <c r="D110" s="183"/>
      <c r="E110" s="186">
        <f>E176</f>
        <v>11322.49192710959</v>
      </c>
      <c r="F110" s="145"/>
      <c r="G110" s="52" t="s">
        <v>245</v>
      </c>
      <c r="H110" s="52">
        <f t="shared" si="5"/>
        <v>3</v>
      </c>
    </row>
    <row r="111" spans="1:8">
      <c r="A111" s="52">
        <f t="shared" si="4"/>
        <v>4</v>
      </c>
      <c r="B111" s="61" t="s">
        <v>132</v>
      </c>
      <c r="C111" s="183"/>
      <c r="D111" s="183"/>
      <c r="E111" s="186">
        <f>E177</f>
        <v>48316.721508113143</v>
      </c>
      <c r="G111" s="52" t="s">
        <v>246</v>
      </c>
      <c r="H111" s="52">
        <f t="shared" si="5"/>
        <v>4</v>
      </c>
    </row>
    <row r="112" spans="1:8">
      <c r="A112" s="52">
        <f t="shared" si="4"/>
        <v>5</v>
      </c>
      <c r="B112" s="61" t="s">
        <v>134</v>
      </c>
      <c r="C112" s="183"/>
      <c r="D112" s="183"/>
      <c r="E112" s="187">
        <f>E178</f>
        <v>92493.61877057403</v>
      </c>
      <c r="G112" s="52" t="s">
        <v>247</v>
      </c>
      <c r="H112" s="52">
        <f t="shared" si="5"/>
        <v>5</v>
      </c>
    </row>
    <row r="113" spans="1:8">
      <c r="A113" s="52">
        <f t="shared" si="4"/>
        <v>6</v>
      </c>
      <c r="B113" s="61" t="s">
        <v>136</v>
      </c>
      <c r="C113" s="52"/>
      <c r="D113" s="52"/>
      <c r="E113" s="188">
        <f>SUM(E109:E112)</f>
        <v>4710502.4613323351</v>
      </c>
      <c r="F113" s="145"/>
      <c r="G113" s="52" t="s">
        <v>137</v>
      </c>
      <c r="H113" s="52">
        <f t="shared" si="5"/>
        <v>6</v>
      </c>
    </row>
    <row r="114" spans="1:8">
      <c r="A114" s="52">
        <f t="shared" si="4"/>
        <v>7</v>
      </c>
      <c r="C114" s="52"/>
      <c r="D114" s="52"/>
      <c r="E114" s="146"/>
      <c r="G114" s="52"/>
      <c r="H114" s="52">
        <f t="shared" si="5"/>
        <v>7</v>
      </c>
    </row>
    <row r="115" spans="1:8">
      <c r="A115" s="52">
        <f t="shared" si="4"/>
        <v>8</v>
      </c>
      <c r="B115" s="184" t="s">
        <v>138</v>
      </c>
      <c r="C115" s="52"/>
      <c r="D115" s="52"/>
      <c r="E115" s="146"/>
      <c r="G115" s="52"/>
      <c r="H115" s="52">
        <f t="shared" si="5"/>
        <v>8</v>
      </c>
    </row>
    <row r="116" spans="1:8">
      <c r="A116" s="52">
        <f t="shared" si="4"/>
        <v>9</v>
      </c>
      <c r="B116" s="61" t="s">
        <v>248</v>
      </c>
      <c r="C116" s="52"/>
      <c r="D116" s="52"/>
      <c r="E116" s="189">
        <v>950.34505384615397</v>
      </c>
      <c r="F116" s="145"/>
      <c r="G116" s="52" t="s">
        <v>249</v>
      </c>
      <c r="H116" s="52">
        <f t="shared" si="5"/>
        <v>9</v>
      </c>
    </row>
    <row r="117" spans="1:8">
      <c r="A117" s="52">
        <f t="shared" si="4"/>
        <v>10</v>
      </c>
      <c r="B117" s="61" t="s">
        <v>141</v>
      </c>
      <c r="C117" s="52"/>
      <c r="D117" s="52"/>
      <c r="E117" s="190">
        <v>0</v>
      </c>
      <c r="G117" s="52" t="s">
        <v>250</v>
      </c>
      <c r="H117" s="52">
        <f t="shared" si="5"/>
        <v>10</v>
      </c>
    </row>
    <row r="118" spans="1:8">
      <c r="A118" s="52">
        <f t="shared" si="4"/>
        <v>11</v>
      </c>
      <c r="B118" s="61" t="s">
        <v>143</v>
      </c>
      <c r="C118" s="52"/>
      <c r="D118" s="52"/>
      <c r="E118" s="191">
        <f>SUM(E116:E117)</f>
        <v>950.34505384615397</v>
      </c>
      <c r="F118" s="145"/>
      <c r="G118" s="52" t="s">
        <v>144</v>
      </c>
      <c r="H118" s="52">
        <f t="shared" si="5"/>
        <v>11</v>
      </c>
    </row>
    <row r="119" spans="1:8">
      <c r="A119" s="52">
        <f t="shared" si="4"/>
        <v>12</v>
      </c>
      <c r="B119" s="61"/>
      <c r="C119" s="52"/>
      <c r="D119" s="52"/>
      <c r="E119" s="165"/>
      <c r="G119" s="52"/>
      <c r="H119" s="52">
        <f t="shared" si="5"/>
        <v>12</v>
      </c>
    </row>
    <row r="120" spans="1:8">
      <c r="A120" s="52">
        <f t="shared" si="4"/>
        <v>13</v>
      </c>
      <c r="B120" s="184" t="s">
        <v>145</v>
      </c>
      <c r="E120" s="146"/>
      <c r="G120" s="52"/>
      <c r="H120" s="52">
        <f t="shared" si="5"/>
        <v>13</v>
      </c>
    </row>
    <row r="121" spans="1:8">
      <c r="A121" s="52">
        <f t="shared" si="4"/>
        <v>14</v>
      </c>
      <c r="B121" s="51" t="s">
        <v>146</v>
      </c>
      <c r="C121" s="52"/>
      <c r="D121" s="52"/>
      <c r="E121" s="192">
        <v>-789049.57673542202</v>
      </c>
      <c r="G121" s="52" t="s">
        <v>251</v>
      </c>
      <c r="H121" s="52">
        <f t="shared" si="5"/>
        <v>14</v>
      </c>
    </row>
    <row r="122" spans="1:8">
      <c r="A122" s="52">
        <f t="shared" si="4"/>
        <v>15</v>
      </c>
      <c r="B122" s="51" t="s">
        <v>148</v>
      </c>
      <c r="C122" s="52"/>
      <c r="D122" s="52"/>
      <c r="E122" s="160">
        <v>0</v>
      </c>
      <c r="G122" s="52" t="s">
        <v>252</v>
      </c>
      <c r="H122" s="52">
        <f t="shared" si="5"/>
        <v>15</v>
      </c>
    </row>
    <row r="123" spans="1:8">
      <c r="A123" s="52">
        <f t="shared" si="4"/>
        <v>16</v>
      </c>
      <c r="B123" s="61" t="s">
        <v>150</v>
      </c>
      <c r="C123" s="52"/>
      <c r="D123" s="52"/>
      <c r="E123" s="188">
        <f>SUM(E121:E122)</f>
        <v>-789049.57673542202</v>
      </c>
      <c r="G123" s="52" t="s">
        <v>151</v>
      </c>
      <c r="H123" s="52">
        <f t="shared" si="5"/>
        <v>16</v>
      </c>
    </row>
    <row r="124" spans="1:8">
      <c r="A124" s="52">
        <f t="shared" si="4"/>
        <v>17</v>
      </c>
      <c r="C124" s="52"/>
      <c r="D124" s="52"/>
      <c r="E124" s="193"/>
      <c r="G124" s="52"/>
      <c r="H124" s="52">
        <f t="shared" si="5"/>
        <v>17</v>
      </c>
    </row>
    <row r="125" spans="1:8">
      <c r="A125" s="52">
        <f t="shared" si="4"/>
        <v>18</v>
      </c>
      <c r="B125" s="184" t="s">
        <v>152</v>
      </c>
      <c r="C125" s="52"/>
      <c r="D125" s="52"/>
      <c r="E125" s="193"/>
      <c r="G125" s="52"/>
      <c r="H125" s="52">
        <f t="shared" si="5"/>
        <v>18</v>
      </c>
    </row>
    <row r="126" spans="1:8">
      <c r="A126" s="52">
        <f t="shared" si="4"/>
        <v>19</v>
      </c>
      <c r="B126" s="61" t="s">
        <v>253</v>
      </c>
      <c r="C126" s="52"/>
      <c r="D126" s="52"/>
      <c r="E126" s="185">
        <v>53379.94143889867</v>
      </c>
      <c r="F126" s="145"/>
      <c r="G126" s="52" t="s">
        <v>254</v>
      </c>
      <c r="H126" s="52">
        <f t="shared" si="5"/>
        <v>19</v>
      </c>
    </row>
    <row r="127" spans="1:8">
      <c r="A127" s="52">
        <f t="shared" si="4"/>
        <v>20</v>
      </c>
      <c r="B127" s="61" t="s">
        <v>155</v>
      </c>
      <c r="C127" s="52"/>
      <c r="D127" s="52"/>
      <c r="E127" s="186">
        <v>20174.06332246157</v>
      </c>
      <c r="F127" s="145"/>
      <c r="G127" s="52" t="s">
        <v>255</v>
      </c>
      <c r="H127" s="52">
        <f t="shared" si="5"/>
        <v>20</v>
      </c>
    </row>
    <row r="128" spans="1:8">
      <c r="A128" s="52">
        <f t="shared" si="4"/>
        <v>21</v>
      </c>
      <c r="B128" s="61" t="s">
        <v>157</v>
      </c>
      <c r="C128" s="52"/>
      <c r="D128" s="52"/>
      <c r="E128" s="187">
        <v>17838.705138621859</v>
      </c>
      <c r="F128" s="123"/>
      <c r="G128" s="52" t="s">
        <v>256</v>
      </c>
      <c r="H128" s="52">
        <f t="shared" si="5"/>
        <v>21</v>
      </c>
    </row>
    <row r="129" spans="1:8">
      <c r="A129" s="52">
        <f t="shared" si="4"/>
        <v>22</v>
      </c>
      <c r="B129" s="61" t="s">
        <v>257</v>
      </c>
      <c r="E129" s="188">
        <f>SUM(E126:E128)</f>
        <v>91392.709899982088</v>
      </c>
      <c r="F129" s="123"/>
      <c r="G129" s="52" t="s">
        <v>160</v>
      </c>
      <c r="H129" s="52">
        <f t="shared" si="5"/>
        <v>22</v>
      </c>
    </row>
    <row r="130" spans="1:8">
      <c r="A130" s="52">
        <f t="shared" si="4"/>
        <v>23</v>
      </c>
      <c r="B130" s="61"/>
      <c r="E130" s="195"/>
      <c r="G130" s="52"/>
      <c r="H130" s="52">
        <f t="shared" si="5"/>
        <v>23</v>
      </c>
    </row>
    <row r="131" spans="1:8">
      <c r="A131" s="52">
        <f t="shared" si="4"/>
        <v>24</v>
      </c>
      <c r="B131" s="61" t="s">
        <v>161</v>
      </c>
      <c r="E131" s="196">
        <v>0</v>
      </c>
      <c r="G131" s="52" t="s">
        <v>258</v>
      </c>
      <c r="H131" s="52">
        <f t="shared" si="5"/>
        <v>24</v>
      </c>
    </row>
    <row r="132" spans="1:8">
      <c r="A132" s="52">
        <f t="shared" si="4"/>
        <v>25</v>
      </c>
      <c r="B132" s="61" t="s">
        <v>163</v>
      </c>
      <c r="E132" s="167">
        <v>-8498.1843313184672</v>
      </c>
      <c r="G132" s="52" t="s">
        <v>259</v>
      </c>
      <c r="H132" s="52">
        <f t="shared" si="5"/>
        <v>25</v>
      </c>
    </row>
    <row r="133" spans="1:8">
      <c r="A133" s="52">
        <f t="shared" si="4"/>
        <v>26</v>
      </c>
      <c r="B133" s="61"/>
      <c r="E133" s="195"/>
      <c r="G133" s="52"/>
      <c r="H133" s="52">
        <f t="shared" si="5"/>
        <v>26</v>
      </c>
    </row>
    <row r="134" spans="1:8" ht="15.75" thickBot="1">
      <c r="A134" s="52">
        <f t="shared" si="4"/>
        <v>27</v>
      </c>
      <c r="B134" s="61" t="s">
        <v>165</v>
      </c>
      <c r="E134" s="208">
        <f>E131+E129+E123+E118+E113+E132</f>
        <v>4005297.7552194232</v>
      </c>
      <c r="F134" s="123"/>
      <c r="G134" s="52" t="s">
        <v>166</v>
      </c>
      <c r="H134" s="52">
        <f t="shared" si="5"/>
        <v>27</v>
      </c>
    </row>
    <row r="135" spans="1:8" ht="15.75" thickTop="1">
      <c r="A135" s="52">
        <f t="shared" si="4"/>
        <v>28</v>
      </c>
      <c r="B135" s="61"/>
      <c r="E135" s="171"/>
      <c r="G135" s="52"/>
      <c r="H135" s="52">
        <f t="shared" si="5"/>
        <v>28</v>
      </c>
    </row>
    <row r="136" spans="1:8" ht="17.25">
      <c r="A136" s="52">
        <f t="shared" si="4"/>
        <v>29</v>
      </c>
      <c r="B136" s="70" t="s">
        <v>167</v>
      </c>
      <c r="E136" s="171"/>
      <c r="G136" s="52"/>
      <c r="H136" s="52">
        <f t="shared" si="5"/>
        <v>29</v>
      </c>
    </row>
    <row r="137" spans="1:8">
      <c r="A137" s="52">
        <f t="shared" si="4"/>
        <v>30</v>
      </c>
      <c r="B137" s="61" t="s">
        <v>168</v>
      </c>
      <c r="E137" s="172">
        <f>E184</f>
        <v>0</v>
      </c>
      <c r="G137" s="52" t="s">
        <v>260</v>
      </c>
      <c r="H137" s="52">
        <f t="shared" si="5"/>
        <v>30</v>
      </c>
    </row>
    <row r="138" spans="1:8">
      <c r="A138" s="52">
        <f t="shared" si="4"/>
        <v>31</v>
      </c>
      <c r="B138" s="61" t="s">
        <v>170</v>
      </c>
      <c r="E138" s="160">
        <v>0</v>
      </c>
      <c r="G138" s="52" t="s">
        <v>261</v>
      </c>
      <c r="H138" s="52">
        <f t="shared" si="5"/>
        <v>31</v>
      </c>
    </row>
    <row r="139" spans="1:8">
      <c r="A139" s="52">
        <f t="shared" si="4"/>
        <v>32</v>
      </c>
      <c r="B139" s="51" t="s">
        <v>172</v>
      </c>
      <c r="E139" s="168">
        <f>SUM(E137:E138)</f>
        <v>0</v>
      </c>
      <c r="G139" s="52" t="s">
        <v>173</v>
      </c>
      <c r="H139" s="52">
        <f t="shared" si="5"/>
        <v>32</v>
      </c>
    </row>
    <row r="140" spans="1:8">
      <c r="A140" s="52">
        <f t="shared" si="4"/>
        <v>33</v>
      </c>
      <c r="B140" s="61"/>
      <c r="E140" s="171"/>
      <c r="G140" s="52"/>
      <c r="H140" s="52">
        <f t="shared" si="5"/>
        <v>33</v>
      </c>
    </row>
    <row r="141" spans="1:8" ht="17.25">
      <c r="A141" s="52">
        <f t="shared" si="4"/>
        <v>34</v>
      </c>
      <c r="B141" s="70" t="s">
        <v>174</v>
      </c>
      <c r="E141" s="171"/>
      <c r="G141" s="52"/>
      <c r="H141" s="52">
        <f t="shared" si="5"/>
        <v>34</v>
      </c>
    </row>
    <row r="142" spans="1:8">
      <c r="A142" s="52">
        <f t="shared" si="4"/>
        <v>35</v>
      </c>
      <c r="B142" s="61" t="s">
        <v>175</v>
      </c>
      <c r="E142" s="172">
        <v>0</v>
      </c>
      <c r="G142" s="52" t="s">
        <v>262</v>
      </c>
      <c r="H142" s="52">
        <f t="shared" si="5"/>
        <v>35</v>
      </c>
    </row>
    <row r="143" spans="1:8">
      <c r="A143" s="52">
        <f t="shared" si="4"/>
        <v>36</v>
      </c>
      <c r="B143" s="51" t="s">
        <v>177</v>
      </c>
      <c r="E143" s="161">
        <v>0</v>
      </c>
      <c r="G143" s="52" t="s">
        <v>263</v>
      </c>
      <c r="H143" s="52">
        <f t="shared" si="5"/>
        <v>36</v>
      </c>
    </row>
    <row r="144" spans="1:8">
      <c r="A144" s="52">
        <f t="shared" si="4"/>
        <v>37</v>
      </c>
      <c r="B144" s="51" t="s">
        <v>179</v>
      </c>
      <c r="E144" s="168">
        <f>SUM(E142:E143)</f>
        <v>0</v>
      </c>
      <c r="G144" s="52" t="s">
        <v>180</v>
      </c>
      <c r="H144" s="52">
        <f t="shared" si="5"/>
        <v>37</v>
      </c>
    </row>
    <row r="145" spans="1:8">
      <c r="A145" s="52">
        <f t="shared" si="4"/>
        <v>38</v>
      </c>
      <c r="B145" s="61"/>
      <c r="E145" s="171"/>
      <c r="G145" s="52"/>
      <c r="H145" s="52">
        <f t="shared" si="5"/>
        <v>38</v>
      </c>
    </row>
    <row r="146" spans="1:8" ht="17.25">
      <c r="A146" s="52">
        <f t="shared" si="4"/>
        <v>39</v>
      </c>
      <c r="B146" s="70" t="s">
        <v>181</v>
      </c>
      <c r="E146" s="172">
        <v>0</v>
      </c>
      <c r="G146" s="52" t="s">
        <v>264</v>
      </c>
      <c r="H146" s="52">
        <f t="shared" si="5"/>
        <v>39</v>
      </c>
    </row>
    <row r="147" spans="1:8">
      <c r="A147" s="52"/>
      <c r="B147" s="61"/>
      <c r="E147" s="171"/>
      <c r="G147" s="52"/>
    </row>
    <row r="148" spans="1:8" ht="17.25">
      <c r="A148" s="69">
        <v>1</v>
      </c>
      <c r="B148" s="51" t="s">
        <v>124</v>
      </c>
      <c r="E148" s="171"/>
      <c r="G148" s="52"/>
    </row>
    <row r="149" spans="1:8">
      <c r="A149" s="52"/>
      <c r="B149" s="123"/>
      <c r="E149" s="171"/>
      <c r="G149" s="52"/>
    </row>
    <row r="150" spans="1:8">
      <c r="A150" s="52"/>
      <c r="B150" s="123"/>
      <c r="E150" s="171"/>
      <c r="G150" s="52"/>
    </row>
    <row r="151" spans="1:8">
      <c r="A151" s="52"/>
      <c r="B151" s="608" t="s">
        <v>214</v>
      </c>
      <c r="C151" s="609"/>
      <c r="D151" s="609"/>
      <c r="E151" s="609"/>
      <c r="F151" s="609"/>
      <c r="G151" s="609"/>
    </row>
    <row r="152" spans="1:8">
      <c r="A152" s="52" t="s">
        <v>33</v>
      </c>
      <c r="B152" s="608" t="s">
        <v>215</v>
      </c>
      <c r="C152" s="609"/>
      <c r="D152" s="609"/>
      <c r="E152" s="609"/>
      <c r="F152" s="609"/>
      <c r="G152" s="609"/>
    </row>
    <row r="153" spans="1:8" ht="18">
      <c r="A153" s="52"/>
      <c r="B153" s="608" t="s">
        <v>216</v>
      </c>
      <c r="C153" s="610"/>
      <c r="D153" s="610"/>
      <c r="E153" s="610"/>
      <c r="F153" s="610"/>
      <c r="G153" s="610"/>
    </row>
    <row r="154" spans="1:8">
      <c r="A154" s="52"/>
      <c r="B154" s="613" t="str">
        <f>B5</f>
        <v>For the Base Period &amp; True-Up Period Ending December 31, 2018</v>
      </c>
      <c r="C154" s="614"/>
      <c r="D154" s="614"/>
      <c r="E154" s="614"/>
      <c r="F154" s="614"/>
      <c r="G154" s="614"/>
    </row>
    <row r="155" spans="1:8">
      <c r="A155" s="52"/>
      <c r="B155" s="612" t="s">
        <v>3</v>
      </c>
      <c r="C155" s="609"/>
      <c r="D155" s="609"/>
      <c r="E155" s="609"/>
      <c r="F155" s="609"/>
      <c r="G155" s="609"/>
    </row>
    <row r="156" spans="1:8">
      <c r="A156" s="52"/>
      <c r="B156" s="198"/>
    </row>
    <row r="157" spans="1:8">
      <c r="A157" s="52" t="s">
        <v>4</v>
      </c>
      <c r="E157" s="129"/>
      <c r="G157" s="52"/>
      <c r="H157" s="52" t="s">
        <v>4</v>
      </c>
    </row>
    <row r="158" spans="1:8">
      <c r="A158" s="52" t="s">
        <v>5</v>
      </c>
      <c r="B158" s="123" t="s">
        <v>33</v>
      </c>
      <c r="E158" s="130" t="s">
        <v>7</v>
      </c>
      <c r="G158" s="131" t="s">
        <v>8</v>
      </c>
      <c r="H158" s="52" t="s">
        <v>5</v>
      </c>
    </row>
    <row r="159" spans="1:8">
      <c r="A159" s="132"/>
      <c r="B159" s="70" t="s">
        <v>265</v>
      </c>
      <c r="E159" s="129"/>
      <c r="G159" s="52"/>
      <c r="H159" s="132"/>
    </row>
    <row r="160" spans="1:8">
      <c r="A160" s="52">
        <v>1</v>
      </c>
      <c r="B160" s="184" t="s">
        <v>184</v>
      </c>
      <c r="E160" s="129"/>
      <c r="G160" s="52"/>
      <c r="H160" s="52">
        <f>A160</f>
        <v>1</v>
      </c>
    </row>
    <row r="161" spans="1:10">
      <c r="A161" s="52">
        <f t="shared" ref="A161:A184" si="6">A160+1</f>
        <v>2</v>
      </c>
      <c r="B161" s="61" t="s">
        <v>128</v>
      </c>
      <c r="E161" s="158">
        <v>5678390.0500223078</v>
      </c>
      <c r="F161" s="145"/>
      <c r="G161" s="52" t="s">
        <v>266</v>
      </c>
      <c r="H161" s="52">
        <f t="shared" ref="H161:H184" si="7">H160+1</f>
        <v>2</v>
      </c>
      <c r="I161" s="199"/>
    </row>
    <row r="162" spans="1:10">
      <c r="A162" s="52">
        <f t="shared" si="6"/>
        <v>3</v>
      </c>
      <c r="B162" s="61" t="s">
        <v>267</v>
      </c>
      <c r="E162" s="200">
        <v>34502.158789044915</v>
      </c>
      <c r="F162" s="145"/>
      <c r="G162" s="52" t="s">
        <v>268</v>
      </c>
      <c r="H162" s="52">
        <f t="shared" si="7"/>
        <v>3</v>
      </c>
      <c r="I162" s="201"/>
    </row>
    <row r="163" spans="1:10">
      <c r="A163" s="52">
        <f t="shared" si="6"/>
        <v>4</v>
      </c>
      <c r="B163" s="61" t="s">
        <v>132</v>
      </c>
      <c r="E163" s="200">
        <v>79064.08395179348</v>
      </c>
      <c r="F163" s="123"/>
      <c r="G163" s="52" t="s">
        <v>269</v>
      </c>
      <c r="H163" s="52">
        <f t="shared" si="7"/>
        <v>4</v>
      </c>
      <c r="J163" s="202"/>
    </row>
    <row r="164" spans="1:10">
      <c r="A164" s="52">
        <f t="shared" si="6"/>
        <v>5</v>
      </c>
      <c r="B164" s="61" t="s">
        <v>134</v>
      </c>
      <c r="C164" s="52"/>
      <c r="D164" s="52"/>
      <c r="E164" s="150">
        <v>178047.85010868488</v>
      </c>
      <c r="F164" s="123"/>
      <c r="G164" s="52" t="s">
        <v>270</v>
      </c>
      <c r="H164" s="52">
        <f t="shared" si="7"/>
        <v>5</v>
      </c>
    </row>
    <row r="165" spans="1:10">
      <c r="A165" s="52">
        <f t="shared" si="6"/>
        <v>6</v>
      </c>
      <c r="B165" s="61" t="s">
        <v>189</v>
      </c>
      <c r="E165" s="188">
        <f>SUM(E161:E164)</f>
        <v>5970004.1428718315</v>
      </c>
      <c r="F165" s="145"/>
      <c r="G165" s="52" t="s">
        <v>137</v>
      </c>
      <c r="H165" s="52">
        <f t="shared" si="7"/>
        <v>6</v>
      </c>
      <c r="I165" s="201"/>
    </row>
    <row r="166" spans="1:10">
      <c r="A166" s="52">
        <f t="shared" si="6"/>
        <v>7</v>
      </c>
      <c r="C166" s="52"/>
      <c r="D166" s="52"/>
      <c r="E166" s="129"/>
      <c r="G166" s="52"/>
      <c r="H166" s="52">
        <f t="shared" si="7"/>
        <v>7</v>
      </c>
    </row>
    <row r="167" spans="1:10">
      <c r="A167" s="52">
        <f t="shared" si="6"/>
        <v>8</v>
      </c>
      <c r="B167" s="119" t="s">
        <v>190</v>
      </c>
      <c r="E167" s="129"/>
      <c r="G167" s="52"/>
      <c r="H167" s="52">
        <f t="shared" si="7"/>
        <v>8</v>
      </c>
    </row>
    <row r="168" spans="1:10">
      <c r="A168" s="52">
        <f t="shared" si="6"/>
        <v>9</v>
      </c>
      <c r="B168" s="51" t="s">
        <v>191</v>
      </c>
      <c r="E168" s="158">
        <v>1120020.4208957693</v>
      </c>
      <c r="F168" s="145"/>
      <c r="G168" s="52" t="s">
        <v>271</v>
      </c>
      <c r="H168" s="52">
        <f t="shared" si="7"/>
        <v>9</v>
      </c>
    </row>
    <row r="169" spans="1:10">
      <c r="A169" s="52">
        <f t="shared" si="6"/>
        <v>10</v>
      </c>
      <c r="B169" s="51" t="s">
        <v>193</v>
      </c>
      <c r="E169" s="200">
        <v>23179.666861935326</v>
      </c>
      <c r="F169" s="145"/>
      <c r="G169" s="52" t="s">
        <v>272</v>
      </c>
      <c r="H169" s="52">
        <f t="shared" si="7"/>
        <v>10</v>
      </c>
    </row>
    <row r="170" spans="1:10">
      <c r="A170" s="52">
        <f t="shared" si="6"/>
        <v>11</v>
      </c>
      <c r="B170" s="51" t="s">
        <v>195</v>
      </c>
      <c r="E170" s="200">
        <v>30747.36244368034</v>
      </c>
      <c r="F170" s="123"/>
      <c r="G170" s="52" t="s">
        <v>273</v>
      </c>
      <c r="H170" s="52">
        <f t="shared" si="7"/>
        <v>11</v>
      </c>
    </row>
    <row r="171" spans="1:10">
      <c r="A171" s="52">
        <f t="shared" si="6"/>
        <v>12</v>
      </c>
      <c r="B171" s="51" t="s">
        <v>197</v>
      </c>
      <c r="E171" s="150">
        <v>85554.231338110854</v>
      </c>
      <c r="F171" s="123"/>
      <c r="G171" s="52" t="s">
        <v>274</v>
      </c>
      <c r="H171" s="52">
        <f t="shared" si="7"/>
        <v>12</v>
      </c>
    </row>
    <row r="172" spans="1:10">
      <c r="A172" s="52">
        <f t="shared" si="6"/>
        <v>13</v>
      </c>
      <c r="B172" s="201" t="s">
        <v>199</v>
      </c>
      <c r="C172" s="201"/>
      <c r="D172" s="201"/>
      <c r="E172" s="203">
        <f>SUM(E168:E171)</f>
        <v>1259501.6815394957</v>
      </c>
      <c r="F172" s="145"/>
      <c r="G172" s="52" t="s">
        <v>200</v>
      </c>
      <c r="H172" s="52">
        <f t="shared" si="7"/>
        <v>13</v>
      </c>
    </row>
    <row r="173" spans="1:10">
      <c r="A173" s="52">
        <f t="shared" si="6"/>
        <v>14</v>
      </c>
      <c r="B173" s="201"/>
      <c r="C173" s="201"/>
      <c r="D173" s="201"/>
      <c r="E173" s="193"/>
      <c r="G173" s="52"/>
      <c r="H173" s="52">
        <f t="shared" si="7"/>
        <v>14</v>
      </c>
    </row>
    <row r="174" spans="1:10">
      <c r="A174" s="52">
        <f t="shared" si="6"/>
        <v>15</v>
      </c>
      <c r="B174" s="184" t="s">
        <v>127</v>
      </c>
      <c r="C174" s="201"/>
      <c r="D174" s="201"/>
      <c r="E174" s="193"/>
      <c r="G174" s="52"/>
      <c r="H174" s="52">
        <f t="shared" si="7"/>
        <v>15</v>
      </c>
    </row>
    <row r="175" spans="1:10">
      <c r="A175" s="52">
        <f t="shared" si="6"/>
        <v>16</v>
      </c>
      <c r="B175" s="61" t="s">
        <v>128</v>
      </c>
      <c r="E175" s="171">
        <f>+E161-E168</f>
        <v>4558369.6291265385</v>
      </c>
      <c r="F175" s="145"/>
      <c r="G175" s="52" t="s">
        <v>275</v>
      </c>
      <c r="H175" s="52">
        <f t="shared" si="7"/>
        <v>16</v>
      </c>
    </row>
    <row r="176" spans="1:10">
      <c r="A176" s="52">
        <f t="shared" si="6"/>
        <v>17</v>
      </c>
      <c r="B176" s="61" t="s">
        <v>130</v>
      </c>
      <c r="E176" s="149">
        <f>+E162-E169</f>
        <v>11322.49192710959</v>
      </c>
      <c r="F176" s="145"/>
      <c r="G176" s="52" t="s">
        <v>276</v>
      </c>
      <c r="H176" s="52">
        <f t="shared" si="7"/>
        <v>17</v>
      </c>
    </row>
    <row r="177" spans="1:8">
      <c r="A177" s="52">
        <f t="shared" si="6"/>
        <v>18</v>
      </c>
      <c r="B177" s="61" t="s">
        <v>132</v>
      </c>
      <c r="E177" s="149">
        <f>+E163-E170</f>
        <v>48316.721508113143</v>
      </c>
      <c r="G177" s="52" t="s">
        <v>277</v>
      </c>
      <c r="H177" s="52">
        <f t="shared" si="7"/>
        <v>18</v>
      </c>
    </row>
    <row r="178" spans="1:8">
      <c r="A178" s="52">
        <f t="shared" si="6"/>
        <v>19</v>
      </c>
      <c r="B178" s="61" t="s">
        <v>134</v>
      </c>
      <c r="E178" s="204">
        <f>+E164-E171</f>
        <v>92493.61877057403</v>
      </c>
      <c r="G178" s="52" t="s">
        <v>278</v>
      </c>
      <c r="H178" s="52">
        <f t="shared" si="7"/>
        <v>19</v>
      </c>
    </row>
    <row r="179" spans="1:8" ht="15.75" thickBot="1">
      <c r="A179" s="52">
        <f t="shared" si="6"/>
        <v>20</v>
      </c>
      <c r="B179" s="51" t="s">
        <v>136</v>
      </c>
      <c r="E179" s="205">
        <f>SUM(E175:E178)</f>
        <v>4710502.4613323351</v>
      </c>
      <c r="F179" s="145"/>
      <c r="G179" s="52" t="s">
        <v>205</v>
      </c>
      <c r="H179" s="52">
        <f t="shared" si="7"/>
        <v>20</v>
      </c>
    </row>
    <row r="180" spans="1:8" ht="15.75" thickTop="1">
      <c r="A180" s="52">
        <f t="shared" si="6"/>
        <v>21</v>
      </c>
      <c r="E180" s="171"/>
      <c r="G180" s="52"/>
      <c r="H180" s="52">
        <f t="shared" si="7"/>
        <v>21</v>
      </c>
    </row>
    <row r="181" spans="1:8" ht="17.25">
      <c r="A181" s="52">
        <f t="shared" si="6"/>
        <v>22</v>
      </c>
      <c r="B181" s="70" t="s">
        <v>206</v>
      </c>
      <c r="E181" s="171"/>
      <c r="G181" s="52"/>
      <c r="H181" s="52">
        <f t="shared" si="7"/>
        <v>22</v>
      </c>
    </row>
    <row r="182" spans="1:8">
      <c r="A182" s="52">
        <f t="shared" si="6"/>
        <v>23</v>
      </c>
      <c r="B182" s="61" t="s">
        <v>207</v>
      </c>
      <c r="E182" s="172">
        <v>0</v>
      </c>
      <c r="G182" s="52" t="s">
        <v>279</v>
      </c>
      <c r="H182" s="52">
        <f t="shared" si="7"/>
        <v>23</v>
      </c>
    </row>
    <row r="183" spans="1:8">
      <c r="A183" s="52">
        <f t="shared" si="6"/>
        <v>24</v>
      </c>
      <c r="B183" s="51" t="s">
        <v>209</v>
      </c>
      <c r="E183" s="161">
        <v>0</v>
      </c>
      <c r="G183" s="52" t="s">
        <v>280</v>
      </c>
      <c r="H183" s="52">
        <f t="shared" si="7"/>
        <v>24</v>
      </c>
    </row>
    <row r="184" spans="1:8" ht="15.75" thickBot="1">
      <c r="A184" s="52">
        <f t="shared" si="6"/>
        <v>25</v>
      </c>
      <c r="B184" s="61" t="s">
        <v>211</v>
      </c>
      <c r="E184" s="206">
        <f>E182-E183</f>
        <v>0</v>
      </c>
      <c r="G184" s="52" t="s">
        <v>212</v>
      </c>
      <c r="H184" s="52">
        <f t="shared" si="7"/>
        <v>25</v>
      </c>
    </row>
    <row r="185" spans="1:8" ht="15.75" thickTop="1">
      <c r="A185" s="52"/>
      <c r="B185" s="61"/>
      <c r="E185" s="171"/>
      <c r="G185" s="52"/>
    </row>
    <row r="186" spans="1:8" ht="17.25">
      <c r="A186" s="69">
        <v>1</v>
      </c>
      <c r="B186" s="51" t="s">
        <v>213</v>
      </c>
      <c r="E186" s="171"/>
      <c r="G186" s="52"/>
    </row>
    <row r="188" spans="1:8">
      <c r="E188" s="210"/>
    </row>
    <row r="190" spans="1:8">
      <c r="E190" s="211"/>
    </row>
    <row r="192" spans="1:8">
      <c r="E192" s="207"/>
    </row>
  </sheetData>
  <mergeCells count="20">
    <mergeCell ref="B154:G154"/>
    <mergeCell ref="B155:G155"/>
    <mergeCell ref="B153:G153"/>
    <mergeCell ref="B46:G46"/>
    <mergeCell ref="B47:G47"/>
    <mergeCell ref="B48:G48"/>
    <mergeCell ref="B49:G49"/>
    <mergeCell ref="B99:G99"/>
    <mergeCell ref="B100:G100"/>
    <mergeCell ref="B101:G101"/>
    <mergeCell ref="B102:G102"/>
    <mergeCell ref="B103:G103"/>
    <mergeCell ref="B151:G151"/>
    <mergeCell ref="B152:G152"/>
    <mergeCell ref="B45:G45"/>
    <mergeCell ref="B2:G2"/>
    <mergeCell ref="B3:G3"/>
    <mergeCell ref="B4:G4"/>
    <mergeCell ref="B5:G5"/>
    <mergeCell ref="B6:G6"/>
  </mergeCells>
  <printOptions horizontalCentered="1"/>
  <pageMargins left="0" right="0" top="0.5" bottom="0.5" header="0.35" footer="0.25"/>
  <pageSetup scale="57" orientation="portrait" r:id="rId1"/>
  <headerFooter scaleWithDoc="0" alignWithMargins="0">
    <oddHeader>&amp;C&amp;"Times New Roman,Bold"&amp;10AS FILED</oddHeader>
    <oddFooter>&amp;CPage 4.&amp;P &amp;R&amp;F</oddFooter>
  </headerFooter>
  <rowBreaks count="3" manualBreakCount="3">
    <brk id="43" max="16383" man="1"/>
    <brk id="97" max="16383" man="1"/>
    <brk id="1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B3E5-B06A-4D10-AB7A-36F3ED12B545}">
  <sheetPr>
    <pageSetUpPr fitToPage="1"/>
  </sheetPr>
  <dimension ref="A1:J65"/>
  <sheetViews>
    <sheetView zoomScale="80" zoomScaleNormal="80" workbookViewId="0"/>
  </sheetViews>
  <sheetFormatPr defaultColWidth="8.85546875" defaultRowHeight="15.4"/>
  <cols>
    <col min="1" max="1" width="5.140625" style="214" bestFit="1" customWidth="1"/>
    <col min="2" max="2" width="78.42578125" style="215" customWidth="1"/>
    <col min="3" max="3" width="21.140625" style="215" customWidth="1"/>
    <col min="4" max="4" width="1.5703125" style="215" customWidth="1"/>
    <col min="5" max="5" width="16.85546875" style="215" customWidth="1"/>
    <col min="6" max="6" width="1.5703125" style="215" customWidth="1"/>
    <col min="7" max="7" width="43.5703125" style="215" customWidth="1"/>
    <col min="8" max="8" width="5.140625" style="215" customWidth="1"/>
    <col min="9" max="9" width="8.85546875" style="215"/>
    <col min="10" max="10" width="20.42578125" style="215" bestFit="1" customWidth="1"/>
    <col min="11" max="16384" width="8.85546875" style="215"/>
  </cols>
  <sheetData>
    <row r="1" spans="1:8">
      <c r="G1" s="216"/>
      <c r="H1" s="214"/>
    </row>
    <row r="2" spans="1:8">
      <c r="B2" s="615" t="s">
        <v>214</v>
      </c>
      <c r="C2" s="615"/>
      <c r="D2" s="615"/>
      <c r="E2" s="615"/>
      <c r="F2" s="615"/>
      <c r="G2" s="615"/>
      <c r="H2" s="214"/>
    </row>
    <row r="3" spans="1:8">
      <c r="B3" s="615" t="s">
        <v>284</v>
      </c>
      <c r="C3" s="615"/>
      <c r="D3" s="615"/>
      <c r="E3" s="615"/>
      <c r="F3" s="615"/>
      <c r="G3" s="615"/>
      <c r="H3" s="214"/>
    </row>
    <row r="4" spans="1:8">
      <c r="B4" s="615" t="s">
        <v>285</v>
      </c>
      <c r="C4" s="615"/>
      <c r="D4" s="615"/>
      <c r="E4" s="615"/>
      <c r="F4" s="615"/>
      <c r="G4" s="615"/>
      <c r="H4" s="214"/>
    </row>
    <row r="5" spans="1:8">
      <c r="B5" s="616" t="s">
        <v>286</v>
      </c>
      <c r="C5" s="616"/>
      <c r="D5" s="616"/>
      <c r="E5" s="616"/>
      <c r="F5" s="616"/>
      <c r="G5" s="616"/>
      <c r="H5" s="214"/>
    </row>
    <row r="6" spans="1:8">
      <c r="B6" s="617" t="s">
        <v>3</v>
      </c>
      <c r="C6" s="618"/>
      <c r="D6" s="618"/>
      <c r="E6" s="618"/>
      <c r="F6" s="618"/>
      <c r="G6" s="618"/>
      <c r="H6" s="214"/>
    </row>
    <row r="7" spans="1:8">
      <c r="B7" s="214"/>
      <c r="C7" s="214"/>
      <c r="D7" s="214"/>
      <c r="E7" s="217"/>
      <c r="F7" s="217"/>
      <c r="G7" s="214"/>
      <c r="H7" s="214"/>
    </row>
    <row r="8" spans="1:8">
      <c r="A8" s="214" t="s">
        <v>4</v>
      </c>
      <c r="B8" s="218"/>
      <c r="C8" s="214" t="s">
        <v>287</v>
      </c>
      <c r="D8" s="218"/>
      <c r="E8" s="219"/>
      <c r="F8" s="219"/>
      <c r="G8" s="214"/>
      <c r="H8" s="214" t="s">
        <v>4</v>
      </c>
    </row>
    <row r="9" spans="1:8">
      <c r="A9" s="214" t="s">
        <v>5</v>
      </c>
      <c r="C9" s="220" t="s">
        <v>288</v>
      </c>
      <c r="D9" s="218"/>
      <c r="E9" s="221" t="s">
        <v>7</v>
      </c>
      <c r="F9" s="219"/>
      <c r="G9" s="220" t="s">
        <v>8</v>
      </c>
      <c r="H9" s="214" t="s">
        <v>5</v>
      </c>
    </row>
    <row r="10" spans="1:8">
      <c r="C10" s="218"/>
      <c r="D10" s="218"/>
      <c r="E10" s="219"/>
      <c r="F10" s="219"/>
      <c r="G10" s="214"/>
      <c r="H10" s="214"/>
    </row>
    <row r="11" spans="1:8">
      <c r="A11" s="214">
        <v>1</v>
      </c>
      <c r="B11" s="222" t="s">
        <v>289</v>
      </c>
      <c r="G11" s="214"/>
      <c r="H11" s="214">
        <f>A11</f>
        <v>1</v>
      </c>
    </row>
    <row r="12" spans="1:8">
      <c r="A12" s="214">
        <f>+A11+1</f>
        <v>2</v>
      </c>
      <c r="B12" s="215" t="s">
        <v>290</v>
      </c>
      <c r="C12" s="214" t="s">
        <v>291</v>
      </c>
      <c r="E12" s="223">
        <f>'Pg5.1A Revised AH-1'!D43</f>
        <v>88575.244999999995</v>
      </c>
      <c r="G12" s="214" t="s">
        <v>292</v>
      </c>
      <c r="H12" s="214">
        <f>+H11+1</f>
        <v>2</v>
      </c>
    </row>
    <row r="13" spans="1:8">
      <c r="A13" s="214">
        <f t="shared" ref="A13:A61" si="0">+A12+1</f>
        <v>3</v>
      </c>
      <c r="B13" s="224" t="s">
        <v>293</v>
      </c>
      <c r="E13" s="225"/>
      <c r="G13" s="214"/>
      <c r="H13" s="214">
        <f t="shared" ref="H13:H61" si="1">+H12+1</f>
        <v>3</v>
      </c>
    </row>
    <row r="14" spans="1:8">
      <c r="A14" s="214">
        <f t="shared" si="0"/>
        <v>4</v>
      </c>
      <c r="B14" s="215" t="s">
        <v>294</v>
      </c>
      <c r="C14" s="226"/>
      <c r="E14" s="227">
        <f>-'Pg5.1A Revised AH-1'!E48</f>
        <v>-5877.8884600000001</v>
      </c>
      <c r="G14" s="214" t="s">
        <v>295</v>
      </c>
      <c r="H14" s="214">
        <f t="shared" si="1"/>
        <v>4</v>
      </c>
    </row>
    <row r="15" spans="1:8">
      <c r="A15" s="214">
        <f t="shared" si="0"/>
        <v>5</v>
      </c>
      <c r="B15" s="215" t="s">
        <v>296</v>
      </c>
      <c r="E15" s="227">
        <f>-'Pg5.1A Revised AH-1'!E49</f>
        <v>-2718.2313100000001</v>
      </c>
      <c r="G15" s="214" t="s">
        <v>297</v>
      </c>
      <c r="H15" s="214">
        <f t="shared" si="1"/>
        <v>5</v>
      </c>
    </row>
    <row r="16" spans="1:8">
      <c r="A16" s="214">
        <f t="shared" si="0"/>
        <v>6</v>
      </c>
      <c r="B16" s="215" t="s">
        <v>298</v>
      </c>
      <c r="E16" s="227">
        <f>-'Pg5.1A Revised AH-1'!E50</f>
        <v>0</v>
      </c>
      <c r="G16" s="214" t="s">
        <v>299</v>
      </c>
      <c r="H16" s="214">
        <f t="shared" si="1"/>
        <v>6</v>
      </c>
    </row>
    <row r="17" spans="1:10">
      <c r="A17" s="214">
        <f t="shared" si="0"/>
        <v>7</v>
      </c>
      <c r="B17" s="215" t="s">
        <v>300</v>
      </c>
      <c r="E17" s="227">
        <f>-'Pg5.1A Revised AH-1'!E55</f>
        <v>-3045.7638999999999</v>
      </c>
      <c r="G17" s="214" t="s">
        <v>301</v>
      </c>
      <c r="H17" s="214">
        <f t="shared" si="1"/>
        <v>7</v>
      </c>
    </row>
    <row r="18" spans="1:10">
      <c r="A18" s="214">
        <f t="shared" si="0"/>
        <v>8</v>
      </c>
      <c r="B18" s="215" t="s">
        <v>302</v>
      </c>
      <c r="E18" s="228">
        <f>-'Pg5.1A Revised AH-1'!E47</f>
        <v>-124.69141999999999</v>
      </c>
      <c r="G18" s="214" t="s">
        <v>303</v>
      </c>
      <c r="H18" s="214">
        <f t="shared" si="1"/>
        <v>8</v>
      </c>
    </row>
    <row r="19" spans="1:10" ht="15.75">
      <c r="A19" s="214">
        <f t="shared" si="0"/>
        <v>9</v>
      </c>
      <c r="B19" s="215" t="s">
        <v>304</v>
      </c>
      <c r="E19" s="229">
        <f>'Pg5.1A Revised AH-1'!H43</f>
        <v>-543.57100000000003</v>
      </c>
      <c r="F19" s="41" t="s">
        <v>38</v>
      </c>
      <c r="G19" s="214" t="s">
        <v>305</v>
      </c>
      <c r="H19" s="214">
        <f t="shared" si="1"/>
        <v>9</v>
      </c>
    </row>
    <row r="20" spans="1:10" ht="15.75">
      <c r="A20" s="214">
        <f t="shared" si="0"/>
        <v>10</v>
      </c>
      <c r="B20" s="215" t="s">
        <v>306</v>
      </c>
      <c r="E20" s="230">
        <f>SUM(E12:E19)</f>
        <v>76265.098909999986</v>
      </c>
      <c r="F20" s="41" t="s">
        <v>38</v>
      </c>
      <c r="G20" s="142" t="s">
        <v>307</v>
      </c>
      <c r="H20" s="214">
        <f t="shared" si="1"/>
        <v>10</v>
      </c>
    </row>
    <row r="21" spans="1:10">
      <c r="A21" s="214">
        <f t="shared" si="0"/>
        <v>11</v>
      </c>
      <c r="E21" s="231"/>
      <c r="H21" s="214">
        <f t="shared" si="1"/>
        <v>11</v>
      </c>
    </row>
    <row r="22" spans="1:10">
      <c r="A22" s="214">
        <f t="shared" si="0"/>
        <v>12</v>
      </c>
      <c r="B22" s="232" t="s">
        <v>308</v>
      </c>
      <c r="E22" s="233"/>
      <c r="G22" s="214"/>
      <c r="H22" s="214">
        <f t="shared" si="1"/>
        <v>12</v>
      </c>
    </row>
    <row r="23" spans="1:10">
      <c r="A23" s="214">
        <f t="shared" si="0"/>
        <v>13</v>
      </c>
      <c r="B23" s="224" t="s">
        <v>309</v>
      </c>
      <c r="C23" s="214" t="s">
        <v>310</v>
      </c>
      <c r="E23" s="223">
        <f>'Pg5.1B Revised AH-2'!D26</f>
        <v>477838.49032000004</v>
      </c>
      <c r="G23" s="214" t="s">
        <v>311</v>
      </c>
      <c r="H23" s="214">
        <f t="shared" si="1"/>
        <v>13</v>
      </c>
    </row>
    <row r="24" spans="1:10">
      <c r="A24" s="214">
        <f t="shared" si="0"/>
        <v>14</v>
      </c>
      <c r="B24" s="224" t="s">
        <v>312</v>
      </c>
      <c r="E24" s="233" t="s">
        <v>33</v>
      </c>
      <c r="G24" s="214"/>
      <c r="H24" s="214">
        <f t="shared" si="1"/>
        <v>14</v>
      </c>
    </row>
    <row r="25" spans="1:10">
      <c r="A25" s="214">
        <f t="shared" si="0"/>
        <v>15</v>
      </c>
      <c r="B25" s="224" t="s">
        <v>313</v>
      </c>
      <c r="E25" s="227">
        <f>-'Pg5.1B Revised AH-2'!E43</f>
        <v>-2000.03565</v>
      </c>
      <c r="G25" s="214" t="s">
        <v>314</v>
      </c>
      <c r="H25" s="214">
        <f t="shared" si="1"/>
        <v>15</v>
      </c>
    </row>
    <row r="26" spans="1:10" ht="30.75">
      <c r="A26" s="214">
        <f t="shared" si="0"/>
        <v>16</v>
      </c>
      <c r="B26" s="224" t="s">
        <v>315</v>
      </c>
      <c r="E26" s="227">
        <f>-('Pg5.1B Revised AH-2'!D32+'Pg5.1B Revised AH-2'!E34+'Pg5.1B Revised AH-2'!D36+'Pg5.1B Revised AH-2'!D42)</f>
        <v>-446.61920875499993</v>
      </c>
      <c r="G26" s="234" t="s">
        <v>316</v>
      </c>
      <c r="H26" s="214">
        <f t="shared" si="1"/>
        <v>16</v>
      </c>
      <c r="I26" s="235"/>
      <c r="J26" s="236"/>
    </row>
    <row r="27" spans="1:10" ht="17.25">
      <c r="A27" s="214">
        <f t="shared" si="0"/>
        <v>17</v>
      </c>
      <c r="B27" s="224" t="s">
        <v>317</v>
      </c>
      <c r="E27" s="227">
        <f>-'Pg5.1B Revised AH-2'!D37</f>
        <v>0</v>
      </c>
      <c r="G27" s="214" t="s">
        <v>318</v>
      </c>
      <c r="H27" s="214">
        <f t="shared" si="1"/>
        <v>17</v>
      </c>
      <c r="I27" s="235"/>
      <c r="J27" s="237"/>
    </row>
    <row r="28" spans="1:10">
      <c r="A28" s="214">
        <f t="shared" si="0"/>
        <v>18</v>
      </c>
      <c r="B28" s="224" t="s">
        <v>319</v>
      </c>
      <c r="E28" s="227">
        <f>-'Pg5.1B Revised AH-2'!D38</f>
        <v>-1333.8680300000003</v>
      </c>
      <c r="G28" s="214" t="s">
        <v>320</v>
      </c>
      <c r="H28" s="214">
        <f t="shared" si="1"/>
        <v>18</v>
      </c>
    </row>
    <row r="29" spans="1:10">
      <c r="A29" s="214">
        <f t="shared" si="0"/>
        <v>19</v>
      </c>
      <c r="B29" s="224" t="s">
        <v>321</v>
      </c>
      <c r="E29" s="227">
        <f>-'Pg5.1B Revised AH-2'!D39</f>
        <v>-8601.3346500000007</v>
      </c>
      <c r="G29" s="214" t="s">
        <v>322</v>
      </c>
      <c r="H29" s="214">
        <f t="shared" si="1"/>
        <v>19</v>
      </c>
      <c r="J29" s="236"/>
    </row>
    <row r="30" spans="1:10">
      <c r="A30" s="214">
        <f t="shared" si="0"/>
        <v>20</v>
      </c>
      <c r="B30" s="224" t="s">
        <v>323</v>
      </c>
      <c r="E30" s="227">
        <f>-'Pg5.1B Revised AH-2'!D33</f>
        <v>0</v>
      </c>
      <c r="G30" s="234" t="s">
        <v>324</v>
      </c>
      <c r="H30" s="214">
        <f>+H29+1</f>
        <v>20</v>
      </c>
      <c r="I30" s="235"/>
      <c r="J30" s="236"/>
    </row>
    <row r="31" spans="1:10">
      <c r="A31" s="214">
        <f t="shared" si="0"/>
        <v>21</v>
      </c>
      <c r="B31" s="224" t="s">
        <v>325</v>
      </c>
      <c r="E31" s="227">
        <f>-'Pg5.1B Revised AH-2'!E41</f>
        <v>-242.68352000000002</v>
      </c>
      <c r="G31" s="234" t="s">
        <v>326</v>
      </c>
      <c r="H31" s="214">
        <f>+H30+1</f>
        <v>21</v>
      </c>
      <c r="I31" s="235"/>
    </row>
    <row r="32" spans="1:10">
      <c r="A32" s="214">
        <f t="shared" si="0"/>
        <v>22</v>
      </c>
      <c r="B32" s="224" t="s">
        <v>327</v>
      </c>
      <c r="E32" s="227">
        <f>-'Pg5.1B Revised AH-2'!E35</f>
        <v>-131978.20225999999</v>
      </c>
      <c r="G32" s="214" t="s">
        <v>328</v>
      </c>
      <c r="H32" s="214">
        <f>+H31+1</f>
        <v>22</v>
      </c>
    </row>
    <row r="33" spans="1:9">
      <c r="A33" s="214">
        <f t="shared" si="0"/>
        <v>23</v>
      </c>
      <c r="B33" s="224" t="s">
        <v>329</v>
      </c>
      <c r="E33" s="227">
        <f>-'Pg5.1B Revised AH-2'!E44</f>
        <v>-65.000791141999997</v>
      </c>
      <c r="G33" s="234" t="s">
        <v>330</v>
      </c>
      <c r="H33" s="214">
        <f t="shared" ref="H33:H34" si="2">+H32+1</f>
        <v>23</v>
      </c>
    </row>
    <row r="34" spans="1:9" ht="30.75">
      <c r="A34" s="214">
        <f t="shared" si="0"/>
        <v>24</v>
      </c>
      <c r="B34" s="224" t="s">
        <v>331</v>
      </c>
      <c r="E34" s="227">
        <f>-('Pg5.1B Revised AH-2'!E30+'Pg5.1B Revised AH-2'!E31+'Pg5.1B Revised AH-2'!D40)</f>
        <v>-475.34206999999998</v>
      </c>
      <c r="G34" s="234" t="s">
        <v>332</v>
      </c>
      <c r="H34" s="214">
        <f t="shared" si="2"/>
        <v>24</v>
      </c>
    </row>
    <row r="35" spans="1:9" ht="15.75">
      <c r="A35" s="214">
        <f t="shared" si="0"/>
        <v>25</v>
      </c>
      <c r="B35" s="215" t="s">
        <v>304</v>
      </c>
      <c r="E35" s="238">
        <f>'Pg5.1B Revised AH-2'!H26</f>
        <v>826.245</v>
      </c>
      <c r="F35" s="41" t="s">
        <v>38</v>
      </c>
      <c r="G35" s="214" t="s">
        <v>333</v>
      </c>
      <c r="H35" s="214">
        <f>+H34+1</f>
        <v>25</v>
      </c>
    </row>
    <row r="36" spans="1:9" ht="15.75">
      <c r="A36" s="214">
        <f t="shared" si="0"/>
        <v>26</v>
      </c>
      <c r="B36" s="224" t="s">
        <v>334</v>
      </c>
      <c r="E36" s="239">
        <f>SUM(E23:E35)</f>
        <v>333521.64914010308</v>
      </c>
      <c r="F36" s="41" t="s">
        <v>38</v>
      </c>
      <c r="G36" s="214" t="s">
        <v>335</v>
      </c>
      <c r="H36" s="214">
        <f>+H35+1</f>
        <v>26</v>
      </c>
    </row>
    <row r="37" spans="1:9">
      <c r="A37" s="214">
        <f t="shared" si="0"/>
        <v>27</v>
      </c>
      <c r="B37" s="224" t="s">
        <v>336</v>
      </c>
      <c r="E37" s="240">
        <f>-'Pg5.1B Revised AH-2'!F15</f>
        <v>-5523.0058700000009</v>
      </c>
      <c r="G37" s="214" t="s">
        <v>337</v>
      </c>
      <c r="H37" s="214">
        <f t="shared" ref="H37:H48" si="3">+H36+1</f>
        <v>27</v>
      </c>
    </row>
    <row r="38" spans="1:9" ht="15.75">
      <c r="A38" s="214">
        <f t="shared" si="0"/>
        <v>28</v>
      </c>
      <c r="B38" s="224" t="s">
        <v>338</v>
      </c>
      <c r="E38" s="239">
        <f>SUM(E36:E37)</f>
        <v>327998.64327010309</v>
      </c>
      <c r="F38" s="41" t="s">
        <v>38</v>
      </c>
      <c r="G38" s="214" t="s">
        <v>339</v>
      </c>
      <c r="H38" s="214">
        <f t="shared" si="3"/>
        <v>28</v>
      </c>
    </row>
    <row r="39" spans="1:9">
      <c r="A39" s="214">
        <f t="shared" si="0"/>
        <v>29</v>
      </c>
      <c r="B39" s="215" t="s">
        <v>340</v>
      </c>
      <c r="E39" s="241">
        <v>0.19464727862686004</v>
      </c>
      <c r="G39" s="142" t="s">
        <v>341</v>
      </c>
      <c r="H39" s="214">
        <f t="shared" si="3"/>
        <v>29</v>
      </c>
    </row>
    <row r="40" spans="1:9" ht="15.75">
      <c r="A40" s="214">
        <f t="shared" si="0"/>
        <v>30</v>
      </c>
      <c r="B40" s="224" t="s">
        <v>342</v>
      </c>
      <c r="E40" s="242">
        <f>E38*E39</f>
        <v>63844.043305827829</v>
      </c>
      <c r="F40" s="41" t="s">
        <v>38</v>
      </c>
      <c r="G40" s="214" t="s">
        <v>343</v>
      </c>
      <c r="H40" s="214">
        <f t="shared" si="3"/>
        <v>30</v>
      </c>
    </row>
    <row r="41" spans="1:9">
      <c r="A41" s="214">
        <f t="shared" si="0"/>
        <v>31</v>
      </c>
      <c r="B41" s="215" t="s">
        <v>344</v>
      </c>
      <c r="E41" s="243">
        <f>E61*(-E37)</f>
        <v>2217.7542338761305</v>
      </c>
      <c r="G41" s="214" t="s">
        <v>345</v>
      </c>
      <c r="H41" s="214">
        <f t="shared" si="3"/>
        <v>31</v>
      </c>
    </row>
    <row r="42" spans="1:9" ht="16.149999999999999" thickBot="1">
      <c r="A42" s="214">
        <f t="shared" si="0"/>
        <v>32</v>
      </c>
      <c r="B42" s="224" t="s">
        <v>346</v>
      </c>
      <c r="E42" s="244">
        <f>E41+E40</f>
        <v>66061.797539703955</v>
      </c>
      <c r="F42" s="41" t="s">
        <v>38</v>
      </c>
      <c r="G42" s="214" t="s">
        <v>173</v>
      </c>
      <c r="H42" s="214">
        <f t="shared" si="3"/>
        <v>32</v>
      </c>
      <c r="I42" s="224"/>
    </row>
    <row r="43" spans="1:9" ht="15.75" thickTop="1">
      <c r="A43" s="214">
        <f t="shared" si="0"/>
        <v>33</v>
      </c>
      <c r="B43" s="245"/>
      <c r="E43" s="246"/>
      <c r="G43" s="214"/>
      <c r="H43" s="214">
        <f t="shared" si="3"/>
        <v>33</v>
      </c>
    </row>
    <row r="44" spans="1:9">
      <c r="A44" s="214">
        <f t="shared" si="0"/>
        <v>34</v>
      </c>
      <c r="B44" s="232" t="s">
        <v>347</v>
      </c>
      <c r="E44" s="247"/>
      <c r="G44" s="214"/>
      <c r="H44" s="214">
        <f t="shared" si="3"/>
        <v>34</v>
      </c>
    </row>
    <row r="45" spans="1:9">
      <c r="A45" s="214">
        <f t="shared" si="0"/>
        <v>35</v>
      </c>
      <c r="B45" s="224" t="s">
        <v>348</v>
      </c>
      <c r="E45" s="144">
        <v>5678390.0500223078</v>
      </c>
      <c r="G45" s="214" t="s">
        <v>349</v>
      </c>
      <c r="H45" s="214">
        <f t="shared" si="3"/>
        <v>35</v>
      </c>
    </row>
    <row r="46" spans="1:9">
      <c r="A46" s="214">
        <f t="shared" si="0"/>
        <v>36</v>
      </c>
      <c r="B46" s="224" t="s">
        <v>130</v>
      </c>
      <c r="E46" s="248">
        <v>0</v>
      </c>
      <c r="G46" s="214" t="s">
        <v>241</v>
      </c>
      <c r="H46" s="214">
        <f t="shared" si="3"/>
        <v>36</v>
      </c>
    </row>
    <row r="47" spans="1:9">
      <c r="A47" s="214">
        <f t="shared" si="0"/>
        <v>37</v>
      </c>
      <c r="B47" s="224" t="s">
        <v>132</v>
      </c>
      <c r="E47" s="249">
        <v>79064.08395179348</v>
      </c>
      <c r="G47" s="250" t="s">
        <v>269</v>
      </c>
      <c r="H47" s="214">
        <f t="shared" si="3"/>
        <v>37</v>
      </c>
    </row>
    <row r="48" spans="1:9">
      <c r="A48" s="214">
        <f t="shared" si="0"/>
        <v>38</v>
      </c>
      <c r="B48" s="224" t="s">
        <v>350</v>
      </c>
      <c r="E48" s="161">
        <v>178047.85010868488</v>
      </c>
      <c r="G48" s="250" t="s">
        <v>270</v>
      </c>
      <c r="H48" s="214">
        <f t="shared" si="3"/>
        <v>38</v>
      </c>
    </row>
    <row r="49" spans="1:9" ht="15.75" thickBot="1">
      <c r="A49" s="214">
        <f t="shared" si="0"/>
        <v>39</v>
      </c>
      <c r="B49" s="224" t="s">
        <v>351</v>
      </c>
      <c r="E49" s="251">
        <f>SUM(E45:E48)</f>
        <v>5935501.9840827864</v>
      </c>
      <c r="G49" s="214" t="s">
        <v>352</v>
      </c>
      <c r="H49" s="214">
        <f t="shared" si="1"/>
        <v>39</v>
      </c>
      <c r="I49" s="252"/>
    </row>
    <row r="50" spans="1:9" ht="15.75" thickTop="1">
      <c r="A50" s="214">
        <f t="shared" si="0"/>
        <v>40</v>
      </c>
      <c r="B50" s="245"/>
      <c r="E50" s="231"/>
      <c r="G50" s="214"/>
      <c r="H50" s="214">
        <f t="shared" si="1"/>
        <v>40</v>
      </c>
    </row>
    <row r="51" spans="1:9">
      <c r="A51" s="214">
        <f t="shared" si="0"/>
        <v>41</v>
      </c>
      <c r="B51" s="224" t="s">
        <v>353</v>
      </c>
      <c r="E51" s="253">
        <f>E45</f>
        <v>5678390.0500223078</v>
      </c>
      <c r="G51" s="254" t="s">
        <v>354</v>
      </c>
      <c r="H51" s="214">
        <f>+H50+1</f>
        <v>41</v>
      </c>
    </row>
    <row r="52" spans="1:9">
      <c r="A52" s="214">
        <f t="shared" si="0"/>
        <v>42</v>
      </c>
      <c r="B52" s="224" t="s">
        <v>355</v>
      </c>
      <c r="E52" s="147">
        <v>545863.13696307701</v>
      </c>
      <c r="G52" s="250" t="s">
        <v>356</v>
      </c>
      <c r="H52" s="214">
        <f t="shared" ref="H52:H59" si="4">+H51+1</f>
        <v>42</v>
      </c>
    </row>
    <row r="53" spans="1:9">
      <c r="A53" s="214">
        <f t="shared" si="0"/>
        <v>43</v>
      </c>
      <c r="B53" s="224" t="s">
        <v>357</v>
      </c>
      <c r="E53" s="248">
        <v>0</v>
      </c>
      <c r="G53" s="214" t="s">
        <v>241</v>
      </c>
      <c r="H53" s="214">
        <f t="shared" si="4"/>
        <v>43</v>
      </c>
    </row>
    <row r="54" spans="1:9">
      <c r="A54" s="214">
        <f t="shared" si="0"/>
        <v>44</v>
      </c>
      <c r="B54" s="224" t="s">
        <v>358</v>
      </c>
      <c r="E54" s="147">
        <v>518972.08884384617</v>
      </c>
      <c r="G54" s="250" t="s">
        <v>359</v>
      </c>
      <c r="H54" s="214">
        <f t="shared" si="4"/>
        <v>44</v>
      </c>
    </row>
    <row r="55" spans="1:9">
      <c r="A55" s="214">
        <f t="shared" si="0"/>
        <v>45</v>
      </c>
      <c r="B55" s="224" t="s">
        <v>360</v>
      </c>
      <c r="E55" s="147">
        <v>6717397.8952500001</v>
      </c>
      <c r="G55" s="250" t="s">
        <v>361</v>
      </c>
      <c r="H55" s="214">
        <f t="shared" si="4"/>
        <v>45</v>
      </c>
    </row>
    <row r="56" spans="1:9">
      <c r="A56" s="214">
        <f t="shared" si="0"/>
        <v>46</v>
      </c>
      <c r="B56" s="224" t="s">
        <v>130</v>
      </c>
      <c r="E56" s="248">
        <v>0</v>
      </c>
      <c r="G56" s="214" t="s">
        <v>241</v>
      </c>
      <c r="H56" s="214">
        <f t="shared" si="4"/>
        <v>46</v>
      </c>
    </row>
    <row r="57" spans="1:9">
      <c r="A57" s="214">
        <f t="shared" si="0"/>
        <v>47</v>
      </c>
      <c r="B57" s="224" t="s">
        <v>362</v>
      </c>
      <c r="E57" s="147">
        <v>406191.57128500001</v>
      </c>
      <c r="G57" s="250" t="s">
        <v>363</v>
      </c>
      <c r="H57" s="214">
        <f t="shared" si="4"/>
        <v>47</v>
      </c>
    </row>
    <row r="58" spans="1:9">
      <c r="A58" s="214">
        <f t="shared" si="0"/>
        <v>48</v>
      </c>
      <c r="B58" s="224" t="s">
        <v>364</v>
      </c>
      <c r="E58" s="255">
        <v>914720.46958336188</v>
      </c>
      <c r="G58" s="250" t="s">
        <v>365</v>
      </c>
      <c r="H58" s="214">
        <f t="shared" si="4"/>
        <v>48</v>
      </c>
    </row>
    <row r="59" spans="1:9" ht="15.75" thickBot="1">
      <c r="A59" s="214">
        <f t="shared" si="0"/>
        <v>49</v>
      </c>
      <c r="B59" s="224" t="s">
        <v>366</v>
      </c>
      <c r="E59" s="256">
        <f>SUM(E51:E58)</f>
        <v>14781535.211947592</v>
      </c>
      <c r="G59" s="214" t="s">
        <v>367</v>
      </c>
      <c r="H59" s="214">
        <f t="shared" si="4"/>
        <v>49</v>
      </c>
      <c r="I59" s="252"/>
    </row>
    <row r="60" spans="1:9" ht="15.75" thickTop="1">
      <c r="A60" s="214">
        <f t="shared" si="0"/>
        <v>50</v>
      </c>
      <c r="E60" s="257"/>
      <c r="G60" s="214"/>
      <c r="H60" s="214">
        <f t="shared" si="1"/>
        <v>50</v>
      </c>
    </row>
    <row r="61" spans="1:9" ht="15.75" thickBot="1">
      <c r="A61" s="214">
        <f t="shared" si="0"/>
        <v>51</v>
      </c>
      <c r="B61" s="224" t="s">
        <v>368</v>
      </c>
      <c r="E61" s="258">
        <f>E49/E59</f>
        <v>0.40154841151311871</v>
      </c>
      <c r="G61" s="214" t="s">
        <v>369</v>
      </c>
      <c r="H61" s="214">
        <f t="shared" si="1"/>
        <v>51</v>
      </c>
      <c r="I61" s="252"/>
    </row>
    <row r="62" spans="1:9" ht="15.75" thickTop="1">
      <c r="B62" s="224" t="s">
        <v>33</v>
      </c>
      <c r="E62" s="259"/>
      <c r="G62" s="214"/>
      <c r="H62" s="214"/>
    </row>
    <row r="63" spans="1:9" ht="15.75">
      <c r="A63" s="41" t="s">
        <v>38</v>
      </c>
      <c r="B63" s="32" t="s">
        <v>370</v>
      </c>
      <c r="E63" s="259"/>
      <c r="F63" s="259"/>
      <c r="G63" s="214"/>
      <c r="H63" s="214"/>
    </row>
    <row r="64" spans="1:9" ht="17.25">
      <c r="A64" s="260">
        <v>1</v>
      </c>
      <c r="B64" s="224" t="s">
        <v>371</v>
      </c>
      <c r="H64" s="214"/>
    </row>
    <row r="65" spans="2:8">
      <c r="B65" s="224" t="s">
        <v>372</v>
      </c>
      <c r="E65" s="257"/>
      <c r="F65" s="257"/>
      <c r="G65" s="214"/>
      <c r="H65" s="214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Roman,Bold"&amp;10REVISED</oddHeader>
    <oddFooter>&amp;C&amp;"Times New Roman,Regular"Page 5.1&amp;R&amp;F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8D69-86D1-4F90-BF7F-29F3185CCD3A}">
  <sheetPr>
    <pageSetUpPr fitToPage="1"/>
  </sheetPr>
  <dimension ref="A1:N417"/>
  <sheetViews>
    <sheetView zoomScale="80" zoomScaleNormal="80" workbookViewId="0"/>
  </sheetViews>
  <sheetFormatPr defaultColWidth="13.42578125" defaultRowHeight="15.4"/>
  <cols>
    <col min="1" max="1" width="4.85546875" style="214" bestFit="1" customWidth="1"/>
    <col min="2" max="2" width="8.5703125" style="261" customWidth="1"/>
    <col min="3" max="3" width="63.140625" style="215" customWidth="1"/>
    <col min="4" max="4" width="12.5703125" style="215" customWidth="1"/>
    <col min="5" max="5" width="12.5703125" style="231" customWidth="1"/>
    <col min="6" max="6" width="12.5703125" style="215" customWidth="1"/>
    <col min="7" max="7" width="1.5703125" style="215" customWidth="1"/>
    <col min="8" max="8" width="15" style="215" bestFit="1" customWidth="1"/>
    <col min="9" max="9" width="13.5703125" style="215" customWidth="1"/>
    <col min="10" max="10" width="29.28515625" style="215" customWidth="1"/>
    <col min="11" max="11" width="4.85546875" style="214" bestFit="1" customWidth="1"/>
    <col min="12" max="16384" width="13.42578125" style="215"/>
  </cols>
  <sheetData>
    <row r="1" spans="1:14">
      <c r="A1" s="218"/>
      <c r="J1" s="216"/>
    </row>
    <row r="2" spans="1:14" s="262" customFormat="1" ht="15">
      <c r="A2" s="218"/>
      <c r="B2" s="615" t="s">
        <v>214</v>
      </c>
      <c r="C2" s="615"/>
      <c r="D2" s="615"/>
      <c r="E2" s="615"/>
      <c r="F2" s="615"/>
      <c r="G2" s="615"/>
      <c r="H2" s="615"/>
      <c r="I2" s="615"/>
      <c r="J2" s="615"/>
      <c r="K2" s="218"/>
    </row>
    <row r="3" spans="1:14" s="262" customFormat="1" ht="15">
      <c r="A3" s="218"/>
      <c r="B3" s="615" t="s">
        <v>373</v>
      </c>
      <c r="C3" s="615"/>
      <c r="D3" s="615"/>
      <c r="E3" s="615"/>
      <c r="F3" s="615"/>
      <c r="G3" s="615"/>
      <c r="H3" s="615"/>
      <c r="I3" s="615"/>
      <c r="J3" s="615"/>
      <c r="K3" s="218"/>
    </row>
    <row r="4" spans="1:14" s="262" customFormat="1" ht="15">
      <c r="A4" s="218"/>
      <c r="B4" s="615" t="s">
        <v>374</v>
      </c>
      <c r="C4" s="615"/>
      <c r="D4" s="615"/>
      <c r="E4" s="615"/>
      <c r="F4" s="615"/>
      <c r="G4" s="615"/>
      <c r="H4" s="615"/>
      <c r="I4" s="615"/>
      <c r="J4" s="615"/>
      <c r="K4" s="218"/>
    </row>
    <row r="5" spans="1:14" s="262" customFormat="1" ht="15">
      <c r="A5" s="218"/>
      <c r="B5" s="617" t="s">
        <v>3</v>
      </c>
      <c r="C5" s="617"/>
      <c r="D5" s="617"/>
      <c r="E5" s="617"/>
      <c r="F5" s="617"/>
      <c r="G5" s="617"/>
      <c r="H5" s="617"/>
      <c r="I5" s="617"/>
      <c r="J5" s="617"/>
      <c r="K5" s="218"/>
    </row>
    <row r="6" spans="1:14" ht="15.75" thickBot="1">
      <c r="A6" s="263"/>
      <c r="B6" s="264"/>
      <c r="C6" s="265"/>
      <c r="D6" s="265"/>
      <c r="E6" s="266"/>
      <c r="F6" s="265"/>
      <c r="G6" s="265"/>
      <c r="H6" s="265"/>
      <c r="I6" s="265"/>
      <c r="J6" s="265"/>
    </row>
    <row r="7" spans="1:14" s="262" customFormat="1" ht="17.25">
      <c r="A7" s="214"/>
      <c r="B7" s="267"/>
      <c r="C7" s="268"/>
      <c r="D7" s="269" t="s">
        <v>375</v>
      </c>
      <c r="E7" s="270" t="s">
        <v>376</v>
      </c>
      <c r="F7" s="269" t="s">
        <v>377</v>
      </c>
      <c r="G7" s="271"/>
      <c r="H7" s="272" t="s">
        <v>378</v>
      </c>
      <c r="I7" s="272" t="s">
        <v>379</v>
      </c>
      <c r="J7" s="273"/>
      <c r="K7" s="214"/>
    </row>
    <row r="8" spans="1:14" s="262" customFormat="1">
      <c r="A8" s="214" t="s">
        <v>4</v>
      </c>
      <c r="B8" s="274" t="s">
        <v>380</v>
      </c>
      <c r="D8" s="275" t="s">
        <v>381</v>
      </c>
      <c r="E8" s="275" t="s">
        <v>382</v>
      </c>
      <c r="F8" s="275" t="s">
        <v>381</v>
      </c>
      <c r="G8" s="218"/>
      <c r="H8" s="276" t="s">
        <v>383</v>
      </c>
      <c r="I8" s="276" t="s">
        <v>384</v>
      </c>
      <c r="J8" s="277"/>
      <c r="K8" s="214" t="s">
        <v>4</v>
      </c>
    </row>
    <row r="9" spans="1:14" s="262" customFormat="1">
      <c r="A9" s="214" t="s">
        <v>5</v>
      </c>
      <c r="B9" s="278" t="s">
        <v>385</v>
      </c>
      <c r="C9" s="279" t="s">
        <v>6</v>
      </c>
      <c r="D9" s="280" t="s">
        <v>386</v>
      </c>
      <c r="E9" s="280" t="s">
        <v>387</v>
      </c>
      <c r="F9" s="280" t="s">
        <v>388</v>
      </c>
      <c r="G9" s="279"/>
      <c r="H9" s="281" t="s">
        <v>389</v>
      </c>
      <c r="I9" s="281" t="s">
        <v>390</v>
      </c>
      <c r="J9" s="282" t="s">
        <v>8</v>
      </c>
      <c r="K9" s="214" t="s">
        <v>5</v>
      </c>
    </row>
    <row r="10" spans="1:14" s="262" customFormat="1">
      <c r="A10" s="214"/>
      <c r="B10" s="283"/>
      <c r="C10" s="284" t="s">
        <v>391</v>
      </c>
      <c r="D10" s="285"/>
      <c r="E10" s="285"/>
      <c r="F10" s="285"/>
      <c r="G10" s="286"/>
      <c r="H10" s="286"/>
      <c r="I10" s="287"/>
      <c r="J10" s="288"/>
      <c r="K10" s="214"/>
      <c r="M10" s="215"/>
      <c r="N10" s="215"/>
    </row>
    <row r="11" spans="1:14" s="262" customFormat="1" ht="15.75">
      <c r="A11" s="214">
        <v>1</v>
      </c>
      <c r="B11" s="295">
        <v>560</v>
      </c>
      <c r="C11" s="215" t="s">
        <v>392</v>
      </c>
      <c r="D11" s="290">
        <v>6649.0659999999998</v>
      </c>
      <c r="E11" s="290">
        <v>124.69141999999999</v>
      </c>
      <c r="F11" s="290">
        <f t="shared" ref="F11:F25" si="0">D11-E11</f>
        <v>6524.3745799999997</v>
      </c>
      <c r="G11" s="41" t="s">
        <v>38</v>
      </c>
      <c r="H11" s="318">
        <v>-543.57100000000003</v>
      </c>
      <c r="I11" s="556">
        <f>F11+H11</f>
        <v>5980.8035799999998</v>
      </c>
      <c r="J11" s="291" t="s">
        <v>393</v>
      </c>
      <c r="K11" s="214">
        <f>A11</f>
        <v>1</v>
      </c>
      <c r="M11" s="215"/>
      <c r="N11" s="215"/>
    </row>
    <row r="12" spans="1:14" s="262" customFormat="1">
      <c r="A12" s="214">
        <f>A11+1</f>
        <v>2</v>
      </c>
      <c r="B12" s="289">
        <v>561.1</v>
      </c>
      <c r="C12" s="215" t="s">
        <v>394</v>
      </c>
      <c r="D12" s="292">
        <v>543.58699999999999</v>
      </c>
      <c r="E12" s="292">
        <v>0</v>
      </c>
      <c r="F12" s="292">
        <f t="shared" si="0"/>
        <v>543.58699999999999</v>
      </c>
      <c r="G12" s="293"/>
      <c r="H12" s="293"/>
      <c r="I12" s="292">
        <f>F12+H12</f>
        <v>543.58699999999999</v>
      </c>
      <c r="J12" s="291" t="s">
        <v>395</v>
      </c>
      <c r="K12" s="214">
        <f>K11+1</f>
        <v>2</v>
      </c>
      <c r="M12" s="215"/>
      <c r="N12" s="215"/>
    </row>
    <row r="13" spans="1:14" s="262" customFormat="1">
      <c r="A13" s="214">
        <f t="shared" ref="A13:A62" si="1">A12+1</f>
        <v>3</v>
      </c>
      <c r="B13" s="289">
        <v>561.20000000000005</v>
      </c>
      <c r="C13" s="215" t="s">
        <v>396</v>
      </c>
      <c r="D13" s="292">
        <v>1623.6130000000001</v>
      </c>
      <c r="E13" s="292">
        <v>0</v>
      </c>
      <c r="F13" s="292">
        <f t="shared" si="0"/>
        <v>1623.6130000000001</v>
      </c>
      <c r="G13" s="293"/>
      <c r="H13" s="293"/>
      <c r="I13" s="292">
        <f t="shared" ref="I13:I24" si="2">F13+H13</f>
        <v>1623.6130000000001</v>
      </c>
      <c r="J13" s="291" t="s">
        <v>397</v>
      </c>
      <c r="K13" s="214">
        <f t="shared" ref="K13:K62" si="3">K12+1</f>
        <v>3</v>
      </c>
      <c r="M13" s="215"/>
      <c r="N13" s="215"/>
    </row>
    <row r="14" spans="1:14" s="262" customFormat="1">
      <c r="A14" s="214">
        <f t="shared" si="1"/>
        <v>4</v>
      </c>
      <c r="B14" s="289">
        <v>561.29999999999995</v>
      </c>
      <c r="C14" s="215" t="s">
        <v>398</v>
      </c>
      <c r="D14" s="292">
        <v>228.21799999999999</v>
      </c>
      <c r="E14" s="292">
        <v>0</v>
      </c>
      <c r="F14" s="292">
        <f t="shared" si="0"/>
        <v>228.21799999999999</v>
      </c>
      <c r="G14" s="293"/>
      <c r="H14" s="293"/>
      <c r="I14" s="292">
        <f t="shared" si="2"/>
        <v>228.21799999999999</v>
      </c>
      <c r="J14" s="291" t="s">
        <v>399</v>
      </c>
      <c r="K14" s="214">
        <f t="shared" si="3"/>
        <v>4</v>
      </c>
      <c r="M14" s="215"/>
      <c r="N14" s="215"/>
    </row>
    <row r="15" spans="1:14" s="262" customFormat="1" ht="17.25" customHeight="1">
      <c r="A15" s="214">
        <f t="shared" si="1"/>
        <v>5</v>
      </c>
      <c r="B15" s="289">
        <v>561.4</v>
      </c>
      <c r="C15" s="215" t="s">
        <v>400</v>
      </c>
      <c r="D15" s="292">
        <v>5880.4229999999998</v>
      </c>
      <c r="E15" s="293">
        <v>5877.8884600000001</v>
      </c>
      <c r="F15" s="292">
        <f t="shared" si="0"/>
        <v>2.5345399999996516</v>
      </c>
      <c r="G15" s="293"/>
      <c r="H15" s="293"/>
      <c r="I15" s="292">
        <f t="shared" si="2"/>
        <v>2.5345399999996516</v>
      </c>
      <c r="J15" s="291" t="s">
        <v>401</v>
      </c>
      <c r="K15" s="214">
        <f t="shared" si="3"/>
        <v>5</v>
      </c>
      <c r="M15" s="215"/>
      <c r="N15" s="215"/>
    </row>
    <row r="16" spans="1:14" s="262" customFormat="1">
      <c r="A16" s="214">
        <f t="shared" si="1"/>
        <v>6</v>
      </c>
      <c r="B16" s="289">
        <v>561.5</v>
      </c>
      <c r="C16" s="215" t="s">
        <v>402</v>
      </c>
      <c r="D16" s="292">
        <v>161.16</v>
      </c>
      <c r="E16" s="292">
        <v>0</v>
      </c>
      <c r="F16" s="292">
        <f t="shared" si="0"/>
        <v>161.16</v>
      </c>
      <c r="G16" s="293"/>
      <c r="H16" s="293"/>
      <c r="I16" s="292">
        <f t="shared" si="2"/>
        <v>161.16</v>
      </c>
      <c r="J16" s="291" t="s">
        <v>403</v>
      </c>
      <c r="K16" s="214">
        <f t="shared" si="3"/>
        <v>6</v>
      </c>
      <c r="M16" s="215"/>
      <c r="N16" s="215"/>
    </row>
    <row r="17" spans="1:14" s="262" customFormat="1">
      <c r="A17" s="214">
        <f t="shared" si="1"/>
        <v>7</v>
      </c>
      <c r="B17" s="289">
        <v>561.6</v>
      </c>
      <c r="C17" s="215" t="s">
        <v>404</v>
      </c>
      <c r="D17" s="292">
        <v>0</v>
      </c>
      <c r="E17" s="292">
        <v>0</v>
      </c>
      <c r="F17" s="292">
        <f t="shared" si="0"/>
        <v>0</v>
      </c>
      <c r="G17" s="293"/>
      <c r="H17" s="293"/>
      <c r="I17" s="292">
        <f t="shared" si="2"/>
        <v>0</v>
      </c>
      <c r="J17" s="291" t="s">
        <v>405</v>
      </c>
      <c r="K17" s="214">
        <f t="shared" si="3"/>
        <v>7</v>
      </c>
      <c r="M17" s="215"/>
      <c r="N17" s="215"/>
    </row>
    <row r="18" spans="1:14" s="262" customFormat="1">
      <c r="A18" s="214">
        <f t="shared" si="1"/>
        <v>8</v>
      </c>
      <c r="B18" s="289">
        <v>561.70000000000005</v>
      </c>
      <c r="C18" s="215" t="s">
        <v>406</v>
      </c>
      <c r="D18" s="292">
        <v>2.0910000000000002</v>
      </c>
      <c r="E18" s="292">
        <v>0</v>
      </c>
      <c r="F18" s="292">
        <f t="shared" si="0"/>
        <v>2.0910000000000002</v>
      </c>
      <c r="G18" s="294"/>
      <c r="H18" s="293"/>
      <c r="I18" s="292">
        <f t="shared" si="2"/>
        <v>2.0910000000000002</v>
      </c>
      <c r="J18" s="291" t="s">
        <v>407</v>
      </c>
      <c r="K18" s="214">
        <f t="shared" si="3"/>
        <v>8</v>
      </c>
      <c r="M18" s="215"/>
      <c r="N18" s="215"/>
    </row>
    <row r="19" spans="1:14" s="262" customFormat="1">
      <c r="A19" s="214">
        <f t="shared" si="1"/>
        <v>9</v>
      </c>
      <c r="B19" s="289">
        <v>561.79999999999995</v>
      </c>
      <c r="C19" s="215" t="s">
        <v>408</v>
      </c>
      <c r="D19" s="292">
        <v>3340.0349999999999</v>
      </c>
      <c r="E19" s="293">
        <v>2718.2313100000001</v>
      </c>
      <c r="F19" s="292">
        <f t="shared" si="0"/>
        <v>621.80368999999973</v>
      </c>
      <c r="G19" s="294"/>
      <c r="H19" s="293"/>
      <c r="I19" s="292">
        <f t="shared" si="2"/>
        <v>621.80368999999973</v>
      </c>
      <c r="J19" s="291" t="s">
        <v>409</v>
      </c>
      <c r="K19" s="214">
        <f t="shared" si="3"/>
        <v>9</v>
      </c>
      <c r="M19" s="215"/>
      <c r="N19" s="215"/>
    </row>
    <row r="20" spans="1:14" s="262" customFormat="1" ht="15" customHeight="1">
      <c r="A20" s="214">
        <f t="shared" si="1"/>
        <v>10</v>
      </c>
      <c r="B20" s="289">
        <v>562</v>
      </c>
      <c r="C20" s="215" t="s">
        <v>410</v>
      </c>
      <c r="D20" s="292">
        <v>8343</v>
      </c>
      <c r="E20" s="292">
        <v>0</v>
      </c>
      <c r="F20" s="292">
        <f t="shared" si="0"/>
        <v>8343</v>
      </c>
      <c r="G20" s="41"/>
      <c r="H20" s="120"/>
      <c r="I20" s="292">
        <f t="shared" si="2"/>
        <v>8343</v>
      </c>
      <c r="J20" s="291" t="s">
        <v>411</v>
      </c>
      <c r="K20" s="214">
        <f t="shared" si="3"/>
        <v>10</v>
      </c>
      <c r="M20" s="215"/>
      <c r="N20" s="215"/>
    </row>
    <row r="21" spans="1:14" s="262" customFormat="1">
      <c r="A21" s="214">
        <f t="shared" si="1"/>
        <v>11</v>
      </c>
      <c r="B21" s="289">
        <v>563</v>
      </c>
      <c r="C21" s="215" t="s">
        <v>412</v>
      </c>
      <c r="D21" s="292">
        <v>4406.2079999999996</v>
      </c>
      <c r="E21" s="292">
        <v>0</v>
      </c>
      <c r="F21" s="292">
        <f t="shared" si="0"/>
        <v>4406.2079999999996</v>
      </c>
      <c r="G21" s="294"/>
      <c r="H21" s="293"/>
      <c r="I21" s="292">
        <f t="shared" si="2"/>
        <v>4406.2079999999996</v>
      </c>
      <c r="J21" s="291" t="s">
        <v>413</v>
      </c>
      <c r="K21" s="214">
        <f t="shared" si="3"/>
        <v>11</v>
      </c>
      <c r="M21" s="215"/>
      <c r="N21" s="215"/>
    </row>
    <row r="22" spans="1:14" s="262" customFormat="1">
      <c r="A22" s="214">
        <f>A21+1</f>
        <v>12</v>
      </c>
      <c r="B22" s="289">
        <v>564</v>
      </c>
      <c r="C22" s="215" t="s">
        <v>414</v>
      </c>
      <c r="D22" s="292">
        <v>0</v>
      </c>
      <c r="E22" s="292">
        <v>0</v>
      </c>
      <c r="F22" s="292">
        <f t="shared" si="0"/>
        <v>0</v>
      </c>
      <c r="G22" s="294"/>
      <c r="H22" s="293"/>
      <c r="I22" s="292">
        <f t="shared" si="2"/>
        <v>0</v>
      </c>
      <c r="J22" s="291" t="s">
        <v>415</v>
      </c>
      <c r="K22" s="214">
        <f>K21+1</f>
        <v>12</v>
      </c>
      <c r="M22" s="215"/>
      <c r="N22" s="215"/>
    </row>
    <row r="23" spans="1:14" s="262" customFormat="1">
      <c r="A23" s="214">
        <f t="shared" si="1"/>
        <v>13</v>
      </c>
      <c r="B23" s="289">
        <v>565</v>
      </c>
      <c r="C23" s="215" t="s">
        <v>416</v>
      </c>
      <c r="D23" s="292">
        <v>0</v>
      </c>
      <c r="E23" s="292">
        <v>0</v>
      </c>
      <c r="F23" s="292">
        <f t="shared" si="0"/>
        <v>0</v>
      </c>
      <c r="G23" s="294"/>
      <c r="H23" s="293"/>
      <c r="I23" s="292">
        <f t="shared" si="2"/>
        <v>0</v>
      </c>
      <c r="J23" s="291" t="s">
        <v>417</v>
      </c>
      <c r="K23" s="214">
        <f t="shared" si="3"/>
        <v>13</v>
      </c>
      <c r="M23" s="215"/>
      <c r="N23" s="215"/>
    </row>
    <row r="24" spans="1:14" s="262" customFormat="1" ht="15.75">
      <c r="A24" s="214">
        <f t="shared" si="1"/>
        <v>14</v>
      </c>
      <c r="B24" s="289">
        <v>566</v>
      </c>
      <c r="C24" s="215" t="s">
        <v>418</v>
      </c>
      <c r="D24" s="292">
        <v>18341.678</v>
      </c>
      <c r="E24" s="293">
        <v>3045.7638999999999</v>
      </c>
      <c r="F24" s="292">
        <f t="shared" si="0"/>
        <v>15295.9141</v>
      </c>
      <c r="G24" s="41"/>
      <c r="H24" s="120"/>
      <c r="I24" s="292">
        <f t="shared" si="2"/>
        <v>15295.9141</v>
      </c>
      <c r="J24" s="291" t="s">
        <v>419</v>
      </c>
      <c r="K24" s="214">
        <f t="shared" si="3"/>
        <v>14</v>
      </c>
      <c r="M24" s="215"/>
      <c r="N24" s="215"/>
    </row>
    <row r="25" spans="1:14" s="262" customFormat="1">
      <c r="A25" s="214">
        <f>A24+1</f>
        <v>15</v>
      </c>
      <c r="B25" s="289">
        <v>567</v>
      </c>
      <c r="C25" s="215" t="s">
        <v>420</v>
      </c>
      <c r="D25" s="297">
        <v>2890.1129999999998</v>
      </c>
      <c r="E25" s="297">
        <v>0</v>
      </c>
      <c r="F25" s="297">
        <f t="shared" si="0"/>
        <v>2890.1129999999998</v>
      </c>
      <c r="G25" s="298"/>
      <c r="H25" s="299"/>
      <c r="I25" s="297">
        <f>F25+H25</f>
        <v>2890.1129999999998</v>
      </c>
      <c r="J25" s="291" t="s">
        <v>421</v>
      </c>
      <c r="K25" s="214">
        <f t="shared" si="3"/>
        <v>15</v>
      </c>
      <c r="M25" s="215"/>
      <c r="N25" s="215"/>
    </row>
    <row r="26" spans="1:14" s="262" customFormat="1">
      <c r="A26" s="214">
        <f>A25+1</f>
        <v>16</v>
      </c>
      <c r="B26" s="289"/>
      <c r="C26" s="215"/>
      <c r="D26" s="292"/>
      <c r="E26" s="293"/>
      <c r="F26" s="292"/>
      <c r="G26" s="293"/>
      <c r="H26" s="293"/>
      <c r="I26" s="292"/>
      <c r="J26" s="291"/>
      <c r="K26" s="214">
        <f>K25+1</f>
        <v>16</v>
      </c>
      <c r="M26" s="215"/>
      <c r="N26" s="215"/>
    </row>
    <row r="27" spans="1:14" s="262" customFormat="1" ht="16.149999999999999" thickBot="1">
      <c r="A27" s="214">
        <f>A26+1</f>
        <v>17</v>
      </c>
      <c r="B27" s="300"/>
      <c r="C27" s="301" t="s">
        <v>422</v>
      </c>
      <c r="D27" s="302">
        <f>SUM(D11:D25)</f>
        <v>52409.191999999995</v>
      </c>
      <c r="E27" s="303">
        <f>SUM(E11:E25)</f>
        <v>11766.57509</v>
      </c>
      <c r="F27" s="302">
        <f>SUM(F11:F25)</f>
        <v>40642.616909999997</v>
      </c>
      <c r="G27" s="304" t="s">
        <v>38</v>
      </c>
      <c r="H27" s="305">
        <f>SUM(H11:H25)</f>
        <v>-543.57100000000003</v>
      </c>
      <c r="I27" s="306">
        <f>SUM(I11:I25)</f>
        <v>40099.045909999993</v>
      </c>
      <c r="J27" s="307" t="str">
        <f>"Sum Lines "&amp;A11&amp;" thru "&amp;A25</f>
        <v>Sum Lines 1 thru 15</v>
      </c>
      <c r="K27" s="214">
        <f>K26+1</f>
        <v>17</v>
      </c>
      <c r="M27" s="215"/>
      <c r="N27" s="215"/>
    </row>
    <row r="28" spans="1:14" s="262" customFormat="1">
      <c r="A28" s="214">
        <f t="shared" si="1"/>
        <v>18</v>
      </c>
      <c r="B28" s="308"/>
      <c r="C28" s="215"/>
      <c r="D28" s="309"/>
      <c r="E28" s="310"/>
      <c r="F28" s="309"/>
      <c r="G28" s="311"/>
      <c r="H28" s="310"/>
      <c r="I28" s="309"/>
      <c r="J28" s="291"/>
      <c r="K28" s="214">
        <f t="shared" si="3"/>
        <v>18</v>
      </c>
      <c r="M28" s="215"/>
      <c r="N28" s="215"/>
    </row>
    <row r="29" spans="1:14" s="262" customFormat="1">
      <c r="A29" s="214">
        <f t="shared" si="1"/>
        <v>19</v>
      </c>
      <c r="B29" s="283"/>
      <c r="C29" s="284" t="s">
        <v>423</v>
      </c>
      <c r="D29" s="309"/>
      <c r="E29" s="310"/>
      <c r="F29" s="309"/>
      <c r="G29" s="311"/>
      <c r="H29" s="310"/>
      <c r="I29" s="309"/>
      <c r="J29" s="291"/>
      <c r="K29" s="214">
        <f t="shared" si="3"/>
        <v>19</v>
      </c>
      <c r="M29" s="215"/>
      <c r="N29" s="215"/>
    </row>
    <row r="30" spans="1:14" s="262" customFormat="1">
      <c r="A30" s="214">
        <f t="shared" si="1"/>
        <v>20</v>
      </c>
      <c r="B30" s="289">
        <v>568</v>
      </c>
      <c r="C30" s="215" t="s">
        <v>424</v>
      </c>
      <c r="D30" s="290">
        <v>2329.3449999999998</v>
      </c>
      <c r="E30" s="290">
        <v>0</v>
      </c>
      <c r="F30" s="290">
        <f t="shared" ref="F30:F39" si="4">D30-E30</f>
        <v>2329.3449999999998</v>
      </c>
      <c r="G30" s="312"/>
      <c r="H30" s="209"/>
      <c r="I30" s="290">
        <f>F30+H30</f>
        <v>2329.3449999999998</v>
      </c>
      <c r="J30" s="291" t="s">
        <v>425</v>
      </c>
      <c r="K30" s="214">
        <f t="shared" si="3"/>
        <v>20</v>
      </c>
      <c r="M30" s="215"/>
      <c r="N30" s="215"/>
    </row>
    <row r="31" spans="1:14" s="262" customFormat="1">
      <c r="A31" s="214">
        <f t="shared" si="1"/>
        <v>21</v>
      </c>
      <c r="B31" s="289">
        <v>569</v>
      </c>
      <c r="C31" s="215" t="s">
        <v>426</v>
      </c>
      <c r="D31" s="292">
        <v>9.9350000000000005</v>
      </c>
      <c r="E31" s="293">
        <v>0</v>
      </c>
      <c r="F31" s="292">
        <f t="shared" si="4"/>
        <v>9.9350000000000005</v>
      </c>
      <c r="G31" s="294"/>
      <c r="H31" s="293"/>
      <c r="I31" s="292">
        <f>F31+H31</f>
        <v>9.9350000000000005</v>
      </c>
      <c r="J31" s="291" t="s">
        <v>427</v>
      </c>
      <c r="K31" s="214">
        <f t="shared" si="3"/>
        <v>21</v>
      </c>
      <c r="M31" s="215"/>
      <c r="N31" s="215"/>
    </row>
    <row r="32" spans="1:14" s="262" customFormat="1">
      <c r="A32" s="214">
        <f t="shared" si="1"/>
        <v>22</v>
      </c>
      <c r="B32" s="289">
        <v>569.1</v>
      </c>
      <c r="C32" s="215" t="s">
        <v>428</v>
      </c>
      <c r="D32" s="292">
        <v>1322.203</v>
      </c>
      <c r="E32" s="293">
        <v>0</v>
      </c>
      <c r="F32" s="292">
        <f t="shared" si="4"/>
        <v>1322.203</v>
      </c>
      <c r="G32" s="294"/>
      <c r="H32" s="293"/>
      <c r="I32" s="292">
        <f t="shared" ref="I32:I38" si="5">F32+H32</f>
        <v>1322.203</v>
      </c>
      <c r="J32" s="291" t="s">
        <v>429</v>
      </c>
      <c r="K32" s="214">
        <f t="shared" si="3"/>
        <v>22</v>
      </c>
      <c r="M32" s="215"/>
      <c r="N32" s="215"/>
    </row>
    <row r="33" spans="1:14" s="262" customFormat="1">
      <c r="A33" s="214">
        <f t="shared" si="1"/>
        <v>23</v>
      </c>
      <c r="B33" s="289">
        <v>569.20000000000005</v>
      </c>
      <c r="C33" s="215" t="s">
        <v>430</v>
      </c>
      <c r="D33" s="292">
        <v>1941.6030000000001</v>
      </c>
      <c r="E33" s="293">
        <v>0</v>
      </c>
      <c r="F33" s="292">
        <f t="shared" si="4"/>
        <v>1941.6030000000001</v>
      </c>
      <c r="G33" s="294"/>
      <c r="H33" s="293"/>
      <c r="I33" s="292">
        <f t="shared" si="5"/>
        <v>1941.6030000000001</v>
      </c>
      <c r="J33" s="291" t="s">
        <v>431</v>
      </c>
      <c r="K33" s="214">
        <f t="shared" si="3"/>
        <v>23</v>
      </c>
      <c r="M33" s="215"/>
      <c r="N33" s="215"/>
    </row>
    <row r="34" spans="1:14" s="262" customFormat="1">
      <c r="A34" s="214">
        <f t="shared" si="1"/>
        <v>24</v>
      </c>
      <c r="B34" s="289">
        <v>569.29999999999995</v>
      </c>
      <c r="C34" s="215" t="s">
        <v>432</v>
      </c>
      <c r="D34" s="292">
        <v>0</v>
      </c>
      <c r="E34" s="293">
        <v>0</v>
      </c>
      <c r="F34" s="292">
        <f t="shared" si="4"/>
        <v>0</v>
      </c>
      <c r="G34" s="294"/>
      <c r="H34" s="293"/>
      <c r="I34" s="292">
        <f t="shared" si="5"/>
        <v>0</v>
      </c>
      <c r="J34" s="291" t="s">
        <v>433</v>
      </c>
      <c r="K34" s="214">
        <f t="shared" si="3"/>
        <v>24</v>
      </c>
      <c r="M34" s="215"/>
      <c r="N34" s="215"/>
    </row>
    <row r="35" spans="1:14" s="262" customFormat="1">
      <c r="A35" s="214">
        <f t="shared" si="1"/>
        <v>25</v>
      </c>
      <c r="B35" s="289">
        <v>569.4</v>
      </c>
      <c r="C35" s="215" t="s">
        <v>434</v>
      </c>
      <c r="D35" s="292">
        <v>165.38800000000001</v>
      </c>
      <c r="E35" s="293">
        <v>0</v>
      </c>
      <c r="F35" s="292">
        <f t="shared" si="4"/>
        <v>165.38800000000001</v>
      </c>
      <c r="G35" s="294"/>
      <c r="H35" s="293"/>
      <c r="I35" s="292">
        <f t="shared" si="5"/>
        <v>165.38800000000001</v>
      </c>
      <c r="J35" s="291" t="s">
        <v>435</v>
      </c>
      <c r="K35" s="214">
        <f t="shared" si="3"/>
        <v>25</v>
      </c>
      <c r="M35" s="215"/>
      <c r="N35" s="215"/>
    </row>
    <row r="36" spans="1:14" s="262" customFormat="1">
      <c r="A36" s="214">
        <f t="shared" si="1"/>
        <v>26</v>
      </c>
      <c r="B36" s="289">
        <v>570</v>
      </c>
      <c r="C36" s="215" t="s">
        <v>436</v>
      </c>
      <c r="D36" s="292">
        <v>14934.723</v>
      </c>
      <c r="E36" s="293">
        <v>0</v>
      </c>
      <c r="F36" s="292">
        <f t="shared" si="4"/>
        <v>14934.723</v>
      </c>
      <c r="G36" s="294"/>
      <c r="H36" s="293"/>
      <c r="I36" s="292">
        <f t="shared" si="5"/>
        <v>14934.723</v>
      </c>
      <c r="J36" s="291" t="s">
        <v>437</v>
      </c>
      <c r="K36" s="214">
        <f t="shared" si="3"/>
        <v>26</v>
      </c>
      <c r="M36" s="215"/>
      <c r="N36" s="215"/>
    </row>
    <row r="37" spans="1:14" s="262" customFormat="1" ht="15.75">
      <c r="A37" s="214">
        <f t="shared" si="1"/>
        <v>27</v>
      </c>
      <c r="B37" s="289">
        <v>571</v>
      </c>
      <c r="C37" s="215" t="s">
        <v>438</v>
      </c>
      <c r="D37" s="292">
        <v>14791.550999999999</v>
      </c>
      <c r="E37" s="293">
        <v>0</v>
      </c>
      <c r="F37" s="292">
        <f t="shared" si="4"/>
        <v>14791.550999999999</v>
      </c>
      <c r="G37" s="41"/>
      <c r="H37" s="120"/>
      <c r="I37" s="292">
        <f t="shared" si="5"/>
        <v>14791.550999999999</v>
      </c>
      <c r="J37" s="291" t="s">
        <v>439</v>
      </c>
      <c r="K37" s="214">
        <f t="shared" si="3"/>
        <v>27</v>
      </c>
      <c r="M37" s="215"/>
      <c r="N37" s="215"/>
    </row>
    <row r="38" spans="1:14" s="262" customFormat="1">
      <c r="A38" s="214">
        <f t="shared" si="1"/>
        <v>28</v>
      </c>
      <c r="B38" s="289">
        <v>572</v>
      </c>
      <c r="C38" s="215" t="s">
        <v>440</v>
      </c>
      <c r="D38" s="292">
        <v>671.30499999999995</v>
      </c>
      <c r="E38" s="293">
        <v>0</v>
      </c>
      <c r="F38" s="292">
        <f t="shared" si="4"/>
        <v>671.30499999999995</v>
      </c>
      <c r="G38" s="293"/>
      <c r="H38" s="293"/>
      <c r="I38" s="292">
        <f t="shared" si="5"/>
        <v>671.30499999999995</v>
      </c>
      <c r="J38" s="291" t="s">
        <v>441</v>
      </c>
      <c r="K38" s="214">
        <f t="shared" si="3"/>
        <v>28</v>
      </c>
      <c r="M38" s="215"/>
      <c r="N38" s="215"/>
    </row>
    <row r="39" spans="1:14" s="262" customFormat="1">
      <c r="A39" s="214">
        <f t="shared" si="1"/>
        <v>29</v>
      </c>
      <c r="B39" s="289">
        <v>573</v>
      </c>
      <c r="C39" s="215" t="s">
        <v>442</v>
      </c>
      <c r="D39" s="292">
        <v>0</v>
      </c>
      <c r="E39" s="297">
        <v>0</v>
      </c>
      <c r="F39" s="297">
        <f t="shared" si="4"/>
        <v>0</v>
      </c>
      <c r="G39" s="298"/>
      <c r="H39" s="299"/>
      <c r="I39" s="297">
        <f>F39+H39</f>
        <v>0</v>
      </c>
      <c r="J39" s="291" t="s">
        <v>443</v>
      </c>
      <c r="K39" s="214">
        <f t="shared" si="3"/>
        <v>29</v>
      </c>
      <c r="M39" s="215"/>
      <c r="N39" s="215"/>
    </row>
    <row r="40" spans="1:14" s="262" customFormat="1">
      <c r="A40" s="214">
        <f t="shared" si="1"/>
        <v>30</v>
      </c>
      <c r="B40" s="289"/>
      <c r="C40" s="215"/>
      <c r="D40" s="313"/>
      <c r="E40" s="293"/>
      <c r="F40" s="313"/>
      <c r="G40" s="293"/>
      <c r="H40" s="293"/>
      <c r="I40" s="292"/>
      <c r="J40" s="291"/>
      <c r="K40" s="214">
        <f t="shared" si="3"/>
        <v>30</v>
      </c>
      <c r="M40" s="215"/>
      <c r="N40" s="215"/>
    </row>
    <row r="41" spans="1:14" s="262" customFormat="1" ht="15.75">
      <c r="A41" s="214">
        <f t="shared" si="1"/>
        <v>31</v>
      </c>
      <c r="B41" s="308"/>
      <c r="C41" s="314" t="s">
        <v>444</v>
      </c>
      <c r="D41" s="290">
        <f>SUM(D30:D39)</f>
        <v>36166.053</v>
      </c>
      <c r="E41" s="290">
        <f>SUM(E30:E39)</f>
        <v>0</v>
      </c>
      <c r="F41" s="290">
        <f>SUM(F30:F39)</f>
        <v>36166.053</v>
      </c>
      <c r="G41" s="315"/>
      <c r="H41" s="316">
        <f>SUM(H30:H39)</f>
        <v>0</v>
      </c>
      <c r="I41" s="557">
        <f>SUM(I30:I39)</f>
        <v>36166.053</v>
      </c>
      <c r="J41" s="291" t="str">
        <f>"Sum Lines "&amp;A30&amp;" thru "&amp;A39</f>
        <v>Sum Lines 20 thru 29</v>
      </c>
      <c r="K41" s="214">
        <f t="shared" si="3"/>
        <v>31</v>
      </c>
      <c r="M41" s="215"/>
      <c r="N41" s="215"/>
    </row>
    <row r="42" spans="1:14" s="262" customFormat="1">
      <c r="A42" s="214">
        <f t="shared" si="1"/>
        <v>32</v>
      </c>
      <c r="B42" s="308"/>
      <c r="C42" s="215"/>
      <c r="D42" s="317"/>
      <c r="E42" s="317"/>
      <c r="F42" s="317"/>
      <c r="G42" s="318"/>
      <c r="H42" s="319"/>
      <c r="I42" s="319"/>
      <c r="J42" s="291"/>
      <c r="K42" s="214">
        <f t="shared" si="3"/>
        <v>32</v>
      </c>
      <c r="M42" s="215"/>
      <c r="N42" s="215"/>
    </row>
    <row r="43" spans="1:14" s="262" customFormat="1" ht="16.149999999999999" thickBot="1">
      <c r="A43" s="214">
        <f t="shared" si="1"/>
        <v>33</v>
      </c>
      <c r="B43" s="274"/>
      <c r="C43" s="262" t="s">
        <v>445</v>
      </c>
      <c r="D43" s="320">
        <f>D27+D41</f>
        <v>88575.244999999995</v>
      </c>
      <c r="E43" s="320">
        <f>+E27+E41</f>
        <v>11766.57509</v>
      </c>
      <c r="F43" s="320">
        <f>+F27+F41</f>
        <v>76808.669909999997</v>
      </c>
      <c r="G43" s="321" t="s">
        <v>38</v>
      </c>
      <c r="H43" s="322">
        <f>+H27+H41</f>
        <v>-543.57100000000003</v>
      </c>
      <c r="I43" s="322">
        <f>+I27+I41</f>
        <v>76265.098910000001</v>
      </c>
      <c r="J43" s="291" t="str">
        <f>"Line "&amp;A27&amp;" + Line "&amp;A41</f>
        <v>Line 17 + Line 31</v>
      </c>
      <c r="K43" s="214">
        <f t="shared" si="3"/>
        <v>33</v>
      </c>
      <c r="M43" s="215"/>
      <c r="N43" s="215"/>
    </row>
    <row r="44" spans="1:14" ht="16.149999999999999" thickTop="1" thickBot="1">
      <c r="A44" s="214">
        <f t="shared" si="1"/>
        <v>34</v>
      </c>
      <c r="B44" s="323"/>
      <c r="C44" s="324"/>
      <c r="D44" s="325"/>
      <c r="E44" s="326"/>
      <c r="F44" s="325"/>
      <c r="G44" s="327"/>
      <c r="H44" s="327"/>
      <c r="I44" s="325"/>
      <c r="J44" s="328"/>
      <c r="K44" s="214">
        <f t="shared" si="3"/>
        <v>34</v>
      </c>
    </row>
    <row r="45" spans="1:14">
      <c r="A45" s="214">
        <f t="shared" si="1"/>
        <v>35</v>
      </c>
      <c r="B45" s="329"/>
      <c r="C45" s="330"/>
      <c r="D45" s="331"/>
      <c r="E45" s="332"/>
      <c r="F45" s="331"/>
      <c r="G45" s="331"/>
      <c r="H45" s="331"/>
      <c r="I45" s="331"/>
      <c r="J45" s="333"/>
      <c r="K45" s="214">
        <f>K44+1</f>
        <v>35</v>
      </c>
    </row>
    <row r="46" spans="1:14">
      <c r="A46" s="214">
        <f t="shared" si="1"/>
        <v>36</v>
      </c>
      <c r="B46" s="334" t="s">
        <v>446</v>
      </c>
      <c r="D46" s="335"/>
      <c r="E46" s="310"/>
      <c r="F46" s="335"/>
      <c r="G46" s="335"/>
      <c r="H46" s="335"/>
      <c r="I46" s="335"/>
      <c r="J46" s="336"/>
      <c r="K46" s="214">
        <f t="shared" si="3"/>
        <v>36</v>
      </c>
    </row>
    <row r="47" spans="1:14">
      <c r="A47" s="214">
        <f t="shared" si="1"/>
        <v>37</v>
      </c>
      <c r="B47" s="337" t="s">
        <v>447</v>
      </c>
      <c r="C47" s="215" t="s">
        <v>448</v>
      </c>
      <c r="D47" s="335"/>
      <c r="E47" s="338">
        <v>124.69141999999999</v>
      </c>
      <c r="F47" s="335"/>
      <c r="G47" s="335"/>
      <c r="H47" s="335"/>
      <c r="I47" s="335"/>
      <c r="J47" s="336"/>
      <c r="K47" s="214">
        <f t="shared" si="3"/>
        <v>37</v>
      </c>
    </row>
    <row r="48" spans="1:14">
      <c r="A48" s="214">
        <f t="shared" si="1"/>
        <v>38</v>
      </c>
      <c r="B48" s="337" t="s">
        <v>449</v>
      </c>
      <c r="C48" s="215" t="s">
        <v>450</v>
      </c>
      <c r="D48" s="335"/>
      <c r="E48" s="293">
        <v>5877.8884600000001</v>
      </c>
      <c r="J48" s="336"/>
      <c r="K48" s="214">
        <f t="shared" si="3"/>
        <v>38</v>
      </c>
    </row>
    <row r="49" spans="1:13">
      <c r="A49" s="214">
        <f t="shared" si="1"/>
        <v>39</v>
      </c>
      <c r="B49" s="337">
        <v>561.79999999999995</v>
      </c>
      <c r="C49" s="215" t="s">
        <v>451</v>
      </c>
      <c r="D49" s="335"/>
      <c r="E49" s="293">
        <v>2718.2313100000001</v>
      </c>
      <c r="J49" s="336"/>
      <c r="K49" s="214">
        <f t="shared" si="3"/>
        <v>39</v>
      </c>
    </row>
    <row r="50" spans="1:13">
      <c r="A50" s="214">
        <f t="shared" si="1"/>
        <v>40</v>
      </c>
      <c r="B50" s="337">
        <v>565</v>
      </c>
      <c r="C50" s="215" t="s">
        <v>452</v>
      </c>
      <c r="D50" s="335"/>
      <c r="E50" s="293">
        <v>0</v>
      </c>
      <c r="F50" s="339"/>
      <c r="G50" s="339"/>
      <c r="H50" s="339"/>
      <c r="I50" s="339"/>
      <c r="J50" s="336"/>
      <c r="K50" s="214">
        <f t="shared" si="3"/>
        <v>40</v>
      </c>
    </row>
    <row r="51" spans="1:13">
      <c r="A51" s="214">
        <f t="shared" si="1"/>
        <v>41</v>
      </c>
      <c r="B51" s="337" t="s">
        <v>453</v>
      </c>
      <c r="C51" s="215" t="s">
        <v>454</v>
      </c>
      <c r="D51" s="209">
        <v>-34.882319999999993</v>
      </c>
      <c r="E51" s="293"/>
      <c r="F51" s="335"/>
      <c r="G51" s="335"/>
      <c r="H51" s="335"/>
      <c r="I51" s="335"/>
      <c r="J51" s="336"/>
      <c r="K51" s="214">
        <f t="shared" si="3"/>
        <v>41</v>
      </c>
    </row>
    <row r="52" spans="1:13">
      <c r="A52" s="214">
        <f t="shared" si="1"/>
        <v>42</v>
      </c>
      <c r="B52" s="337"/>
      <c r="C52" s="215" t="s">
        <v>455</v>
      </c>
      <c r="D52" s="293">
        <v>6.7259500000000001</v>
      </c>
      <c r="E52" s="293"/>
      <c r="F52" s="335"/>
      <c r="G52" s="335"/>
      <c r="H52" s="335"/>
      <c r="I52" s="335"/>
      <c r="J52" s="336"/>
      <c r="K52" s="214">
        <f t="shared" si="3"/>
        <v>42</v>
      </c>
    </row>
    <row r="53" spans="1:13">
      <c r="A53" s="214">
        <f t="shared" si="1"/>
        <v>43</v>
      </c>
      <c r="B53" s="337"/>
      <c r="C53" s="215" t="s">
        <v>456</v>
      </c>
      <c r="D53" s="293">
        <v>2300.0309600000001</v>
      </c>
      <c r="E53" s="340"/>
      <c r="F53" s="335"/>
      <c r="G53" s="335"/>
      <c r="H53" s="335"/>
      <c r="I53" s="335"/>
      <c r="J53" s="336"/>
      <c r="K53" s="214">
        <f t="shared" si="3"/>
        <v>43</v>
      </c>
    </row>
    <row r="54" spans="1:13">
      <c r="A54" s="214">
        <f t="shared" si="1"/>
        <v>44</v>
      </c>
      <c r="B54" s="337"/>
      <c r="C54" s="215" t="s">
        <v>457</v>
      </c>
      <c r="D54" s="293">
        <v>461.42366000000004</v>
      </c>
      <c r="E54" s="340"/>
      <c r="F54" s="335"/>
      <c r="G54" s="335"/>
      <c r="H54" s="335"/>
      <c r="I54" s="335"/>
      <c r="J54" s="336"/>
      <c r="K54" s="214">
        <f t="shared" si="3"/>
        <v>44</v>
      </c>
    </row>
    <row r="55" spans="1:13">
      <c r="A55" s="214">
        <f t="shared" si="1"/>
        <v>45</v>
      </c>
      <c r="B55" s="337"/>
      <c r="C55" s="215" t="s">
        <v>458</v>
      </c>
      <c r="D55" s="299">
        <v>312.46565000000004</v>
      </c>
      <c r="E55" s="341">
        <f>SUM(D51:D55)</f>
        <v>3045.7638999999999</v>
      </c>
      <c r="F55" s="339"/>
      <c r="G55" s="339"/>
      <c r="H55" s="339"/>
      <c r="I55" s="339"/>
      <c r="J55" s="336"/>
      <c r="K55" s="214">
        <f t="shared" si="3"/>
        <v>45</v>
      </c>
      <c r="M55" s="342"/>
    </row>
    <row r="56" spans="1:13">
      <c r="A56" s="214">
        <f t="shared" si="1"/>
        <v>46</v>
      </c>
      <c r="B56" s="337"/>
      <c r="D56" s="293"/>
      <c r="E56" s="340"/>
      <c r="F56" s="335"/>
      <c r="G56" s="335"/>
      <c r="H56" s="335"/>
      <c r="I56" s="335"/>
      <c r="J56" s="336"/>
      <c r="K56" s="214">
        <f t="shared" si="3"/>
        <v>46</v>
      </c>
    </row>
    <row r="57" spans="1:13" ht="15.75" thickBot="1">
      <c r="A57" s="214">
        <f t="shared" si="1"/>
        <v>47</v>
      </c>
      <c r="B57" s="343"/>
      <c r="C57" s="262" t="s">
        <v>459</v>
      </c>
      <c r="D57" s="335"/>
      <c r="E57" s="344">
        <f>SUM(E47:E56)</f>
        <v>11766.57509</v>
      </c>
      <c r="F57" s="335"/>
      <c r="G57" s="335"/>
      <c r="H57" s="335"/>
      <c r="I57" s="335"/>
      <c r="J57" s="336"/>
      <c r="K57" s="214">
        <f t="shared" si="3"/>
        <v>47</v>
      </c>
    </row>
    <row r="58" spans="1:13" ht="15.75" thickTop="1">
      <c r="A58" s="214">
        <f t="shared" si="1"/>
        <v>48</v>
      </c>
      <c r="B58" s="343"/>
      <c r="C58" s="262"/>
      <c r="D58" s="335"/>
      <c r="E58" s="318"/>
      <c r="F58" s="335"/>
      <c r="G58" s="335"/>
      <c r="H58" s="335"/>
      <c r="I58" s="335"/>
      <c r="J58" s="336"/>
      <c r="K58" s="214">
        <f t="shared" si="3"/>
        <v>48</v>
      </c>
    </row>
    <row r="59" spans="1:13" ht="15.75">
      <c r="A59" s="214">
        <f t="shared" si="1"/>
        <v>49</v>
      </c>
      <c r="B59" s="345" t="s">
        <v>38</v>
      </c>
      <c r="C59" s="32" t="s">
        <v>370</v>
      </c>
      <c r="D59" s="335"/>
      <c r="E59" s="318"/>
      <c r="F59" s="335"/>
      <c r="G59" s="335"/>
      <c r="H59" s="335"/>
      <c r="I59" s="335"/>
      <c r="J59" s="336"/>
      <c r="K59" s="214">
        <f t="shared" si="3"/>
        <v>49</v>
      </c>
    </row>
    <row r="60" spans="1:13">
      <c r="A60" s="214">
        <f t="shared" si="1"/>
        <v>50</v>
      </c>
      <c r="B60" s="558">
        <v>1</v>
      </c>
      <c r="C60" s="215" t="s">
        <v>460</v>
      </c>
      <c r="D60" s="335"/>
      <c r="E60" s="318"/>
      <c r="F60" s="335"/>
      <c r="G60" s="335"/>
      <c r="H60" s="335"/>
      <c r="I60" s="335"/>
      <c r="J60" s="336"/>
      <c r="K60" s="214">
        <f t="shared" si="3"/>
        <v>50</v>
      </c>
    </row>
    <row r="61" spans="1:13">
      <c r="A61" s="214">
        <f t="shared" si="1"/>
        <v>51</v>
      </c>
      <c r="B61" s="565"/>
      <c r="C61" s="215" t="s">
        <v>461</v>
      </c>
      <c r="D61" s="335"/>
      <c r="E61" s="318"/>
      <c r="F61" s="335"/>
      <c r="G61" s="335"/>
      <c r="H61" s="335"/>
      <c r="I61" s="335"/>
      <c r="J61" s="336"/>
      <c r="K61" s="214">
        <f t="shared" si="3"/>
        <v>51</v>
      </c>
    </row>
    <row r="62" spans="1:13" ht="15.75" thickBot="1">
      <c r="A62" s="214">
        <f t="shared" si="1"/>
        <v>52</v>
      </c>
      <c r="B62" s="346"/>
      <c r="C62" s="324"/>
      <c r="D62" s="324"/>
      <c r="E62" s="347"/>
      <c r="F62" s="324"/>
      <c r="G62" s="324"/>
      <c r="H62" s="324"/>
      <c r="I62" s="324"/>
      <c r="J62" s="328"/>
      <c r="K62" s="214">
        <f t="shared" si="3"/>
        <v>52</v>
      </c>
    </row>
    <row r="63" spans="1:13">
      <c r="B63" s="348"/>
    </row>
    <row r="64" spans="1:13" ht="15.75">
      <c r="A64" s="41"/>
      <c r="B64" s="32"/>
    </row>
    <row r="65" spans="2:5">
      <c r="B65" s="348"/>
    </row>
    <row r="66" spans="2:5">
      <c r="B66" s="348"/>
    </row>
    <row r="67" spans="2:5">
      <c r="B67" s="348"/>
    </row>
    <row r="68" spans="2:5">
      <c r="B68" s="348"/>
    </row>
    <row r="69" spans="2:5">
      <c r="B69" s="348"/>
    </row>
    <row r="70" spans="2:5">
      <c r="B70" s="348"/>
    </row>
    <row r="71" spans="2:5">
      <c r="B71" s="348"/>
    </row>
    <row r="72" spans="2:5">
      <c r="B72" s="348"/>
    </row>
    <row r="73" spans="2:5">
      <c r="B73" s="348"/>
    </row>
    <row r="74" spans="2:5">
      <c r="B74" s="348"/>
    </row>
    <row r="75" spans="2:5">
      <c r="B75" s="348"/>
    </row>
    <row r="76" spans="2:5">
      <c r="B76" s="348"/>
    </row>
    <row r="77" spans="2:5">
      <c r="B77" s="348"/>
    </row>
    <row r="78" spans="2:5">
      <c r="B78" s="348"/>
      <c r="E78" s="215"/>
    </row>
    <row r="79" spans="2:5">
      <c r="B79" s="348"/>
      <c r="E79" s="215"/>
    </row>
    <row r="80" spans="2:5">
      <c r="B80" s="348"/>
      <c r="E80" s="215"/>
    </row>
    <row r="81" spans="2:5">
      <c r="B81" s="348"/>
      <c r="E81" s="215"/>
    </row>
    <row r="82" spans="2:5">
      <c r="B82" s="348"/>
      <c r="E82" s="215"/>
    </row>
    <row r="83" spans="2:5">
      <c r="B83" s="348"/>
      <c r="E83" s="215"/>
    </row>
    <row r="84" spans="2:5">
      <c r="B84" s="348"/>
      <c r="E84" s="215"/>
    </row>
    <row r="85" spans="2:5">
      <c r="B85" s="348"/>
      <c r="E85" s="215"/>
    </row>
    <row r="86" spans="2:5">
      <c r="B86" s="348"/>
      <c r="E86" s="215"/>
    </row>
    <row r="87" spans="2:5">
      <c r="B87" s="348"/>
      <c r="E87" s="215"/>
    </row>
    <row r="88" spans="2:5">
      <c r="B88" s="348"/>
      <c r="E88" s="215"/>
    </row>
    <row r="89" spans="2:5">
      <c r="B89" s="348"/>
      <c r="E89" s="215"/>
    </row>
    <row r="90" spans="2:5">
      <c r="B90" s="348"/>
      <c r="E90" s="215"/>
    </row>
    <row r="91" spans="2:5">
      <c r="B91" s="348"/>
      <c r="E91" s="215"/>
    </row>
    <row r="92" spans="2:5">
      <c r="B92" s="348"/>
      <c r="E92" s="215"/>
    </row>
    <row r="93" spans="2:5">
      <c r="B93" s="348"/>
      <c r="E93" s="215"/>
    </row>
    <row r="94" spans="2:5">
      <c r="B94" s="348"/>
      <c r="E94" s="215"/>
    </row>
    <row r="95" spans="2:5">
      <c r="B95" s="348"/>
      <c r="E95" s="215"/>
    </row>
    <row r="96" spans="2:5">
      <c r="B96" s="348"/>
      <c r="E96" s="215"/>
    </row>
    <row r="97" spans="2:5">
      <c r="B97" s="348"/>
      <c r="E97" s="215"/>
    </row>
    <row r="98" spans="2:5">
      <c r="B98" s="348"/>
      <c r="E98" s="215"/>
    </row>
    <row r="99" spans="2:5">
      <c r="B99" s="348"/>
      <c r="E99" s="215"/>
    </row>
    <row r="100" spans="2:5">
      <c r="B100" s="348"/>
      <c r="E100" s="215"/>
    </row>
    <row r="101" spans="2:5">
      <c r="B101" s="348"/>
      <c r="E101" s="215"/>
    </row>
    <row r="102" spans="2:5">
      <c r="B102" s="348"/>
      <c r="E102" s="215"/>
    </row>
    <row r="103" spans="2:5">
      <c r="B103" s="348"/>
      <c r="E103" s="215"/>
    </row>
    <row r="104" spans="2:5">
      <c r="B104" s="348"/>
      <c r="E104" s="215"/>
    </row>
    <row r="105" spans="2:5">
      <c r="B105" s="348"/>
      <c r="E105" s="215"/>
    </row>
    <row r="106" spans="2:5">
      <c r="B106" s="348"/>
      <c r="E106" s="215"/>
    </row>
    <row r="107" spans="2:5">
      <c r="B107" s="348"/>
      <c r="E107" s="215"/>
    </row>
    <row r="108" spans="2:5">
      <c r="B108" s="348"/>
      <c r="E108" s="215"/>
    </row>
    <row r="109" spans="2:5">
      <c r="B109" s="348"/>
      <c r="E109" s="215"/>
    </row>
    <row r="110" spans="2:5">
      <c r="B110" s="348"/>
      <c r="E110" s="215"/>
    </row>
    <row r="111" spans="2:5">
      <c r="B111" s="348"/>
      <c r="E111" s="215"/>
    </row>
    <row r="112" spans="2:5">
      <c r="B112" s="348"/>
      <c r="E112" s="215"/>
    </row>
    <row r="113" spans="2:5">
      <c r="B113" s="348"/>
      <c r="E113" s="215"/>
    </row>
    <row r="114" spans="2:5">
      <c r="B114" s="348"/>
      <c r="E114" s="215"/>
    </row>
    <row r="115" spans="2:5">
      <c r="B115" s="348"/>
      <c r="E115" s="215"/>
    </row>
    <row r="116" spans="2:5">
      <c r="B116" s="348"/>
      <c r="E116" s="215"/>
    </row>
    <row r="117" spans="2:5">
      <c r="B117" s="348"/>
      <c r="E117" s="215"/>
    </row>
    <row r="118" spans="2:5">
      <c r="B118" s="348"/>
      <c r="E118" s="215"/>
    </row>
    <row r="119" spans="2:5">
      <c r="B119" s="348"/>
      <c r="E119" s="215"/>
    </row>
    <row r="120" spans="2:5">
      <c r="B120" s="348"/>
      <c r="E120" s="215"/>
    </row>
    <row r="121" spans="2:5">
      <c r="B121" s="348"/>
      <c r="E121" s="215"/>
    </row>
    <row r="122" spans="2:5">
      <c r="B122" s="348"/>
      <c r="E122" s="215"/>
    </row>
    <row r="123" spans="2:5">
      <c r="B123" s="348"/>
      <c r="E123" s="215"/>
    </row>
    <row r="124" spans="2:5">
      <c r="B124" s="348"/>
      <c r="E124" s="215"/>
    </row>
    <row r="125" spans="2:5">
      <c r="B125" s="348"/>
      <c r="E125" s="215"/>
    </row>
    <row r="126" spans="2:5">
      <c r="B126" s="348"/>
      <c r="E126" s="215"/>
    </row>
    <row r="127" spans="2:5">
      <c r="B127" s="348"/>
      <c r="E127" s="215"/>
    </row>
    <row r="128" spans="2:5">
      <c r="B128" s="348"/>
      <c r="E128" s="215"/>
    </row>
    <row r="129" spans="2:5">
      <c r="B129" s="348"/>
      <c r="E129" s="215"/>
    </row>
    <row r="130" spans="2:5">
      <c r="B130" s="348"/>
      <c r="E130" s="215"/>
    </row>
    <row r="131" spans="2:5">
      <c r="B131" s="348"/>
      <c r="E131" s="215"/>
    </row>
    <row r="132" spans="2:5">
      <c r="B132" s="348"/>
      <c r="E132" s="215"/>
    </row>
    <row r="133" spans="2:5">
      <c r="B133" s="348"/>
      <c r="E133" s="215"/>
    </row>
    <row r="134" spans="2:5">
      <c r="B134" s="348"/>
      <c r="E134" s="215"/>
    </row>
    <row r="135" spans="2:5">
      <c r="B135" s="348"/>
      <c r="E135" s="215"/>
    </row>
    <row r="136" spans="2:5">
      <c r="B136" s="348"/>
      <c r="E136" s="215"/>
    </row>
    <row r="137" spans="2:5">
      <c r="B137" s="348"/>
      <c r="E137" s="215"/>
    </row>
    <row r="138" spans="2:5">
      <c r="B138" s="348"/>
      <c r="E138" s="215"/>
    </row>
    <row r="139" spans="2:5">
      <c r="B139" s="348"/>
      <c r="E139" s="215"/>
    </row>
    <row r="140" spans="2:5">
      <c r="B140" s="348"/>
      <c r="E140" s="215"/>
    </row>
    <row r="141" spans="2:5">
      <c r="B141" s="348"/>
      <c r="E141" s="215"/>
    </row>
    <row r="142" spans="2:5">
      <c r="B142" s="348"/>
      <c r="E142" s="215"/>
    </row>
    <row r="143" spans="2:5">
      <c r="B143" s="348"/>
      <c r="E143" s="215"/>
    </row>
    <row r="144" spans="2:5">
      <c r="B144" s="348"/>
      <c r="E144" s="215"/>
    </row>
    <row r="145" spans="2:5">
      <c r="B145" s="348"/>
      <c r="E145" s="215"/>
    </row>
    <row r="146" spans="2:5">
      <c r="B146" s="348"/>
      <c r="E146" s="215"/>
    </row>
    <row r="147" spans="2:5">
      <c r="B147" s="348"/>
      <c r="E147" s="215"/>
    </row>
    <row r="148" spans="2:5">
      <c r="B148" s="348"/>
      <c r="E148" s="215"/>
    </row>
    <row r="149" spans="2:5">
      <c r="B149" s="348"/>
      <c r="E149" s="215"/>
    </row>
    <row r="150" spans="2:5">
      <c r="B150" s="348"/>
      <c r="E150" s="215"/>
    </row>
    <row r="151" spans="2:5">
      <c r="B151" s="348"/>
      <c r="E151" s="215"/>
    </row>
    <row r="152" spans="2:5">
      <c r="B152" s="348"/>
      <c r="E152" s="215"/>
    </row>
    <row r="153" spans="2:5">
      <c r="B153" s="348"/>
      <c r="E153" s="215"/>
    </row>
    <row r="154" spans="2:5">
      <c r="B154" s="348"/>
      <c r="E154" s="215"/>
    </row>
    <row r="155" spans="2:5">
      <c r="B155" s="348"/>
      <c r="E155" s="215"/>
    </row>
    <row r="156" spans="2:5">
      <c r="B156" s="348"/>
      <c r="E156" s="215"/>
    </row>
    <row r="157" spans="2:5">
      <c r="B157" s="348"/>
      <c r="E157" s="215"/>
    </row>
    <row r="158" spans="2:5">
      <c r="B158" s="348"/>
      <c r="E158" s="215"/>
    </row>
    <row r="159" spans="2:5">
      <c r="B159" s="348"/>
      <c r="E159" s="215"/>
    </row>
    <row r="160" spans="2:5">
      <c r="B160" s="348"/>
      <c r="E160" s="215"/>
    </row>
    <row r="161" spans="2:5">
      <c r="B161" s="348"/>
      <c r="E161" s="215"/>
    </row>
    <row r="162" spans="2:5">
      <c r="B162" s="348"/>
      <c r="E162" s="215"/>
    </row>
    <row r="163" spans="2:5">
      <c r="B163" s="348"/>
      <c r="E163" s="215"/>
    </row>
    <row r="164" spans="2:5">
      <c r="B164" s="348"/>
      <c r="E164" s="215"/>
    </row>
    <row r="165" spans="2:5">
      <c r="B165" s="348"/>
      <c r="E165" s="215"/>
    </row>
    <row r="166" spans="2:5">
      <c r="B166" s="348"/>
      <c r="E166" s="215"/>
    </row>
    <row r="167" spans="2:5">
      <c r="B167" s="348"/>
      <c r="E167" s="215"/>
    </row>
    <row r="168" spans="2:5">
      <c r="B168" s="348"/>
      <c r="E168" s="215"/>
    </row>
    <row r="169" spans="2:5">
      <c r="B169" s="348"/>
      <c r="E169" s="215"/>
    </row>
    <row r="170" spans="2:5">
      <c r="B170" s="348"/>
      <c r="E170" s="215"/>
    </row>
    <row r="171" spans="2:5">
      <c r="B171" s="348"/>
      <c r="E171" s="215"/>
    </row>
    <row r="172" spans="2:5">
      <c r="B172" s="348"/>
      <c r="E172" s="215"/>
    </row>
    <row r="173" spans="2:5">
      <c r="B173" s="348"/>
      <c r="E173" s="215"/>
    </row>
    <row r="174" spans="2:5">
      <c r="B174" s="348"/>
      <c r="E174" s="215"/>
    </row>
    <row r="175" spans="2:5">
      <c r="B175" s="348"/>
      <c r="E175" s="215"/>
    </row>
    <row r="176" spans="2:5">
      <c r="B176" s="348"/>
      <c r="E176" s="215"/>
    </row>
    <row r="177" spans="2:5">
      <c r="B177" s="348"/>
      <c r="E177" s="215"/>
    </row>
    <row r="178" spans="2:5">
      <c r="B178" s="348"/>
      <c r="E178" s="215"/>
    </row>
    <row r="179" spans="2:5">
      <c r="B179" s="348"/>
      <c r="E179" s="215"/>
    </row>
    <row r="180" spans="2:5">
      <c r="B180" s="348"/>
      <c r="E180" s="215"/>
    </row>
    <row r="181" spans="2:5">
      <c r="B181" s="348"/>
      <c r="E181" s="215"/>
    </row>
    <row r="182" spans="2:5">
      <c r="B182" s="348"/>
      <c r="E182" s="215"/>
    </row>
    <row r="183" spans="2:5">
      <c r="B183" s="348"/>
      <c r="E183" s="215"/>
    </row>
    <row r="184" spans="2:5">
      <c r="B184" s="348"/>
      <c r="E184" s="215"/>
    </row>
    <row r="185" spans="2:5">
      <c r="B185" s="348"/>
      <c r="E185" s="215"/>
    </row>
    <row r="186" spans="2:5">
      <c r="B186" s="348"/>
      <c r="E186" s="215"/>
    </row>
    <row r="187" spans="2:5">
      <c r="B187" s="348"/>
      <c r="E187" s="215"/>
    </row>
    <row r="188" spans="2:5">
      <c r="B188" s="348"/>
      <c r="E188" s="215"/>
    </row>
    <row r="189" spans="2:5">
      <c r="B189" s="348"/>
      <c r="E189" s="215"/>
    </row>
    <row r="190" spans="2:5">
      <c r="B190" s="348"/>
      <c r="E190" s="215"/>
    </row>
    <row r="191" spans="2:5">
      <c r="B191" s="348"/>
      <c r="E191" s="215"/>
    </row>
    <row r="192" spans="2:5">
      <c r="B192" s="348"/>
      <c r="E192" s="215"/>
    </row>
    <row r="193" spans="2:5">
      <c r="B193" s="348"/>
      <c r="E193" s="215"/>
    </row>
    <row r="194" spans="2:5">
      <c r="B194" s="348"/>
      <c r="E194" s="215"/>
    </row>
    <row r="195" spans="2:5">
      <c r="B195" s="348"/>
      <c r="E195" s="215"/>
    </row>
    <row r="196" spans="2:5">
      <c r="B196" s="348"/>
      <c r="E196" s="215"/>
    </row>
    <row r="197" spans="2:5">
      <c r="B197" s="348"/>
      <c r="E197" s="215"/>
    </row>
    <row r="198" spans="2:5">
      <c r="B198" s="348"/>
      <c r="E198" s="215"/>
    </row>
    <row r="199" spans="2:5">
      <c r="B199" s="348"/>
      <c r="E199" s="215"/>
    </row>
    <row r="200" spans="2:5">
      <c r="B200" s="348"/>
      <c r="E200" s="215"/>
    </row>
    <row r="201" spans="2:5">
      <c r="B201" s="348"/>
      <c r="E201" s="215"/>
    </row>
    <row r="202" spans="2:5">
      <c r="B202" s="348"/>
      <c r="E202" s="215"/>
    </row>
    <row r="203" spans="2:5">
      <c r="B203" s="348"/>
      <c r="E203" s="215"/>
    </row>
    <row r="204" spans="2:5">
      <c r="B204" s="348"/>
      <c r="E204" s="215"/>
    </row>
    <row r="205" spans="2:5">
      <c r="B205" s="348"/>
      <c r="E205" s="215"/>
    </row>
    <row r="206" spans="2:5">
      <c r="B206" s="348"/>
      <c r="E206" s="215"/>
    </row>
    <row r="207" spans="2:5">
      <c r="B207" s="348"/>
      <c r="E207" s="215"/>
    </row>
    <row r="208" spans="2:5">
      <c r="B208" s="348"/>
      <c r="E208" s="215"/>
    </row>
    <row r="209" spans="2:5">
      <c r="B209" s="348"/>
      <c r="E209" s="215"/>
    </row>
    <row r="210" spans="2:5">
      <c r="B210" s="348"/>
      <c r="E210" s="215"/>
    </row>
    <row r="211" spans="2:5">
      <c r="B211" s="348"/>
      <c r="E211" s="215"/>
    </row>
    <row r="212" spans="2:5">
      <c r="B212" s="348"/>
      <c r="E212" s="215"/>
    </row>
    <row r="213" spans="2:5">
      <c r="B213" s="348"/>
      <c r="E213" s="215"/>
    </row>
    <row r="214" spans="2:5">
      <c r="B214" s="348"/>
      <c r="E214" s="215"/>
    </row>
    <row r="215" spans="2:5">
      <c r="B215" s="348"/>
      <c r="E215" s="215"/>
    </row>
    <row r="216" spans="2:5">
      <c r="B216" s="348"/>
      <c r="E216" s="215"/>
    </row>
    <row r="217" spans="2:5">
      <c r="B217" s="348"/>
      <c r="E217" s="215"/>
    </row>
    <row r="218" spans="2:5">
      <c r="B218" s="348"/>
      <c r="E218" s="215"/>
    </row>
    <row r="219" spans="2:5">
      <c r="B219" s="348"/>
      <c r="E219" s="215"/>
    </row>
    <row r="220" spans="2:5">
      <c r="B220" s="348"/>
      <c r="E220" s="215"/>
    </row>
    <row r="221" spans="2:5">
      <c r="B221" s="348"/>
      <c r="E221" s="215"/>
    </row>
    <row r="222" spans="2:5">
      <c r="B222" s="348"/>
      <c r="E222" s="215"/>
    </row>
    <row r="223" spans="2:5">
      <c r="B223" s="348"/>
      <c r="E223" s="215"/>
    </row>
    <row r="224" spans="2:5">
      <c r="B224" s="348"/>
      <c r="E224" s="215"/>
    </row>
    <row r="225" spans="2:5">
      <c r="B225" s="348"/>
      <c r="E225" s="215"/>
    </row>
    <row r="226" spans="2:5">
      <c r="B226" s="348"/>
      <c r="E226" s="215"/>
    </row>
    <row r="227" spans="2:5">
      <c r="B227" s="348"/>
      <c r="E227" s="215"/>
    </row>
    <row r="228" spans="2:5">
      <c r="B228" s="348"/>
      <c r="E228" s="215"/>
    </row>
    <row r="229" spans="2:5">
      <c r="B229" s="348"/>
      <c r="E229" s="215"/>
    </row>
    <row r="230" spans="2:5">
      <c r="B230" s="348"/>
      <c r="E230" s="215"/>
    </row>
    <row r="231" spans="2:5">
      <c r="B231" s="348"/>
      <c r="E231" s="215"/>
    </row>
    <row r="232" spans="2:5">
      <c r="B232" s="348"/>
      <c r="E232" s="215"/>
    </row>
    <row r="233" spans="2:5">
      <c r="B233" s="348"/>
      <c r="E233" s="215"/>
    </row>
    <row r="234" spans="2:5">
      <c r="B234" s="348"/>
      <c r="E234" s="215"/>
    </row>
    <row r="235" spans="2:5">
      <c r="B235" s="348"/>
      <c r="E235" s="215"/>
    </row>
    <row r="236" spans="2:5">
      <c r="B236" s="348"/>
      <c r="E236" s="215"/>
    </row>
    <row r="237" spans="2:5">
      <c r="B237" s="348"/>
      <c r="E237" s="215"/>
    </row>
    <row r="238" spans="2:5">
      <c r="B238" s="348"/>
      <c r="E238" s="215"/>
    </row>
    <row r="239" spans="2:5">
      <c r="B239" s="348"/>
      <c r="E239" s="215"/>
    </row>
    <row r="240" spans="2:5">
      <c r="B240" s="348"/>
      <c r="E240" s="215"/>
    </row>
    <row r="241" spans="2:5">
      <c r="B241" s="348"/>
      <c r="E241" s="215"/>
    </row>
    <row r="242" spans="2:5">
      <c r="B242" s="348"/>
      <c r="E242" s="215"/>
    </row>
    <row r="243" spans="2:5">
      <c r="B243" s="348"/>
      <c r="E243" s="215"/>
    </row>
    <row r="244" spans="2:5">
      <c r="B244" s="348"/>
      <c r="E244" s="215"/>
    </row>
    <row r="245" spans="2:5">
      <c r="B245" s="348"/>
      <c r="E245" s="215"/>
    </row>
    <row r="246" spans="2:5">
      <c r="B246" s="348"/>
      <c r="E246" s="215"/>
    </row>
    <row r="247" spans="2:5">
      <c r="B247" s="348"/>
      <c r="E247" s="215"/>
    </row>
    <row r="248" spans="2:5">
      <c r="B248" s="348"/>
      <c r="E248" s="215"/>
    </row>
    <row r="249" spans="2:5">
      <c r="B249" s="348"/>
      <c r="E249" s="215"/>
    </row>
    <row r="250" spans="2:5">
      <c r="B250" s="348"/>
      <c r="E250" s="215"/>
    </row>
    <row r="251" spans="2:5">
      <c r="B251" s="348"/>
      <c r="E251" s="215"/>
    </row>
    <row r="252" spans="2:5">
      <c r="B252" s="348"/>
      <c r="E252" s="215"/>
    </row>
    <row r="253" spans="2:5">
      <c r="B253" s="348"/>
      <c r="E253" s="215"/>
    </row>
    <row r="254" spans="2:5">
      <c r="B254" s="348"/>
      <c r="E254" s="215"/>
    </row>
    <row r="255" spans="2:5">
      <c r="B255" s="348"/>
      <c r="E255" s="215"/>
    </row>
    <row r="256" spans="2:5">
      <c r="B256" s="348"/>
      <c r="E256" s="215"/>
    </row>
    <row r="257" spans="2:5">
      <c r="B257" s="348"/>
      <c r="E257" s="215"/>
    </row>
    <row r="258" spans="2:5">
      <c r="B258" s="348"/>
      <c r="E258" s="215"/>
    </row>
    <row r="259" spans="2:5">
      <c r="B259" s="348"/>
      <c r="E259" s="215"/>
    </row>
    <row r="260" spans="2:5">
      <c r="B260" s="348"/>
      <c r="E260" s="215"/>
    </row>
    <row r="261" spans="2:5">
      <c r="B261" s="348"/>
      <c r="E261" s="215"/>
    </row>
    <row r="262" spans="2:5">
      <c r="B262" s="348"/>
      <c r="E262" s="215"/>
    </row>
    <row r="263" spans="2:5">
      <c r="B263" s="348"/>
      <c r="E263" s="215"/>
    </row>
    <row r="264" spans="2:5">
      <c r="B264" s="348"/>
      <c r="E264" s="215"/>
    </row>
    <row r="265" spans="2:5">
      <c r="B265" s="348"/>
      <c r="E265" s="215"/>
    </row>
    <row r="266" spans="2:5">
      <c r="B266" s="348"/>
      <c r="E266" s="215"/>
    </row>
    <row r="267" spans="2:5">
      <c r="B267" s="348"/>
      <c r="E267" s="215"/>
    </row>
    <row r="268" spans="2:5">
      <c r="B268" s="348"/>
      <c r="E268" s="215"/>
    </row>
    <row r="269" spans="2:5">
      <c r="B269" s="348"/>
      <c r="E269" s="215"/>
    </row>
    <row r="270" spans="2:5">
      <c r="B270" s="348"/>
      <c r="E270" s="215"/>
    </row>
    <row r="271" spans="2:5">
      <c r="B271" s="348"/>
      <c r="E271" s="215"/>
    </row>
    <row r="272" spans="2:5">
      <c r="B272" s="348"/>
      <c r="E272" s="215"/>
    </row>
    <row r="273" spans="2:5">
      <c r="B273" s="348"/>
      <c r="E273" s="215"/>
    </row>
    <row r="274" spans="2:5">
      <c r="B274" s="348"/>
      <c r="E274" s="215"/>
    </row>
    <row r="275" spans="2:5">
      <c r="B275" s="348"/>
      <c r="E275" s="215"/>
    </row>
    <row r="276" spans="2:5">
      <c r="B276" s="348"/>
      <c r="E276" s="215"/>
    </row>
    <row r="277" spans="2:5">
      <c r="B277" s="348"/>
      <c r="E277" s="215"/>
    </row>
    <row r="278" spans="2:5">
      <c r="B278" s="348"/>
      <c r="E278" s="215"/>
    </row>
    <row r="279" spans="2:5">
      <c r="B279" s="348"/>
      <c r="E279" s="215"/>
    </row>
    <row r="280" spans="2:5">
      <c r="B280" s="348"/>
      <c r="E280" s="215"/>
    </row>
    <row r="281" spans="2:5">
      <c r="B281" s="348"/>
      <c r="E281" s="215"/>
    </row>
    <row r="282" spans="2:5">
      <c r="B282" s="348"/>
      <c r="E282" s="215"/>
    </row>
    <row r="283" spans="2:5">
      <c r="B283" s="348"/>
      <c r="E283" s="215"/>
    </row>
    <row r="284" spans="2:5">
      <c r="B284" s="348"/>
      <c r="E284" s="215"/>
    </row>
    <row r="285" spans="2:5">
      <c r="B285" s="348"/>
      <c r="E285" s="215"/>
    </row>
    <row r="286" spans="2:5">
      <c r="B286" s="348"/>
      <c r="E286" s="215"/>
    </row>
    <row r="287" spans="2:5">
      <c r="B287" s="348"/>
      <c r="E287" s="215"/>
    </row>
    <row r="288" spans="2:5">
      <c r="B288" s="348"/>
      <c r="E288" s="215"/>
    </row>
    <row r="289" spans="2:5">
      <c r="B289" s="348"/>
      <c r="E289" s="215"/>
    </row>
    <row r="290" spans="2:5">
      <c r="B290" s="348"/>
      <c r="E290" s="215"/>
    </row>
    <row r="291" spans="2:5">
      <c r="B291" s="348"/>
      <c r="E291" s="215"/>
    </row>
    <row r="292" spans="2:5">
      <c r="B292" s="348"/>
      <c r="E292" s="215"/>
    </row>
    <row r="293" spans="2:5">
      <c r="B293" s="348"/>
      <c r="E293" s="215"/>
    </row>
    <row r="294" spans="2:5">
      <c r="B294" s="348"/>
      <c r="E294" s="215"/>
    </row>
    <row r="295" spans="2:5">
      <c r="B295" s="348"/>
      <c r="E295" s="215"/>
    </row>
    <row r="296" spans="2:5">
      <c r="B296" s="348"/>
      <c r="E296" s="215"/>
    </row>
    <row r="297" spans="2:5">
      <c r="B297" s="348"/>
      <c r="E297" s="215"/>
    </row>
    <row r="298" spans="2:5">
      <c r="B298" s="348"/>
      <c r="E298" s="215"/>
    </row>
    <row r="299" spans="2:5">
      <c r="B299" s="348"/>
      <c r="E299" s="215"/>
    </row>
    <row r="300" spans="2:5">
      <c r="B300" s="348"/>
      <c r="E300" s="215"/>
    </row>
    <row r="301" spans="2:5">
      <c r="B301" s="348"/>
      <c r="E301" s="215"/>
    </row>
    <row r="302" spans="2:5">
      <c r="B302" s="348"/>
      <c r="E302" s="215"/>
    </row>
    <row r="303" spans="2:5">
      <c r="B303" s="348"/>
      <c r="E303" s="215"/>
    </row>
    <row r="304" spans="2:5">
      <c r="B304" s="348"/>
      <c r="E304" s="215"/>
    </row>
    <row r="305" spans="2:5">
      <c r="B305" s="348"/>
      <c r="E305" s="215"/>
    </row>
    <row r="306" spans="2:5">
      <c r="B306" s="348"/>
      <c r="E306" s="215"/>
    </row>
    <row r="307" spans="2:5">
      <c r="B307" s="348"/>
      <c r="E307" s="215"/>
    </row>
    <row r="308" spans="2:5">
      <c r="B308" s="348"/>
      <c r="E308" s="215"/>
    </row>
    <row r="309" spans="2:5">
      <c r="B309" s="348"/>
      <c r="E309" s="215"/>
    </row>
    <row r="310" spans="2:5">
      <c r="B310" s="348"/>
      <c r="E310" s="215"/>
    </row>
    <row r="311" spans="2:5">
      <c r="B311" s="348"/>
      <c r="E311" s="215"/>
    </row>
    <row r="312" spans="2:5">
      <c r="B312" s="348"/>
      <c r="E312" s="215"/>
    </row>
    <row r="313" spans="2:5">
      <c r="B313" s="348"/>
      <c r="E313" s="215"/>
    </row>
    <row r="314" spans="2:5">
      <c r="B314" s="348"/>
      <c r="E314" s="215"/>
    </row>
    <row r="315" spans="2:5">
      <c r="B315" s="348"/>
      <c r="E315" s="215"/>
    </row>
    <row r="316" spans="2:5">
      <c r="B316" s="348"/>
      <c r="E316" s="215"/>
    </row>
    <row r="317" spans="2:5">
      <c r="B317" s="348"/>
      <c r="E317" s="215"/>
    </row>
    <row r="318" spans="2:5">
      <c r="B318" s="348"/>
      <c r="E318" s="215"/>
    </row>
    <row r="319" spans="2:5">
      <c r="B319" s="348"/>
      <c r="E319" s="215"/>
    </row>
    <row r="320" spans="2:5">
      <c r="B320" s="348"/>
      <c r="E320" s="215"/>
    </row>
    <row r="321" spans="2:5">
      <c r="B321" s="348"/>
      <c r="E321" s="215"/>
    </row>
    <row r="322" spans="2:5">
      <c r="B322" s="348"/>
      <c r="E322" s="215"/>
    </row>
    <row r="323" spans="2:5">
      <c r="B323" s="348"/>
      <c r="E323" s="215"/>
    </row>
    <row r="324" spans="2:5">
      <c r="B324" s="348"/>
      <c r="E324" s="215"/>
    </row>
    <row r="325" spans="2:5">
      <c r="B325" s="348"/>
      <c r="E325" s="215"/>
    </row>
    <row r="326" spans="2:5">
      <c r="B326" s="348"/>
      <c r="E326" s="215"/>
    </row>
    <row r="327" spans="2:5">
      <c r="B327" s="348"/>
      <c r="E327" s="215"/>
    </row>
    <row r="328" spans="2:5">
      <c r="B328" s="348"/>
      <c r="E328" s="215"/>
    </row>
    <row r="329" spans="2:5">
      <c r="B329" s="348"/>
      <c r="E329" s="215"/>
    </row>
    <row r="330" spans="2:5">
      <c r="B330" s="348"/>
      <c r="E330" s="215"/>
    </row>
    <row r="331" spans="2:5">
      <c r="B331" s="348"/>
      <c r="E331" s="215"/>
    </row>
    <row r="332" spans="2:5">
      <c r="B332" s="348"/>
      <c r="E332" s="215"/>
    </row>
    <row r="333" spans="2:5">
      <c r="B333" s="348"/>
      <c r="E333" s="215"/>
    </row>
    <row r="334" spans="2:5">
      <c r="B334" s="348"/>
      <c r="E334" s="215"/>
    </row>
    <row r="335" spans="2:5">
      <c r="B335" s="348"/>
      <c r="E335" s="215"/>
    </row>
    <row r="336" spans="2:5">
      <c r="B336" s="348"/>
      <c r="E336" s="215"/>
    </row>
    <row r="337" spans="2:5">
      <c r="B337" s="348"/>
      <c r="E337" s="215"/>
    </row>
    <row r="338" spans="2:5">
      <c r="B338" s="348"/>
      <c r="E338" s="215"/>
    </row>
    <row r="339" spans="2:5">
      <c r="B339" s="348"/>
      <c r="E339" s="215"/>
    </row>
    <row r="340" spans="2:5">
      <c r="B340" s="348"/>
      <c r="E340" s="215"/>
    </row>
    <row r="341" spans="2:5">
      <c r="B341" s="348"/>
      <c r="E341" s="215"/>
    </row>
    <row r="342" spans="2:5">
      <c r="B342" s="348"/>
      <c r="E342" s="215"/>
    </row>
    <row r="343" spans="2:5">
      <c r="B343" s="348"/>
      <c r="E343" s="215"/>
    </row>
    <row r="344" spans="2:5">
      <c r="B344" s="348"/>
      <c r="E344" s="215"/>
    </row>
    <row r="345" spans="2:5">
      <c r="B345" s="348"/>
      <c r="E345" s="215"/>
    </row>
    <row r="346" spans="2:5">
      <c r="B346" s="348"/>
      <c r="E346" s="215"/>
    </row>
    <row r="347" spans="2:5">
      <c r="B347" s="348"/>
      <c r="E347" s="215"/>
    </row>
    <row r="348" spans="2:5">
      <c r="B348" s="348"/>
      <c r="E348" s="215"/>
    </row>
    <row r="349" spans="2:5">
      <c r="B349" s="348"/>
      <c r="E349" s="215"/>
    </row>
    <row r="350" spans="2:5">
      <c r="B350" s="348"/>
      <c r="E350" s="215"/>
    </row>
    <row r="351" spans="2:5">
      <c r="B351" s="348"/>
      <c r="E351" s="215"/>
    </row>
    <row r="352" spans="2:5">
      <c r="B352" s="348"/>
      <c r="E352" s="215"/>
    </row>
    <row r="353" spans="2:5">
      <c r="B353" s="348"/>
      <c r="E353" s="215"/>
    </row>
    <row r="354" spans="2:5">
      <c r="B354" s="348"/>
      <c r="E354" s="215"/>
    </row>
    <row r="355" spans="2:5">
      <c r="B355" s="348"/>
      <c r="E355" s="215"/>
    </row>
    <row r="356" spans="2:5">
      <c r="B356" s="348"/>
      <c r="E356" s="215"/>
    </row>
    <row r="357" spans="2:5">
      <c r="B357" s="348"/>
      <c r="E357" s="215"/>
    </row>
    <row r="358" spans="2:5">
      <c r="B358" s="348"/>
      <c r="E358" s="215"/>
    </row>
    <row r="359" spans="2:5">
      <c r="B359" s="348"/>
      <c r="E359" s="215"/>
    </row>
    <row r="360" spans="2:5">
      <c r="B360" s="348"/>
      <c r="E360" s="215"/>
    </row>
    <row r="361" spans="2:5">
      <c r="B361" s="348"/>
      <c r="E361" s="215"/>
    </row>
    <row r="362" spans="2:5">
      <c r="B362" s="348"/>
      <c r="E362" s="215"/>
    </row>
    <row r="363" spans="2:5">
      <c r="B363" s="348"/>
      <c r="E363" s="215"/>
    </row>
    <row r="364" spans="2:5">
      <c r="B364" s="348"/>
      <c r="E364" s="215"/>
    </row>
    <row r="365" spans="2:5">
      <c r="B365" s="348"/>
      <c r="E365" s="215"/>
    </row>
    <row r="366" spans="2:5">
      <c r="B366" s="348"/>
      <c r="E366" s="215"/>
    </row>
    <row r="367" spans="2:5">
      <c r="B367" s="348"/>
      <c r="E367" s="215"/>
    </row>
    <row r="368" spans="2:5">
      <c r="B368" s="348"/>
      <c r="E368" s="215"/>
    </row>
    <row r="369" spans="2:5">
      <c r="B369" s="348"/>
      <c r="E369" s="215"/>
    </row>
    <row r="370" spans="2:5">
      <c r="B370" s="348"/>
      <c r="E370" s="215"/>
    </row>
    <row r="371" spans="2:5">
      <c r="B371" s="348"/>
      <c r="E371" s="215"/>
    </row>
    <row r="372" spans="2:5">
      <c r="B372" s="348"/>
      <c r="E372" s="215"/>
    </row>
    <row r="373" spans="2:5">
      <c r="B373" s="348"/>
      <c r="E373" s="215"/>
    </row>
    <row r="374" spans="2:5">
      <c r="B374" s="348"/>
      <c r="E374" s="215"/>
    </row>
    <row r="375" spans="2:5">
      <c r="B375" s="348"/>
      <c r="E375" s="215"/>
    </row>
    <row r="376" spans="2:5">
      <c r="B376" s="348"/>
      <c r="E376" s="215"/>
    </row>
    <row r="377" spans="2:5">
      <c r="B377" s="348"/>
      <c r="E377" s="215"/>
    </row>
    <row r="378" spans="2:5">
      <c r="B378" s="348"/>
      <c r="E378" s="215"/>
    </row>
    <row r="379" spans="2:5">
      <c r="B379" s="348"/>
      <c r="E379" s="215"/>
    </row>
    <row r="380" spans="2:5">
      <c r="B380" s="348"/>
      <c r="E380" s="215"/>
    </row>
    <row r="381" spans="2:5">
      <c r="B381" s="348"/>
      <c r="E381" s="215"/>
    </row>
    <row r="382" spans="2:5">
      <c r="B382" s="348"/>
      <c r="E382" s="215"/>
    </row>
    <row r="383" spans="2:5">
      <c r="B383" s="348"/>
      <c r="E383" s="215"/>
    </row>
    <row r="384" spans="2:5">
      <c r="B384" s="348"/>
      <c r="E384" s="215"/>
    </row>
    <row r="385" spans="2:5">
      <c r="B385" s="348"/>
      <c r="E385" s="215"/>
    </row>
    <row r="386" spans="2:5">
      <c r="B386" s="348"/>
      <c r="E386" s="215"/>
    </row>
    <row r="387" spans="2:5">
      <c r="B387" s="348"/>
      <c r="E387" s="215"/>
    </row>
    <row r="388" spans="2:5">
      <c r="B388" s="348"/>
      <c r="E388" s="215"/>
    </row>
    <row r="389" spans="2:5">
      <c r="B389" s="348"/>
      <c r="E389" s="215"/>
    </row>
    <row r="390" spans="2:5">
      <c r="B390" s="348"/>
      <c r="E390" s="215"/>
    </row>
    <row r="391" spans="2:5">
      <c r="B391" s="348"/>
      <c r="E391" s="215"/>
    </row>
    <row r="392" spans="2:5">
      <c r="B392" s="348"/>
      <c r="E392" s="215"/>
    </row>
    <row r="393" spans="2:5">
      <c r="B393" s="348"/>
      <c r="E393" s="215"/>
    </row>
    <row r="394" spans="2:5">
      <c r="B394" s="348"/>
      <c r="E394" s="215"/>
    </row>
    <row r="395" spans="2:5">
      <c r="B395" s="348"/>
      <c r="E395" s="215"/>
    </row>
    <row r="396" spans="2:5">
      <c r="B396" s="348"/>
      <c r="E396" s="215"/>
    </row>
    <row r="397" spans="2:5">
      <c r="B397" s="348"/>
      <c r="E397" s="215"/>
    </row>
    <row r="398" spans="2:5">
      <c r="B398" s="348"/>
      <c r="E398" s="215"/>
    </row>
    <row r="399" spans="2:5">
      <c r="B399" s="348"/>
      <c r="E399" s="215"/>
    </row>
    <row r="400" spans="2:5">
      <c r="B400" s="348"/>
      <c r="E400" s="215"/>
    </row>
    <row r="401" spans="2:5">
      <c r="B401" s="348"/>
      <c r="E401" s="215"/>
    </row>
    <row r="402" spans="2:5">
      <c r="B402" s="348"/>
      <c r="E402" s="215"/>
    </row>
    <row r="403" spans="2:5">
      <c r="B403" s="348"/>
      <c r="E403" s="215"/>
    </row>
    <row r="404" spans="2:5">
      <c r="B404" s="348"/>
      <c r="E404" s="215"/>
    </row>
    <row r="405" spans="2:5">
      <c r="B405" s="348"/>
      <c r="E405" s="215"/>
    </row>
    <row r="406" spans="2:5">
      <c r="B406" s="348"/>
      <c r="E406" s="215"/>
    </row>
    <row r="407" spans="2:5">
      <c r="B407" s="348"/>
      <c r="E407" s="215"/>
    </row>
    <row r="408" spans="2:5">
      <c r="B408" s="348"/>
      <c r="E408" s="215"/>
    </row>
    <row r="409" spans="2:5">
      <c r="B409" s="348"/>
      <c r="E409" s="215"/>
    </row>
    <row r="410" spans="2:5">
      <c r="B410" s="348"/>
      <c r="E410" s="215"/>
    </row>
    <row r="411" spans="2:5">
      <c r="B411" s="348"/>
      <c r="E411" s="215"/>
    </row>
    <row r="412" spans="2:5">
      <c r="B412" s="348"/>
      <c r="E412" s="215"/>
    </row>
    <row r="413" spans="2:5">
      <c r="B413" s="348"/>
      <c r="E413" s="215"/>
    </row>
    <row r="414" spans="2:5">
      <c r="B414" s="348"/>
      <c r="E414" s="215"/>
    </row>
    <row r="415" spans="2:5">
      <c r="B415" s="348"/>
      <c r="E415" s="215"/>
    </row>
    <row r="416" spans="2:5">
      <c r="B416" s="348"/>
      <c r="E416" s="215"/>
    </row>
    <row r="417" spans="2:5">
      <c r="B417" s="348"/>
      <c r="E417" s="215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Roman,Bold"&amp;10REVISED</oddHeader>
    <oddFooter>&amp;CPage 5.1A&amp;R&amp;F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8BA1-8785-4503-8189-DAA337738412}">
  <sheetPr>
    <pageSetUpPr fitToPage="1"/>
  </sheetPr>
  <dimension ref="A1:N71"/>
  <sheetViews>
    <sheetView zoomScale="80" zoomScaleNormal="80" workbookViewId="0"/>
  </sheetViews>
  <sheetFormatPr defaultColWidth="9.140625" defaultRowHeight="15.4"/>
  <cols>
    <col min="1" max="1" width="4.85546875" style="349" bestFit="1" customWidth="1"/>
    <col min="2" max="2" width="7.5703125" style="350" customWidth="1"/>
    <col min="3" max="3" width="69.140625" style="350" customWidth="1"/>
    <col min="4" max="6" width="12.5703125" style="350" customWidth="1"/>
    <col min="7" max="7" width="1.5703125" style="350" customWidth="1"/>
    <col min="8" max="8" width="14.85546875" style="350" bestFit="1" customWidth="1"/>
    <col min="9" max="9" width="12.5703125" style="350" customWidth="1"/>
    <col min="10" max="10" width="29.7109375" style="350" customWidth="1"/>
    <col min="11" max="11" width="4.85546875" style="349" bestFit="1" customWidth="1"/>
    <col min="12" max="12" width="4" style="350" customWidth="1"/>
    <col min="13" max="13" width="13.140625" style="350" bestFit="1" customWidth="1"/>
    <col min="14" max="14" width="9.140625" style="350"/>
    <col min="15" max="15" width="9.85546875" style="350" customWidth="1"/>
    <col min="16" max="16" width="10" style="350" customWidth="1"/>
    <col min="17" max="16384" width="9.140625" style="350"/>
  </cols>
  <sheetData>
    <row r="1" spans="1:14">
      <c r="J1" s="216"/>
    </row>
    <row r="2" spans="1:14">
      <c r="B2" s="619" t="s">
        <v>214</v>
      </c>
      <c r="C2" s="619"/>
      <c r="D2" s="619"/>
      <c r="E2" s="619"/>
      <c r="F2" s="619"/>
      <c r="G2" s="619"/>
      <c r="H2" s="619"/>
      <c r="I2" s="619"/>
      <c r="J2" s="619"/>
      <c r="K2" s="351"/>
    </row>
    <row r="3" spans="1:14">
      <c r="B3" s="619" t="s">
        <v>462</v>
      </c>
      <c r="C3" s="619"/>
      <c r="D3" s="619"/>
      <c r="E3" s="619"/>
      <c r="F3" s="619"/>
      <c r="G3" s="619"/>
      <c r="H3" s="619"/>
      <c r="I3" s="619"/>
      <c r="J3" s="619"/>
      <c r="K3" s="351"/>
    </row>
    <row r="4" spans="1:14">
      <c r="B4" s="619" t="s">
        <v>374</v>
      </c>
      <c r="C4" s="619"/>
      <c r="D4" s="619"/>
      <c r="E4" s="619"/>
      <c r="F4" s="619"/>
      <c r="G4" s="619"/>
      <c r="H4" s="619"/>
      <c r="I4" s="619"/>
      <c r="J4" s="619"/>
      <c r="K4" s="351"/>
    </row>
    <row r="5" spans="1:14">
      <c r="B5" s="620" t="s">
        <v>3</v>
      </c>
      <c r="C5" s="620"/>
      <c r="D5" s="620"/>
      <c r="E5" s="620"/>
      <c r="F5" s="620"/>
      <c r="G5" s="620"/>
      <c r="H5" s="620"/>
      <c r="I5" s="620"/>
      <c r="J5" s="620"/>
      <c r="K5" s="351"/>
    </row>
    <row r="6" spans="1:14" ht="15.75" thickBot="1">
      <c r="D6" s="352"/>
      <c r="E6" s="352"/>
      <c r="F6" s="352"/>
      <c r="G6" s="352"/>
      <c r="H6" s="352"/>
      <c r="I6" s="352"/>
      <c r="J6" s="352"/>
      <c r="M6" s="215"/>
    </row>
    <row r="7" spans="1:14" ht="17.25">
      <c r="A7" s="351"/>
      <c r="B7" s="353"/>
      <c r="C7" s="354"/>
      <c r="D7" s="355" t="s">
        <v>375</v>
      </c>
      <c r="E7" s="356" t="s">
        <v>376</v>
      </c>
      <c r="F7" s="355" t="s">
        <v>377</v>
      </c>
      <c r="G7" s="356"/>
      <c r="H7" s="272" t="s">
        <v>463</v>
      </c>
      <c r="I7" s="272" t="s">
        <v>379</v>
      </c>
      <c r="J7" s="357"/>
      <c r="K7" s="351"/>
    </row>
    <row r="8" spans="1:14">
      <c r="A8" s="349" t="s">
        <v>4</v>
      </c>
      <c r="B8" s="358" t="s">
        <v>380</v>
      </c>
      <c r="C8" s="359"/>
      <c r="D8" s="360" t="s">
        <v>381</v>
      </c>
      <c r="E8" s="351" t="s">
        <v>382</v>
      </c>
      <c r="F8" s="360" t="s">
        <v>381</v>
      </c>
      <c r="G8" s="361"/>
      <c r="H8" s="276" t="s">
        <v>383</v>
      </c>
      <c r="I8" s="276" t="s">
        <v>384</v>
      </c>
      <c r="J8" s="362"/>
      <c r="K8" s="349" t="s">
        <v>4</v>
      </c>
    </row>
    <row r="9" spans="1:14" ht="15.75" thickBot="1">
      <c r="A9" s="349" t="s">
        <v>5</v>
      </c>
      <c r="B9" s="363" t="s">
        <v>385</v>
      </c>
      <c r="C9" s="364" t="s">
        <v>6</v>
      </c>
      <c r="D9" s="365" t="s">
        <v>386</v>
      </c>
      <c r="E9" s="364" t="s">
        <v>387</v>
      </c>
      <c r="F9" s="365" t="s">
        <v>388</v>
      </c>
      <c r="G9" s="366"/>
      <c r="H9" s="281" t="s">
        <v>464</v>
      </c>
      <c r="I9" s="367" t="s">
        <v>465</v>
      </c>
      <c r="J9" s="368" t="s">
        <v>8</v>
      </c>
      <c r="K9" s="349" t="s">
        <v>5</v>
      </c>
      <c r="L9" s="349"/>
    </row>
    <row r="10" spans="1:14">
      <c r="B10" s="369"/>
      <c r="C10" s="370" t="s">
        <v>466</v>
      </c>
      <c r="D10" s="371"/>
      <c r="E10" s="371"/>
      <c r="F10" s="372"/>
      <c r="G10" s="373"/>
      <c r="H10" s="374"/>
      <c r="I10" s="375"/>
      <c r="J10" s="376"/>
    </row>
    <row r="11" spans="1:14">
      <c r="A11" s="349">
        <v>1</v>
      </c>
      <c r="B11" s="369">
        <v>920</v>
      </c>
      <c r="C11" s="377" t="s">
        <v>467</v>
      </c>
      <c r="D11" s="290">
        <v>38528.063410000002</v>
      </c>
      <c r="E11" s="290">
        <v>0</v>
      </c>
      <c r="F11" s="290">
        <f>D11-E11</f>
        <v>38528.063410000002</v>
      </c>
      <c r="G11" s="209"/>
      <c r="H11" s="378"/>
      <c r="I11" s="290">
        <f>F11+H11</f>
        <v>38528.063410000002</v>
      </c>
      <c r="J11" s="277" t="s">
        <v>468</v>
      </c>
      <c r="K11" s="349">
        <f>A11</f>
        <v>1</v>
      </c>
      <c r="L11" s="350" t="s">
        <v>33</v>
      </c>
      <c r="M11" s="379"/>
    </row>
    <row r="12" spans="1:14">
      <c r="A12" s="349">
        <f t="shared" ref="A12:A26" si="0">A11+1</f>
        <v>2</v>
      </c>
      <c r="B12" s="369">
        <v>921</v>
      </c>
      <c r="C12" s="377" t="s">
        <v>469</v>
      </c>
      <c r="D12" s="292">
        <v>8714.1837200000009</v>
      </c>
      <c r="E12" s="293">
        <v>0.75301000000000207</v>
      </c>
      <c r="F12" s="292">
        <f>D12-E12</f>
        <v>8713.4307100000005</v>
      </c>
      <c r="G12" s="293"/>
      <c r="H12" s="380"/>
      <c r="I12" s="292">
        <f>F12+H12</f>
        <v>8713.4307100000005</v>
      </c>
      <c r="J12" s="277" t="s">
        <v>470</v>
      </c>
      <c r="K12" s="349">
        <f t="shared" ref="K12:K26" si="1">K11+1</f>
        <v>2</v>
      </c>
      <c r="M12" s="379"/>
      <c r="N12" s="381"/>
    </row>
    <row r="13" spans="1:14">
      <c r="A13" s="349">
        <f t="shared" si="0"/>
        <v>3</v>
      </c>
      <c r="B13" s="369">
        <v>922</v>
      </c>
      <c r="C13" s="377" t="s">
        <v>471</v>
      </c>
      <c r="D13" s="292">
        <v>-10239.58124</v>
      </c>
      <c r="E13" s="293">
        <v>0</v>
      </c>
      <c r="F13" s="292">
        <f>D13-E13</f>
        <v>-10239.58124</v>
      </c>
      <c r="G13" s="293"/>
      <c r="H13" s="380"/>
      <c r="I13" s="292">
        <f t="shared" ref="I13:I23" si="2">F13+H13</f>
        <v>-10239.58124</v>
      </c>
      <c r="J13" s="277" t="s">
        <v>472</v>
      </c>
      <c r="K13" s="349">
        <f t="shared" si="1"/>
        <v>3</v>
      </c>
      <c r="M13" s="379"/>
    </row>
    <row r="14" spans="1:14" ht="15.75">
      <c r="A14" s="349">
        <f t="shared" si="0"/>
        <v>4</v>
      </c>
      <c r="B14" s="358">
        <v>923</v>
      </c>
      <c r="C14" s="377" t="s">
        <v>473</v>
      </c>
      <c r="D14" s="292">
        <v>93646.322090000001</v>
      </c>
      <c r="E14" s="293">
        <v>333.74215999999996</v>
      </c>
      <c r="F14" s="292">
        <f>D14-E14</f>
        <v>93312.579930000007</v>
      </c>
      <c r="G14" s="41" t="s">
        <v>38</v>
      </c>
      <c r="H14" s="120">
        <f>543.571+282.674</f>
        <v>826.245</v>
      </c>
      <c r="I14" s="296">
        <f t="shared" si="2"/>
        <v>94138.824930000002</v>
      </c>
      <c r="J14" s="277" t="s">
        <v>474</v>
      </c>
      <c r="K14" s="349">
        <f t="shared" si="1"/>
        <v>4</v>
      </c>
      <c r="M14" s="379"/>
    </row>
    <row r="15" spans="1:14">
      <c r="A15" s="349">
        <f t="shared" si="0"/>
        <v>5</v>
      </c>
      <c r="B15" s="369">
        <v>924</v>
      </c>
      <c r="C15" s="377" t="s">
        <v>475</v>
      </c>
      <c r="D15" s="292">
        <v>5523.0058700000009</v>
      </c>
      <c r="E15" s="293">
        <v>0</v>
      </c>
      <c r="F15" s="292">
        <f t="shared" ref="F15:F16" si="3">D15-E15</f>
        <v>5523.0058700000009</v>
      </c>
      <c r="G15" s="293"/>
      <c r="H15" s="380"/>
      <c r="I15" s="292">
        <f t="shared" si="2"/>
        <v>5523.0058700000009</v>
      </c>
      <c r="J15" s="277" t="s">
        <v>476</v>
      </c>
      <c r="K15" s="349">
        <f t="shared" si="1"/>
        <v>5</v>
      </c>
      <c r="M15" s="379"/>
    </row>
    <row r="16" spans="1:14">
      <c r="A16" s="349">
        <f t="shared" si="0"/>
        <v>6</v>
      </c>
      <c r="B16" s="369">
        <v>925</v>
      </c>
      <c r="C16" s="377" t="s">
        <v>477</v>
      </c>
      <c r="D16" s="292">
        <v>112646.05174</v>
      </c>
      <c r="E16" s="293">
        <v>102.631419228</v>
      </c>
      <c r="F16" s="292">
        <f t="shared" si="3"/>
        <v>112543.420320772</v>
      </c>
      <c r="G16" s="293"/>
      <c r="H16" s="380"/>
      <c r="I16" s="292">
        <f t="shared" si="2"/>
        <v>112543.420320772</v>
      </c>
      <c r="J16" s="277" t="s">
        <v>478</v>
      </c>
      <c r="K16" s="349">
        <f t="shared" si="1"/>
        <v>6</v>
      </c>
      <c r="M16" s="379"/>
    </row>
    <row r="17" spans="1:13" ht="17.25">
      <c r="A17" s="349">
        <f>A16+1</f>
        <v>7</v>
      </c>
      <c r="B17" s="369">
        <v>926</v>
      </c>
      <c r="C17" s="377" t="s">
        <v>479</v>
      </c>
      <c r="D17" s="292">
        <v>48997.417150000008</v>
      </c>
      <c r="E17" s="293">
        <v>343.98778952699996</v>
      </c>
      <c r="F17" s="292">
        <f>D17-E17</f>
        <v>48653.429360473012</v>
      </c>
      <c r="G17" s="293"/>
      <c r="H17" s="380"/>
      <c r="I17" s="292">
        <f t="shared" si="2"/>
        <v>48653.429360473012</v>
      </c>
      <c r="J17" s="277" t="s">
        <v>480</v>
      </c>
      <c r="K17" s="349">
        <f>A16+1</f>
        <v>7</v>
      </c>
      <c r="M17" s="382"/>
    </row>
    <row r="18" spans="1:13">
      <c r="A18" s="349">
        <f>A17+1</f>
        <v>8</v>
      </c>
      <c r="B18" s="369">
        <v>927</v>
      </c>
      <c r="C18" s="377" t="s">
        <v>481</v>
      </c>
      <c r="D18" s="383">
        <v>131978.20225999999</v>
      </c>
      <c r="E18" s="292">
        <v>131978.20225999999</v>
      </c>
      <c r="F18" s="292">
        <f t="shared" ref="F18:F20" si="4">D18-E18</f>
        <v>0</v>
      </c>
      <c r="G18" s="293"/>
      <c r="H18" s="380"/>
      <c r="I18" s="292">
        <f t="shared" si="2"/>
        <v>0</v>
      </c>
      <c r="J18" s="277" t="s">
        <v>482</v>
      </c>
      <c r="K18" s="349">
        <f>A17+1</f>
        <v>8</v>
      </c>
      <c r="M18" s="382"/>
    </row>
    <row r="19" spans="1:13" ht="17.649999999999999">
      <c r="A19" s="349">
        <f t="shared" si="0"/>
        <v>9</v>
      </c>
      <c r="B19" s="369">
        <v>928</v>
      </c>
      <c r="C19" s="377" t="s">
        <v>483</v>
      </c>
      <c r="D19" s="292">
        <v>20960.245720000003</v>
      </c>
      <c r="E19" s="293">
        <v>10076.049580000001</v>
      </c>
      <c r="F19" s="292">
        <f t="shared" si="4"/>
        <v>10884.196140000002</v>
      </c>
      <c r="G19" s="41"/>
      <c r="H19" s="120"/>
      <c r="I19" s="292">
        <f t="shared" si="2"/>
        <v>10884.196140000002</v>
      </c>
      <c r="J19" s="277" t="s">
        <v>484</v>
      </c>
      <c r="K19" s="349">
        <f t="shared" si="1"/>
        <v>9</v>
      </c>
      <c r="M19" s="382"/>
    </row>
    <row r="20" spans="1:13">
      <c r="A20" s="349">
        <f t="shared" si="0"/>
        <v>10</v>
      </c>
      <c r="B20" s="369">
        <v>929</v>
      </c>
      <c r="C20" s="377" t="s">
        <v>485</v>
      </c>
      <c r="D20" s="292">
        <v>-1622.2648800000004</v>
      </c>
      <c r="E20" s="293">
        <v>0</v>
      </c>
      <c r="F20" s="292">
        <f t="shared" si="4"/>
        <v>-1622.2648800000004</v>
      </c>
      <c r="G20" s="293"/>
      <c r="H20" s="380"/>
      <c r="I20" s="292">
        <f t="shared" si="2"/>
        <v>-1622.2648800000004</v>
      </c>
      <c r="J20" s="277" t="s">
        <v>486</v>
      </c>
      <c r="K20" s="349">
        <f t="shared" si="1"/>
        <v>10</v>
      </c>
      <c r="M20" s="379"/>
    </row>
    <row r="21" spans="1:13">
      <c r="A21" s="349">
        <f>A20+1</f>
        <v>11</v>
      </c>
      <c r="B21" s="384">
        <v>930.1</v>
      </c>
      <c r="C21" s="377" t="s">
        <v>487</v>
      </c>
      <c r="D21" s="292">
        <v>242.68352000000002</v>
      </c>
      <c r="E21" s="293">
        <v>242.68352000000002</v>
      </c>
      <c r="F21" s="292">
        <f>D21-E21</f>
        <v>0</v>
      </c>
      <c r="G21" s="293"/>
      <c r="H21" s="380"/>
      <c r="I21" s="292">
        <f t="shared" si="2"/>
        <v>0</v>
      </c>
      <c r="J21" s="277" t="s">
        <v>488</v>
      </c>
      <c r="K21" s="349">
        <f>K20+1</f>
        <v>11</v>
      </c>
      <c r="M21" s="379"/>
    </row>
    <row r="22" spans="1:13">
      <c r="A22" s="349">
        <f>A21+1</f>
        <v>12</v>
      </c>
      <c r="B22" s="384">
        <v>930.2</v>
      </c>
      <c r="C22" s="377" t="s">
        <v>489</v>
      </c>
      <c r="D22" s="292">
        <v>7563.7374500000005</v>
      </c>
      <c r="E22" s="293">
        <v>2000.03565</v>
      </c>
      <c r="F22" s="292">
        <f t="shared" ref="F22" si="5">D22-E22</f>
        <v>5563.7018000000007</v>
      </c>
      <c r="G22" s="293"/>
      <c r="H22" s="380"/>
      <c r="I22" s="292">
        <f t="shared" si="2"/>
        <v>5563.7018000000007</v>
      </c>
      <c r="J22" s="277" t="s">
        <v>490</v>
      </c>
      <c r="K22" s="349">
        <f>K21+1</f>
        <v>12</v>
      </c>
      <c r="M22" s="385"/>
    </row>
    <row r="23" spans="1:13">
      <c r="A23" s="349">
        <f t="shared" si="0"/>
        <v>13</v>
      </c>
      <c r="B23" s="369">
        <v>931</v>
      </c>
      <c r="C23" s="377" t="s">
        <v>420</v>
      </c>
      <c r="D23" s="292">
        <v>11844.36429</v>
      </c>
      <c r="E23" s="293">
        <v>0</v>
      </c>
      <c r="F23" s="292">
        <f>D23-E23</f>
        <v>11844.36429</v>
      </c>
      <c r="G23" s="293"/>
      <c r="H23" s="380"/>
      <c r="I23" s="292">
        <f t="shared" si="2"/>
        <v>11844.36429</v>
      </c>
      <c r="J23" s="277" t="s">
        <v>491</v>
      </c>
      <c r="K23" s="349">
        <f t="shared" si="1"/>
        <v>13</v>
      </c>
      <c r="M23" s="379"/>
    </row>
    <row r="24" spans="1:13">
      <c r="A24" s="349">
        <f t="shared" si="0"/>
        <v>14</v>
      </c>
      <c r="B24" s="369">
        <v>935</v>
      </c>
      <c r="C24" s="377" t="s">
        <v>492</v>
      </c>
      <c r="D24" s="297">
        <v>9056.059220000001</v>
      </c>
      <c r="E24" s="299">
        <v>65.000791141999997</v>
      </c>
      <c r="F24" s="297">
        <f>D24-E24</f>
        <v>8991.0584288580012</v>
      </c>
      <c r="G24" s="298"/>
      <c r="H24" s="386"/>
      <c r="I24" s="297">
        <f>F24+H24</f>
        <v>8991.0584288580012</v>
      </c>
      <c r="J24" s="277" t="s">
        <v>493</v>
      </c>
      <c r="K24" s="349">
        <f t="shared" si="1"/>
        <v>14</v>
      </c>
      <c r="L24" s="350" t="s">
        <v>33</v>
      </c>
      <c r="M24" s="379"/>
    </row>
    <row r="25" spans="1:13">
      <c r="A25" s="349">
        <f>A24+1</f>
        <v>15</v>
      </c>
      <c r="B25" s="369"/>
      <c r="D25" s="387"/>
      <c r="F25" s="387"/>
      <c r="H25" s="388"/>
      <c r="I25" s="387"/>
      <c r="J25" s="389"/>
      <c r="K25" s="349">
        <f>K24+1</f>
        <v>15</v>
      </c>
    </row>
    <row r="26" spans="1:13" ht="16.149999999999999" thickBot="1">
      <c r="A26" s="349">
        <f t="shared" si="0"/>
        <v>16</v>
      </c>
      <c r="B26" s="369"/>
      <c r="C26" s="359" t="s">
        <v>494</v>
      </c>
      <c r="D26" s="390">
        <f>SUM(D11:D24)</f>
        <v>477838.49032000004</v>
      </c>
      <c r="E26" s="322">
        <f>SUM(E11:E24)</f>
        <v>145143.08617989699</v>
      </c>
      <c r="F26" s="320">
        <f>SUM(F11:F24)</f>
        <v>332695.40414010303</v>
      </c>
      <c r="G26" s="391" t="s">
        <v>38</v>
      </c>
      <c r="H26" s="322">
        <f>SUM(H11:H24)</f>
        <v>826.245</v>
      </c>
      <c r="I26" s="320">
        <f>SUM(I11:I24)</f>
        <v>333521.64914010302</v>
      </c>
      <c r="J26" s="392" t="str">
        <f>"Sum Lines "&amp;A11&amp;" thru "&amp;A24</f>
        <v>Sum Lines 1 thru 14</v>
      </c>
      <c r="K26" s="349">
        <f t="shared" si="1"/>
        <v>16</v>
      </c>
    </row>
    <row r="27" spans="1:13" ht="16.149999999999999" thickTop="1" thickBot="1">
      <c r="A27" s="349">
        <f>A26+1</f>
        <v>17</v>
      </c>
      <c r="B27" s="393"/>
      <c r="C27" s="352"/>
      <c r="D27" s="394"/>
      <c r="E27" s="395"/>
      <c r="F27" s="395"/>
      <c r="G27" s="396"/>
      <c r="H27" s="397"/>
      <c r="I27" s="398"/>
      <c r="J27" s="399"/>
      <c r="K27" s="349">
        <f>K26+1</f>
        <v>17</v>
      </c>
    </row>
    <row r="28" spans="1:13">
      <c r="A28" s="349">
        <f>A27+1</f>
        <v>18</v>
      </c>
      <c r="B28" s="400"/>
      <c r="C28" s="401"/>
      <c r="D28" s="402"/>
      <c r="E28" s="403"/>
      <c r="F28" s="402"/>
      <c r="G28" s="402"/>
      <c r="H28" s="402"/>
      <c r="I28" s="402"/>
      <c r="J28" s="404"/>
      <c r="K28" s="349">
        <f>K27+1</f>
        <v>18</v>
      </c>
    </row>
    <row r="29" spans="1:13">
      <c r="A29" s="349">
        <f t="shared" ref="A29" si="6">A28+1</f>
        <v>19</v>
      </c>
      <c r="B29" s="405" t="s">
        <v>495</v>
      </c>
      <c r="C29" s="349"/>
      <c r="D29" s="349"/>
      <c r="E29" s="349"/>
      <c r="F29" s="349"/>
      <c r="G29" s="349"/>
      <c r="H29" s="349"/>
      <c r="I29" s="349"/>
      <c r="J29" s="389"/>
      <c r="K29" s="349">
        <f>K28+1</f>
        <v>19</v>
      </c>
    </row>
    <row r="30" spans="1:13">
      <c r="A30" s="349">
        <f>A29+1</f>
        <v>20</v>
      </c>
      <c r="B30" s="406">
        <v>921</v>
      </c>
      <c r="C30" s="25" t="s">
        <v>496</v>
      </c>
      <c r="D30" s="407"/>
      <c r="E30" s="122">
        <v>0.75301000000000207</v>
      </c>
      <c r="J30" s="389"/>
      <c r="K30" s="349">
        <f>K29+1</f>
        <v>20</v>
      </c>
    </row>
    <row r="31" spans="1:13">
      <c r="A31" s="349">
        <f>A30+1</f>
        <v>21</v>
      </c>
      <c r="B31" s="406">
        <v>923</v>
      </c>
      <c r="C31" s="25" t="s">
        <v>496</v>
      </c>
      <c r="D31" s="407"/>
      <c r="E31" s="121">
        <v>333.74215999999996</v>
      </c>
      <c r="J31" s="389"/>
      <c r="K31" s="349">
        <f>K30+1</f>
        <v>21</v>
      </c>
    </row>
    <row r="32" spans="1:13">
      <c r="A32" s="349">
        <f t="shared" ref="A32:A52" si="7">A31+1</f>
        <v>22</v>
      </c>
      <c r="B32" s="406">
        <v>925</v>
      </c>
      <c r="C32" s="408" t="s">
        <v>497</v>
      </c>
      <c r="D32" s="121">
        <v>102.631419228</v>
      </c>
      <c r="J32" s="389"/>
      <c r="K32" s="349">
        <f t="shared" ref="K32:K37" si="8">K31+1</f>
        <v>22</v>
      </c>
    </row>
    <row r="33" spans="1:11">
      <c r="A33" s="349">
        <f t="shared" si="7"/>
        <v>23</v>
      </c>
      <c r="B33" s="406"/>
      <c r="C33" s="408" t="s">
        <v>477</v>
      </c>
      <c r="D33" s="409">
        <v>0</v>
      </c>
      <c r="E33" s="350">
        <f>SUM(D32:D33)</f>
        <v>102.631419228</v>
      </c>
      <c r="J33" s="389"/>
      <c r="K33" s="349">
        <f t="shared" si="8"/>
        <v>23</v>
      </c>
    </row>
    <row r="34" spans="1:11">
      <c r="A34" s="349">
        <f t="shared" si="7"/>
        <v>24</v>
      </c>
      <c r="B34" s="406">
        <v>926</v>
      </c>
      <c r="C34" s="408" t="s">
        <v>497</v>
      </c>
      <c r="D34" s="410"/>
      <c r="E34" s="121">
        <v>343.98778952699996</v>
      </c>
      <c r="J34" s="389"/>
      <c r="K34" s="349">
        <f t="shared" si="8"/>
        <v>24</v>
      </c>
    </row>
    <row r="35" spans="1:11">
      <c r="A35" s="349">
        <f t="shared" si="7"/>
        <v>25</v>
      </c>
      <c r="B35" s="406">
        <v>927</v>
      </c>
      <c r="C35" s="408" t="s">
        <v>481</v>
      </c>
      <c r="D35" s="410"/>
      <c r="E35" s="121">
        <v>131978.20225999999</v>
      </c>
      <c r="J35" s="389"/>
      <c r="K35" s="349">
        <f t="shared" si="8"/>
        <v>25</v>
      </c>
    </row>
    <row r="36" spans="1:11">
      <c r="A36" s="349">
        <f t="shared" si="7"/>
        <v>26</v>
      </c>
      <c r="B36" s="406">
        <v>928</v>
      </c>
      <c r="C36" s="408" t="s">
        <v>497</v>
      </c>
      <c r="D36" s="121">
        <v>0</v>
      </c>
      <c r="E36" s="121"/>
      <c r="F36" s="411"/>
      <c r="G36" s="411"/>
      <c r="H36" s="411"/>
      <c r="I36" s="411"/>
      <c r="J36" s="412"/>
      <c r="K36" s="349">
        <f t="shared" si="8"/>
        <v>26</v>
      </c>
    </row>
    <row r="37" spans="1:11">
      <c r="A37" s="349">
        <f t="shared" si="7"/>
        <v>27</v>
      </c>
      <c r="B37" s="406"/>
      <c r="C37" s="25" t="s">
        <v>42</v>
      </c>
      <c r="D37" s="121">
        <v>0</v>
      </c>
      <c r="E37" s="121"/>
      <c r="J37" s="389"/>
      <c r="K37" s="349">
        <f t="shared" si="8"/>
        <v>27</v>
      </c>
    </row>
    <row r="38" spans="1:11">
      <c r="A38" s="349">
        <f t="shared" si="7"/>
        <v>28</v>
      </c>
      <c r="B38" s="406"/>
      <c r="C38" s="25" t="s">
        <v>498</v>
      </c>
      <c r="D38" s="121">
        <v>1333.8680300000003</v>
      </c>
      <c r="E38" s="413"/>
      <c r="J38" s="389"/>
      <c r="K38" s="349">
        <f>A37+1</f>
        <v>28</v>
      </c>
    </row>
    <row r="39" spans="1:11">
      <c r="A39" s="349">
        <f t="shared" si="7"/>
        <v>29</v>
      </c>
      <c r="B39" s="406"/>
      <c r="C39" s="25" t="s">
        <v>499</v>
      </c>
      <c r="D39" s="121">
        <v>8601.3346500000007</v>
      </c>
      <c r="E39" s="414"/>
      <c r="F39" s="411"/>
      <c r="G39" s="411"/>
      <c r="H39" s="411"/>
      <c r="I39" s="411"/>
      <c r="J39" s="412"/>
      <c r="K39" s="349">
        <f>A38+1</f>
        <v>29</v>
      </c>
    </row>
    <row r="40" spans="1:11">
      <c r="A40" s="349">
        <f t="shared" si="7"/>
        <v>30</v>
      </c>
      <c r="B40" s="415"/>
      <c r="C40" s="408" t="s">
        <v>500</v>
      </c>
      <c r="D40" s="416">
        <v>140.84690000000001</v>
      </c>
      <c r="E40" s="417">
        <f>SUM(D36:D40)</f>
        <v>10076.049580000001</v>
      </c>
      <c r="J40" s="389"/>
      <c r="K40" s="349">
        <f>A39+1</f>
        <v>30</v>
      </c>
    </row>
    <row r="41" spans="1:11">
      <c r="A41" s="349">
        <f t="shared" si="7"/>
        <v>31</v>
      </c>
      <c r="B41" s="418">
        <v>930.1</v>
      </c>
      <c r="C41" s="25" t="s">
        <v>487</v>
      </c>
      <c r="D41" s="410"/>
      <c r="E41" s="121">
        <v>242.68352000000002</v>
      </c>
      <c r="J41" s="389"/>
      <c r="K41" s="349">
        <f>A40+1</f>
        <v>31</v>
      </c>
    </row>
    <row r="42" spans="1:11">
      <c r="A42" s="349">
        <f>A41+1</f>
        <v>32</v>
      </c>
      <c r="B42" s="418">
        <v>930.2</v>
      </c>
      <c r="C42" s="408" t="s">
        <v>501</v>
      </c>
      <c r="D42" s="417">
        <v>0</v>
      </c>
      <c r="E42" s="419"/>
      <c r="J42" s="389"/>
      <c r="K42" s="349">
        <f>A41+1</f>
        <v>32</v>
      </c>
    </row>
    <row r="43" spans="1:11">
      <c r="A43" s="349">
        <f t="shared" si="7"/>
        <v>33</v>
      </c>
      <c r="B43" s="418"/>
      <c r="C43" s="408" t="s">
        <v>502</v>
      </c>
      <c r="D43" s="420">
        <v>2000.03565</v>
      </c>
      <c r="E43" s="417">
        <f>SUM(D42:D43)</f>
        <v>2000.03565</v>
      </c>
      <c r="J43" s="389"/>
      <c r="K43" s="349">
        <f t="shared" ref="K43:K52" si="9">K42+1</f>
        <v>33</v>
      </c>
    </row>
    <row r="44" spans="1:11">
      <c r="A44" s="349">
        <f t="shared" si="7"/>
        <v>34</v>
      </c>
      <c r="B44" s="406">
        <v>935</v>
      </c>
      <c r="C44" s="421" t="s">
        <v>503</v>
      </c>
      <c r="D44" s="422"/>
      <c r="E44" s="409">
        <v>65.000791141999997</v>
      </c>
      <c r="J44" s="389"/>
      <c r="K44" s="349">
        <f t="shared" si="9"/>
        <v>34</v>
      </c>
    </row>
    <row r="45" spans="1:11">
      <c r="A45" s="349">
        <f t="shared" si="7"/>
        <v>35</v>
      </c>
      <c r="B45" s="423"/>
      <c r="C45" s="424"/>
      <c r="D45" s="425"/>
      <c r="E45" s="293"/>
      <c r="J45" s="389"/>
      <c r="K45" s="349">
        <f t="shared" si="9"/>
        <v>35</v>
      </c>
    </row>
    <row r="46" spans="1:11" ht="15.75" thickBot="1">
      <c r="A46" s="349">
        <f t="shared" si="7"/>
        <v>36</v>
      </c>
      <c r="B46" s="426"/>
      <c r="C46" s="427" t="s">
        <v>459</v>
      </c>
      <c r="D46" s="411"/>
      <c r="E46" s="344">
        <f>SUM(E30:E44)</f>
        <v>145143.08617989699</v>
      </c>
      <c r="F46" s="428"/>
      <c r="G46" s="428"/>
      <c r="H46" s="428"/>
      <c r="I46" s="428"/>
      <c r="J46" s="389"/>
      <c r="K46" s="349">
        <f t="shared" si="9"/>
        <v>36</v>
      </c>
    </row>
    <row r="47" spans="1:11" ht="15.75" thickTop="1">
      <c r="A47" s="349">
        <f t="shared" si="7"/>
        <v>37</v>
      </c>
      <c r="B47" s="426"/>
      <c r="C47" s="427"/>
      <c r="E47" s="429"/>
      <c r="F47" s="262"/>
      <c r="G47" s="262"/>
      <c r="H47" s="262"/>
      <c r="I47" s="262"/>
      <c r="J47" s="389"/>
      <c r="K47" s="349">
        <f t="shared" si="9"/>
        <v>37</v>
      </c>
    </row>
    <row r="48" spans="1:11" ht="15.75">
      <c r="A48" s="349">
        <f t="shared" si="7"/>
        <v>38</v>
      </c>
      <c r="B48" s="345" t="s">
        <v>38</v>
      </c>
      <c r="C48" s="32" t="s">
        <v>370</v>
      </c>
      <c r="E48" s="429"/>
      <c r="F48" s="262"/>
      <c r="G48" s="262"/>
      <c r="H48" s="262"/>
      <c r="I48" s="262"/>
      <c r="J48" s="389"/>
      <c r="K48" s="349">
        <f t="shared" si="9"/>
        <v>38</v>
      </c>
    </row>
    <row r="49" spans="1:11" ht="17.25">
      <c r="A49" s="349">
        <f t="shared" si="7"/>
        <v>39</v>
      </c>
      <c r="B49" s="430">
        <v>1</v>
      </c>
      <c r="C49" s="377" t="s">
        <v>504</v>
      </c>
      <c r="E49" s="431"/>
      <c r="F49" s="262"/>
      <c r="G49" s="262"/>
      <c r="H49" s="262"/>
      <c r="I49" s="262"/>
      <c r="J49" s="389"/>
      <c r="K49" s="349">
        <f t="shared" si="9"/>
        <v>39</v>
      </c>
    </row>
    <row r="50" spans="1:11" ht="17.25">
      <c r="A50" s="349">
        <f t="shared" si="7"/>
        <v>40</v>
      </c>
      <c r="B50" s="430">
        <v>2</v>
      </c>
      <c r="C50" s="215" t="s">
        <v>505</v>
      </c>
      <c r="E50" s="431"/>
      <c r="F50" s="262"/>
      <c r="G50" s="262"/>
      <c r="H50" s="262"/>
      <c r="I50" s="262"/>
      <c r="J50" s="389"/>
      <c r="K50" s="349">
        <f t="shared" si="9"/>
        <v>40</v>
      </c>
    </row>
    <row r="51" spans="1:11" ht="17.25">
      <c r="A51" s="349">
        <f t="shared" si="7"/>
        <v>41</v>
      </c>
      <c r="B51" s="430"/>
      <c r="C51" s="215" t="s">
        <v>461</v>
      </c>
      <c r="E51" s="431"/>
      <c r="F51" s="262"/>
      <c r="G51" s="262"/>
      <c r="H51" s="262"/>
      <c r="I51" s="262"/>
      <c r="J51" s="389"/>
      <c r="K51" s="349">
        <f t="shared" si="9"/>
        <v>41</v>
      </c>
    </row>
    <row r="52" spans="1:11" ht="15.75" thickBot="1">
      <c r="A52" s="349">
        <f t="shared" si="7"/>
        <v>42</v>
      </c>
      <c r="B52" s="432"/>
      <c r="C52" s="433"/>
      <c r="D52" s="352"/>
      <c r="E52" s="352"/>
      <c r="F52" s="352"/>
      <c r="G52" s="352"/>
      <c r="H52" s="352"/>
      <c r="I52" s="352"/>
      <c r="J52" s="399"/>
      <c r="K52" s="349">
        <f t="shared" si="9"/>
        <v>42</v>
      </c>
    </row>
    <row r="53" spans="1:11">
      <c r="A53" s="351"/>
      <c r="C53" s="377"/>
      <c r="D53" s="434"/>
      <c r="E53" s="434"/>
    </row>
    <row r="54" spans="1:11" ht="17.25">
      <c r="A54" s="435"/>
      <c r="C54" s="377"/>
    </row>
    <row r="55" spans="1:11" ht="17.25">
      <c r="A55" s="435"/>
      <c r="C55" s="377"/>
    </row>
    <row r="56" spans="1:11" ht="17.25">
      <c r="A56" s="435"/>
      <c r="C56" s="377"/>
    </row>
    <row r="57" spans="1:11" ht="17.25">
      <c r="A57" s="435"/>
      <c r="C57" s="377"/>
    </row>
    <row r="58" spans="1:11" ht="17.25">
      <c r="A58" s="435"/>
      <c r="C58" s="377"/>
    </row>
    <row r="59" spans="1:11" ht="17.25">
      <c r="A59" s="435"/>
      <c r="C59" s="377"/>
    </row>
    <row r="60" spans="1:11">
      <c r="A60" s="351"/>
      <c r="C60" s="377"/>
    </row>
    <row r="61" spans="1:11" ht="17.25">
      <c r="A61" s="435"/>
      <c r="C61" s="377"/>
    </row>
    <row r="62" spans="1:11">
      <c r="A62" s="351"/>
      <c r="C62" s="377"/>
    </row>
    <row r="63" spans="1:11" ht="17.25">
      <c r="A63" s="435"/>
      <c r="C63" s="377"/>
    </row>
    <row r="64" spans="1:11">
      <c r="A64" s="351"/>
      <c r="C64" s="377"/>
    </row>
    <row r="65" spans="1:3" ht="17.25">
      <c r="A65" s="435"/>
      <c r="C65" s="377"/>
    </row>
    <row r="66" spans="1:3" ht="17.25">
      <c r="A66" s="435"/>
      <c r="B66" s="377"/>
    </row>
    <row r="67" spans="1:3" ht="17.25">
      <c r="A67" s="435"/>
      <c r="B67" s="377"/>
    </row>
    <row r="68" spans="1:3">
      <c r="B68" s="377"/>
    </row>
    <row r="69" spans="1:3" ht="17.25">
      <c r="A69" s="435"/>
      <c r="B69" s="377"/>
    </row>
    <row r="70" spans="1:3">
      <c r="A70" s="436"/>
      <c r="B70" s="437"/>
    </row>
    <row r="71" spans="1:3">
      <c r="B71" s="377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orientation="portrait" r:id="rId1"/>
  <headerFooter scaleWithDoc="0" alignWithMargins="0">
    <oddHeader>&amp;C&amp;"Times New Roman,Bold"&amp;10REVISED</oddHeader>
    <oddFooter>&amp;CPage 5.1B&amp;R&amp;F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81F9-D225-4AE9-B766-DD8FA799A9C5}">
  <sheetPr>
    <pageSetUpPr fitToPage="1"/>
  </sheetPr>
  <dimension ref="A1:J49"/>
  <sheetViews>
    <sheetView zoomScale="80" zoomScaleNormal="80" workbookViewId="0"/>
  </sheetViews>
  <sheetFormatPr defaultColWidth="8.85546875" defaultRowHeight="15.4"/>
  <cols>
    <col min="1" max="1" width="5.140625" style="555" bestFit="1" customWidth="1"/>
    <col min="2" max="2" width="79.42578125" style="438" customWidth="1"/>
    <col min="3" max="3" width="24" style="439" customWidth="1"/>
    <col min="4" max="4" width="1.5703125" style="438" customWidth="1"/>
    <col min="5" max="5" width="16.85546875" style="438" customWidth="1"/>
    <col min="6" max="6" width="1.5703125" style="438" customWidth="1"/>
    <col min="7" max="7" width="16.85546875" style="438" customWidth="1"/>
    <col min="8" max="8" width="1.5703125" style="438" customWidth="1"/>
    <col min="9" max="9" width="39.28515625" style="438" bestFit="1" customWidth="1"/>
    <col min="10" max="10" width="5.140625" style="438" customWidth="1"/>
    <col min="11" max="16384" width="8.85546875" style="438"/>
  </cols>
  <sheetData>
    <row r="1" spans="1:10">
      <c r="H1" s="555"/>
      <c r="I1" s="127"/>
      <c r="J1" s="555"/>
    </row>
    <row r="2" spans="1:10">
      <c r="B2" s="621" t="s">
        <v>214</v>
      </c>
      <c r="C2" s="622"/>
      <c r="D2" s="622"/>
      <c r="E2" s="622"/>
      <c r="F2" s="622"/>
      <c r="G2" s="622"/>
      <c r="H2" s="622"/>
      <c r="I2" s="622"/>
      <c r="J2" s="554"/>
    </row>
    <row r="3" spans="1:10">
      <c r="B3" s="621" t="s">
        <v>506</v>
      </c>
      <c r="C3" s="622"/>
      <c r="D3" s="622"/>
      <c r="E3" s="622"/>
      <c r="F3" s="622"/>
      <c r="G3" s="622"/>
      <c r="H3" s="622"/>
      <c r="I3" s="622"/>
      <c r="J3" s="554"/>
    </row>
    <row r="4" spans="1:10">
      <c r="B4" s="621" t="s">
        <v>507</v>
      </c>
      <c r="C4" s="622"/>
      <c r="D4" s="622"/>
      <c r="E4" s="622"/>
      <c r="F4" s="622"/>
      <c r="G4" s="622"/>
      <c r="H4" s="622"/>
      <c r="I4" s="622"/>
      <c r="J4" s="554"/>
    </row>
    <row r="5" spans="1:10">
      <c r="B5" s="623" t="s">
        <v>286</v>
      </c>
      <c r="C5" s="623"/>
      <c r="D5" s="623"/>
      <c r="E5" s="623"/>
      <c r="F5" s="623"/>
      <c r="G5" s="623"/>
      <c r="H5" s="623"/>
      <c r="I5" s="623"/>
      <c r="J5" s="554"/>
    </row>
    <row r="6" spans="1:10">
      <c r="B6" s="624" t="s">
        <v>3</v>
      </c>
      <c r="C6" s="624"/>
      <c r="D6" s="624"/>
      <c r="E6" s="624"/>
      <c r="F6" s="624"/>
      <c r="G6" s="624"/>
      <c r="H6" s="624"/>
      <c r="I6" s="624"/>
      <c r="J6" s="440"/>
    </row>
    <row r="7" spans="1:10">
      <c r="B7" s="555"/>
      <c r="D7" s="555"/>
      <c r="E7" s="555"/>
      <c r="F7" s="555"/>
      <c r="G7" s="555"/>
      <c r="H7" s="554"/>
      <c r="I7" s="554"/>
      <c r="J7" s="554"/>
    </row>
    <row r="8" spans="1:10">
      <c r="A8" s="555" t="s">
        <v>4</v>
      </c>
      <c r="B8" s="554"/>
      <c r="C8" s="214" t="s">
        <v>287</v>
      </c>
      <c r="D8" s="555"/>
      <c r="E8" s="555" t="s">
        <v>508</v>
      </c>
      <c r="F8" s="555"/>
      <c r="G8" s="555" t="s">
        <v>509</v>
      </c>
      <c r="H8" s="554"/>
      <c r="I8" s="554"/>
      <c r="J8" s="555" t="s">
        <v>4</v>
      </c>
    </row>
    <row r="9" spans="1:10">
      <c r="A9" s="555" t="s">
        <v>5</v>
      </c>
      <c r="B9" s="554"/>
      <c r="C9" s="220" t="s">
        <v>288</v>
      </c>
      <c r="D9" s="554"/>
      <c r="E9" s="441" t="s">
        <v>510</v>
      </c>
      <c r="F9" s="554"/>
      <c r="G9" s="441" t="s">
        <v>511</v>
      </c>
      <c r="H9" s="554"/>
      <c r="I9" s="442" t="s">
        <v>8</v>
      </c>
      <c r="J9" s="555" t="s">
        <v>5</v>
      </c>
    </row>
    <row r="10" spans="1:10">
      <c r="B10" s="555"/>
      <c r="D10" s="555"/>
      <c r="E10" s="555"/>
      <c r="F10" s="555"/>
      <c r="G10" s="555"/>
      <c r="H10" s="555"/>
      <c r="I10" s="555"/>
      <c r="J10" s="555"/>
    </row>
    <row r="11" spans="1:10" ht="17.25">
      <c r="A11" s="555">
        <v>1</v>
      </c>
      <c r="B11" s="438" t="s">
        <v>512</v>
      </c>
      <c r="C11" s="555" t="s">
        <v>513</v>
      </c>
      <c r="E11" s="443"/>
      <c r="F11" s="444"/>
      <c r="G11" s="445">
        <v>133751.8893076923</v>
      </c>
      <c r="H11" s="444"/>
      <c r="I11" s="254" t="s">
        <v>514</v>
      </c>
      <c r="J11" s="555">
        <f>A11</f>
        <v>1</v>
      </c>
    </row>
    <row r="12" spans="1:10">
      <c r="A12" s="555">
        <f>+A11+1</f>
        <v>2</v>
      </c>
      <c r="C12" s="555"/>
      <c r="E12" s="446"/>
      <c r="F12" s="447"/>
      <c r="G12" s="447"/>
      <c r="H12" s="447"/>
      <c r="I12" s="254"/>
      <c r="J12" s="555">
        <f>+J11+1</f>
        <v>2</v>
      </c>
    </row>
    <row r="13" spans="1:10">
      <c r="A13" s="555">
        <f t="shared" ref="A13:A44" si="0">+A12+1</f>
        <v>3</v>
      </c>
      <c r="B13" s="438" t="s">
        <v>515</v>
      </c>
      <c r="C13" s="555"/>
      <c r="E13" s="448"/>
      <c r="F13" s="449"/>
      <c r="G13" s="450">
        <v>0.3990967283916243</v>
      </c>
      <c r="H13" s="444"/>
      <c r="I13" s="254" t="s">
        <v>516</v>
      </c>
      <c r="J13" s="555">
        <f t="shared" ref="J13:J44" si="1">+J12+1</f>
        <v>3</v>
      </c>
    </row>
    <row r="14" spans="1:10">
      <c r="A14" s="555">
        <f t="shared" si="0"/>
        <v>4</v>
      </c>
      <c r="C14" s="555"/>
      <c r="E14" s="446"/>
      <c r="F14" s="447"/>
      <c r="G14" s="446"/>
      <c r="H14" s="447"/>
      <c r="I14" s="254"/>
      <c r="J14" s="555">
        <f t="shared" si="1"/>
        <v>4</v>
      </c>
    </row>
    <row r="15" spans="1:10" ht="15.75" thickBot="1">
      <c r="A15" s="555">
        <f t="shared" si="0"/>
        <v>5</v>
      </c>
      <c r="B15" s="438" t="s">
        <v>517</v>
      </c>
      <c r="C15" s="555"/>
      <c r="E15" s="451"/>
      <c r="F15" s="447"/>
      <c r="G15" s="452">
        <f>G11*G13</f>
        <v>53379.94143889867</v>
      </c>
      <c r="H15" s="444"/>
      <c r="I15" s="254" t="s">
        <v>518</v>
      </c>
      <c r="J15" s="555">
        <f t="shared" si="1"/>
        <v>5</v>
      </c>
    </row>
    <row r="16" spans="1:10" ht="15.75" thickTop="1">
      <c r="A16" s="555">
        <f t="shared" si="0"/>
        <v>6</v>
      </c>
      <c r="C16" s="555"/>
      <c r="E16" s="559"/>
      <c r="F16" s="555"/>
      <c r="G16" s="555"/>
      <c r="H16" s="555"/>
      <c r="I16" s="254"/>
      <c r="J16" s="555">
        <f t="shared" si="1"/>
        <v>6</v>
      </c>
    </row>
    <row r="17" spans="1:10" ht="17.25">
      <c r="A17" s="555">
        <f t="shared" si="0"/>
        <v>7</v>
      </c>
      <c r="B17" s="438" t="s">
        <v>519</v>
      </c>
      <c r="C17" s="555" t="s">
        <v>520</v>
      </c>
      <c r="D17" s="453"/>
      <c r="E17" s="443"/>
      <c r="F17" s="447"/>
      <c r="G17" s="454">
        <v>50549.307692307695</v>
      </c>
      <c r="H17" s="444"/>
      <c r="I17" s="254" t="s">
        <v>521</v>
      </c>
      <c r="J17" s="555">
        <f t="shared" si="1"/>
        <v>7</v>
      </c>
    </row>
    <row r="18" spans="1:10">
      <c r="A18" s="555">
        <f t="shared" si="0"/>
        <v>8</v>
      </c>
      <c r="C18" s="555"/>
      <c r="E18" s="560"/>
      <c r="F18" s="447"/>
      <c r="G18" s="447"/>
      <c r="H18" s="447"/>
      <c r="I18" s="254"/>
      <c r="J18" s="555">
        <f t="shared" si="1"/>
        <v>8</v>
      </c>
    </row>
    <row r="19" spans="1:10" ht="15.75" thickBot="1">
      <c r="A19" s="555">
        <f t="shared" si="0"/>
        <v>9</v>
      </c>
      <c r="B19" s="438" t="s">
        <v>522</v>
      </c>
      <c r="E19" s="443"/>
      <c r="F19" s="447"/>
      <c r="G19" s="452">
        <f>G13*G17</f>
        <v>20174.06332246157</v>
      </c>
      <c r="H19" s="444"/>
      <c r="I19" s="254" t="s">
        <v>523</v>
      </c>
      <c r="J19" s="555">
        <f t="shared" si="1"/>
        <v>9</v>
      </c>
    </row>
    <row r="20" spans="1:10" ht="15.75" thickTop="1">
      <c r="A20" s="555">
        <f t="shared" si="0"/>
        <v>10</v>
      </c>
      <c r="E20" s="561"/>
      <c r="F20" s="447"/>
      <c r="G20" s="447"/>
      <c r="H20" s="447"/>
      <c r="I20" s="254"/>
      <c r="J20" s="555">
        <f t="shared" si="1"/>
        <v>10</v>
      </c>
    </row>
    <row r="21" spans="1:10">
      <c r="A21" s="555">
        <f t="shared" si="0"/>
        <v>11</v>
      </c>
      <c r="B21" s="455" t="s">
        <v>524</v>
      </c>
      <c r="E21" s="561"/>
      <c r="F21" s="447"/>
      <c r="G21" s="447"/>
      <c r="H21" s="447"/>
      <c r="I21" s="254"/>
      <c r="J21" s="555">
        <f t="shared" si="1"/>
        <v>11</v>
      </c>
    </row>
    <row r="22" spans="1:10" ht="15.75">
      <c r="A22" s="555">
        <f t="shared" si="0"/>
        <v>12</v>
      </c>
      <c r="B22" s="438" t="s">
        <v>525</v>
      </c>
      <c r="E22" s="456">
        <f>'Pg5 Revised Stmt AH'!E20</f>
        <v>76265.098909999986</v>
      </c>
      <c r="F22" s="41" t="s">
        <v>38</v>
      </c>
      <c r="G22" s="457"/>
      <c r="H22" s="447"/>
      <c r="I22" s="254" t="s">
        <v>218</v>
      </c>
      <c r="J22" s="555">
        <f t="shared" si="1"/>
        <v>12</v>
      </c>
    </row>
    <row r="23" spans="1:10" ht="15.75">
      <c r="A23" s="555">
        <f t="shared" si="0"/>
        <v>13</v>
      </c>
      <c r="B23" s="438" t="s">
        <v>526</v>
      </c>
      <c r="E23" s="562">
        <f>'Pg5 Revised Stmt AH'!E42</f>
        <v>66061.797539703955</v>
      </c>
      <c r="F23" s="41" t="s">
        <v>38</v>
      </c>
      <c r="G23" s="563"/>
      <c r="H23" s="447"/>
      <c r="I23" s="254" t="s">
        <v>219</v>
      </c>
      <c r="J23" s="555">
        <f t="shared" si="1"/>
        <v>13</v>
      </c>
    </row>
    <row r="24" spans="1:10">
      <c r="A24" s="555">
        <f t="shared" si="0"/>
        <v>14</v>
      </c>
      <c r="B24" s="438" t="s">
        <v>527</v>
      </c>
      <c r="E24" s="458">
        <f>'Pg5 Revised Stmt AH'!E27</f>
        <v>0</v>
      </c>
      <c r="F24" s="447"/>
      <c r="G24" s="563"/>
      <c r="H24" s="447"/>
      <c r="I24" s="254" t="s">
        <v>220</v>
      </c>
      <c r="J24" s="555">
        <f t="shared" si="1"/>
        <v>14</v>
      </c>
    </row>
    <row r="25" spans="1:10" ht="15.75">
      <c r="A25" s="555">
        <f t="shared" si="0"/>
        <v>15</v>
      </c>
      <c r="B25" s="438" t="s">
        <v>528</v>
      </c>
      <c r="E25" s="459">
        <f>SUM(E22:E24)</f>
        <v>142326.89644970396</v>
      </c>
      <c r="F25" s="41" t="s">
        <v>38</v>
      </c>
      <c r="G25" s="453"/>
      <c r="H25" s="254"/>
      <c r="I25" s="254" t="s">
        <v>529</v>
      </c>
      <c r="J25" s="555">
        <f t="shared" si="1"/>
        <v>15</v>
      </c>
    </row>
    <row r="26" spans="1:10">
      <c r="A26" s="555">
        <f t="shared" si="0"/>
        <v>16</v>
      </c>
      <c r="F26" s="555"/>
      <c r="H26" s="555"/>
      <c r="I26" s="254"/>
      <c r="J26" s="555">
        <f t="shared" si="1"/>
        <v>16</v>
      </c>
    </row>
    <row r="27" spans="1:10">
      <c r="A27" s="555">
        <f t="shared" si="0"/>
        <v>17</v>
      </c>
      <c r="B27" s="438" t="s">
        <v>530</v>
      </c>
      <c r="E27" s="460">
        <f>1/8</f>
        <v>0.125</v>
      </c>
      <c r="F27" s="555"/>
      <c r="G27" s="461"/>
      <c r="H27" s="555"/>
      <c r="I27" s="254" t="s">
        <v>531</v>
      </c>
      <c r="J27" s="555">
        <f t="shared" si="1"/>
        <v>17</v>
      </c>
    </row>
    <row r="28" spans="1:10">
      <c r="A28" s="555">
        <f t="shared" si="0"/>
        <v>18</v>
      </c>
      <c r="E28" s="446" t="s">
        <v>33</v>
      </c>
      <c r="F28" s="447"/>
      <c r="G28" s="446"/>
      <c r="H28" s="447"/>
      <c r="I28" s="254"/>
      <c r="J28" s="555">
        <f t="shared" si="1"/>
        <v>18</v>
      </c>
    </row>
    <row r="29" spans="1:10" ht="16.149999999999999" thickBot="1">
      <c r="A29" s="555">
        <f t="shared" si="0"/>
        <v>19</v>
      </c>
      <c r="B29" s="438" t="s">
        <v>532</v>
      </c>
      <c r="E29" s="462">
        <f>E25*E27</f>
        <v>17790.862056212995</v>
      </c>
      <c r="F29" s="41" t="s">
        <v>38</v>
      </c>
      <c r="G29" s="451"/>
      <c r="H29" s="447"/>
      <c r="I29" s="555" t="s">
        <v>533</v>
      </c>
      <c r="J29" s="555">
        <f t="shared" si="1"/>
        <v>19</v>
      </c>
    </row>
    <row r="30" spans="1:10" ht="15.75" thickTop="1">
      <c r="A30" s="555">
        <f t="shared" si="0"/>
        <v>20</v>
      </c>
      <c r="E30" s="451"/>
      <c r="F30" s="444"/>
      <c r="G30" s="451"/>
      <c r="H30" s="447"/>
      <c r="I30" s="555"/>
      <c r="J30" s="555">
        <f t="shared" si="1"/>
        <v>20</v>
      </c>
    </row>
    <row r="31" spans="1:10">
      <c r="A31" s="555">
        <f t="shared" si="0"/>
        <v>21</v>
      </c>
      <c r="B31" s="455" t="s">
        <v>534</v>
      </c>
      <c r="E31" s="561"/>
      <c r="F31" s="447"/>
      <c r="G31" s="447"/>
      <c r="H31" s="447"/>
      <c r="I31" s="254"/>
      <c r="J31" s="555">
        <f t="shared" si="1"/>
        <v>21</v>
      </c>
    </row>
    <row r="32" spans="1:10">
      <c r="A32" s="555">
        <f t="shared" si="0"/>
        <v>22</v>
      </c>
      <c r="B32" s="438" t="s">
        <v>527</v>
      </c>
      <c r="E32" s="225">
        <f>E24</f>
        <v>0</v>
      </c>
      <c r="F32" s="447"/>
      <c r="G32" s="457"/>
      <c r="H32" s="447"/>
      <c r="I32" s="254" t="s">
        <v>535</v>
      </c>
      <c r="J32" s="555">
        <f t="shared" si="1"/>
        <v>22</v>
      </c>
    </row>
    <row r="33" spans="1:10">
      <c r="A33" s="555">
        <f t="shared" si="0"/>
        <v>23</v>
      </c>
      <c r="E33" s="463"/>
      <c r="F33" s="447"/>
      <c r="G33" s="457"/>
      <c r="H33" s="447"/>
      <c r="I33" s="254"/>
      <c r="J33" s="555">
        <f t="shared" si="1"/>
        <v>23</v>
      </c>
    </row>
    <row r="34" spans="1:10">
      <c r="A34" s="555">
        <f t="shared" si="0"/>
        <v>24</v>
      </c>
      <c r="B34" s="438" t="s">
        <v>530</v>
      </c>
      <c r="E34" s="464">
        <f>E27</f>
        <v>0.125</v>
      </c>
      <c r="F34" s="555"/>
      <c r="G34" s="461"/>
      <c r="H34" s="555"/>
      <c r="I34" s="254" t="s">
        <v>536</v>
      </c>
      <c r="J34" s="555">
        <f t="shared" si="1"/>
        <v>24</v>
      </c>
    </row>
    <row r="35" spans="1:10">
      <c r="A35" s="555">
        <f t="shared" si="0"/>
        <v>25</v>
      </c>
      <c r="E35" s="461"/>
      <c r="F35" s="555"/>
      <c r="G35" s="461"/>
      <c r="H35" s="555"/>
      <c r="I35" s="254"/>
      <c r="J35" s="555">
        <f t="shared" si="1"/>
        <v>25</v>
      </c>
    </row>
    <row r="36" spans="1:10">
      <c r="A36" s="555">
        <f t="shared" si="0"/>
        <v>26</v>
      </c>
      <c r="B36" s="438" t="s">
        <v>537</v>
      </c>
      <c r="E36" s="465">
        <f>E32*E34</f>
        <v>0</v>
      </c>
      <c r="F36" s="555"/>
      <c r="G36" s="461"/>
      <c r="H36" s="555"/>
      <c r="I36" s="555" t="s">
        <v>538</v>
      </c>
      <c r="J36" s="555">
        <f t="shared" si="1"/>
        <v>26</v>
      </c>
    </row>
    <row r="37" spans="1:10">
      <c r="A37" s="555">
        <f t="shared" si="0"/>
        <v>27</v>
      </c>
      <c r="J37" s="555">
        <f t="shared" si="1"/>
        <v>27</v>
      </c>
    </row>
    <row r="38" spans="1:10" ht="17.649999999999999">
      <c r="A38" s="555">
        <f t="shared" si="0"/>
        <v>28</v>
      </c>
      <c r="B38" s="466" t="s">
        <v>539</v>
      </c>
      <c r="C38" s="555"/>
      <c r="E38" s="564">
        <f>'Pg7 Revised Stmt AV'!G147</f>
        <v>9.6203495288120069E-2</v>
      </c>
      <c r="F38" s="41" t="s">
        <v>38</v>
      </c>
      <c r="I38" s="555" t="s">
        <v>225</v>
      </c>
      <c r="J38" s="555">
        <f t="shared" si="1"/>
        <v>28</v>
      </c>
    </row>
    <row r="39" spans="1:10">
      <c r="A39" s="555">
        <f t="shared" si="0"/>
        <v>29</v>
      </c>
      <c r="C39" s="555"/>
      <c r="J39" s="555">
        <f t="shared" si="1"/>
        <v>29</v>
      </c>
    </row>
    <row r="40" spans="1:10" ht="17.649999999999999" thickBot="1">
      <c r="A40" s="555">
        <f t="shared" si="0"/>
        <v>30</v>
      </c>
      <c r="B40" s="438" t="s">
        <v>540</v>
      </c>
      <c r="C40" s="555"/>
      <c r="E40" s="468">
        <f>E36*E38</f>
        <v>0</v>
      </c>
      <c r="I40" s="555" t="s">
        <v>541</v>
      </c>
      <c r="J40" s="555">
        <f t="shared" si="1"/>
        <v>30</v>
      </c>
    </row>
    <row r="41" spans="1:10" ht="15.75" thickTop="1">
      <c r="A41" s="555">
        <f t="shared" si="0"/>
        <v>31</v>
      </c>
      <c r="C41" s="555"/>
      <c r="E41" s="469"/>
      <c r="I41" s="555"/>
      <c r="J41" s="555">
        <f t="shared" si="1"/>
        <v>31</v>
      </c>
    </row>
    <row r="42" spans="1:10" ht="17.649999999999999">
      <c r="A42" s="555">
        <f t="shared" si="0"/>
        <v>32</v>
      </c>
      <c r="B42" s="466" t="s">
        <v>542</v>
      </c>
      <c r="C42" s="555"/>
      <c r="E42" s="467">
        <f>'Pg7 Revised Stmt AV'!G180</f>
        <v>3.8762955624239964E-3</v>
      </c>
      <c r="I42" s="555" t="s">
        <v>228</v>
      </c>
      <c r="J42" s="555">
        <f t="shared" si="1"/>
        <v>32</v>
      </c>
    </row>
    <row r="43" spans="1:10">
      <c r="A43" s="555">
        <f t="shared" si="0"/>
        <v>33</v>
      </c>
      <c r="C43" s="555"/>
      <c r="E43" s="469"/>
      <c r="I43" s="555"/>
      <c r="J43" s="555">
        <f t="shared" si="1"/>
        <v>33</v>
      </c>
    </row>
    <row r="44" spans="1:10" ht="17.649999999999999" thickBot="1">
      <c r="A44" s="555">
        <f t="shared" si="0"/>
        <v>34</v>
      </c>
      <c r="B44" s="438" t="s">
        <v>543</v>
      </c>
      <c r="C44" s="555"/>
      <c r="E44" s="468">
        <f>E36*E42</f>
        <v>0</v>
      </c>
      <c r="I44" s="555" t="s">
        <v>544</v>
      </c>
      <c r="J44" s="555">
        <f t="shared" si="1"/>
        <v>34</v>
      </c>
    </row>
    <row r="45" spans="1:10" ht="15.75" thickTop="1">
      <c r="C45" s="555"/>
    </row>
    <row r="46" spans="1:10" ht="15.75">
      <c r="A46" s="41" t="s">
        <v>38</v>
      </c>
      <c r="B46" s="32" t="s">
        <v>370</v>
      </c>
      <c r="C46" s="555"/>
    </row>
    <row r="47" spans="1:10" ht="17.25">
      <c r="A47" s="470">
        <v>1</v>
      </c>
      <c r="B47" s="438" t="s">
        <v>545</v>
      </c>
      <c r="C47" s="555"/>
    </row>
    <row r="48" spans="1:10" ht="17.25">
      <c r="A48" s="470">
        <v>2</v>
      </c>
      <c r="B48" s="438" t="s">
        <v>546</v>
      </c>
      <c r="C48" s="555"/>
    </row>
    <row r="49" spans="1:2">
      <c r="A49" s="554"/>
      <c r="B49" s="440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orientation="portrait" r:id="rId1"/>
  <headerFooter scaleWithDoc="0" alignWithMargins="0">
    <oddHeader>&amp;C&amp;"Times New Roman,Bold"&amp;10REVISED</oddHeader>
    <oddFooter>&amp;CPage 6.1&amp;R&amp;F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653D1-44B2-495B-B675-F4976150BD1E}">
  <dimension ref="A1:L261"/>
  <sheetViews>
    <sheetView zoomScale="80" zoomScaleNormal="80" workbookViewId="0"/>
  </sheetViews>
  <sheetFormatPr defaultColWidth="8.85546875" defaultRowHeight="15.4"/>
  <cols>
    <col min="1" max="1" width="5.140625" style="214" customWidth="1"/>
    <col min="2" max="2" width="55.42578125" style="215" customWidth="1"/>
    <col min="3" max="5" width="15.5703125" style="215" customWidth="1"/>
    <col min="6" max="6" width="1.5703125" style="215" customWidth="1"/>
    <col min="7" max="7" width="16.85546875" style="215" customWidth="1"/>
    <col min="8" max="8" width="1.5703125" style="215" customWidth="1"/>
    <col min="9" max="9" width="38.85546875" style="503" customWidth="1"/>
    <col min="10" max="10" width="5.140625" style="215" customWidth="1"/>
    <col min="11" max="11" width="16.140625" style="215" bestFit="1" customWidth="1"/>
    <col min="12" max="12" width="10.42578125" style="215" bestFit="1" customWidth="1"/>
    <col min="13" max="16384" width="8.85546875" style="215"/>
  </cols>
  <sheetData>
    <row r="1" spans="1:10">
      <c r="I1" s="127"/>
    </row>
    <row r="2" spans="1:10">
      <c r="B2" s="615" t="s">
        <v>214</v>
      </c>
      <c r="C2" s="615"/>
      <c r="D2" s="615"/>
      <c r="E2" s="615"/>
      <c r="F2" s="615"/>
      <c r="G2" s="615"/>
      <c r="H2" s="615"/>
      <c r="I2" s="615"/>
      <c r="J2" s="214"/>
    </row>
    <row r="3" spans="1:10">
      <c r="B3" s="615" t="s">
        <v>547</v>
      </c>
      <c r="C3" s="615"/>
      <c r="D3" s="615"/>
      <c r="E3" s="615"/>
      <c r="F3" s="615"/>
      <c r="G3" s="615"/>
      <c r="H3" s="615"/>
      <c r="I3" s="615"/>
      <c r="J3" s="214"/>
    </row>
    <row r="4" spans="1:10">
      <c r="B4" s="615" t="s">
        <v>548</v>
      </c>
      <c r="C4" s="615"/>
      <c r="D4" s="615"/>
      <c r="E4" s="615"/>
      <c r="F4" s="615"/>
      <c r="G4" s="615"/>
      <c r="H4" s="615"/>
      <c r="I4" s="615"/>
      <c r="J4" s="214"/>
    </row>
    <row r="5" spans="1:10">
      <c r="B5" s="616" t="s">
        <v>286</v>
      </c>
      <c r="C5" s="616"/>
      <c r="D5" s="616"/>
      <c r="E5" s="616"/>
      <c r="F5" s="616"/>
      <c r="G5" s="616"/>
      <c r="H5" s="616"/>
      <c r="I5" s="616"/>
      <c r="J5" s="214"/>
    </row>
    <row r="6" spans="1:10">
      <c r="B6" s="617" t="s">
        <v>3</v>
      </c>
      <c r="C6" s="618"/>
      <c r="D6" s="618"/>
      <c r="E6" s="618"/>
      <c r="F6" s="618"/>
      <c r="G6" s="618"/>
      <c r="H6" s="618"/>
      <c r="I6" s="618"/>
      <c r="J6" s="214"/>
    </row>
    <row r="7" spans="1:10">
      <c r="B7" s="214"/>
      <c r="C7" s="214"/>
      <c r="D7" s="214"/>
      <c r="E7" s="214"/>
      <c r="F7" s="214"/>
      <c r="G7" s="214"/>
      <c r="H7" s="214"/>
      <c r="I7" s="234"/>
      <c r="J7" s="214"/>
    </row>
    <row r="8" spans="1:10">
      <c r="A8" s="214" t="s">
        <v>4</v>
      </c>
      <c r="B8" s="218"/>
      <c r="C8" s="218"/>
      <c r="D8" s="218"/>
      <c r="E8" s="214" t="s">
        <v>287</v>
      </c>
      <c r="F8" s="218"/>
      <c r="G8" s="218"/>
      <c r="H8" s="218"/>
      <c r="I8" s="234"/>
      <c r="J8" s="214" t="s">
        <v>4</v>
      </c>
    </row>
    <row r="9" spans="1:10">
      <c r="A9" s="214" t="s">
        <v>5</v>
      </c>
      <c r="B9" s="214"/>
      <c r="C9" s="214"/>
      <c r="D9" s="214"/>
      <c r="E9" s="220" t="s">
        <v>288</v>
      </c>
      <c r="F9" s="214"/>
      <c r="G9" s="221" t="s">
        <v>7</v>
      </c>
      <c r="H9" s="218"/>
      <c r="I9" s="471" t="s">
        <v>8</v>
      </c>
      <c r="J9" s="214" t="s">
        <v>5</v>
      </c>
    </row>
    <row r="10" spans="1:10">
      <c r="B10" s="214"/>
      <c r="C10" s="214"/>
      <c r="D10" s="214"/>
      <c r="E10" s="214"/>
      <c r="F10" s="214"/>
      <c r="G10" s="214"/>
      <c r="H10" s="214"/>
      <c r="I10" s="234"/>
      <c r="J10" s="214"/>
    </row>
    <row r="11" spans="1:10">
      <c r="A11" s="214">
        <v>1</v>
      </c>
      <c r="B11" s="222" t="s">
        <v>549</v>
      </c>
      <c r="I11" s="234"/>
      <c r="J11" s="214">
        <f>A11</f>
        <v>1</v>
      </c>
    </row>
    <row r="12" spans="1:10">
      <c r="A12" s="214">
        <f>A11+1</f>
        <v>2</v>
      </c>
      <c r="B12" s="215" t="s">
        <v>550</v>
      </c>
      <c r="E12" s="214" t="s">
        <v>551</v>
      </c>
      <c r="F12" s="472"/>
      <c r="G12" s="473">
        <v>4776266</v>
      </c>
      <c r="H12" s="218"/>
      <c r="I12" s="474"/>
      <c r="J12" s="214">
        <f>J11+1</f>
        <v>2</v>
      </c>
    </row>
    <row r="13" spans="1:10">
      <c r="A13" s="214">
        <f t="shared" ref="A13:A52" si="0">A12+1</f>
        <v>3</v>
      </c>
      <c r="B13" s="215" t="s">
        <v>552</v>
      </c>
      <c r="E13" s="214" t="s">
        <v>553</v>
      </c>
      <c r="F13" s="472"/>
      <c r="G13" s="475">
        <v>0</v>
      </c>
      <c r="H13" s="218"/>
      <c r="I13" s="474"/>
      <c r="J13" s="214">
        <f t="shared" ref="J13:J52" si="1">J12+1</f>
        <v>3</v>
      </c>
    </row>
    <row r="14" spans="1:10">
      <c r="A14" s="214">
        <f t="shared" si="0"/>
        <v>4</v>
      </c>
      <c r="B14" s="215" t="s">
        <v>554</v>
      </c>
      <c r="E14" s="214" t="s">
        <v>555</v>
      </c>
      <c r="F14" s="472"/>
      <c r="G14" s="227">
        <v>0</v>
      </c>
      <c r="H14" s="218"/>
      <c r="I14" s="474"/>
      <c r="J14" s="214">
        <f t="shared" si="1"/>
        <v>4</v>
      </c>
    </row>
    <row r="15" spans="1:10">
      <c r="A15" s="214">
        <f t="shared" si="0"/>
        <v>5</v>
      </c>
      <c r="B15" s="215" t="s">
        <v>556</v>
      </c>
      <c r="E15" s="214" t="s">
        <v>557</v>
      </c>
      <c r="F15" s="472"/>
      <c r="G15" s="227">
        <v>0</v>
      </c>
      <c r="H15" s="218"/>
      <c r="I15" s="474"/>
      <c r="J15" s="214">
        <f t="shared" si="1"/>
        <v>5</v>
      </c>
    </row>
    <row r="16" spans="1:10">
      <c r="A16" s="214">
        <f t="shared" si="0"/>
        <v>6</v>
      </c>
      <c r="B16" s="215" t="s">
        <v>558</v>
      </c>
      <c r="E16" s="214" t="s">
        <v>559</v>
      </c>
      <c r="F16" s="472"/>
      <c r="G16" s="240">
        <v>-12609.584860000001</v>
      </c>
      <c r="H16" s="218"/>
      <c r="I16" s="474"/>
      <c r="J16" s="214">
        <f t="shared" si="1"/>
        <v>6</v>
      </c>
    </row>
    <row r="17" spans="1:10">
      <c r="A17" s="214">
        <f t="shared" si="0"/>
        <v>7</v>
      </c>
      <c r="B17" s="215" t="s">
        <v>560</v>
      </c>
      <c r="G17" s="476">
        <f>SUM(G12:G16)</f>
        <v>4763656.4151400002</v>
      </c>
      <c r="H17" s="465"/>
      <c r="I17" s="234" t="s">
        <v>561</v>
      </c>
      <c r="J17" s="214">
        <f t="shared" si="1"/>
        <v>7</v>
      </c>
    </row>
    <row r="18" spans="1:10">
      <c r="A18" s="214">
        <f t="shared" si="0"/>
        <v>8</v>
      </c>
      <c r="I18" s="234"/>
      <c r="J18" s="214">
        <f t="shared" si="1"/>
        <v>8</v>
      </c>
    </row>
    <row r="19" spans="1:10">
      <c r="A19" s="214">
        <f t="shared" si="0"/>
        <v>9</v>
      </c>
      <c r="B19" s="222" t="s">
        <v>562</v>
      </c>
      <c r="G19" s="231"/>
      <c r="H19" s="231"/>
      <c r="I19" s="234"/>
      <c r="J19" s="214">
        <f t="shared" si="1"/>
        <v>9</v>
      </c>
    </row>
    <row r="20" spans="1:10">
      <c r="A20" s="214">
        <f t="shared" si="0"/>
        <v>10</v>
      </c>
      <c r="B20" s="215" t="s">
        <v>563</v>
      </c>
      <c r="E20" s="214" t="s">
        <v>564</v>
      </c>
      <c r="F20" s="472"/>
      <c r="G20" s="473">
        <v>200012.28902</v>
      </c>
      <c r="H20" s="218"/>
      <c r="I20" s="477"/>
      <c r="J20" s="214">
        <f t="shared" si="1"/>
        <v>10</v>
      </c>
    </row>
    <row r="21" spans="1:10">
      <c r="A21" s="214">
        <f t="shared" si="0"/>
        <v>11</v>
      </c>
      <c r="B21" s="215" t="s">
        <v>565</v>
      </c>
      <c r="E21" s="214" t="s">
        <v>566</v>
      </c>
      <c r="F21" s="472"/>
      <c r="G21" s="475">
        <v>3450.8071800000002</v>
      </c>
      <c r="H21" s="218"/>
      <c r="I21" s="477"/>
      <c r="J21" s="214">
        <f t="shared" si="1"/>
        <v>11</v>
      </c>
    </row>
    <row r="22" spans="1:10">
      <c r="A22" s="214">
        <f t="shared" si="0"/>
        <v>12</v>
      </c>
      <c r="B22" s="215" t="s">
        <v>567</v>
      </c>
      <c r="E22" s="214" t="s">
        <v>568</v>
      </c>
      <c r="F22" s="472"/>
      <c r="G22" s="475">
        <v>2799.42463</v>
      </c>
      <c r="H22" s="218"/>
      <c r="I22" s="477"/>
      <c r="J22" s="214">
        <f t="shared" si="1"/>
        <v>12</v>
      </c>
    </row>
    <row r="23" spans="1:10">
      <c r="A23" s="214">
        <f t="shared" si="0"/>
        <v>13</v>
      </c>
      <c r="B23" s="215" t="s">
        <v>569</v>
      </c>
      <c r="E23" s="214" t="s">
        <v>570</v>
      </c>
      <c r="F23" s="472"/>
      <c r="G23" s="475">
        <v>0</v>
      </c>
      <c r="H23" s="218"/>
      <c r="I23" s="477"/>
      <c r="J23" s="214">
        <f t="shared" si="1"/>
        <v>13</v>
      </c>
    </row>
    <row r="24" spans="1:10">
      <c r="A24" s="214">
        <f t="shared" si="0"/>
        <v>14</v>
      </c>
      <c r="B24" s="215" t="s">
        <v>571</v>
      </c>
      <c r="E24" s="214" t="s">
        <v>572</v>
      </c>
      <c r="F24" s="472"/>
      <c r="G24" s="240">
        <v>0</v>
      </c>
      <c r="H24" s="218"/>
      <c r="I24" s="477"/>
      <c r="J24" s="214">
        <f t="shared" si="1"/>
        <v>14</v>
      </c>
    </row>
    <row r="25" spans="1:10">
      <c r="A25" s="214">
        <f t="shared" si="0"/>
        <v>15</v>
      </c>
      <c r="B25" s="215" t="s">
        <v>573</v>
      </c>
      <c r="G25" s="478">
        <f>SUM(G20:G24)</f>
        <v>206262.52082999999</v>
      </c>
      <c r="H25" s="479"/>
      <c r="I25" s="234" t="s">
        <v>574</v>
      </c>
      <c r="J25" s="214">
        <f t="shared" si="1"/>
        <v>15</v>
      </c>
    </row>
    <row r="26" spans="1:10">
      <c r="A26" s="214">
        <f t="shared" si="0"/>
        <v>16</v>
      </c>
      <c r="I26" s="234"/>
      <c r="J26" s="214">
        <f t="shared" si="1"/>
        <v>16</v>
      </c>
    </row>
    <row r="27" spans="1:10" ht="15.75" thickBot="1">
      <c r="A27" s="214">
        <f t="shared" si="0"/>
        <v>17</v>
      </c>
      <c r="B27" s="222" t="s">
        <v>575</v>
      </c>
      <c r="G27" s="480">
        <f>G25/G17</f>
        <v>4.329920188501632E-2</v>
      </c>
      <c r="H27" s="481"/>
      <c r="I27" s="234" t="s">
        <v>576</v>
      </c>
      <c r="J27" s="214">
        <f t="shared" si="1"/>
        <v>17</v>
      </c>
    </row>
    <row r="28" spans="1:10" ht="15.75" thickTop="1">
      <c r="A28" s="214">
        <f t="shared" si="0"/>
        <v>18</v>
      </c>
      <c r="I28" s="234"/>
      <c r="J28" s="214">
        <f t="shared" si="1"/>
        <v>18</v>
      </c>
    </row>
    <row r="29" spans="1:10">
      <c r="A29" s="214">
        <f t="shared" si="0"/>
        <v>19</v>
      </c>
      <c r="B29" s="222" t="s">
        <v>577</v>
      </c>
      <c r="I29" s="234"/>
      <c r="J29" s="214">
        <f t="shared" si="1"/>
        <v>19</v>
      </c>
    </row>
    <row r="30" spans="1:10">
      <c r="A30" s="214">
        <f t="shared" si="0"/>
        <v>20</v>
      </c>
      <c r="B30" s="215" t="s">
        <v>578</v>
      </c>
      <c r="E30" s="214" t="s">
        <v>579</v>
      </c>
      <c r="F30" s="472"/>
      <c r="G30" s="473">
        <v>0</v>
      </c>
      <c r="H30" s="218"/>
      <c r="I30" s="477"/>
      <c r="J30" s="214">
        <f t="shared" si="1"/>
        <v>20</v>
      </c>
    </row>
    <row r="31" spans="1:10">
      <c r="A31" s="214">
        <f t="shared" si="0"/>
        <v>21</v>
      </c>
      <c r="B31" s="215" t="s">
        <v>580</v>
      </c>
      <c r="E31" s="214" t="s">
        <v>581</v>
      </c>
      <c r="F31" s="472"/>
      <c r="G31" s="482">
        <v>0</v>
      </c>
      <c r="H31" s="218"/>
      <c r="I31" s="477"/>
      <c r="J31" s="214">
        <f t="shared" si="1"/>
        <v>21</v>
      </c>
    </row>
    <row r="32" spans="1:10" ht="15.75" thickBot="1">
      <c r="A32" s="214">
        <f t="shared" si="0"/>
        <v>22</v>
      </c>
      <c r="B32" s="215" t="s">
        <v>582</v>
      </c>
      <c r="G32" s="480">
        <f>IFERROR((G31/G30),0)</f>
        <v>0</v>
      </c>
      <c r="H32" s="481"/>
      <c r="I32" s="234" t="s">
        <v>583</v>
      </c>
      <c r="J32" s="214">
        <f t="shared" si="1"/>
        <v>22</v>
      </c>
    </row>
    <row r="33" spans="1:11" ht="15.75" thickTop="1">
      <c r="A33" s="214">
        <f t="shared" si="0"/>
        <v>23</v>
      </c>
      <c r="I33" s="234"/>
      <c r="J33" s="214">
        <f t="shared" si="1"/>
        <v>23</v>
      </c>
    </row>
    <row r="34" spans="1:11">
      <c r="A34" s="214">
        <f t="shared" si="0"/>
        <v>24</v>
      </c>
      <c r="B34" s="222" t="s">
        <v>584</v>
      </c>
      <c r="I34" s="234"/>
      <c r="J34" s="214">
        <f t="shared" si="1"/>
        <v>24</v>
      </c>
    </row>
    <row r="35" spans="1:11">
      <c r="A35" s="214">
        <f t="shared" si="0"/>
        <v>25</v>
      </c>
      <c r="B35" s="215" t="s">
        <v>585</v>
      </c>
      <c r="E35" s="214" t="s">
        <v>586</v>
      </c>
      <c r="F35" s="472"/>
      <c r="G35" s="473">
        <v>6011923.3266400006</v>
      </c>
      <c r="H35" s="218"/>
      <c r="I35" s="477"/>
      <c r="J35" s="214">
        <f t="shared" si="1"/>
        <v>25</v>
      </c>
      <c r="K35" s="237"/>
    </row>
    <row r="36" spans="1:11">
      <c r="A36" s="214">
        <f t="shared" si="0"/>
        <v>26</v>
      </c>
      <c r="B36" s="215" t="s">
        <v>587</v>
      </c>
      <c r="E36" s="214" t="s">
        <v>579</v>
      </c>
      <c r="G36" s="483">
        <f>-G30</f>
        <v>0</v>
      </c>
      <c r="H36" s="483"/>
      <c r="I36" s="234" t="s">
        <v>588</v>
      </c>
      <c r="J36" s="214">
        <f t="shared" si="1"/>
        <v>26</v>
      </c>
    </row>
    <row r="37" spans="1:11">
      <c r="A37" s="214">
        <f t="shared" si="0"/>
        <v>27</v>
      </c>
      <c r="B37" s="215" t="s">
        <v>589</v>
      </c>
      <c r="E37" s="214" t="s">
        <v>590</v>
      </c>
      <c r="G37" s="227">
        <v>0</v>
      </c>
      <c r="H37" s="218"/>
      <c r="I37" s="477"/>
      <c r="J37" s="214">
        <f t="shared" si="1"/>
        <v>27</v>
      </c>
    </row>
    <row r="38" spans="1:11">
      <c r="A38" s="214">
        <f t="shared" si="0"/>
        <v>28</v>
      </c>
      <c r="B38" s="215" t="s">
        <v>591</v>
      </c>
      <c r="E38" s="214" t="s">
        <v>592</v>
      </c>
      <c r="G38" s="227">
        <v>9578.0788499999999</v>
      </c>
      <c r="H38" s="218"/>
      <c r="I38" s="477"/>
      <c r="J38" s="214">
        <f t="shared" si="1"/>
        <v>28</v>
      </c>
    </row>
    <row r="39" spans="1:11" ht="15.75" thickBot="1">
      <c r="A39" s="214">
        <f t="shared" si="0"/>
        <v>29</v>
      </c>
      <c r="B39" s="215" t="s">
        <v>593</v>
      </c>
      <c r="G39" s="484">
        <f>SUM(G35:G38)</f>
        <v>6021501.4054900007</v>
      </c>
      <c r="H39" s="485"/>
      <c r="I39" s="234" t="s">
        <v>594</v>
      </c>
      <c r="J39" s="214">
        <f t="shared" si="1"/>
        <v>29</v>
      </c>
    </row>
    <row r="40" spans="1:11" ht="16.149999999999999" thickTop="1" thickBot="1">
      <c r="A40" s="486">
        <f t="shared" si="0"/>
        <v>30</v>
      </c>
      <c r="B40" s="324"/>
      <c r="C40" s="324"/>
      <c r="D40" s="324"/>
      <c r="E40" s="324"/>
      <c r="F40" s="324"/>
      <c r="G40" s="324"/>
      <c r="H40" s="324"/>
      <c r="I40" s="487"/>
      <c r="J40" s="486">
        <f t="shared" si="1"/>
        <v>30</v>
      </c>
    </row>
    <row r="41" spans="1:11">
      <c r="A41" s="214">
        <f>A40+1</f>
        <v>31</v>
      </c>
      <c r="I41" s="234"/>
      <c r="J41" s="214">
        <f>J40+1</f>
        <v>31</v>
      </c>
    </row>
    <row r="42" spans="1:11" ht="15.75" thickBot="1">
      <c r="A42" s="214">
        <f>A41+1</f>
        <v>32</v>
      </c>
      <c r="B42" s="222" t="s">
        <v>595</v>
      </c>
      <c r="G42" s="488">
        <v>0.10100000000000001</v>
      </c>
      <c r="H42" s="218"/>
      <c r="I42" s="234" t="s">
        <v>596</v>
      </c>
      <c r="J42" s="214">
        <f>J41+1</f>
        <v>32</v>
      </c>
    </row>
    <row r="43" spans="1:11" ht="15.75" thickTop="1">
      <c r="A43" s="214">
        <f t="shared" si="0"/>
        <v>33</v>
      </c>
      <c r="C43" s="263" t="s">
        <v>375</v>
      </c>
      <c r="D43" s="263" t="s">
        <v>376</v>
      </c>
      <c r="E43" s="263" t="s">
        <v>597</v>
      </c>
      <c r="F43" s="263"/>
      <c r="G43" s="263" t="s">
        <v>598</v>
      </c>
      <c r="H43" s="263"/>
      <c r="I43" s="234"/>
      <c r="J43" s="214">
        <f t="shared" si="1"/>
        <v>33</v>
      </c>
    </row>
    <row r="44" spans="1:11">
      <c r="A44" s="214">
        <f t="shared" si="0"/>
        <v>34</v>
      </c>
      <c r="D44" s="214" t="s">
        <v>599</v>
      </c>
      <c r="E44" s="214" t="s">
        <v>600</v>
      </c>
      <c r="F44" s="214"/>
      <c r="G44" s="214" t="s">
        <v>601</v>
      </c>
      <c r="H44" s="214"/>
      <c r="I44" s="234"/>
      <c r="J44" s="214">
        <f t="shared" si="1"/>
        <v>34</v>
      </c>
    </row>
    <row r="45" spans="1:11" ht="17.25">
      <c r="A45" s="214">
        <f t="shared" si="0"/>
        <v>35</v>
      </c>
      <c r="B45" s="222" t="s">
        <v>602</v>
      </c>
      <c r="C45" s="220" t="s">
        <v>603</v>
      </c>
      <c r="D45" s="220" t="s">
        <v>604</v>
      </c>
      <c r="E45" s="220" t="s">
        <v>605</v>
      </c>
      <c r="F45" s="220"/>
      <c r="G45" s="220" t="s">
        <v>606</v>
      </c>
      <c r="H45" s="214"/>
      <c r="I45" s="234"/>
      <c r="J45" s="214">
        <f t="shared" si="1"/>
        <v>35</v>
      </c>
    </row>
    <row r="46" spans="1:11">
      <c r="A46" s="214">
        <f t="shared" si="0"/>
        <v>36</v>
      </c>
      <c r="I46" s="234"/>
      <c r="J46" s="214">
        <f t="shared" si="1"/>
        <v>36</v>
      </c>
    </row>
    <row r="47" spans="1:11">
      <c r="A47" s="214">
        <f t="shared" si="0"/>
        <v>37</v>
      </c>
      <c r="B47" s="215" t="s">
        <v>607</v>
      </c>
      <c r="C47" s="253">
        <f>G17</f>
        <v>4763656.4151400002</v>
      </c>
      <c r="D47" s="489">
        <f>C47/C$50</f>
        <v>0.4416862965164971</v>
      </c>
      <c r="E47" s="490">
        <f>G27</f>
        <v>4.329920188501632E-2</v>
      </c>
      <c r="G47" s="491">
        <f>D47*E47</f>
        <v>1.9124664122712989E-2</v>
      </c>
      <c r="H47" s="491"/>
      <c r="I47" s="234" t="s">
        <v>608</v>
      </c>
      <c r="J47" s="214">
        <f t="shared" si="1"/>
        <v>37</v>
      </c>
    </row>
    <row r="48" spans="1:11">
      <c r="A48" s="214">
        <f t="shared" si="0"/>
        <v>38</v>
      </c>
      <c r="B48" s="215" t="s">
        <v>609</v>
      </c>
      <c r="C48" s="492">
        <f>G30</f>
        <v>0</v>
      </c>
      <c r="D48" s="489">
        <f>C48/C$50</f>
        <v>0</v>
      </c>
      <c r="E48" s="490">
        <f>G32</f>
        <v>0</v>
      </c>
      <c r="G48" s="491">
        <f>D48*E48</f>
        <v>0</v>
      </c>
      <c r="H48" s="491"/>
      <c r="I48" s="234" t="s">
        <v>610</v>
      </c>
      <c r="J48" s="214">
        <f t="shared" si="1"/>
        <v>38</v>
      </c>
    </row>
    <row r="49" spans="1:10">
      <c r="A49" s="214">
        <f t="shared" si="0"/>
        <v>39</v>
      </c>
      <c r="B49" s="215" t="s">
        <v>611</v>
      </c>
      <c r="C49" s="492">
        <f>G39</f>
        <v>6021501.4054900007</v>
      </c>
      <c r="D49" s="493">
        <f>C49/C$50</f>
        <v>0.55831370348350295</v>
      </c>
      <c r="E49" s="494">
        <f>G42</f>
        <v>0.10100000000000001</v>
      </c>
      <c r="G49" s="495">
        <f>D49*E49</f>
        <v>5.6389684051833804E-2</v>
      </c>
      <c r="H49" s="481"/>
      <c r="I49" s="234" t="s">
        <v>612</v>
      </c>
      <c r="J49" s="214">
        <f t="shared" si="1"/>
        <v>39</v>
      </c>
    </row>
    <row r="50" spans="1:10" ht="15.75" thickBot="1">
      <c r="A50" s="214">
        <f t="shared" si="0"/>
        <v>40</v>
      </c>
      <c r="B50" s="215" t="s">
        <v>613</v>
      </c>
      <c r="C50" s="496">
        <f>SUM(C47:C49)</f>
        <v>10785157.820630001</v>
      </c>
      <c r="D50" s="497">
        <f>SUM(D47:D49)</f>
        <v>1</v>
      </c>
      <c r="G50" s="480">
        <f>SUM(G47:G49)</f>
        <v>7.5514348174546789E-2</v>
      </c>
      <c r="H50" s="481"/>
      <c r="I50" s="234" t="s">
        <v>614</v>
      </c>
      <c r="J50" s="214">
        <f t="shared" si="1"/>
        <v>40</v>
      </c>
    </row>
    <row r="51" spans="1:10" ht="15.75" thickTop="1">
      <c r="A51" s="214">
        <f t="shared" si="0"/>
        <v>41</v>
      </c>
      <c r="I51" s="234"/>
      <c r="J51" s="214">
        <f t="shared" si="1"/>
        <v>41</v>
      </c>
    </row>
    <row r="52" spans="1:10" ht="15.75" thickBot="1">
      <c r="A52" s="214">
        <f t="shared" si="0"/>
        <v>42</v>
      </c>
      <c r="B52" s="222" t="s">
        <v>615</v>
      </c>
      <c r="G52" s="480">
        <f>G48+G49</f>
        <v>5.6389684051833804E-2</v>
      </c>
      <c r="H52" s="481"/>
      <c r="I52" s="234" t="s">
        <v>616</v>
      </c>
      <c r="J52" s="214">
        <f t="shared" si="1"/>
        <v>42</v>
      </c>
    </row>
    <row r="53" spans="1:10" ht="16.149999999999999" thickTop="1" thickBot="1">
      <c r="A53" s="486">
        <f>A52+1</f>
        <v>43</v>
      </c>
      <c r="B53" s="324"/>
      <c r="C53" s="324"/>
      <c r="D53" s="324"/>
      <c r="E53" s="324"/>
      <c r="F53" s="324"/>
      <c r="G53" s="324"/>
      <c r="H53" s="324"/>
      <c r="I53" s="487"/>
      <c r="J53" s="486">
        <f>J52+1</f>
        <v>43</v>
      </c>
    </row>
    <row r="54" spans="1:10">
      <c r="A54" s="214">
        <f t="shared" ref="A54:A102" si="2">A53+1</f>
        <v>44</v>
      </c>
      <c r="I54" s="234"/>
      <c r="J54" s="214">
        <f t="shared" ref="J54:J102" si="3">J53+1</f>
        <v>44</v>
      </c>
    </row>
    <row r="55" spans="1:10" ht="31.15" thickBot="1">
      <c r="A55" s="214">
        <f>A54+1</f>
        <v>45</v>
      </c>
      <c r="B55" s="222" t="s">
        <v>617</v>
      </c>
      <c r="G55" s="488">
        <v>5.0000000000000001E-3</v>
      </c>
      <c r="I55" s="234" t="s">
        <v>618</v>
      </c>
      <c r="J55" s="214">
        <f>J54+1</f>
        <v>45</v>
      </c>
    </row>
    <row r="56" spans="1:10" ht="15.75" thickTop="1">
      <c r="A56" s="214">
        <f t="shared" si="2"/>
        <v>46</v>
      </c>
      <c r="C56" s="263" t="s">
        <v>375</v>
      </c>
      <c r="D56" s="263" t="s">
        <v>376</v>
      </c>
      <c r="E56" s="263" t="s">
        <v>597</v>
      </c>
      <c r="F56" s="263"/>
      <c r="G56" s="263" t="s">
        <v>598</v>
      </c>
      <c r="I56" s="234"/>
      <c r="J56" s="214">
        <f t="shared" si="3"/>
        <v>46</v>
      </c>
    </row>
    <row r="57" spans="1:10">
      <c r="A57" s="214">
        <f t="shared" si="2"/>
        <v>47</v>
      </c>
      <c r="D57" s="214" t="s">
        <v>599</v>
      </c>
      <c r="E57" s="214" t="s">
        <v>600</v>
      </c>
      <c r="F57" s="214"/>
      <c r="G57" s="214" t="s">
        <v>601</v>
      </c>
      <c r="I57" s="234"/>
      <c r="J57" s="214">
        <f t="shared" si="3"/>
        <v>47</v>
      </c>
    </row>
    <row r="58" spans="1:10" ht="17.25">
      <c r="A58" s="214">
        <f t="shared" si="2"/>
        <v>48</v>
      </c>
      <c r="B58" s="222" t="s">
        <v>602</v>
      </c>
      <c r="C58" s="220" t="s">
        <v>603</v>
      </c>
      <c r="D58" s="220" t="s">
        <v>604</v>
      </c>
      <c r="E58" s="220" t="s">
        <v>605</v>
      </c>
      <c r="F58" s="220"/>
      <c r="G58" s="220" t="s">
        <v>606</v>
      </c>
      <c r="I58" s="234"/>
      <c r="J58" s="214">
        <f t="shared" si="3"/>
        <v>48</v>
      </c>
    </row>
    <row r="59" spans="1:10">
      <c r="A59" s="214">
        <f t="shared" si="2"/>
        <v>49</v>
      </c>
      <c r="I59" s="234"/>
      <c r="J59" s="214">
        <f t="shared" si="3"/>
        <v>49</v>
      </c>
    </row>
    <row r="60" spans="1:10">
      <c r="A60" s="214">
        <f t="shared" si="2"/>
        <v>50</v>
      </c>
      <c r="B60" s="215" t="s">
        <v>607</v>
      </c>
      <c r="C60" s="253">
        <f>G17</f>
        <v>4763656.4151400002</v>
      </c>
      <c r="D60" s="489">
        <f>C60/C$63</f>
        <v>0.4416862965164971</v>
      </c>
      <c r="E60" s="498">
        <v>0</v>
      </c>
      <c r="G60" s="491">
        <f>D60*E60</f>
        <v>0</v>
      </c>
      <c r="I60" s="234" t="s">
        <v>619</v>
      </c>
      <c r="J60" s="214">
        <f t="shared" si="3"/>
        <v>50</v>
      </c>
    </row>
    <row r="61" spans="1:10">
      <c r="A61" s="214">
        <f t="shared" si="2"/>
        <v>51</v>
      </c>
      <c r="B61" s="215" t="s">
        <v>609</v>
      </c>
      <c r="C61" s="492">
        <f>G30</f>
        <v>0</v>
      </c>
      <c r="D61" s="489">
        <f>C61/C$63</f>
        <v>0</v>
      </c>
      <c r="E61" s="498">
        <v>0</v>
      </c>
      <c r="G61" s="491">
        <f>D61*E61</f>
        <v>0</v>
      </c>
      <c r="I61" s="234" t="s">
        <v>619</v>
      </c>
      <c r="J61" s="214">
        <f t="shared" si="3"/>
        <v>51</v>
      </c>
    </row>
    <row r="62" spans="1:10">
      <c r="A62" s="214">
        <f t="shared" si="2"/>
        <v>52</v>
      </c>
      <c r="B62" s="215" t="s">
        <v>611</v>
      </c>
      <c r="C62" s="492">
        <f>G39</f>
        <v>6021501.4054900007</v>
      </c>
      <c r="D62" s="493">
        <f>C62/C$63</f>
        <v>0.55831370348350295</v>
      </c>
      <c r="E62" s="494">
        <f>G55</f>
        <v>5.0000000000000001E-3</v>
      </c>
      <c r="G62" s="495">
        <f>D62*E62</f>
        <v>2.791568517417515E-3</v>
      </c>
      <c r="I62" s="234" t="s">
        <v>620</v>
      </c>
      <c r="J62" s="214">
        <f t="shared" si="3"/>
        <v>52</v>
      </c>
    </row>
    <row r="63" spans="1:10" ht="15.75" thickBot="1">
      <c r="A63" s="214">
        <f t="shared" si="2"/>
        <v>53</v>
      </c>
      <c r="B63" s="215" t="s">
        <v>613</v>
      </c>
      <c r="C63" s="496">
        <f>SUM(C60:C62)</f>
        <v>10785157.820630001</v>
      </c>
      <c r="D63" s="497">
        <f>SUM(D60:D62)</f>
        <v>1</v>
      </c>
      <c r="G63" s="480">
        <f>SUM(G60:G62)</f>
        <v>2.791568517417515E-3</v>
      </c>
      <c r="I63" s="234" t="s">
        <v>621</v>
      </c>
      <c r="J63" s="214">
        <f t="shared" si="3"/>
        <v>53</v>
      </c>
    </row>
    <row r="64" spans="1:10" ht="15.75" thickTop="1">
      <c r="A64" s="214">
        <f t="shared" si="2"/>
        <v>54</v>
      </c>
      <c r="I64" s="234"/>
      <c r="J64" s="214">
        <f t="shared" si="3"/>
        <v>54</v>
      </c>
    </row>
    <row r="65" spans="1:10" ht="15.75" thickBot="1">
      <c r="A65" s="214">
        <f t="shared" si="2"/>
        <v>55</v>
      </c>
      <c r="B65" s="222" t="s">
        <v>622</v>
      </c>
      <c r="G65" s="497">
        <f>G62</f>
        <v>2.791568517417515E-3</v>
      </c>
      <c r="I65" s="234" t="s">
        <v>623</v>
      </c>
      <c r="J65" s="214">
        <f t="shared" si="3"/>
        <v>55</v>
      </c>
    </row>
    <row r="66" spans="1:10" ht="15.75" thickTop="1">
      <c r="B66" s="222"/>
      <c r="G66" s="499"/>
      <c r="I66" s="234"/>
      <c r="J66" s="214"/>
    </row>
    <row r="67" spans="1:10" ht="17.25">
      <c r="A67" s="260">
        <v>1</v>
      </c>
      <c r="B67" s="215" t="s">
        <v>624</v>
      </c>
      <c r="G67" s="499"/>
      <c r="I67" s="234"/>
      <c r="J67" s="214"/>
    </row>
    <row r="68" spans="1:10">
      <c r="B68" s="222"/>
      <c r="G68" s="499"/>
      <c r="I68" s="234"/>
      <c r="J68" s="214"/>
    </row>
    <row r="69" spans="1:10">
      <c r="B69" s="222"/>
      <c r="G69" s="499"/>
      <c r="I69" s="234"/>
      <c r="J69" s="214"/>
    </row>
    <row r="70" spans="1:10">
      <c r="B70" s="615" t="s">
        <v>214</v>
      </c>
      <c r="C70" s="615"/>
      <c r="D70" s="615"/>
      <c r="E70" s="615"/>
      <c r="F70" s="615"/>
      <c r="G70" s="615"/>
      <c r="H70" s="615"/>
      <c r="I70" s="615"/>
      <c r="J70" s="214"/>
    </row>
    <row r="71" spans="1:10">
      <c r="B71" s="615" t="s">
        <v>547</v>
      </c>
      <c r="C71" s="615"/>
      <c r="D71" s="615"/>
      <c r="E71" s="615"/>
      <c r="F71" s="615"/>
      <c r="G71" s="615"/>
      <c r="H71" s="615"/>
      <c r="I71" s="615"/>
      <c r="J71" s="214"/>
    </row>
    <row r="72" spans="1:10">
      <c r="B72" s="615" t="s">
        <v>548</v>
      </c>
      <c r="C72" s="615"/>
      <c r="D72" s="615"/>
      <c r="E72" s="615"/>
      <c r="F72" s="615"/>
      <c r="G72" s="615"/>
      <c r="H72" s="615"/>
      <c r="I72" s="615"/>
      <c r="J72" s="214"/>
    </row>
    <row r="73" spans="1:10">
      <c r="B73" s="616" t="str">
        <f>B5</f>
        <v>Base Period &amp; True-Up Period 12 - Months Ending December 31, 2018</v>
      </c>
      <c r="C73" s="616"/>
      <c r="D73" s="616"/>
      <c r="E73" s="616"/>
      <c r="F73" s="616"/>
      <c r="G73" s="616"/>
      <c r="H73" s="616"/>
      <c r="I73" s="616"/>
      <c r="J73" s="214"/>
    </row>
    <row r="74" spans="1:10">
      <c r="B74" s="617" t="s">
        <v>3</v>
      </c>
      <c r="C74" s="618"/>
      <c r="D74" s="618"/>
      <c r="E74" s="618"/>
      <c r="F74" s="618"/>
      <c r="G74" s="618"/>
      <c r="H74" s="618"/>
      <c r="I74" s="618"/>
      <c r="J74" s="214"/>
    </row>
    <row r="75" spans="1:10" s="431" customFormat="1">
      <c r="A75" s="214"/>
      <c r="B75" s="214"/>
      <c r="C75" s="214"/>
      <c r="D75" s="214"/>
      <c r="E75" s="214"/>
      <c r="F75" s="214"/>
      <c r="G75" s="214"/>
      <c r="H75" s="214"/>
      <c r="I75" s="234"/>
      <c r="J75" s="214"/>
    </row>
    <row r="76" spans="1:10" s="431" customFormat="1">
      <c r="A76" s="214" t="s">
        <v>4</v>
      </c>
      <c r="B76" s="218"/>
      <c r="C76" s="218"/>
      <c r="D76" s="218"/>
      <c r="E76" s="214" t="s">
        <v>287</v>
      </c>
      <c r="F76" s="218"/>
      <c r="G76" s="218"/>
      <c r="H76" s="218"/>
      <c r="I76" s="234"/>
      <c r="J76" s="214" t="s">
        <v>4</v>
      </c>
    </row>
    <row r="77" spans="1:10" s="431" customFormat="1">
      <c r="A77" s="214" t="s">
        <v>5</v>
      </c>
      <c r="B77" s="214"/>
      <c r="C77" s="214"/>
      <c r="D77" s="214"/>
      <c r="E77" s="220" t="s">
        <v>288</v>
      </c>
      <c r="F77" s="214"/>
      <c r="G77" s="221" t="s">
        <v>7</v>
      </c>
      <c r="H77" s="218"/>
      <c r="I77" s="471" t="s">
        <v>8</v>
      </c>
      <c r="J77" s="214" t="s">
        <v>5</v>
      </c>
    </row>
    <row r="78" spans="1:10">
      <c r="I78" s="234"/>
      <c r="J78" s="214"/>
    </row>
    <row r="79" spans="1:10" ht="17.649999999999999" thickBot="1">
      <c r="A79" s="214">
        <v>1</v>
      </c>
      <c r="B79" s="222" t="s">
        <v>625</v>
      </c>
      <c r="G79" s="488">
        <v>0</v>
      </c>
      <c r="H79" s="218"/>
      <c r="I79" s="500"/>
      <c r="J79" s="214">
        <f>A79</f>
        <v>1</v>
      </c>
    </row>
    <row r="80" spans="1:10" ht="15.75" thickTop="1">
      <c r="A80" s="214">
        <f t="shared" si="2"/>
        <v>2</v>
      </c>
      <c r="C80" s="263" t="s">
        <v>375</v>
      </c>
      <c r="D80" s="263" t="s">
        <v>376</v>
      </c>
      <c r="E80" s="263" t="s">
        <v>597</v>
      </c>
      <c r="F80" s="263"/>
      <c r="G80" s="263" t="s">
        <v>598</v>
      </c>
      <c r="H80" s="263"/>
      <c r="I80" s="234"/>
      <c r="J80" s="214">
        <f t="shared" si="3"/>
        <v>2</v>
      </c>
    </row>
    <row r="81" spans="1:10">
      <c r="A81" s="214">
        <f t="shared" si="2"/>
        <v>3</v>
      </c>
      <c r="D81" s="214" t="s">
        <v>599</v>
      </c>
      <c r="E81" s="214" t="s">
        <v>600</v>
      </c>
      <c r="F81" s="214"/>
      <c r="G81" s="214" t="s">
        <v>601</v>
      </c>
      <c r="H81" s="214"/>
      <c r="I81" s="234"/>
      <c r="J81" s="214">
        <f t="shared" si="3"/>
        <v>3</v>
      </c>
    </row>
    <row r="82" spans="1:10" ht="17.25">
      <c r="A82" s="214">
        <f t="shared" si="2"/>
        <v>4</v>
      </c>
      <c r="B82" s="222" t="s">
        <v>626</v>
      </c>
      <c r="C82" s="220" t="s">
        <v>627</v>
      </c>
      <c r="D82" s="220" t="s">
        <v>604</v>
      </c>
      <c r="E82" s="220" t="s">
        <v>605</v>
      </c>
      <c r="F82" s="220"/>
      <c r="G82" s="220" t="s">
        <v>606</v>
      </c>
      <c r="H82" s="214"/>
      <c r="I82" s="234"/>
      <c r="J82" s="214">
        <f t="shared" si="3"/>
        <v>4</v>
      </c>
    </row>
    <row r="83" spans="1:10">
      <c r="A83" s="214">
        <f t="shared" si="2"/>
        <v>5</v>
      </c>
      <c r="I83" s="234"/>
      <c r="J83" s="214">
        <f t="shared" si="3"/>
        <v>5</v>
      </c>
    </row>
    <row r="84" spans="1:10">
      <c r="A84" s="214">
        <f t="shared" si="2"/>
        <v>6</v>
      </c>
      <c r="B84" s="215" t="s">
        <v>607</v>
      </c>
      <c r="C84" s="253">
        <f>G17</f>
        <v>4763656.4151400002</v>
      </c>
      <c r="D84" s="489">
        <f>C84/C$87</f>
        <v>0.4416862965164971</v>
      </c>
      <c r="E84" s="490">
        <f>G27</f>
        <v>4.329920188501632E-2</v>
      </c>
      <c r="G84" s="491">
        <f>D84*E84</f>
        <v>1.9124664122712989E-2</v>
      </c>
      <c r="H84" s="491"/>
      <c r="I84" s="234" t="s">
        <v>628</v>
      </c>
      <c r="J84" s="214">
        <f t="shared" si="3"/>
        <v>6</v>
      </c>
    </row>
    <row r="85" spans="1:10">
      <c r="A85" s="214">
        <f t="shared" si="2"/>
        <v>7</v>
      </c>
      <c r="B85" s="215" t="s">
        <v>609</v>
      </c>
      <c r="C85" s="492">
        <f>G30</f>
        <v>0</v>
      </c>
      <c r="D85" s="489">
        <f>C85/C$87</f>
        <v>0</v>
      </c>
      <c r="E85" s="490">
        <f>G32</f>
        <v>0</v>
      </c>
      <c r="G85" s="491">
        <f>D85*E85</f>
        <v>0</v>
      </c>
      <c r="H85" s="491"/>
      <c r="I85" s="234" t="s">
        <v>629</v>
      </c>
      <c r="J85" s="214">
        <f t="shared" si="3"/>
        <v>7</v>
      </c>
    </row>
    <row r="86" spans="1:10">
      <c r="A86" s="214">
        <f t="shared" si="2"/>
        <v>8</v>
      </c>
      <c r="B86" s="215" t="s">
        <v>611</v>
      </c>
      <c r="C86" s="492">
        <f>G39</f>
        <v>6021501.4054900007</v>
      </c>
      <c r="D86" s="493">
        <f>C86/C$87</f>
        <v>0.55831370348350295</v>
      </c>
      <c r="E86" s="494">
        <f>G79</f>
        <v>0</v>
      </c>
      <c r="G86" s="495">
        <f>D86*E86</f>
        <v>0</v>
      </c>
      <c r="H86" s="481"/>
      <c r="I86" s="234" t="s">
        <v>630</v>
      </c>
      <c r="J86" s="214">
        <f t="shared" si="3"/>
        <v>8</v>
      </c>
    </row>
    <row r="87" spans="1:10" ht="15.75" thickBot="1">
      <c r="A87" s="214">
        <f t="shared" si="2"/>
        <v>9</v>
      </c>
      <c r="B87" s="215" t="s">
        <v>613</v>
      </c>
      <c r="C87" s="496">
        <f>SUM(C84:C86)</f>
        <v>10785157.820630001</v>
      </c>
      <c r="D87" s="497">
        <f>SUM(D84:D86)</f>
        <v>1</v>
      </c>
      <c r="G87" s="480">
        <f>SUM(G84:G86)</f>
        <v>1.9124664122712989E-2</v>
      </c>
      <c r="H87" s="481"/>
      <c r="I87" s="234" t="s">
        <v>631</v>
      </c>
      <c r="J87" s="214">
        <f t="shared" si="3"/>
        <v>9</v>
      </c>
    </row>
    <row r="88" spans="1:10" ht="15.75" thickTop="1">
      <c r="A88" s="214">
        <f t="shared" si="2"/>
        <v>10</v>
      </c>
      <c r="I88" s="234"/>
      <c r="J88" s="214">
        <f t="shared" si="3"/>
        <v>10</v>
      </c>
    </row>
    <row r="89" spans="1:10" ht="15.75" thickBot="1">
      <c r="A89" s="214">
        <f t="shared" si="2"/>
        <v>11</v>
      </c>
      <c r="B89" s="222" t="s">
        <v>632</v>
      </c>
      <c r="G89" s="480">
        <f>G85+G86</f>
        <v>0</v>
      </c>
      <c r="H89" s="481"/>
      <c r="I89" s="234" t="s">
        <v>633</v>
      </c>
      <c r="J89" s="214">
        <f t="shared" si="3"/>
        <v>11</v>
      </c>
    </row>
    <row r="90" spans="1:10" ht="16.149999999999999" thickTop="1" thickBot="1">
      <c r="A90" s="486">
        <f t="shared" si="2"/>
        <v>12</v>
      </c>
      <c r="B90" s="501"/>
      <c r="C90" s="324"/>
      <c r="D90" s="324"/>
      <c r="E90" s="324"/>
      <c r="F90" s="324"/>
      <c r="G90" s="502"/>
      <c r="H90" s="502"/>
      <c r="I90" s="487"/>
      <c r="J90" s="486">
        <f t="shared" si="3"/>
        <v>12</v>
      </c>
    </row>
    <row r="91" spans="1:10">
      <c r="A91" s="214">
        <f t="shared" si="2"/>
        <v>13</v>
      </c>
      <c r="I91" s="234"/>
      <c r="J91" s="214">
        <f t="shared" si="3"/>
        <v>13</v>
      </c>
    </row>
    <row r="92" spans="1:10" ht="31.15" thickBot="1">
      <c r="A92" s="214">
        <f t="shared" si="2"/>
        <v>14</v>
      </c>
      <c r="B92" s="222" t="s">
        <v>617</v>
      </c>
      <c r="G92" s="488">
        <v>0</v>
      </c>
      <c r="I92" s="234" t="s">
        <v>618</v>
      </c>
      <c r="J92" s="214">
        <f t="shared" si="3"/>
        <v>14</v>
      </c>
    </row>
    <row r="93" spans="1:10" ht="15.75" thickTop="1">
      <c r="A93" s="214">
        <f t="shared" si="2"/>
        <v>15</v>
      </c>
      <c r="C93" s="263" t="s">
        <v>375</v>
      </c>
      <c r="D93" s="263" t="s">
        <v>376</v>
      </c>
      <c r="E93" s="263" t="s">
        <v>597</v>
      </c>
      <c r="F93" s="263"/>
      <c r="G93" s="263" t="s">
        <v>598</v>
      </c>
      <c r="I93" s="234"/>
      <c r="J93" s="214">
        <f t="shared" si="3"/>
        <v>15</v>
      </c>
    </row>
    <row r="94" spans="1:10">
      <c r="A94" s="214">
        <f t="shared" si="2"/>
        <v>16</v>
      </c>
      <c r="D94" s="214" t="s">
        <v>599</v>
      </c>
      <c r="E94" s="214" t="s">
        <v>600</v>
      </c>
      <c r="F94" s="214"/>
      <c r="G94" s="214" t="s">
        <v>601</v>
      </c>
      <c r="I94" s="234"/>
      <c r="J94" s="214">
        <f t="shared" si="3"/>
        <v>16</v>
      </c>
    </row>
    <row r="95" spans="1:10" ht="17.25">
      <c r="A95" s="214">
        <f t="shared" si="2"/>
        <v>17</v>
      </c>
      <c r="B95" s="222" t="s">
        <v>602</v>
      </c>
      <c r="C95" s="220" t="s">
        <v>627</v>
      </c>
      <c r="D95" s="220" t="s">
        <v>604</v>
      </c>
      <c r="E95" s="220" t="s">
        <v>605</v>
      </c>
      <c r="F95" s="220"/>
      <c r="G95" s="220" t="s">
        <v>606</v>
      </c>
      <c r="I95" s="234"/>
      <c r="J95" s="214">
        <f t="shared" si="3"/>
        <v>17</v>
      </c>
    </row>
    <row r="96" spans="1:10">
      <c r="A96" s="214">
        <f t="shared" si="2"/>
        <v>18</v>
      </c>
      <c r="I96" s="234"/>
      <c r="J96" s="214">
        <f t="shared" si="3"/>
        <v>18</v>
      </c>
    </row>
    <row r="97" spans="1:10">
      <c r="A97" s="214">
        <f t="shared" si="2"/>
        <v>19</v>
      </c>
      <c r="B97" s="215" t="s">
        <v>607</v>
      </c>
      <c r="C97" s="253">
        <f>G17</f>
        <v>4763656.4151400002</v>
      </c>
      <c r="D97" s="489">
        <f>C97/C$100</f>
        <v>0.4416862965164971</v>
      </c>
      <c r="E97" s="498">
        <v>0</v>
      </c>
      <c r="G97" s="491">
        <f>D97*E97</f>
        <v>0</v>
      </c>
      <c r="I97" s="234" t="s">
        <v>619</v>
      </c>
      <c r="J97" s="214">
        <f t="shared" si="3"/>
        <v>19</v>
      </c>
    </row>
    <row r="98" spans="1:10">
      <c r="A98" s="214">
        <f t="shared" si="2"/>
        <v>20</v>
      </c>
      <c r="B98" s="215" t="s">
        <v>609</v>
      </c>
      <c r="C98" s="492">
        <f>G30</f>
        <v>0</v>
      </c>
      <c r="D98" s="489">
        <f>C98/C$100</f>
        <v>0</v>
      </c>
      <c r="E98" s="498">
        <v>0</v>
      </c>
      <c r="G98" s="491">
        <f>D98*E98</f>
        <v>0</v>
      </c>
      <c r="I98" s="234" t="s">
        <v>619</v>
      </c>
      <c r="J98" s="214">
        <f t="shared" si="3"/>
        <v>20</v>
      </c>
    </row>
    <row r="99" spans="1:10">
      <c r="A99" s="214">
        <f t="shared" si="2"/>
        <v>21</v>
      </c>
      <c r="B99" s="215" t="s">
        <v>611</v>
      </c>
      <c r="C99" s="492">
        <f>G39</f>
        <v>6021501.4054900007</v>
      </c>
      <c r="D99" s="493">
        <f>C99/C$100</f>
        <v>0.55831370348350295</v>
      </c>
      <c r="E99" s="494">
        <f>G92</f>
        <v>0</v>
      </c>
      <c r="G99" s="495">
        <f>D99*E99</f>
        <v>0</v>
      </c>
      <c r="I99" s="234" t="s">
        <v>634</v>
      </c>
      <c r="J99" s="214">
        <f t="shared" si="3"/>
        <v>21</v>
      </c>
    </row>
    <row r="100" spans="1:10" ht="15.75" thickBot="1">
      <c r="A100" s="214">
        <f t="shared" si="2"/>
        <v>22</v>
      </c>
      <c r="B100" s="215" t="s">
        <v>613</v>
      </c>
      <c r="C100" s="496">
        <f>SUM(C97:C99)</f>
        <v>10785157.820630001</v>
      </c>
      <c r="D100" s="497">
        <f>SUM(D97:D99)</f>
        <v>1</v>
      </c>
      <c r="G100" s="480">
        <f>SUM(G97:G99)</f>
        <v>0</v>
      </c>
      <c r="I100" s="234" t="s">
        <v>160</v>
      </c>
      <c r="J100" s="214">
        <f t="shared" si="3"/>
        <v>22</v>
      </c>
    </row>
    <row r="101" spans="1:10" ht="15.75" thickTop="1">
      <c r="A101" s="214">
        <f t="shared" si="2"/>
        <v>23</v>
      </c>
      <c r="I101" s="234"/>
      <c r="J101" s="214">
        <f t="shared" si="3"/>
        <v>23</v>
      </c>
    </row>
    <row r="102" spans="1:10" ht="15.75" thickBot="1">
      <c r="A102" s="214">
        <f t="shared" si="2"/>
        <v>24</v>
      </c>
      <c r="B102" s="222" t="s">
        <v>622</v>
      </c>
      <c r="G102" s="497">
        <f>G99</f>
        <v>0</v>
      </c>
      <c r="I102" s="234" t="s">
        <v>635</v>
      </c>
      <c r="J102" s="214">
        <f t="shared" si="3"/>
        <v>24</v>
      </c>
    </row>
    <row r="103" spans="1:10" ht="15.75" thickTop="1">
      <c r="B103" s="222"/>
      <c r="G103" s="499"/>
      <c r="I103" s="234"/>
      <c r="J103" s="214"/>
    </row>
    <row r="104" spans="1:10" ht="17.25">
      <c r="A104" s="260">
        <v>1</v>
      </c>
      <c r="B104" s="215" t="s">
        <v>636</v>
      </c>
      <c r="G104" s="499"/>
      <c r="I104" s="234"/>
      <c r="J104" s="214"/>
    </row>
    <row r="105" spans="1:10" ht="17.25">
      <c r="A105" s="260">
        <v>2</v>
      </c>
      <c r="B105" s="215" t="s">
        <v>624</v>
      </c>
      <c r="G105" s="257"/>
      <c r="H105" s="257"/>
      <c r="J105" s="214" t="s">
        <v>33</v>
      </c>
    </row>
    <row r="106" spans="1:10" ht="17.25">
      <c r="A106" s="504"/>
      <c r="B106" s="431"/>
      <c r="G106" s="257"/>
      <c r="H106" s="257"/>
      <c r="J106" s="214"/>
    </row>
    <row r="107" spans="1:10" ht="17.25">
      <c r="A107" s="260"/>
      <c r="G107" s="257"/>
      <c r="H107" s="257"/>
      <c r="I107" s="127"/>
      <c r="J107" s="214"/>
    </row>
    <row r="108" spans="1:10">
      <c r="B108" s="615" t="s">
        <v>214</v>
      </c>
      <c r="C108" s="615"/>
      <c r="D108" s="615"/>
      <c r="E108" s="615"/>
      <c r="F108" s="615"/>
      <c r="G108" s="615"/>
      <c r="H108" s="615"/>
      <c r="I108" s="615"/>
      <c r="J108" s="214"/>
    </row>
    <row r="109" spans="1:10">
      <c r="B109" s="615" t="s">
        <v>547</v>
      </c>
      <c r="C109" s="615"/>
      <c r="D109" s="615"/>
      <c r="E109" s="615"/>
      <c r="F109" s="615"/>
      <c r="G109" s="615"/>
      <c r="H109" s="615"/>
      <c r="I109" s="615"/>
      <c r="J109" s="214"/>
    </row>
    <row r="110" spans="1:10">
      <c r="B110" s="615" t="s">
        <v>548</v>
      </c>
      <c r="C110" s="615"/>
      <c r="D110" s="615"/>
      <c r="E110" s="615"/>
      <c r="F110" s="615"/>
      <c r="G110" s="615"/>
      <c r="H110" s="615"/>
      <c r="I110" s="615"/>
      <c r="J110" s="214"/>
    </row>
    <row r="111" spans="1:10">
      <c r="B111" s="616" t="str">
        <f>B5</f>
        <v>Base Period &amp; True-Up Period 12 - Months Ending December 31, 2018</v>
      </c>
      <c r="C111" s="616"/>
      <c r="D111" s="616"/>
      <c r="E111" s="616"/>
      <c r="F111" s="616"/>
      <c r="G111" s="616"/>
      <c r="H111" s="616"/>
      <c r="I111" s="616"/>
      <c r="J111" s="214"/>
    </row>
    <row r="112" spans="1:10">
      <c r="B112" s="617" t="s">
        <v>3</v>
      </c>
      <c r="C112" s="618"/>
      <c r="D112" s="618"/>
      <c r="E112" s="618"/>
      <c r="F112" s="618"/>
      <c r="G112" s="618"/>
      <c r="H112" s="618"/>
      <c r="I112" s="618"/>
      <c r="J112" s="214"/>
    </row>
    <row r="113" spans="1:12">
      <c r="B113" s="214"/>
      <c r="C113" s="214"/>
      <c r="D113" s="214"/>
      <c r="E113" s="214"/>
      <c r="F113" s="214"/>
      <c r="G113" s="214"/>
      <c r="H113" s="214"/>
      <c r="I113" s="234"/>
      <c r="J113" s="214"/>
    </row>
    <row r="114" spans="1:12">
      <c r="A114" s="214" t="s">
        <v>4</v>
      </c>
      <c r="B114" s="218"/>
      <c r="C114" s="218"/>
      <c r="D114" s="218"/>
      <c r="E114" s="218"/>
      <c r="F114" s="218"/>
      <c r="G114" s="218"/>
      <c r="H114" s="218"/>
      <c r="I114" s="234"/>
      <c r="J114" s="214" t="s">
        <v>4</v>
      </c>
    </row>
    <row r="115" spans="1:12">
      <c r="A115" s="214" t="s">
        <v>5</v>
      </c>
      <c r="B115" s="214"/>
      <c r="C115" s="214"/>
      <c r="D115" s="214"/>
      <c r="E115" s="214"/>
      <c r="F115" s="214"/>
      <c r="G115" s="220" t="s">
        <v>7</v>
      </c>
      <c r="H115" s="218"/>
      <c r="I115" s="471" t="s">
        <v>8</v>
      </c>
      <c r="J115" s="214" t="s">
        <v>5</v>
      </c>
    </row>
    <row r="116" spans="1:12">
      <c r="G116" s="214"/>
      <c r="H116" s="214"/>
      <c r="I116" s="234"/>
      <c r="J116" s="214"/>
    </row>
    <row r="117" spans="1:12" ht="17.649999999999999">
      <c r="A117" s="214">
        <v>1</v>
      </c>
      <c r="B117" s="222" t="s">
        <v>637</v>
      </c>
      <c r="E117" s="218"/>
      <c r="F117" s="218"/>
      <c r="G117" s="505"/>
      <c r="H117" s="505"/>
      <c r="I117" s="234"/>
      <c r="J117" s="214">
        <v>1</v>
      </c>
    </row>
    <row r="118" spans="1:12">
      <c r="A118" s="214">
        <f>A117+1</f>
        <v>2</v>
      </c>
      <c r="B118" s="506"/>
      <c r="E118" s="218"/>
      <c r="F118" s="218"/>
      <c r="G118" s="505"/>
      <c r="H118" s="505"/>
      <c r="I118" s="234"/>
      <c r="J118" s="214">
        <f>J117+1</f>
        <v>2</v>
      </c>
    </row>
    <row r="119" spans="1:12">
      <c r="A119" s="214">
        <f>A118+1</f>
        <v>3</v>
      </c>
      <c r="B119" s="222" t="s">
        <v>638</v>
      </c>
      <c r="E119" s="218"/>
      <c r="F119" s="218"/>
      <c r="G119" s="505"/>
      <c r="H119" s="505"/>
      <c r="I119" s="234"/>
      <c r="J119" s="214">
        <f>J118+1</f>
        <v>3</v>
      </c>
    </row>
    <row r="120" spans="1:12">
      <c r="A120" s="214">
        <f>A119+1</f>
        <v>4</v>
      </c>
      <c r="B120" s="218"/>
      <c r="C120" s="218"/>
      <c r="D120" s="218"/>
      <c r="E120" s="218"/>
      <c r="F120" s="218"/>
      <c r="G120" s="505"/>
      <c r="H120" s="505"/>
      <c r="I120" s="234"/>
      <c r="J120" s="214">
        <f>J119+1</f>
        <v>4</v>
      </c>
    </row>
    <row r="121" spans="1:12">
      <c r="A121" s="214">
        <f t="shared" ref="A121:A180" si="4">A120+1</f>
        <v>5</v>
      </c>
      <c r="B121" s="224" t="s">
        <v>639</v>
      </c>
      <c r="C121" s="218"/>
      <c r="D121" s="218"/>
      <c r="E121" s="218"/>
      <c r="F121" s="218"/>
      <c r="G121" s="505"/>
      <c r="H121" s="505"/>
      <c r="I121" s="507"/>
      <c r="J121" s="214">
        <f t="shared" ref="J121:J180" si="5">J120+1</f>
        <v>5</v>
      </c>
    </row>
    <row r="122" spans="1:12">
      <c r="A122" s="214">
        <f t="shared" si="4"/>
        <v>6</v>
      </c>
      <c r="B122" s="215" t="s">
        <v>640</v>
      </c>
      <c r="D122" s="218"/>
      <c r="E122" s="218"/>
      <c r="F122" s="218"/>
      <c r="G122" s="508">
        <f>G52</f>
        <v>5.6389684051833804E-2</v>
      </c>
      <c r="H122" s="218"/>
      <c r="I122" s="234" t="s">
        <v>641</v>
      </c>
      <c r="J122" s="214">
        <f t="shared" si="5"/>
        <v>6</v>
      </c>
      <c r="K122" s="214"/>
    </row>
    <row r="123" spans="1:12">
      <c r="A123" s="214">
        <f t="shared" si="4"/>
        <v>7</v>
      </c>
      <c r="B123" s="215" t="s">
        <v>642</v>
      </c>
      <c r="D123" s="218"/>
      <c r="E123" s="218"/>
      <c r="F123" s="218"/>
      <c r="G123" s="509">
        <v>5297.6101976756618</v>
      </c>
      <c r="H123" s="218"/>
      <c r="I123" s="234" t="s">
        <v>643</v>
      </c>
      <c r="J123" s="214">
        <f t="shared" si="5"/>
        <v>7</v>
      </c>
      <c r="K123" s="214"/>
    </row>
    <row r="124" spans="1:12">
      <c r="A124" s="214">
        <f t="shared" si="4"/>
        <v>8</v>
      </c>
      <c r="B124" s="215" t="s">
        <v>644</v>
      </c>
      <c r="D124" s="218"/>
      <c r="E124" s="218"/>
      <c r="F124" s="218"/>
      <c r="G124" s="510">
        <v>6331.744459999999</v>
      </c>
      <c r="H124" s="218"/>
      <c r="I124" s="500" t="s">
        <v>645</v>
      </c>
      <c r="J124" s="214">
        <f t="shared" si="5"/>
        <v>8</v>
      </c>
      <c r="K124" s="218"/>
    </row>
    <row r="125" spans="1:12" ht="15.75">
      <c r="A125" s="214">
        <f t="shared" si="4"/>
        <v>9</v>
      </c>
      <c r="B125" s="215" t="s">
        <v>646</v>
      </c>
      <c r="D125" s="218"/>
      <c r="E125" s="511"/>
      <c r="F125" s="218"/>
      <c r="G125" s="512">
        <f>'Pg3 BK-1 Rev TO5 C2-Cost Adj '!E136</f>
        <v>4005249.9121370139</v>
      </c>
      <c r="H125" s="41" t="s">
        <v>38</v>
      </c>
      <c r="I125" s="234" t="s">
        <v>647</v>
      </c>
      <c r="J125" s="214">
        <f t="shared" si="5"/>
        <v>9</v>
      </c>
    </row>
    <row r="126" spans="1:12">
      <c r="A126" s="214">
        <f t="shared" si="4"/>
        <v>10</v>
      </c>
      <c r="B126" s="215" t="s">
        <v>648</v>
      </c>
      <c r="D126" s="513"/>
      <c r="E126" s="218"/>
      <c r="F126" s="218"/>
      <c r="G126" s="514" t="s">
        <v>649</v>
      </c>
      <c r="H126" s="218"/>
      <c r="I126" s="234" t="s">
        <v>650</v>
      </c>
      <c r="J126" s="214">
        <f t="shared" si="5"/>
        <v>10</v>
      </c>
      <c r="L126" s="515"/>
    </row>
    <row r="127" spans="1:12">
      <c r="A127" s="214">
        <f t="shared" si="4"/>
        <v>11</v>
      </c>
      <c r="G127" s="214"/>
      <c r="H127" s="214"/>
      <c r="J127" s="214">
        <f t="shared" si="5"/>
        <v>11</v>
      </c>
    </row>
    <row r="128" spans="1:12">
      <c r="A128" s="214">
        <f t="shared" si="4"/>
        <v>12</v>
      </c>
      <c r="B128" s="215" t="s">
        <v>651</v>
      </c>
      <c r="D128" s="218"/>
      <c r="E128" s="218"/>
      <c r="F128" s="218"/>
      <c r="G128" s="516">
        <f>(((G122)+(G124/G125))*G126-(G123/G125))/(1-G126)</f>
        <v>1.3735630302344398E-2</v>
      </c>
      <c r="H128" s="516"/>
      <c r="I128" s="234" t="s">
        <v>652</v>
      </c>
      <c r="J128" s="214">
        <f t="shared" si="5"/>
        <v>12</v>
      </c>
      <c r="L128" s="517"/>
    </row>
    <row r="129" spans="1:11">
      <c r="A129" s="214">
        <f t="shared" si="4"/>
        <v>13</v>
      </c>
      <c r="B129" s="518" t="s">
        <v>653</v>
      </c>
      <c r="G129" s="214"/>
      <c r="H129" s="214"/>
      <c r="J129" s="214">
        <f t="shared" si="5"/>
        <v>13</v>
      </c>
    </row>
    <row r="130" spans="1:11">
      <c r="A130" s="214">
        <f t="shared" si="4"/>
        <v>14</v>
      </c>
      <c r="G130" s="214"/>
      <c r="H130" s="214"/>
      <c r="J130" s="214">
        <f t="shared" si="5"/>
        <v>14</v>
      </c>
    </row>
    <row r="131" spans="1:11">
      <c r="A131" s="214">
        <f t="shared" si="4"/>
        <v>15</v>
      </c>
      <c r="B131" s="222" t="s">
        <v>654</v>
      </c>
      <c r="C131" s="218"/>
      <c r="D131" s="218"/>
      <c r="E131" s="218"/>
      <c r="F131" s="218"/>
      <c r="G131" s="519"/>
      <c r="H131" s="519"/>
      <c r="I131" s="520"/>
      <c r="J131" s="214">
        <f t="shared" si="5"/>
        <v>15</v>
      </c>
      <c r="K131" s="521"/>
    </row>
    <row r="132" spans="1:11">
      <c r="A132" s="214">
        <f t="shared" si="4"/>
        <v>16</v>
      </c>
      <c r="B132" s="245"/>
      <c r="C132" s="218"/>
      <c r="D132" s="218"/>
      <c r="E132" s="218"/>
      <c r="F132" s="218"/>
      <c r="G132" s="519"/>
      <c r="H132" s="519"/>
      <c r="I132" s="522"/>
      <c r="J132" s="214">
        <f t="shared" si="5"/>
        <v>16</v>
      </c>
      <c r="K132" s="218"/>
    </row>
    <row r="133" spans="1:11">
      <c r="A133" s="214">
        <f t="shared" si="4"/>
        <v>17</v>
      </c>
      <c r="B133" s="224" t="s">
        <v>639</v>
      </c>
      <c r="C133" s="218"/>
      <c r="D133" s="218"/>
      <c r="E133" s="218"/>
      <c r="F133" s="218"/>
      <c r="G133" s="519"/>
      <c r="H133" s="519"/>
      <c r="I133" s="522"/>
      <c r="J133" s="214">
        <f t="shared" si="5"/>
        <v>17</v>
      </c>
      <c r="K133" s="218"/>
    </row>
    <row r="134" spans="1:11">
      <c r="A134" s="214">
        <f t="shared" si="4"/>
        <v>18</v>
      </c>
      <c r="B134" s="215" t="s">
        <v>640</v>
      </c>
      <c r="D134" s="218"/>
      <c r="E134" s="218"/>
      <c r="F134" s="218"/>
      <c r="G134" s="489">
        <f>G122</f>
        <v>5.6389684051833804E-2</v>
      </c>
      <c r="H134" s="489"/>
      <c r="I134" s="234" t="s">
        <v>655</v>
      </c>
      <c r="J134" s="214">
        <f t="shared" si="5"/>
        <v>18</v>
      </c>
      <c r="K134" s="214"/>
    </row>
    <row r="135" spans="1:11">
      <c r="A135" s="214">
        <f t="shared" si="4"/>
        <v>19</v>
      </c>
      <c r="B135" s="215" t="s">
        <v>656</v>
      </c>
      <c r="D135" s="218"/>
      <c r="E135" s="218"/>
      <c r="F135" s="218"/>
      <c r="G135" s="523">
        <f>G124</f>
        <v>6331.744459999999</v>
      </c>
      <c r="H135" s="523"/>
      <c r="I135" s="234" t="s">
        <v>657</v>
      </c>
      <c r="J135" s="214">
        <f t="shared" si="5"/>
        <v>19</v>
      </c>
      <c r="K135" s="214"/>
    </row>
    <row r="136" spans="1:11" ht="15.75">
      <c r="A136" s="214">
        <f t="shared" si="4"/>
        <v>20</v>
      </c>
      <c r="B136" s="215" t="s">
        <v>658</v>
      </c>
      <c r="D136" s="218"/>
      <c r="E136" s="218"/>
      <c r="F136" s="218"/>
      <c r="G136" s="524">
        <f>G125</f>
        <v>4005249.9121370139</v>
      </c>
      <c r="H136" s="41" t="s">
        <v>38</v>
      </c>
      <c r="I136" s="234" t="s">
        <v>659</v>
      </c>
      <c r="J136" s="214">
        <f t="shared" si="5"/>
        <v>20</v>
      </c>
      <c r="K136" s="214"/>
    </row>
    <row r="137" spans="1:11">
      <c r="A137" s="214">
        <f t="shared" si="4"/>
        <v>21</v>
      </c>
      <c r="B137" s="215" t="s">
        <v>660</v>
      </c>
      <c r="D137" s="218"/>
      <c r="E137" s="218"/>
      <c r="F137" s="218"/>
      <c r="G137" s="525">
        <f>G128</f>
        <v>1.3735630302344398E-2</v>
      </c>
      <c r="H137" s="525"/>
      <c r="I137" s="234" t="s">
        <v>661</v>
      </c>
      <c r="J137" s="214">
        <f t="shared" si="5"/>
        <v>21</v>
      </c>
    </row>
    <row r="138" spans="1:11">
      <c r="A138" s="214">
        <f t="shared" si="4"/>
        <v>22</v>
      </c>
      <c r="B138" s="215" t="s">
        <v>662</v>
      </c>
      <c r="D138" s="218"/>
      <c r="E138" s="218"/>
      <c r="F138" s="218"/>
      <c r="G138" s="514" t="s">
        <v>663</v>
      </c>
      <c r="H138" s="218"/>
      <c r="I138" s="234" t="s">
        <v>664</v>
      </c>
      <c r="J138" s="214">
        <f t="shared" si="5"/>
        <v>22</v>
      </c>
    </row>
    <row r="139" spans="1:11">
      <c r="A139" s="214">
        <f t="shared" si="4"/>
        <v>23</v>
      </c>
      <c r="B139" s="262"/>
      <c r="D139" s="218"/>
      <c r="E139" s="218"/>
      <c r="F139" s="218"/>
      <c r="G139" s="526"/>
      <c r="H139" s="526"/>
      <c r="I139" s="522"/>
      <c r="J139" s="214">
        <f t="shared" si="5"/>
        <v>23</v>
      </c>
    </row>
    <row r="140" spans="1:11">
      <c r="A140" s="214">
        <f t="shared" si="4"/>
        <v>24</v>
      </c>
      <c r="B140" s="215" t="s">
        <v>665</v>
      </c>
      <c r="C140" s="214"/>
      <c r="D140" s="214"/>
      <c r="E140" s="218"/>
      <c r="F140" s="218"/>
      <c r="G140" s="527">
        <f>((G134)+(G135/G136)+G128)*G138/(1-G138)</f>
        <v>6.9535168112288869E-3</v>
      </c>
      <c r="H140" s="528"/>
      <c r="I140" s="234" t="s">
        <v>666</v>
      </c>
      <c r="J140" s="214">
        <f t="shared" si="5"/>
        <v>24</v>
      </c>
    </row>
    <row r="141" spans="1:11">
      <c r="A141" s="214">
        <f t="shared" si="4"/>
        <v>25</v>
      </c>
      <c r="B141" s="518" t="s">
        <v>667</v>
      </c>
      <c r="G141" s="214"/>
      <c r="H141" s="214"/>
      <c r="I141" s="234"/>
      <c r="J141" s="214">
        <f t="shared" si="5"/>
        <v>25</v>
      </c>
      <c r="K141" s="214"/>
    </row>
    <row r="142" spans="1:11">
      <c r="A142" s="214">
        <f t="shared" si="4"/>
        <v>26</v>
      </c>
      <c r="G142" s="214"/>
      <c r="H142" s="214"/>
      <c r="I142" s="234"/>
      <c r="J142" s="214">
        <f t="shared" si="5"/>
        <v>26</v>
      </c>
      <c r="K142" s="214"/>
    </row>
    <row r="143" spans="1:11">
      <c r="A143" s="214">
        <f t="shared" si="4"/>
        <v>27</v>
      </c>
      <c r="B143" s="222" t="s">
        <v>668</v>
      </c>
      <c r="G143" s="516">
        <f>G140+G128</f>
        <v>2.0689147113573284E-2</v>
      </c>
      <c r="H143" s="516"/>
      <c r="I143" s="234" t="s">
        <v>669</v>
      </c>
      <c r="J143" s="214">
        <f t="shared" si="5"/>
        <v>27</v>
      </c>
      <c r="K143" s="214"/>
    </row>
    <row r="144" spans="1:11">
      <c r="A144" s="214">
        <f t="shared" si="4"/>
        <v>28</v>
      </c>
      <c r="G144" s="214"/>
      <c r="H144" s="214"/>
      <c r="I144" s="234"/>
      <c r="J144" s="214">
        <f t="shared" si="5"/>
        <v>28</v>
      </c>
      <c r="K144" s="214"/>
    </row>
    <row r="145" spans="1:12">
      <c r="A145" s="214">
        <f t="shared" si="4"/>
        <v>29</v>
      </c>
      <c r="B145" s="222" t="s">
        <v>670</v>
      </c>
      <c r="G145" s="529">
        <f>G50</f>
        <v>7.5514348174546789E-2</v>
      </c>
      <c r="H145" s="218"/>
      <c r="I145" s="234" t="s">
        <v>671</v>
      </c>
      <c r="J145" s="214">
        <f t="shared" si="5"/>
        <v>29</v>
      </c>
      <c r="K145" s="214"/>
    </row>
    <row r="146" spans="1:12">
      <c r="A146" s="214">
        <f t="shared" si="4"/>
        <v>30</v>
      </c>
      <c r="G146" s="489"/>
      <c r="H146" s="489"/>
      <c r="I146" s="234"/>
      <c r="J146" s="214">
        <f t="shared" si="5"/>
        <v>30</v>
      </c>
      <c r="K146" s="214"/>
    </row>
    <row r="147" spans="1:12" ht="18" thickBot="1">
      <c r="A147" s="214">
        <f t="shared" si="4"/>
        <v>31</v>
      </c>
      <c r="B147" s="222" t="s">
        <v>672</v>
      </c>
      <c r="G147" s="530">
        <f>G143+G145</f>
        <v>9.6203495288120069E-2</v>
      </c>
      <c r="H147" s="41" t="s">
        <v>38</v>
      </c>
      <c r="I147" s="234" t="s">
        <v>673</v>
      </c>
      <c r="J147" s="214">
        <f t="shared" si="5"/>
        <v>31</v>
      </c>
      <c r="K147" s="531"/>
      <c r="L147" s="517"/>
    </row>
    <row r="148" spans="1:12" ht="16.149999999999999" thickTop="1" thickBot="1">
      <c r="A148" s="486">
        <f t="shared" si="4"/>
        <v>32</v>
      </c>
      <c r="B148" s="324"/>
      <c r="C148" s="324"/>
      <c r="D148" s="324"/>
      <c r="E148" s="324"/>
      <c r="F148" s="324"/>
      <c r="G148" s="486"/>
      <c r="H148" s="486"/>
      <c r="I148" s="487"/>
      <c r="J148" s="486">
        <f t="shared" si="5"/>
        <v>32</v>
      </c>
    </row>
    <row r="149" spans="1:12">
      <c r="A149" s="214">
        <f t="shared" si="4"/>
        <v>33</v>
      </c>
      <c r="G149" s="214"/>
      <c r="H149" s="214"/>
      <c r="I149" s="234"/>
      <c r="J149" s="214">
        <f t="shared" si="5"/>
        <v>33</v>
      </c>
    </row>
    <row r="150" spans="1:12" ht="17.649999999999999">
      <c r="A150" s="214">
        <f t="shared" si="4"/>
        <v>34</v>
      </c>
      <c r="B150" s="222" t="s">
        <v>674</v>
      </c>
      <c r="E150" s="218"/>
      <c r="F150" s="218"/>
      <c r="G150" s="505"/>
      <c r="H150" s="505"/>
      <c r="I150" s="234"/>
      <c r="J150" s="214">
        <f t="shared" si="5"/>
        <v>34</v>
      </c>
    </row>
    <row r="151" spans="1:12">
      <c r="A151" s="214">
        <f t="shared" si="4"/>
        <v>35</v>
      </c>
      <c r="B151" s="506"/>
      <c r="E151" s="218"/>
      <c r="F151" s="218"/>
      <c r="G151" s="505"/>
      <c r="H151" s="505"/>
      <c r="I151" s="234"/>
      <c r="J151" s="214">
        <f t="shared" si="5"/>
        <v>35</v>
      </c>
      <c r="L151" s="532"/>
    </row>
    <row r="152" spans="1:12">
      <c r="A152" s="214">
        <f t="shared" si="4"/>
        <v>36</v>
      </c>
      <c r="B152" s="222" t="s">
        <v>638</v>
      </c>
      <c r="E152" s="218"/>
      <c r="F152" s="218"/>
      <c r="G152" s="505"/>
      <c r="H152" s="505"/>
      <c r="I152" s="234"/>
      <c r="J152" s="214">
        <f t="shared" si="5"/>
        <v>36</v>
      </c>
    </row>
    <row r="153" spans="1:12">
      <c r="A153" s="214">
        <f t="shared" si="4"/>
        <v>37</v>
      </c>
      <c r="B153" s="218"/>
      <c r="C153" s="218"/>
      <c r="D153" s="218"/>
      <c r="E153" s="218"/>
      <c r="F153" s="218"/>
      <c r="G153" s="505"/>
      <c r="H153" s="505"/>
      <c r="I153" s="234"/>
      <c r="J153" s="214">
        <f t="shared" si="5"/>
        <v>37</v>
      </c>
    </row>
    <row r="154" spans="1:12">
      <c r="A154" s="214">
        <f t="shared" si="4"/>
        <v>38</v>
      </c>
      <c r="B154" s="224" t="s">
        <v>639</v>
      </c>
      <c r="C154" s="218"/>
      <c r="D154" s="218"/>
      <c r="E154" s="218"/>
      <c r="F154" s="218"/>
      <c r="G154" s="505"/>
      <c r="H154" s="505"/>
      <c r="I154" s="507"/>
      <c r="J154" s="214">
        <f t="shared" si="5"/>
        <v>38</v>
      </c>
    </row>
    <row r="155" spans="1:12">
      <c r="A155" s="214">
        <f t="shared" si="4"/>
        <v>39</v>
      </c>
      <c r="B155" s="215" t="s">
        <v>675</v>
      </c>
      <c r="D155" s="218"/>
      <c r="E155" s="218"/>
      <c r="F155" s="218"/>
      <c r="G155" s="508">
        <f>G65</f>
        <v>2.791568517417515E-3</v>
      </c>
      <c r="H155" s="218"/>
      <c r="I155" s="234" t="s">
        <v>676</v>
      </c>
      <c r="J155" s="214">
        <f t="shared" si="5"/>
        <v>39</v>
      </c>
      <c r="K155" s="214"/>
    </row>
    <row r="156" spans="1:12">
      <c r="A156" s="214">
        <f t="shared" si="4"/>
        <v>40</v>
      </c>
      <c r="B156" s="215" t="s">
        <v>642</v>
      </c>
      <c r="D156" s="218"/>
      <c r="E156" s="218"/>
      <c r="F156" s="218"/>
      <c r="G156" s="533">
        <v>0</v>
      </c>
      <c r="H156" s="218"/>
      <c r="I156" s="234" t="s">
        <v>619</v>
      </c>
      <c r="J156" s="214">
        <f t="shared" si="5"/>
        <v>40</v>
      </c>
      <c r="K156" s="214"/>
    </row>
    <row r="157" spans="1:12">
      <c r="A157" s="214">
        <f t="shared" si="4"/>
        <v>41</v>
      </c>
      <c r="B157" s="215" t="s">
        <v>644</v>
      </c>
      <c r="D157" s="218"/>
      <c r="E157" s="218"/>
      <c r="F157" s="218"/>
      <c r="G157" s="533">
        <v>0</v>
      </c>
      <c r="H157" s="218"/>
      <c r="I157" s="234" t="s">
        <v>619</v>
      </c>
      <c r="J157" s="214">
        <f t="shared" si="5"/>
        <v>41</v>
      </c>
      <c r="K157" s="218"/>
    </row>
    <row r="158" spans="1:12" ht="15.75">
      <c r="A158" s="214">
        <f t="shared" si="4"/>
        <v>42</v>
      </c>
      <c r="B158" s="215" t="s">
        <v>646</v>
      </c>
      <c r="D158" s="218"/>
      <c r="E158" s="511"/>
      <c r="F158" s="218"/>
      <c r="G158" s="512">
        <f>'Pg3 BK-1 Rev TO5 C2-Cost Adj '!E136</f>
        <v>4005249.9121370139</v>
      </c>
      <c r="H158" s="41" t="s">
        <v>38</v>
      </c>
      <c r="I158" s="234" t="s">
        <v>647</v>
      </c>
      <c r="J158" s="214">
        <f t="shared" si="5"/>
        <v>42</v>
      </c>
    </row>
    <row r="159" spans="1:12">
      <c r="A159" s="214">
        <f t="shared" si="4"/>
        <v>43</v>
      </c>
      <c r="B159" s="215" t="s">
        <v>648</v>
      </c>
      <c r="D159" s="513"/>
      <c r="E159" s="218"/>
      <c r="F159" s="218"/>
      <c r="G159" s="514" t="s">
        <v>649</v>
      </c>
      <c r="H159" s="218"/>
      <c r="I159" s="234" t="s">
        <v>650</v>
      </c>
      <c r="J159" s="214">
        <f t="shared" si="5"/>
        <v>43</v>
      </c>
      <c r="L159" s="515"/>
    </row>
    <row r="160" spans="1:12">
      <c r="A160" s="214">
        <f t="shared" si="4"/>
        <v>44</v>
      </c>
      <c r="G160" s="214"/>
      <c r="H160" s="214"/>
      <c r="J160" s="214">
        <f t="shared" si="5"/>
        <v>44</v>
      </c>
    </row>
    <row r="161" spans="1:12">
      <c r="A161" s="214">
        <f t="shared" si="4"/>
        <v>45</v>
      </c>
      <c r="B161" s="215" t="s">
        <v>651</v>
      </c>
      <c r="D161" s="218"/>
      <c r="E161" s="218"/>
      <c r="F161" s="218"/>
      <c r="G161" s="516">
        <f>(((G155)+(G157/G158))*G159-(G156/G158))/(1-G159)</f>
        <v>7.4206251728820016E-4</v>
      </c>
      <c r="H161" s="516"/>
      <c r="I161" s="234" t="s">
        <v>652</v>
      </c>
      <c r="J161" s="214">
        <f t="shared" si="5"/>
        <v>45</v>
      </c>
      <c r="L161" s="517"/>
    </row>
    <row r="162" spans="1:12">
      <c r="A162" s="214">
        <f t="shared" si="4"/>
        <v>46</v>
      </c>
      <c r="B162" s="518" t="s">
        <v>653</v>
      </c>
      <c r="G162" s="214"/>
      <c r="H162" s="214"/>
      <c r="J162" s="214">
        <f t="shared" si="5"/>
        <v>46</v>
      </c>
    </row>
    <row r="163" spans="1:12">
      <c r="A163" s="214">
        <f t="shared" si="4"/>
        <v>47</v>
      </c>
      <c r="G163" s="214"/>
      <c r="H163" s="214"/>
      <c r="J163" s="214">
        <f t="shared" si="5"/>
        <v>47</v>
      </c>
    </row>
    <row r="164" spans="1:12">
      <c r="A164" s="214">
        <f t="shared" si="4"/>
        <v>48</v>
      </c>
      <c r="B164" s="222" t="s">
        <v>654</v>
      </c>
      <c r="C164" s="218"/>
      <c r="D164" s="218"/>
      <c r="E164" s="218"/>
      <c r="F164" s="218"/>
      <c r="G164" s="519"/>
      <c r="H164" s="519"/>
      <c r="I164" s="520"/>
      <c r="J164" s="214">
        <f t="shared" si="5"/>
        <v>48</v>
      </c>
      <c r="K164" s="521"/>
    </row>
    <row r="165" spans="1:12">
      <c r="A165" s="214">
        <f t="shared" si="4"/>
        <v>49</v>
      </c>
      <c r="B165" s="245"/>
      <c r="C165" s="218"/>
      <c r="D165" s="218"/>
      <c r="E165" s="218"/>
      <c r="F165" s="218"/>
      <c r="G165" s="519"/>
      <c r="H165" s="519"/>
      <c r="I165" s="522"/>
      <c r="J165" s="214">
        <f t="shared" si="5"/>
        <v>49</v>
      </c>
      <c r="K165" s="218"/>
    </row>
    <row r="166" spans="1:12">
      <c r="A166" s="214">
        <f t="shared" si="4"/>
        <v>50</v>
      </c>
      <c r="B166" s="224" t="s">
        <v>639</v>
      </c>
      <c r="C166" s="218"/>
      <c r="D166" s="218"/>
      <c r="E166" s="218"/>
      <c r="F166" s="218"/>
      <c r="G166" s="519"/>
      <c r="H166" s="519"/>
      <c r="I166" s="522"/>
      <c r="J166" s="214">
        <f t="shared" si="5"/>
        <v>50</v>
      </c>
      <c r="K166" s="218"/>
    </row>
    <row r="167" spans="1:12">
      <c r="A167" s="214">
        <f t="shared" si="4"/>
        <v>51</v>
      </c>
      <c r="B167" s="215" t="s">
        <v>675</v>
      </c>
      <c r="D167" s="218"/>
      <c r="E167" s="218"/>
      <c r="F167" s="218"/>
      <c r="G167" s="489">
        <f>G155</f>
        <v>2.791568517417515E-3</v>
      </c>
      <c r="H167" s="489"/>
      <c r="I167" s="234" t="s">
        <v>677</v>
      </c>
      <c r="J167" s="214">
        <f t="shared" si="5"/>
        <v>51</v>
      </c>
      <c r="K167" s="214"/>
    </row>
    <row r="168" spans="1:12">
      <c r="A168" s="214">
        <f t="shared" si="4"/>
        <v>52</v>
      </c>
      <c r="B168" s="215" t="s">
        <v>656</v>
      </c>
      <c r="D168" s="218"/>
      <c r="E168" s="218"/>
      <c r="F168" s="218"/>
      <c r="G168" s="523">
        <f>G157</f>
        <v>0</v>
      </c>
      <c r="H168" s="523"/>
      <c r="I168" s="234" t="s">
        <v>678</v>
      </c>
      <c r="J168" s="214">
        <f t="shared" si="5"/>
        <v>52</v>
      </c>
      <c r="K168" s="214"/>
    </row>
    <row r="169" spans="1:12" ht="15.75">
      <c r="A169" s="214">
        <f t="shared" si="4"/>
        <v>53</v>
      </c>
      <c r="B169" s="215" t="s">
        <v>658</v>
      </c>
      <c r="D169" s="218"/>
      <c r="E169" s="218"/>
      <c r="F169" s="218"/>
      <c r="G169" s="524">
        <f>G158</f>
        <v>4005249.9121370139</v>
      </c>
      <c r="H169" s="41" t="s">
        <v>38</v>
      </c>
      <c r="I169" s="234" t="s">
        <v>679</v>
      </c>
      <c r="J169" s="214">
        <f t="shared" si="5"/>
        <v>53</v>
      </c>
      <c r="K169" s="214"/>
    </row>
    <row r="170" spans="1:12">
      <c r="A170" s="214">
        <f t="shared" si="4"/>
        <v>54</v>
      </c>
      <c r="B170" s="215" t="s">
        <v>660</v>
      </c>
      <c r="D170" s="218"/>
      <c r="E170" s="218"/>
      <c r="F170" s="218"/>
      <c r="G170" s="525">
        <f>G161</f>
        <v>7.4206251728820016E-4</v>
      </c>
      <c r="H170" s="525"/>
      <c r="I170" s="234" t="s">
        <v>680</v>
      </c>
      <c r="J170" s="214">
        <f t="shared" si="5"/>
        <v>54</v>
      </c>
    </row>
    <row r="171" spans="1:12">
      <c r="A171" s="214">
        <f t="shared" si="4"/>
        <v>55</v>
      </c>
      <c r="B171" s="215" t="s">
        <v>662</v>
      </c>
      <c r="D171" s="218"/>
      <c r="E171" s="218"/>
      <c r="F171" s="218"/>
      <c r="G171" s="514" t="s">
        <v>663</v>
      </c>
      <c r="H171" s="218"/>
      <c r="I171" s="234" t="s">
        <v>664</v>
      </c>
      <c r="J171" s="214">
        <f t="shared" si="5"/>
        <v>55</v>
      </c>
    </row>
    <row r="172" spans="1:12">
      <c r="A172" s="214">
        <f t="shared" si="4"/>
        <v>56</v>
      </c>
      <c r="B172" s="262"/>
      <c r="D172" s="218"/>
      <c r="E172" s="218"/>
      <c r="F172" s="218"/>
      <c r="G172" s="526"/>
      <c r="H172" s="526"/>
      <c r="I172" s="522"/>
      <c r="J172" s="214">
        <f t="shared" si="5"/>
        <v>56</v>
      </c>
      <c r="K172" s="534"/>
    </row>
    <row r="173" spans="1:12">
      <c r="A173" s="214">
        <f t="shared" si="4"/>
        <v>57</v>
      </c>
      <c r="B173" s="215" t="s">
        <v>665</v>
      </c>
      <c r="C173" s="214"/>
      <c r="D173" s="214"/>
      <c r="E173" s="218"/>
      <c r="F173" s="218"/>
      <c r="G173" s="527">
        <f>((G167)+(G168/G169)+G161)*G171/(1-G171)</f>
        <v>3.426645277182813E-4</v>
      </c>
      <c r="H173" s="528"/>
      <c r="I173" s="234" t="s">
        <v>666</v>
      </c>
      <c r="J173" s="214">
        <f t="shared" si="5"/>
        <v>57</v>
      </c>
    </row>
    <row r="174" spans="1:12">
      <c r="A174" s="214">
        <f t="shared" si="4"/>
        <v>58</v>
      </c>
      <c r="B174" s="518" t="s">
        <v>667</v>
      </c>
      <c r="G174" s="214"/>
      <c r="H174" s="214"/>
      <c r="I174" s="234"/>
      <c r="J174" s="214">
        <f t="shared" si="5"/>
        <v>58</v>
      </c>
      <c r="K174" s="214"/>
    </row>
    <row r="175" spans="1:12">
      <c r="A175" s="214">
        <f t="shared" si="4"/>
        <v>59</v>
      </c>
      <c r="G175" s="214"/>
      <c r="H175" s="214"/>
      <c r="I175" s="234"/>
      <c r="J175" s="214">
        <f t="shared" si="5"/>
        <v>59</v>
      </c>
      <c r="K175" s="214"/>
    </row>
    <row r="176" spans="1:12">
      <c r="A176" s="214">
        <f t="shared" si="4"/>
        <v>60</v>
      </c>
      <c r="B176" s="222" t="s">
        <v>668</v>
      </c>
      <c r="G176" s="516">
        <f>G173+G161</f>
        <v>1.0847270450064814E-3</v>
      </c>
      <c r="H176" s="516"/>
      <c r="I176" s="234" t="s">
        <v>681</v>
      </c>
      <c r="J176" s="214">
        <f t="shared" si="5"/>
        <v>60</v>
      </c>
      <c r="K176" s="214"/>
    </row>
    <row r="177" spans="1:12">
      <c r="A177" s="214">
        <f t="shared" si="4"/>
        <v>61</v>
      </c>
      <c r="G177" s="214"/>
      <c r="H177" s="214"/>
      <c r="I177" s="234"/>
      <c r="J177" s="214">
        <f t="shared" si="5"/>
        <v>61</v>
      </c>
      <c r="K177" s="214"/>
    </row>
    <row r="178" spans="1:12">
      <c r="A178" s="214">
        <f t="shared" si="4"/>
        <v>62</v>
      </c>
      <c r="B178" s="222" t="s">
        <v>682</v>
      </c>
      <c r="G178" s="535">
        <f>G63</f>
        <v>2.791568517417515E-3</v>
      </c>
      <c r="H178" s="218"/>
      <c r="I178" s="234" t="s">
        <v>683</v>
      </c>
      <c r="J178" s="214">
        <f t="shared" si="5"/>
        <v>62</v>
      </c>
      <c r="K178" s="214"/>
    </row>
    <row r="179" spans="1:12">
      <c r="A179" s="214">
        <f t="shared" si="4"/>
        <v>63</v>
      </c>
      <c r="G179" s="489"/>
      <c r="H179" s="489"/>
      <c r="I179" s="234"/>
      <c r="J179" s="214">
        <f t="shared" si="5"/>
        <v>63</v>
      </c>
      <c r="K179" s="214"/>
    </row>
    <row r="180" spans="1:12" ht="18" thickBot="1">
      <c r="A180" s="214">
        <f t="shared" si="4"/>
        <v>64</v>
      </c>
      <c r="B180" s="222" t="s">
        <v>684</v>
      </c>
      <c r="G180" s="536">
        <f>G176+G178</f>
        <v>3.8762955624239964E-3</v>
      </c>
      <c r="H180" s="528"/>
      <c r="I180" s="234" t="s">
        <v>685</v>
      </c>
      <c r="J180" s="214">
        <f t="shared" si="5"/>
        <v>64</v>
      </c>
      <c r="K180" s="531"/>
      <c r="L180" s="517"/>
    </row>
    <row r="181" spans="1:12" ht="15.75" thickTop="1">
      <c r="B181" s="222"/>
      <c r="G181" s="537"/>
      <c r="H181" s="537"/>
      <c r="I181" s="234"/>
      <c r="J181" s="214"/>
      <c r="K181" s="531"/>
      <c r="L181" s="517"/>
    </row>
    <row r="182" spans="1:12" ht="15.75">
      <c r="A182" s="41" t="s">
        <v>38</v>
      </c>
      <c r="B182" s="32" t="s">
        <v>370</v>
      </c>
      <c r="G182" s="537"/>
      <c r="H182" s="537"/>
      <c r="I182" s="234"/>
      <c r="J182" s="214"/>
      <c r="K182" s="531"/>
      <c r="L182" s="517"/>
    </row>
    <row r="183" spans="1:12">
      <c r="A183" s="538"/>
      <c r="B183" s="262"/>
      <c r="C183" s="216"/>
      <c r="D183" s="216"/>
      <c r="E183" s="216"/>
      <c r="F183" s="216"/>
      <c r="G183" s="539"/>
      <c r="H183" s="539"/>
      <c r="I183" s="540"/>
      <c r="J183" s="214"/>
    </row>
    <row r="184" spans="1:12">
      <c r="A184" s="538"/>
      <c r="B184" s="262"/>
      <c r="C184" s="216"/>
      <c r="D184" s="216"/>
      <c r="E184" s="216"/>
      <c r="F184" s="216"/>
      <c r="G184" s="539"/>
      <c r="H184" s="539"/>
      <c r="I184" s="540"/>
      <c r="J184" s="214"/>
    </row>
    <row r="185" spans="1:12">
      <c r="B185" s="615" t="s">
        <v>214</v>
      </c>
      <c r="C185" s="615"/>
      <c r="D185" s="615"/>
      <c r="E185" s="615"/>
      <c r="F185" s="615"/>
      <c r="G185" s="615"/>
      <c r="H185" s="615"/>
      <c r="I185" s="615"/>
      <c r="J185" s="214"/>
    </row>
    <row r="186" spans="1:12">
      <c r="B186" s="615" t="s">
        <v>547</v>
      </c>
      <c r="C186" s="615"/>
      <c r="D186" s="615"/>
      <c r="E186" s="615"/>
      <c r="F186" s="615"/>
      <c r="G186" s="615"/>
      <c r="H186" s="615"/>
      <c r="I186" s="615"/>
      <c r="J186" s="214"/>
    </row>
    <row r="187" spans="1:12">
      <c r="B187" s="615" t="s">
        <v>548</v>
      </c>
      <c r="C187" s="615"/>
      <c r="D187" s="615"/>
      <c r="E187" s="615"/>
      <c r="F187" s="615"/>
      <c r="G187" s="615"/>
      <c r="H187" s="615"/>
      <c r="I187" s="615"/>
      <c r="J187" s="214"/>
    </row>
    <row r="188" spans="1:12">
      <c r="B188" s="616" t="str">
        <f>B5</f>
        <v>Base Period &amp; True-Up Period 12 - Months Ending December 31, 2018</v>
      </c>
      <c r="C188" s="616"/>
      <c r="D188" s="616"/>
      <c r="E188" s="616"/>
      <c r="F188" s="616"/>
      <c r="G188" s="616"/>
      <c r="H188" s="616"/>
      <c r="I188" s="616"/>
      <c r="J188" s="214"/>
    </row>
    <row r="189" spans="1:12">
      <c r="B189" s="617" t="s">
        <v>3</v>
      </c>
      <c r="C189" s="618"/>
      <c r="D189" s="618"/>
      <c r="E189" s="618"/>
      <c r="F189" s="618"/>
      <c r="G189" s="618"/>
      <c r="H189" s="618"/>
      <c r="I189" s="618"/>
      <c r="J189" s="214"/>
    </row>
    <row r="190" spans="1:12">
      <c r="B190" s="214"/>
      <c r="C190" s="214"/>
      <c r="D190" s="214"/>
      <c r="E190" s="214"/>
      <c r="F190" s="214"/>
      <c r="G190" s="218"/>
      <c r="H190" s="218"/>
      <c r="I190" s="234"/>
      <c r="J190" s="214"/>
    </row>
    <row r="191" spans="1:12">
      <c r="A191" s="214" t="s">
        <v>4</v>
      </c>
      <c r="B191" s="218"/>
      <c r="C191" s="218"/>
      <c r="D191" s="218"/>
      <c r="E191" s="218"/>
      <c r="F191" s="218"/>
      <c r="G191" s="218"/>
      <c r="H191" s="218"/>
      <c r="I191" s="234"/>
      <c r="J191" s="214" t="s">
        <v>4</v>
      </c>
    </row>
    <row r="192" spans="1:12">
      <c r="A192" s="214" t="s">
        <v>5</v>
      </c>
      <c r="B192" s="214"/>
      <c r="C192" s="214"/>
      <c r="D192" s="214"/>
      <c r="E192" s="214"/>
      <c r="F192" s="214"/>
      <c r="G192" s="220" t="s">
        <v>7</v>
      </c>
      <c r="H192" s="218"/>
      <c r="I192" s="471" t="s">
        <v>8</v>
      </c>
      <c r="J192" s="214" t="s">
        <v>5</v>
      </c>
    </row>
    <row r="193" spans="1:10">
      <c r="G193" s="214"/>
      <c r="H193" s="214"/>
      <c r="I193" s="234"/>
      <c r="J193" s="214"/>
    </row>
    <row r="194" spans="1:10" ht="17.649999999999999">
      <c r="A194" s="214">
        <v>1</v>
      </c>
      <c r="B194" s="222" t="s">
        <v>686</v>
      </c>
      <c r="E194" s="218"/>
      <c r="F194" s="218"/>
      <c r="G194" s="505"/>
      <c r="H194" s="505"/>
      <c r="I194" s="234"/>
      <c r="J194" s="214">
        <v>1</v>
      </c>
    </row>
    <row r="195" spans="1:10">
      <c r="A195" s="214">
        <f>A194+1</f>
        <v>2</v>
      </c>
      <c r="B195" s="506"/>
      <c r="E195" s="218"/>
      <c r="F195" s="218"/>
      <c r="G195" s="505"/>
      <c r="H195" s="505"/>
      <c r="I195" s="234"/>
      <c r="J195" s="214">
        <f>J194+1</f>
        <v>2</v>
      </c>
    </row>
    <row r="196" spans="1:10">
      <c r="A196" s="214">
        <f>A195+1</f>
        <v>3</v>
      </c>
      <c r="B196" s="222" t="s">
        <v>638</v>
      </c>
      <c r="E196" s="218"/>
      <c r="F196" s="218"/>
      <c r="G196" s="505"/>
      <c r="H196" s="505"/>
      <c r="I196" s="234"/>
      <c r="J196" s="214">
        <f>J195+1</f>
        <v>3</v>
      </c>
    </row>
    <row r="197" spans="1:10">
      <c r="A197" s="214">
        <f>A196+1</f>
        <v>4</v>
      </c>
      <c r="B197" s="218"/>
      <c r="C197" s="218"/>
      <c r="D197" s="218"/>
      <c r="E197" s="218"/>
      <c r="F197" s="218"/>
      <c r="G197" s="505"/>
      <c r="H197" s="505"/>
      <c r="I197" s="234"/>
      <c r="J197" s="214">
        <f>J196+1</f>
        <v>4</v>
      </c>
    </row>
    <row r="198" spans="1:10">
      <c r="A198" s="214">
        <f t="shared" ref="A198:A257" si="6">A197+1</f>
        <v>5</v>
      </c>
      <c r="B198" s="224" t="s">
        <v>639</v>
      </c>
      <c r="C198" s="218"/>
      <c r="D198" s="218"/>
      <c r="E198" s="218"/>
      <c r="F198" s="218"/>
      <c r="G198" s="505"/>
      <c r="H198" s="505"/>
      <c r="I198" s="507"/>
      <c r="J198" s="214">
        <f t="shared" ref="J198:J257" si="7">J197+1</f>
        <v>5</v>
      </c>
    </row>
    <row r="199" spans="1:10">
      <c r="A199" s="214">
        <f t="shared" si="6"/>
        <v>6</v>
      </c>
      <c r="B199" s="215" t="s">
        <v>640</v>
      </c>
      <c r="D199" s="218"/>
      <c r="E199" s="218"/>
      <c r="F199" s="218"/>
      <c r="G199" s="508">
        <f>G89</f>
        <v>0</v>
      </c>
      <c r="H199" s="218"/>
      <c r="I199" s="234" t="s">
        <v>687</v>
      </c>
      <c r="J199" s="214">
        <f t="shared" si="7"/>
        <v>6</v>
      </c>
    </row>
    <row r="200" spans="1:10">
      <c r="A200" s="214">
        <f t="shared" si="6"/>
        <v>7</v>
      </c>
      <c r="B200" s="215" t="s">
        <v>642</v>
      </c>
      <c r="D200" s="218"/>
      <c r="E200" s="218"/>
      <c r="F200" s="218"/>
      <c r="G200" s="533">
        <v>0</v>
      </c>
      <c r="H200" s="218"/>
      <c r="I200" s="234" t="s">
        <v>688</v>
      </c>
      <c r="J200" s="214">
        <f t="shared" si="7"/>
        <v>7</v>
      </c>
    </row>
    <row r="201" spans="1:10">
      <c r="A201" s="214">
        <f t="shared" si="6"/>
        <v>8</v>
      </c>
      <c r="B201" s="215" t="s">
        <v>644</v>
      </c>
      <c r="D201" s="218"/>
      <c r="E201" s="218"/>
      <c r="F201" s="218"/>
      <c r="G201" s="510">
        <v>0</v>
      </c>
      <c r="H201" s="218"/>
      <c r="I201" s="500"/>
      <c r="J201" s="214">
        <f t="shared" si="7"/>
        <v>8</v>
      </c>
    </row>
    <row r="202" spans="1:10">
      <c r="A202" s="214">
        <f t="shared" si="6"/>
        <v>9</v>
      </c>
      <c r="B202" s="215" t="s">
        <v>689</v>
      </c>
      <c r="D202" s="218"/>
      <c r="E202" s="218"/>
      <c r="F202" s="218"/>
      <c r="G202" s="509">
        <f>'Pg3 BK-1 Rev TO5 C2-Cost Adj '!E141</f>
        <v>0</v>
      </c>
      <c r="H202" s="218"/>
      <c r="I202" s="234" t="s">
        <v>690</v>
      </c>
      <c r="J202" s="214">
        <f t="shared" si="7"/>
        <v>9</v>
      </c>
    </row>
    <row r="203" spans="1:10">
      <c r="A203" s="214">
        <f t="shared" si="6"/>
        <v>10</v>
      </c>
      <c r="B203" s="215" t="s">
        <v>648</v>
      </c>
      <c r="D203" s="218"/>
      <c r="E203" s="218"/>
      <c r="F203" s="218"/>
      <c r="G203" s="541" t="str">
        <f>G126</f>
        <v>21%</v>
      </c>
      <c r="H203" s="218"/>
      <c r="I203" s="234" t="s">
        <v>691</v>
      </c>
      <c r="J203" s="214">
        <f t="shared" si="7"/>
        <v>10</v>
      </c>
    </row>
    <row r="204" spans="1:10">
      <c r="A204" s="214">
        <f t="shared" si="6"/>
        <v>11</v>
      </c>
      <c r="G204" s="214"/>
      <c r="H204" s="214"/>
      <c r="J204" s="214">
        <f t="shared" si="7"/>
        <v>11</v>
      </c>
    </row>
    <row r="205" spans="1:10">
      <c r="A205" s="214">
        <f t="shared" si="6"/>
        <v>12</v>
      </c>
      <c r="B205" s="215" t="s">
        <v>692</v>
      </c>
      <c r="D205" s="218"/>
      <c r="E205" s="218"/>
      <c r="F205" s="218"/>
      <c r="G205" s="516">
        <f>IFERROR((((G199)+(G201/G202))*G203-(G200/G202))/(1-G203),0)</f>
        <v>0</v>
      </c>
      <c r="H205" s="516"/>
      <c r="I205" s="234" t="s">
        <v>693</v>
      </c>
      <c r="J205" s="214">
        <f t="shared" si="7"/>
        <v>12</v>
      </c>
    </row>
    <row r="206" spans="1:10">
      <c r="A206" s="214">
        <f t="shared" si="6"/>
        <v>13</v>
      </c>
      <c r="B206" s="518" t="s">
        <v>653</v>
      </c>
      <c r="D206" s="518"/>
      <c r="G206" s="499"/>
      <c r="H206" s="499"/>
      <c r="J206" s="214">
        <f t="shared" si="7"/>
        <v>13</v>
      </c>
    </row>
    <row r="207" spans="1:10">
      <c r="A207" s="214">
        <f t="shared" si="6"/>
        <v>14</v>
      </c>
      <c r="G207" s="214"/>
      <c r="H207" s="214"/>
      <c r="J207" s="214">
        <f t="shared" si="7"/>
        <v>14</v>
      </c>
    </row>
    <row r="208" spans="1:10">
      <c r="A208" s="214">
        <f t="shared" si="6"/>
        <v>15</v>
      </c>
      <c r="B208" s="222" t="s">
        <v>654</v>
      </c>
      <c r="C208" s="218"/>
      <c r="D208" s="218"/>
      <c r="E208" s="218"/>
      <c r="F208" s="218"/>
      <c r="G208" s="519"/>
      <c r="H208" s="519"/>
      <c r="I208" s="520"/>
      <c r="J208" s="214">
        <f t="shared" si="7"/>
        <v>15</v>
      </c>
    </row>
    <row r="209" spans="1:10">
      <c r="A209" s="214">
        <f t="shared" si="6"/>
        <v>16</v>
      </c>
      <c r="B209" s="245"/>
      <c r="C209" s="218"/>
      <c r="D209" s="218"/>
      <c r="E209" s="218"/>
      <c r="F209" s="218"/>
      <c r="G209" s="519"/>
      <c r="H209" s="519"/>
      <c r="I209" s="507"/>
      <c r="J209" s="214">
        <f t="shared" si="7"/>
        <v>16</v>
      </c>
    </row>
    <row r="210" spans="1:10">
      <c r="A210" s="214">
        <f t="shared" si="6"/>
        <v>17</v>
      </c>
      <c r="B210" s="224" t="s">
        <v>639</v>
      </c>
      <c r="C210" s="218"/>
      <c r="D210" s="218"/>
      <c r="E210" s="218"/>
      <c r="F210" s="218"/>
      <c r="G210" s="519"/>
      <c r="H210" s="519"/>
      <c r="I210" s="507"/>
      <c r="J210" s="214">
        <f t="shared" si="7"/>
        <v>17</v>
      </c>
    </row>
    <row r="211" spans="1:10">
      <c r="A211" s="214">
        <f t="shared" si="6"/>
        <v>18</v>
      </c>
      <c r="B211" s="215" t="s">
        <v>640</v>
      </c>
      <c r="D211" s="218"/>
      <c r="E211" s="218"/>
      <c r="F211" s="218"/>
      <c r="G211" s="489">
        <f>G199</f>
        <v>0</v>
      </c>
      <c r="H211" s="489"/>
      <c r="I211" s="234" t="s">
        <v>655</v>
      </c>
      <c r="J211" s="214">
        <f t="shared" si="7"/>
        <v>18</v>
      </c>
    </row>
    <row r="212" spans="1:10">
      <c r="A212" s="214">
        <f t="shared" si="6"/>
        <v>19</v>
      </c>
      <c r="B212" s="215" t="s">
        <v>656</v>
      </c>
      <c r="D212" s="218"/>
      <c r="E212" s="218"/>
      <c r="F212" s="218"/>
      <c r="G212" s="523">
        <f>G201</f>
        <v>0</v>
      </c>
      <c r="H212" s="523"/>
      <c r="I212" s="234" t="s">
        <v>657</v>
      </c>
      <c r="J212" s="214">
        <f t="shared" si="7"/>
        <v>19</v>
      </c>
    </row>
    <row r="213" spans="1:10">
      <c r="A213" s="214">
        <f t="shared" si="6"/>
        <v>20</v>
      </c>
      <c r="B213" s="215" t="s">
        <v>694</v>
      </c>
      <c r="D213" s="218"/>
      <c r="E213" s="218"/>
      <c r="F213" s="218"/>
      <c r="G213" s="523">
        <f>G202</f>
        <v>0</v>
      </c>
      <c r="H213" s="523"/>
      <c r="I213" s="234" t="s">
        <v>659</v>
      </c>
      <c r="J213" s="214">
        <f t="shared" si="7"/>
        <v>20</v>
      </c>
    </row>
    <row r="214" spans="1:10">
      <c r="A214" s="214">
        <f t="shared" si="6"/>
        <v>21</v>
      </c>
      <c r="B214" s="215" t="s">
        <v>660</v>
      </c>
      <c r="D214" s="218"/>
      <c r="E214" s="218"/>
      <c r="F214" s="218"/>
      <c r="G214" s="525">
        <f>G205</f>
        <v>0</v>
      </c>
      <c r="H214" s="525"/>
      <c r="I214" s="234" t="s">
        <v>661</v>
      </c>
      <c r="J214" s="214">
        <f t="shared" si="7"/>
        <v>21</v>
      </c>
    </row>
    <row r="215" spans="1:10">
      <c r="A215" s="214">
        <f t="shared" si="6"/>
        <v>22</v>
      </c>
      <c r="B215" s="215" t="s">
        <v>662</v>
      </c>
      <c r="D215" s="218"/>
      <c r="E215" s="218"/>
      <c r="F215" s="218"/>
      <c r="G215" s="542" t="str">
        <f>G138</f>
        <v>8.84%</v>
      </c>
      <c r="H215" s="218"/>
      <c r="I215" s="234" t="s">
        <v>695</v>
      </c>
      <c r="J215" s="214">
        <f t="shared" si="7"/>
        <v>22</v>
      </c>
    </row>
    <row r="216" spans="1:10">
      <c r="A216" s="214">
        <f t="shared" si="6"/>
        <v>23</v>
      </c>
      <c r="B216" s="262"/>
      <c r="D216" s="218"/>
      <c r="E216" s="218"/>
      <c r="F216" s="218"/>
      <c r="G216" s="526"/>
      <c r="H216" s="526"/>
      <c r="I216" s="522"/>
      <c r="J216" s="214">
        <f t="shared" si="7"/>
        <v>23</v>
      </c>
    </row>
    <row r="217" spans="1:10">
      <c r="A217" s="214">
        <f t="shared" si="6"/>
        <v>24</v>
      </c>
      <c r="B217" s="215" t="s">
        <v>665</v>
      </c>
      <c r="C217" s="214"/>
      <c r="D217" s="214"/>
      <c r="E217" s="218"/>
      <c r="F217" s="218"/>
      <c r="G217" s="527">
        <f>IFERROR(((G211)+(G212/G213)+G205)*G215/(1-G215),0)</f>
        <v>0</v>
      </c>
      <c r="H217" s="528"/>
      <c r="I217" s="234" t="s">
        <v>666</v>
      </c>
      <c r="J217" s="214">
        <f t="shared" si="7"/>
        <v>24</v>
      </c>
    </row>
    <row r="218" spans="1:10">
      <c r="A218" s="214">
        <f t="shared" si="6"/>
        <v>25</v>
      </c>
      <c r="B218" s="518" t="s">
        <v>667</v>
      </c>
      <c r="D218" s="518"/>
      <c r="G218" s="214"/>
      <c r="H218" s="214"/>
      <c r="I218" s="234"/>
      <c r="J218" s="214">
        <f t="shared" si="7"/>
        <v>25</v>
      </c>
    </row>
    <row r="219" spans="1:10">
      <c r="A219" s="214">
        <f t="shared" si="6"/>
        <v>26</v>
      </c>
      <c r="G219" s="214"/>
      <c r="H219" s="214"/>
      <c r="I219" s="234"/>
      <c r="J219" s="214">
        <f t="shared" si="7"/>
        <v>26</v>
      </c>
    </row>
    <row r="220" spans="1:10">
      <c r="A220" s="214">
        <f t="shared" si="6"/>
        <v>27</v>
      </c>
      <c r="B220" s="222" t="s">
        <v>668</v>
      </c>
      <c r="G220" s="516">
        <f>G217+G205</f>
        <v>0</v>
      </c>
      <c r="H220" s="516"/>
      <c r="I220" s="234" t="s">
        <v>669</v>
      </c>
      <c r="J220" s="214">
        <f t="shared" si="7"/>
        <v>27</v>
      </c>
    </row>
    <row r="221" spans="1:10">
      <c r="A221" s="214">
        <f t="shared" si="6"/>
        <v>28</v>
      </c>
      <c r="G221" s="214"/>
      <c r="H221" s="214"/>
      <c r="I221" s="234"/>
      <c r="J221" s="214">
        <f t="shared" si="7"/>
        <v>28</v>
      </c>
    </row>
    <row r="222" spans="1:10">
      <c r="A222" s="214">
        <f t="shared" si="6"/>
        <v>29</v>
      </c>
      <c r="B222" s="222" t="s">
        <v>696</v>
      </c>
      <c r="G222" s="543">
        <f>G87</f>
        <v>1.9124664122712989E-2</v>
      </c>
      <c r="H222" s="218"/>
      <c r="I222" s="234" t="s">
        <v>697</v>
      </c>
      <c r="J222" s="214">
        <f t="shared" si="7"/>
        <v>29</v>
      </c>
    </row>
    <row r="223" spans="1:10">
      <c r="A223" s="214">
        <f t="shared" si="6"/>
        <v>30</v>
      </c>
      <c r="G223" s="214"/>
      <c r="H223" s="214"/>
      <c r="I223" s="234"/>
      <c r="J223" s="214">
        <f t="shared" si="7"/>
        <v>30</v>
      </c>
    </row>
    <row r="224" spans="1:10" ht="18" thickBot="1">
      <c r="A224" s="214">
        <f t="shared" si="6"/>
        <v>31</v>
      </c>
      <c r="B224" s="222" t="s">
        <v>698</v>
      </c>
      <c r="G224" s="544">
        <f>G220+G222</f>
        <v>1.9124664122712989E-2</v>
      </c>
      <c r="H224" s="545"/>
      <c r="I224" s="234" t="s">
        <v>673</v>
      </c>
      <c r="J224" s="214">
        <f t="shared" si="7"/>
        <v>31</v>
      </c>
    </row>
    <row r="225" spans="1:10" ht="16.149999999999999" thickTop="1" thickBot="1">
      <c r="A225" s="486">
        <f t="shared" si="6"/>
        <v>32</v>
      </c>
      <c r="B225" s="501"/>
      <c r="C225" s="324"/>
      <c r="D225" s="324"/>
      <c r="E225" s="324"/>
      <c r="F225" s="324"/>
      <c r="G225" s="546"/>
      <c r="H225" s="546"/>
      <c r="I225" s="487"/>
      <c r="J225" s="486">
        <f t="shared" si="7"/>
        <v>32</v>
      </c>
    </row>
    <row r="226" spans="1:10">
      <c r="A226" s="214">
        <f t="shared" si="6"/>
        <v>33</v>
      </c>
      <c r="B226" s="222"/>
      <c r="G226" s="545"/>
      <c r="H226" s="545"/>
      <c r="I226" s="234"/>
      <c r="J226" s="214">
        <f t="shared" si="7"/>
        <v>33</v>
      </c>
    </row>
    <row r="227" spans="1:10" ht="17.649999999999999">
      <c r="A227" s="214">
        <f t="shared" si="6"/>
        <v>34</v>
      </c>
      <c r="B227" s="222" t="s">
        <v>674</v>
      </c>
      <c r="E227" s="218"/>
      <c r="F227" s="218"/>
      <c r="G227" s="505"/>
      <c r="H227" s="505"/>
      <c r="I227" s="234"/>
      <c r="J227" s="214">
        <f t="shared" si="7"/>
        <v>34</v>
      </c>
    </row>
    <row r="228" spans="1:10">
      <c r="A228" s="214">
        <f t="shared" si="6"/>
        <v>35</v>
      </c>
      <c r="B228" s="506"/>
      <c r="E228" s="218"/>
      <c r="F228" s="218"/>
      <c r="G228" s="505"/>
      <c r="H228" s="505"/>
      <c r="I228" s="234"/>
      <c r="J228" s="214">
        <f t="shared" si="7"/>
        <v>35</v>
      </c>
    </row>
    <row r="229" spans="1:10">
      <c r="A229" s="214">
        <f t="shared" si="6"/>
        <v>36</v>
      </c>
      <c r="B229" s="222" t="s">
        <v>638</v>
      </c>
      <c r="E229" s="218"/>
      <c r="F229" s="218"/>
      <c r="G229" s="505"/>
      <c r="H229" s="505"/>
      <c r="I229" s="234"/>
      <c r="J229" s="214">
        <f t="shared" si="7"/>
        <v>36</v>
      </c>
    </row>
    <row r="230" spans="1:10">
      <c r="A230" s="214">
        <f t="shared" si="6"/>
        <v>37</v>
      </c>
      <c r="B230" s="218"/>
      <c r="C230" s="218"/>
      <c r="D230" s="218"/>
      <c r="E230" s="218"/>
      <c r="F230" s="218"/>
      <c r="G230" s="505"/>
      <c r="H230" s="505"/>
      <c r="I230" s="234"/>
      <c r="J230" s="214">
        <f t="shared" si="7"/>
        <v>37</v>
      </c>
    </row>
    <row r="231" spans="1:10">
      <c r="A231" s="214">
        <f t="shared" si="6"/>
        <v>38</v>
      </c>
      <c r="B231" s="224" t="s">
        <v>639</v>
      </c>
      <c r="C231" s="218"/>
      <c r="D231" s="218"/>
      <c r="E231" s="218"/>
      <c r="F231" s="218"/>
      <c r="G231" s="505"/>
      <c r="H231" s="505"/>
      <c r="I231" s="507"/>
      <c r="J231" s="214">
        <f t="shared" si="7"/>
        <v>38</v>
      </c>
    </row>
    <row r="232" spans="1:10">
      <c r="A232" s="214">
        <f t="shared" si="6"/>
        <v>39</v>
      </c>
      <c r="B232" s="215" t="s">
        <v>675</v>
      </c>
      <c r="D232" s="218"/>
      <c r="E232" s="218"/>
      <c r="F232" s="218"/>
      <c r="G232" s="508">
        <f>G102</f>
        <v>0</v>
      </c>
      <c r="H232" s="218"/>
      <c r="I232" s="234" t="s">
        <v>699</v>
      </c>
      <c r="J232" s="214">
        <f t="shared" si="7"/>
        <v>39</v>
      </c>
    </row>
    <row r="233" spans="1:10">
      <c r="A233" s="214">
        <f t="shared" si="6"/>
        <v>40</v>
      </c>
      <c r="B233" s="215" t="s">
        <v>642</v>
      </c>
      <c r="D233" s="218"/>
      <c r="E233" s="218"/>
      <c r="F233" s="218"/>
      <c r="G233" s="533">
        <v>0</v>
      </c>
      <c r="H233" s="218"/>
      <c r="I233" s="234" t="s">
        <v>688</v>
      </c>
      <c r="J233" s="214">
        <f t="shared" si="7"/>
        <v>40</v>
      </c>
    </row>
    <row r="234" spans="1:10">
      <c r="A234" s="214">
        <f t="shared" si="6"/>
        <v>41</v>
      </c>
      <c r="B234" s="215" t="s">
        <v>644</v>
      </c>
      <c r="D234" s="218"/>
      <c r="E234" s="218"/>
      <c r="F234" s="218"/>
      <c r="G234" s="510">
        <v>0</v>
      </c>
      <c r="H234" s="218"/>
      <c r="I234" s="500"/>
      <c r="J234" s="214">
        <f t="shared" si="7"/>
        <v>41</v>
      </c>
    </row>
    <row r="235" spans="1:10">
      <c r="A235" s="214">
        <f t="shared" si="6"/>
        <v>42</v>
      </c>
      <c r="B235" s="215" t="s">
        <v>700</v>
      </c>
      <c r="D235" s="218"/>
      <c r="E235" s="218"/>
      <c r="F235" s="218"/>
      <c r="G235" s="509">
        <f>'Pg3 BK-1 Rev TO5 C2-Cost Adj '!E141</f>
        <v>0</v>
      </c>
      <c r="H235" s="218"/>
      <c r="I235" s="234" t="s">
        <v>690</v>
      </c>
      <c r="J235" s="214">
        <f t="shared" si="7"/>
        <v>42</v>
      </c>
    </row>
    <row r="236" spans="1:10">
      <c r="A236" s="214">
        <f t="shared" si="6"/>
        <v>43</v>
      </c>
      <c r="B236" s="215" t="s">
        <v>648</v>
      </c>
      <c r="D236" s="218"/>
      <c r="E236" s="218"/>
      <c r="F236" s="218"/>
      <c r="G236" s="541" t="str">
        <f>G159</f>
        <v>21%</v>
      </c>
      <c r="H236" s="218"/>
      <c r="I236" s="234" t="s">
        <v>691</v>
      </c>
      <c r="J236" s="214">
        <f t="shared" si="7"/>
        <v>43</v>
      </c>
    </row>
    <row r="237" spans="1:10">
      <c r="A237" s="214">
        <f t="shared" si="6"/>
        <v>44</v>
      </c>
      <c r="G237" s="214"/>
      <c r="H237" s="214"/>
      <c r="J237" s="214">
        <f t="shared" si="7"/>
        <v>44</v>
      </c>
    </row>
    <row r="238" spans="1:10">
      <c r="A238" s="214">
        <f t="shared" si="6"/>
        <v>45</v>
      </c>
      <c r="B238" s="215" t="s">
        <v>651</v>
      </c>
      <c r="D238" s="218"/>
      <c r="E238" s="218"/>
      <c r="F238" s="218"/>
      <c r="G238" s="516">
        <f>IFERROR((((G232)+(G234/G235))*G236-(G233/G235))/(1-G236),0)</f>
        <v>0</v>
      </c>
      <c r="H238" s="516"/>
      <c r="I238" s="234" t="s">
        <v>693</v>
      </c>
      <c r="J238" s="214">
        <f t="shared" si="7"/>
        <v>45</v>
      </c>
    </row>
    <row r="239" spans="1:10">
      <c r="A239" s="214">
        <f t="shared" si="6"/>
        <v>46</v>
      </c>
      <c r="B239" s="518" t="s">
        <v>653</v>
      </c>
      <c r="D239" s="518"/>
      <c r="G239" s="499"/>
      <c r="H239" s="499"/>
      <c r="J239" s="214">
        <f t="shared" si="7"/>
        <v>46</v>
      </c>
    </row>
    <row r="240" spans="1:10">
      <c r="A240" s="214">
        <f t="shared" si="6"/>
        <v>47</v>
      </c>
      <c r="G240" s="214"/>
      <c r="H240" s="214"/>
      <c r="J240" s="214">
        <f t="shared" si="7"/>
        <v>47</v>
      </c>
    </row>
    <row r="241" spans="1:10">
      <c r="A241" s="214">
        <f t="shared" si="6"/>
        <v>48</v>
      </c>
      <c r="B241" s="222" t="s">
        <v>654</v>
      </c>
      <c r="C241" s="218"/>
      <c r="D241" s="218"/>
      <c r="E241" s="218"/>
      <c r="F241" s="218"/>
      <c r="G241" s="519"/>
      <c r="H241" s="519"/>
      <c r="I241" s="520"/>
      <c r="J241" s="214">
        <f t="shared" si="7"/>
        <v>48</v>
      </c>
    </row>
    <row r="242" spans="1:10">
      <c r="A242" s="214">
        <f t="shared" si="6"/>
        <v>49</v>
      </c>
      <c r="B242" s="245"/>
      <c r="C242" s="218"/>
      <c r="D242" s="218"/>
      <c r="E242" s="218"/>
      <c r="F242" s="218"/>
      <c r="G242" s="519"/>
      <c r="H242" s="519"/>
      <c r="I242" s="507"/>
      <c r="J242" s="214">
        <f t="shared" si="7"/>
        <v>49</v>
      </c>
    </row>
    <row r="243" spans="1:10">
      <c r="A243" s="214">
        <f t="shared" si="6"/>
        <v>50</v>
      </c>
      <c r="B243" s="224" t="s">
        <v>639</v>
      </c>
      <c r="C243" s="218"/>
      <c r="D243" s="218"/>
      <c r="E243" s="218"/>
      <c r="F243" s="218"/>
      <c r="G243" s="519"/>
      <c r="H243" s="519"/>
      <c r="I243" s="507"/>
      <c r="J243" s="214">
        <f t="shared" si="7"/>
        <v>50</v>
      </c>
    </row>
    <row r="244" spans="1:10">
      <c r="A244" s="214">
        <f t="shared" si="6"/>
        <v>51</v>
      </c>
      <c r="B244" s="215" t="s">
        <v>675</v>
      </c>
      <c r="D244" s="218"/>
      <c r="E244" s="218"/>
      <c r="F244" s="218"/>
      <c r="G244" s="489">
        <f>G232</f>
        <v>0</v>
      </c>
      <c r="H244" s="489"/>
      <c r="I244" s="234" t="s">
        <v>677</v>
      </c>
      <c r="J244" s="214">
        <f t="shared" si="7"/>
        <v>51</v>
      </c>
    </row>
    <row r="245" spans="1:10">
      <c r="A245" s="214">
        <f t="shared" si="6"/>
        <v>52</v>
      </c>
      <c r="B245" s="215" t="s">
        <v>656</v>
      </c>
      <c r="D245" s="218"/>
      <c r="E245" s="218"/>
      <c r="F245" s="218"/>
      <c r="G245" s="523">
        <f>G234</f>
        <v>0</v>
      </c>
      <c r="H245" s="523"/>
      <c r="I245" s="234" t="s">
        <v>678</v>
      </c>
      <c r="J245" s="214">
        <f t="shared" si="7"/>
        <v>52</v>
      </c>
    </row>
    <row r="246" spans="1:10">
      <c r="A246" s="214">
        <f t="shared" si="6"/>
        <v>53</v>
      </c>
      <c r="B246" s="215" t="s">
        <v>701</v>
      </c>
      <c r="D246" s="218"/>
      <c r="E246" s="218"/>
      <c r="F246" s="218"/>
      <c r="G246" s="523">
        <f>G235</f>
        <v>0</v>
      </c>
      <c r="H246" s="523"/>
      <c r="I246" s="234" t="s">
        <v>679</v>
      </c>
      <c r="J246" s="214">
        <f t="shared" si="7"/>
        <v>53</v>
      </c>
    </row>
    <row r="247" spans="1:10">
      <c r="A247" s="214">
        <f t="shared" si="6"/>
        <v>54</v>
      </c>
      <c r="B247" s="215" t="s">
        <v>660</v>
      </c>
      <c r="D247" s="218"/>
      <c r="E247" s="218"/>
      <c r="F247" s="218"/>
      <c r="G247" s="525">
        <f>G238</f>
        <v>0</v>
      </c>
      <c r="H247" s="525"/>
      <c r="I247" s="234" t="s">
        <v>680</v>
      </c>
      <c r="J247" s="214">
        <f t="shared" si="7"/>
        <v>54</v>
      </c>
    </row>
    <row r="248" spans="1:10">
      <c r="A248" s="214">
        <f t="shared" si="6"/>
        <v>55</v>
      </c>
      <c r="B248" s="215" t="s">
        <v>662</v>
      </c>
      <c r="D248" s="218"/>
      <c r="E248" s="218"/>
      <c r="F248" s="218"/>
      <c r="G248" s="542" t="str">
        <f>G171</f>
        <v>8.84%</v>
      </c>
      <c r="H248" s="218"/>
      <c r="I248" s="234" t="s">
        <v>702</v>
      </c>
      <c r="J248" s="214">
        <f t="shared" si="7"/>
        <v>55</v>
      </c>
    </row>
    <row r="249" spans="1:10">
      <c r="A249" s="214">
        <f t="shared" si="6"/>
        <v>56</v>
      </c>
      <c r="B249" s="262"/>
      <c r="D249" s="218"/>
      <c r="E249" s="218"/>
      <c r="F249" s="218"/>
      <c r="G249" s="526"/>
      <c r="H249" s="526"/>
      <c r="I249" s="522"/>
      <c r="J249" s="214">
        <f t="shared" si="7"/>
        <v>56</v>
      </c>
    </row>
    <row r="250" spans="1:10">
      <c r="A250" s="214">
        <f t="shared" si="6"/>
        <v>57</v>
      </c>
      <c r="B250" s="215" t="s">
        <v>665</v>
      </c>
      <c r="C250" s="214"/>
      <c r="D250" s="214"/>
      <c r="E250" s="218"/>
      <c r="F250" s="218"/>
      <c r="G250" s="527">
        <f>IFERROR(((G244)+(G245/G246)+G238)*G248/(1-G248),0)</f>
        <v>0</v>
      </c>
      <c r="H250" s="528"/>
      <c r="I250" s="234" t="s">
        <v>666</v>
      </c>
      <c r="J250" s="214">
        <f t="shared" si="7"/>
        <v>57</v>
      </c>
    </row>
    <row r="251" spans="1:10">
      <c r="A251" s="214">
        <f t="shared" si="6"/>
        <v>58</v>
      </c>
      <c r="B251" s="518" t="s">
        <v>667</v>
      </c>
      <c r="D251" s="518"/>
      <c r="G251" s="214"/>
      <c r="H251" s="214"/>
      <c r="I251" s="234"/>
      <c r="J251" s="214">
        <f t="shared" si="7"/>
        <v>58</v>
      </c>
    </row>
    <row r="252" spans="1:10">
      <c r="A252" s="214">
        <f t="shared" si="6"/>
        <v>59</v>
      </c>
      <c r="G252" s="214"/>
      <c r="H252" s="214"/>
      <c r="I252" s="234"/>
      <c r="J252" s="214">
        <f t="shared" si="7"/>
        <v>59</v>
      </c>
    </row>
    <row r="253" spans="1:10">
      <c r="A253" s="214">
        <f t="shared" si="6"/>
        <v>60</v>
      </c>
      <c r="B253" s="222" t="s">
        <v>668</v>
      </c>
      <c r="G253" s="516">
        <f>G250+G238</f>
        <v>0</v>
      </c>
      <c r="H253" s="516"/>
      <c r="I253" s="234" t="s">
        <v>681</v>
      </c>
      <c r="J253" s="214">
        <f t="shared" si="7"/>
        <v>60</v>
      </c>
    </row>
    <row r="254" spans="1:10">
      <c r="A254" s="214">
        <f t="shared" si="6"/>
        <v>61</v>
      </c>
      <c r="G254" s="214"/>
      <c r="H254" s="214"/>
      <c r="I254" s="234"/>
      <c r="J254" s="214">
        <f t="shared" si="7"/>
        <v>61</v>
      </c>
    </row>
    <row r="255" spans="1:10">
      <c r="A255" s="214">
        <f t="shared" si="6"/>
        <v>62</v>
      </c>
      <c r="B255" s="222" t="s">
        <v>682</v>
      </c>
      <c r="G255" s="543">
        <f>G100</f>
        <v>0</v>
      </c>
      <c r="H255" s="218"/>
      <c r="I255" s="234" t="s">
        <v>703</v>
      </c>
      <c r="J255" s="214">
        <f t="shared" si="7"/>
        <v>62</v>
      </c>
    </row>
    <row r="256" spans="1:10">
      <c r="A256" s="214">
        <f t="shared" si="6"/>
        <v>63</v>
      </c>
      <c r="G256" s="214"/>
      <c r="H256" s="214"/>
      <c r="I256" s="234"/>
      <c r="J256" s="214">
        <f t="shared" si="7"/>
        <v>63</v>
      </c>
    </row>
    <row r="257" spans="1:10" ht="18" thickBot="1">
      <c r="A257" s="214">
        <f t="shared" si="6"/>
        <v>64</v>
      </c>
      <c r="B257" s="222" t="s">
        <v>684</v>
      </c>
      <c r="G257" s="544">
        <f>G253+G255</f>
        <v>0</v>
      </c>
      <c r="H257" s="545"/>
      <c r="I257" s="234" t="s">
        <v>685</v>
      </c>
      <c r="J257" s="214">
        <f t="shared" si="7"/>
        <v>64</v>
      </c>
    </row>
    <row r="258" spans="1:10" ht="15.75" thickTop="1">
      <c r="A258" s="226"/>
      <c r="B258" s="431"/>
      <c r="C258" s="431"/>
      <c r="D258" s="431"/>
      <c r="E258" s="431"/>
      <c r="F258" s="431"/>
      <c r="G258" s="431"/>
      <c r="H258" s="431"/>
      <c r="I258" s="547"/>
      <c r="J258" s="431"/>
    </row>
    <row r="259" spans="1:10" ht="17.25">
      <c r="A259" s="260">
        <v>1</v>
      </c>
      <c r="B259" s="215" t="s">
        <v>704</v>
      </c>
      <c r="C259" s="431"/>
      <c r="D259" s="431"/>
      <c r="E259" s="431"/>
      <c r="F259" s="431"/>
      <c r="G259" s="431"/>
      <c r="H259" s="431"/>
      <c r="I259" s="547"/>
      <c r="J259" s="431"/>
    </row>
    <row r="260" spans="1:10">
      <c r="A260" s="226"/>
      <c r="B260" s="431"/>
      <c r="C260" s="431"/>
      <c r="D260" s="431"/>
      <c r="E260" s="431"/>
      <c r="F260" s="431"/>
      <c r="G260" s="431"/>
      <c r="H260" s="431"/>
      <c r="I260" s="547"/>
      <c r="J260" s="431"/>
    </row>
    <row r="261" spans="1:10" ht="17.25">
      <c r="A261" s="260"/>
    </row>
  </sheetData>
  <mergeCells count="20">
    <mergeCell ref="B111:I111"/>
    <mergeCell ref="B185:I185"/>
    <mergeCell ref="B186:I186"/>
    <mergeCell ref="B112:I112"/>
    <mergeCell ref="B189:I189"/>
    <mergeCell ref="B187:I187"/>
    <mergeCell ref="B188:I188"/>
    <mergeCell ref="B109:I109"/>
    <mergeCell ref="B110:I110"/>
    <mergeCell ref="B108:I108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Roman,Bold"&amp;10REVISED</oddHeader>
    <oddFooter>&amp;CPage 7.&amp;P&amp;R&amp;F</oddFooter>
  </headerFooter>
  <rowBreaks count="3" manualBreakCount="3">
    <brk id="68" max="16383" man="1"/>
    <brk id="106" max="16383" man="1"/>
    <brk id="18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FDD8C43D82F49AB8C4057A15F2F1C" ma:contentTypeVersion="8" ma:contentTypeDescription="Create a new document." ma:contentTypeScope="" ma:versionID="7984683deb0eadfe33b7313b7d5520e1">
  <xsd:schema xmlns:xsd="http://www.w3.org/2001/XMLSchema" xmlns:xs="http://www.w3.org/2001/XMLSchema" xmlns:p="http://schemas.microsoft.com/office/2006/metadata/properties" xmlns:ns2="d1b6833a-d8f7-4a13-b002-37960639cb34" targetNamespace="http://schemas.microsoft.com/office/2006/metadata/properties" ma:root="true" ma:fieldsID="72a83c8cf6be1a1d7d46bd788d014a3e" ns2:_="">
    <xsd:import namespace="d1b6833a-d8f7-4a13-b002-37960639c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833a-d8f7-4a13-b002-37960639c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0EDAC4-BC9D-4C10-AEAD-CBD555C28F5C}"/>
</file>

<file path=customXml/itemProps2.xml><?xml version="1.0" encoding="utf-8"?>
<ds:datastoreItem xmlns:ds="http://schemas.openxmlformats.org/officeDocument/2006/customXml" ds:itemID="{C44AFDF9-D730-440F-9EC0-6713B6FA3535}"/>
</file>

<file path=customXml/itemProps3.xml><?xml version="1.0" encoding="utf-8"?>
<ds:datastoreItem xmlns:ds="http://schemas.openxmlformats.org/officeDocument/2006/customXml" ds:itemID="{0CBA5C11-4399-4551-8998-7F2E623445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Garcia, Daniel</cp:lastModifiedBy>
  <cp:revision/>
  <dcterms:created xsi:type="dcterms:W3CDTF">2021-03-15T21:38:59Z</dcterms:created>
  <dcterms:modified xsi:type="dcterms:W3CDTF">2021-11-29T21:36:37Z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0x0101005C0FDD8C43D82F49AB8C4057A15F2F1C</vt:lpwstr>
  </property>
</Properties>
</file>