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320" windowHeight="12810"/>
  </bookViews>
  <sheets>
    <sheet name="INPUTS-OUTPUTS" sheetId="2" r:id="rId1"/>
    <sheet name="LOOKUP" sheetId="3" r:id="rId2"/>
    <sheet name="DATA" sheetId="1" r:id="rId3"/>
  </sheets>
  <definedNames>
    <definedName name="_xlnm._FilterDatabase" localSheetId="2" hidden="1">DATA!$A$1:$AA$721</definedName>
    <definedName name="Accounts">'INPUTS-OUTPUTS'!$B$12</definedName>
    <definedName name="criteria1">LOOKUP!$K$2:$O$3</definedName>
    <definedName name="criteria10">LOOKUP!$K$29:$O$30</definedName>
    <definedName name="criteria11">LOOKUP!$K$32:$O$33</definedName>
    <definedName name="criteria12">LOOKUP!$K$35:$O$36</definedName>
    <definedName name="criteria13">LOOKUP!$K$38:$O$39</definedName>
    <definedName name="criteria14">LOOKUP!$K$41:$O$42</definedName>
    <definedName name="criteria15">LOOKUP!$K$44:$O$45</definedName>
    <definedName name="criteria16">LOOKUP!$K$47:$O$48</definedName>
    <definedName name="criteria17">LOOKUP!$K$50:$O$51</definedName>
    <definedName name="criteria18">LOOKUP!$K$53:$O$54</definedName>
    <definedName name="criteria19">LOOKUP!$K$56:$O$57</definedName>
    <definedName name="criteria2">LOOKUP!$K$5:$O$6</definedName>
    <definedName name="criteria20">LOOKUP!$K$59:$O$60</definedName>
    <definedName name="criteria21">LOOKUP!$K$62:$O$63</definedName>
    <definedName name="criteria22">LOOKUP!$K$65:$O$66</definedName>
    <definedName name="criteria23">LOOKUP!$K$68:$O$69</definedName>
    <definedName name="criteria24">LOOKUP!$K$71:$O$72</definedName>
    <definedName name="criteria3">LOOKUP!$K$8:$O$9</definedName>
    <definedName name="criteria4">LOOKUP!$K$11:$O$12</definedName>
    <definedName name="criteria5">LOOKUP!$K$14:$O$15</definedName>
    <definedName name="criteria6">LOOKUP!$K$17:$O$18</definedName>
    <definedName name="criteria7">LOOKUP!$K$20:$O$21</definedName>
    <definedName name="criteria8">LOOKUP!$K$23:$O$24</definedName>
    <definedName name="criteria9">LOOKUP!$K$26:$O$27</definedName>
    <definedName name="CustChar">'INPUTS-OUTPUTS'!$B$10</definedName>
    <definedName name="CustCharList">LOOKUP!$G$2:$G$5</definedName>
    <definedName name="DATA">DATA!$A:$O</definedName>
    <definedName name="DayType">'INPUTS-OUTPUTS'!$B$9</definedName>
    <definedName name="DayTypeList">LOOKUP!$E$2:$E$13</definedName>
    <definedName name="Enrollment">#REF!</definedName>
    <definedName name="EnrollmentCriteria">LOOKUP!#REF!</definedName>
    <definedName name="ForecastYear">'INPUTS-OUTPUTS'!$B$8</definedName>
    <definedName name="ForecastYearList">LOOKUP!$A$2:$A$12</definedName>
    <definedName name="TypeofResult">'INPUTS-OUTPUTS'!$B$6</definedName>
    <definedName name="TypeofResultList">LOOKUP!$I$2:$I$3</definedName>
    <definedName name="WeatherYear">'INPUTS-OUTPUTS'!$B$7</definedName>
    <definedName name="WeatherYearList">LOOKUP!$C$2:$C$3</definedName>
  </definedNames>
  <calcPr calcId="125725" fullCalcOnLoad="1"/>
</workbook>
</file>

<file path=xl/calcChain.xml><?xml version="1.0" encoding="utf-8"?>
<calcChain xmlns="http://schemas.openxmlformats.org/spreadsheetml/2006/main">
  <c r="M3" i="3"/>
  <c r="M6"/>
  <c r="M9"/>
  <c r="M12"/>
  <c r="M15"/>
  <c r="M18"/>
  <c r="M21"/>
  <c r="M24"/>
  <c r="M27"/>
  <c r="M30"/>
  <c r="M33"/>
  <c r="M36"/>
  <c r="M39"/>
  <c r="M42"/>
  <c r="M45"/>
  <c r="M48"/>
  <c r="M51"/>
  <c r="M54"/>
  <c r="M57"/>
  <c r="M60"/>
  <c r="M63"/>
  <c r="M66"/>
  <c r="M69"/>
  <c r="M72"/>
  <c r="N51"/>
  <c r="N3"/>
  <c r="N54"/>
  <c r="N57"/>
  <c r="N60"/>
  <c r="N63"/>
  <c r="N42"/>
  <c r="N45"/>
  <c r="N48"/>
  <c r="N39"/>
  <c r="N72"/>
  <c r="N69"/>
  <c r="N66"/>
  <c r="N36"/>
  <c r="N33"/>
  <c r="N30"/>
  <c r="N27"/>
  <c r="N24"/>
  <c r="N21"/>
  <c r="N18"/>
  <c r="N15"/>
  <c r="N12"/>
  <c r="N9"/>
  <c r="N6"/>
  <c r="A3"/>
  <c r="A4" s="1"/>
  <c r="A5" s="1"/>
  <c r="A6" s="1"/>
  <c r="A7" s="1"/>
  <c r="A8" s="1"/>
  <c r="A9" s="1"/>
  <c r="A10" s="1"/>
  <c r="A11" s="1"/>
  <c r="K3"/>
  <c r="L3"/>
  <c r="E7" i="2" s="1"/>
  <c r="K6" i="3"/>
  <c r="L6"/>
  <c r="K9"/>
  <c r="L9"/>
  <c r="K12"/>
  <c r="L12"/>
  <c r="K15"/>
  <c r="L15"/>
  <c r="E11" i="2" s="1"/>
  <c r="K18" i="3"/>
  <c r="L18"/>
  <c r="K21"/>
  <c r="L21"/>
  <c r="E13" i="2" s="1"/>
  <c r="K24" i="3"/>
  <c r="E14" i="2" s="1"/>
  <c r="L24" i="3"/>
  <c r="K27"/>
  <c r="L27"/>
  <c r="E15" i="2" s="1"/>
  <c r="K30" i="3"/>
  <c r="E16" i="2" s="1"/>
  <c r="L30" i="3"/>
  <c r="K33"/>
  <c r="L33"/>
  <c r="H17" i="2" s="1"/>
  <c r="O17" s="1"/>
  <c r="K36" i="3"/>
  <c r="K18" i="2" s="1"/>
  <c r="L36" i="3"/>
  <c r="K39"/>
  <c r="L39"/>
  <c r="E19" i="2" s="1"/>
  <c r="K42" i="3"/>
  <c r="L42"/>
  <c r="K45"/>
  <c r="L45"/>
  <c r="K48"/>
  <c r="E22" i="2" s="1"/>
  <c r="L48" i="3"/>
  <c r="K51"/>
  <c r="L51"/>
  <c r="E23" i="2" s="1"/>
  <c r="K54" i="3"/>
  <c r="E24" i="2" s="1"/>
  <c r="L54" i="3"/>
  <c r="K57"/>
  <c r="L57"/>
  <c r="E25" i="2" s="1"/>
  <c r="K60" i="3"/>
  <c r="K26" i="2" s="1"/>
  <c r="L60" i="3"/>
  <c r="K63"/>
  <c r="L63"/>
  <c r="H27" i="2" s="1"/>
  <c r="O27" s="1"/>
  <c r="K66" i="3"/>
  <c r="L66"/>
  <c r="K69"/>
  <c r="L69"/>
  <c r="K72"/>
  <c r="E30" i="2" s="1"/>
  <c r="L72" i="3"/>
  <c r="A3" i="2"/>
  <c r="G31"/>
  <c r="F31"/>
  <c r="E31"/>
  <c r="G5"/>
  <c r="F5"/>
  <c r="E5"/>
  <c r="H7"/>
  <c r="O7" s="1"/>
  <c r="H8"/>
  <c r="O8" s="1"/>
  <c r="H12"/>
  <c r="O12" s="1"/>
  <c r="H9" l="1"/>
  <c r="O9" s="1"/>
  <c r="H11"/>
  <c r="O11" s="1"/>
  <c r="H28"/>
  <c r="O28" s="1"/>
  <c r="H10"/>
  <c r="O10" s="1"/>
  <c r="K10"/>
  <c r="F29"/>
  <c r="F9"/>
  <c r="F25"/>
  <c r="G25" s="1"/>
  <c r="F23"/>
  <c r="G23" s="1"/>
  <c r="F14"/>
  <c r="G14" s="1"/>
  <c r="F22"/>
  <c r="G22" s="1"/>
  <c r="H14"/>
  <c r="O14" s="1"/>
  <c r="M20"/>
  <c r="F21"/>
  <c r="M28"/>
  <c r="M12"/>
  <c r="E8"/>
  <c r="F28"/>
  <c r="F30"/>
  <c r="F26"/>
  <c r="F18"/>
  <c r="H21"/>
  <c r="O21" s="1"/>
  <c r="L27"/>
  <c r="L19"/>
  <c r="L11"/>
  <c r="H13"/>
  <c r="O13" s="1"/>
  <c r="H24"/>
  <c r="O24" s="1"/>
  <c r="H26"/>
  <c r="O26" s="1"/>
  <c r="H25"/>
  <c r="O25" s="1"/>
  <c r="H18"/>
  <c r="O18" s="1"/>
  <c r="J28"/>
  <c r="F24"/>
  <c r="G24" s="1"/>
  <c r="F20"/>
  <c r="H16"/>
  <c r="O16" s="1"/>
  <c r="F12"/>
  <c r="H15"/>
  <c r="O15" s="1"/>
  <c r="I29"/>
  <c r="I21"/>
  <c r="I13"/>
  <c r="G30"/>
  <c r="F16"/>
  <c r="G16" s="1"/>
  <c r="F8"/>
  <c r="E17"/>
  <c r="E9"/>
  <c r="J26"/>
  <c r="J18"/>
  <c r="J10"/>
  <c r="K27"/>
  <c r="K19"/>
  <c r="K11"/>
  <c r="L28"/>
  <c r="L20"/>
  <c r="L12"/>
  <c r="M29"/>
  <c r="M21"/>
  <c r="M13"/>
  <c r="I30"/>
  <c r="I26"/>
  <c r="I18"/>
  <c r="I10"/>
  <c r="H30"/>
  <c r="O30" s="1"/>
  <c r="H23"/>
  <c r="O23" s="1"/>
  <c r="H22"/>
  <c r="O22" s="1"/>
  <c r="E26"/>
  <c r="G26" s="1"/>
  <c r="E18"/>
  <c r="G18" s="1"/>
  <c r="E10"/>
  <c r="J27"/>
  <c r="J19"/>
  <c r="J11"/>
  <c r="K28"/>
  <c r="K20"/>
  <c r="K12"/>
  <c r="L29"/>
  <c r="L21"/>
  <c r="L13"/>
  <c r="M30"/>
  <c r="B12"/>
  <c r="H19"/>
  <c r="O19" s="1"/>
  <c r="E27"/>
  <c r="J20"/>
  <c r="J12"/>
  <c r="K29"/>
  <c r="K21"/>
  <c r="K13"/>
  <c r="L30"/>
  <c r="I27"/>
  <c r="I19"/>
  <c r="I11"/>
  <c r="H20"/>
  <c r="O20" s="1"/>
  <c r="F10"/>
  <c r="H29"/>
  <c r="O29" s="1"/>
  <c r="F27"/>
  <c r="F19"/>
  <c r="G19" s="1"/>
  <c r="F11"/>
  <c r="G11" s="1"/>
  <c r="E28"/>
  <c r="G28" s="1"/>
  <c r="E20"/>
  <c r="G20" s="1"/>
  <c r="E12"/>
  <c r="G12" s="1"/>
  <c r="J29"/>
  <c r="J21"/>
  <c r="J13"/>
  <c r="K30"/>
  <c r="K22"/>
  <c r="K14"/>
  <c r="M24"/>
  <c r="M16"/>
  <c r="M8"/>
  <c r="E29"/>
  <c r="G29" s="1"/>
  <c r="E21"/>
  <c r="J30"/>
  <c r="K23"/>
  <c r="K15"/>
  <c r="K7"/>
  <c r="L24"/>
  <c r="L16"/>
  <c r="L8"/>
  <c r="I28"/>
  <c r="I24"/>
  <c r="I20"/>
  <c r="I16"/>
  <c r="I12"/>
  <c r="I8"/>
  <c r="F13"/>
  <c r="G13" s="1"/>
  <c r="K24"/>
  <c r="K16"/>
  <c r="K8"/>
  <c r="M26"/>
  <c r="M18"/>
  <c r="M10"/>
  <c r="J24"/>
  <c r="J16"/>
  <c r="J8"/>
  <c r="K25"/>
  <c r="K17"/>
  <c r="K9"/>
  <c r="L26"/>
  <c r="L18"/>
  <c r="L10"/>
  <c r="M27"/>
  <c r="M19"/>
  <c r="M11"/>
  <c r="I7" l="1"/>
  <c r="J7"/>
  <c r="L7"/>
  <c r="M7"/>
  <c r="I14"/>
  <c r="J14"/>
  <c r="L14"/>
  <c r="M14"/>
  <c r="L17"/>
  <c r="M17"/>
  <c r="I17"/>
  <c r="J17"/>
  <c r="I22"/>
  <c r="J22"/>
  <c r="L22"/>
  <c r="M22"/>
  <c r="I15"/>
  <c r="J15"/>
  <c r="L15"/>
  <c r="M15"/>
  <c r="F17"/>
  <c r="L25"/>
  <c r="M25"/>
  <c r="I25"/>
  <c r="J25"/>
  <c r="I23"/>
  <c r="J23"/>
  <c r="L23"/>
  <c r="M23"/>
  <c r="F7"/>
  <c r="G7" s="1"/>
  <c r="L9"/>
  <c r="M9"/>
  <c r="I9"/>
  <c r="I33" s="1"/>
  <c r="J9"/>
  <c r="J33" s="1"/>
  <c r="F15"/>
  <c r="G15" s="1"/>
  <c r="G21"/>
  <c r="E33"/>
  <c r="H33"/>
  <c r="G27"/>
  <c r="G10"/>
  <c r="G8"/>
  <c r="K33"/>
  <c r="G17"/>
  <c r="G9"/>
  <c r="L33" l="1"/>
  <c r="M33"/>
  <c r="F33"/>
  <c r="G33" s="1"/>
</calcChain>
</file>

<file path=xl/sharedStrings.xml><?xml version="1.0" encoding="utf-8"?>
<sst xmlns="http://schemas.openxmlformats.org/spreadsheetml/2006/main" count="2364" uniqueCount="55">
  <si>
    <t>Forecast Year List</t>
  </si>
  <si>
    <t>Forecast Year</t>
  </si>
  <si>
    <t>Type of Result List</t>
  </si>
  <si>
    <t>Aggregate</t>
  </si>
  <si>
    <t>PCTILE10</t>
  </si>
  <si>
    <t>PCTILE30</t>
  </si>
  <si>
    <t>PCTILE50</t>
  </si>
  <si>
    <t>PCTILE70</t>
  </si>
  <si>
    <t>PCTILE90</t>
  </si>
  <si>
    <t>January Monthly Peak</t>
  </si>
  <si>
    <t>February Monthly Peak</t>
  </si>
  <si>
    <t>March Monthly Peak</t>
  </si>
  <si>
    <t>April Monthly Peak</t>
  </si>
  <si>
    <t>May Monthly Peak</t>
  </si>
  <si>
    <t>June Monthly Peak</t>
  </si>
  <si>
    <t>July Monthly Peak</t>
  </si>
  <si>
    <t>August Monthly Peak</t>
  </si>
  <si>
    <t>September Monthly Peak</t>
  </si>
  <si>
    <t>October Monthly Peak</t>
  </si>
  <si>
    <t>November Monthly Peak</t>
  </si>
  <si>
    <t>December Monthly Peak</t>
  </si>
  <si>
    <t>Day Type</t>
  </si>
  <si>
    <t>Hour</t>
  </si>
  <si>
    <t>Reference Load</t>
  </si>
  <si>
    <t>Observed Load</t>
  </si>
  <si>
    <t>Temperature</t>
  </si>
  <si>
    <t>Standard Error</t>
  </si>
  <si>
    <t>TABLE 1: Menu options</t>
  </si>
  <si>
    <t>Hour Ending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</si>
  <si>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</si>
  <si>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</si>
  <si>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</si>
  <si>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</si>
  <si>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</si>
  <si>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</si>
  <si>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</si>
  <si>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</si>
  <si>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</si>
  <si>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Average Enrolled Account</t>
  </si>
  <si>
    <t>Weather Year</t>
  </si>
  <si>
    <t>Weather Year List</t>
  </si>
  <si>
    <t>Day Type List</t>
  </si>
  <si>
    <t>TABLE 2: Output</t>
  </si>
  <si>
    <t>Customer Characteristic</t>
  </si>
  <si>
    <t>Customer Characteristic List</t>
  </si>
  <si>
    <t>All Customers</t>
  </si>
  <si>
    <t>CDH 70</t>
  </si>
  <si>
    <t>Number of Accounts</t>
  </si>
  <si>
    <t>Cooling Degree Hours (Base 70)</t>
  </si>
  <si>
    <t>1-in-10</t>
  </si>
  <si>
    <t>1-in-2</t>
  </si>
  <si>
    <t>Count</t>
  </si>
  <si>
    <t>San Diego Gas &amp; Electric</t>
  </si>
  <si>
    <t>SCTD Small Commercial Load Impact Tables</t>
  </si>
  <si>
    <t>Weighted Average Daily Temp (F)</t>
  </si>
</sst>
</file>

<file path=xl/styles.xml><?xml version="1.0" encoding="utf-8"?>
<styleSheet xmlns="http://schemas.openxmlformats.org/spreadsheetml/2006/main">
  <numFmts count="5">
    <numFmt numFmtId="164" formatCode="0.0"/>
    <numFmt numFmtId="168" formatCode="h:mm;@"/>
    <numFmt numFmtId="169" formatCode="[$-F800]dddd\,\ mmmm\ dd\,\ yyyy"/>
    <numFmt numFmtId="170" formatCode="0.0%"/>
    <numFmt numFmtId="177" formatCode="#,##0.0"/>
  </numFmts>
  <fonts count="18">
    <font>
      <sz val="10"/>
      <name val="Arial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 style="medium">
        <color indexed="56"/>
      </left>
      <right style="medium">
        <color indexed="56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thin">
        <color indexed="8"/>
      </right>
      <top/>
      <bottom style="medium">
        <color indexed="56"/>
      </bottom>
      <diagonal/>
    </border>
    <border>
      <left style="thin">
        <color indexed="8"/>
      </left>
      <right style="medium">
        <color indexed="56"/>
      </right>
      <top/>
      <bottom style="medium">
        <color indexed="56"/>
      </bottom>
      <diagonal/>
    </border>
    <border>
      <left style="thin">
        <color indexed="8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8"/>
      </left>
      <right style="medium">
        <color indexed="56"/>
      </right>
      <top style="thin">
        <color indexed="56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77" fontId="3" fillId="3" borderId="5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0" fontId="5" fillId="3" borderId="7" xfId="0" applyFont="1" applyFill="1" applyBorder="1"/>
    <xf numFmtId="0" fontId="5" fillId="0" borderId="0" xfId="0" applyFont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/>
    <xf numFmtId="0" fontId="4" fillId="3" borderId="8" xfId="0" applyFont="1" applyFill="1" applyBorder="1" applyAlignment="1">
      <alignment vertic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vertical="center"/>
    </xf>
    <xf numFmtId="0" fontId="7" fillId="0" borderId="8" xfId="0" applyFont="1" applyBorder="1"/>
    <xf numFmtId="0" fontId="5" fillId="0" borderId="0" xfId="0" applyFont="1" applyAlignment="1">
      <alignment horizontal="right" indent="1"/>
    </xf>
    <xf numFmtId="0" fontId="8" fillId="0" borderId="0" xfId="0" applyFont="1"/>
    <xf numFmtId="0" fontId="5" fillId="0" borderId="0" xfId="0" applyFont="1" applyFill="1"/>
    <xf numFmtId="4" fontId="3" fillId="0" borderId="0" xfId="0" applyNumberFormat="1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10" fontId="5" fillId="0" borderId="0" xfId="0" applyNumberFormat="1" applyFont="1"/>
    <xf numFmtId="0" fontId="7" fillId="0" borderId="0" xfId="0" applyFont="1"/>
    <xf numFmtId="0" fontId="9" fillId="2" borderId="9" xfId="0" applyFont="1" applyFill="1" applyBorder="1" applyAlignment="1">
      <alignment horizontal="centerContinuous"/>
    </xf>
    <xf numFmtId="0" fontId="10" fillId="2" borderId="9" xfId="0" applyFont="1" applyFill="1" applyBorder="1" applyAlignment="1">
      <alignment horizontal="centerContinuous"/>
    </xf>
    <xf numFmtId="0" fontId="10" fillId="2" borderId="10" xfId="0" applyFont="1" applyFill="1" applyBorder="1" applyAlignment="1">
      <alignment horizontal="centerContinuous"/>
    </xf>
    <xf numFmtId="0" fontId="11" fillId="2" borderId="11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right" wrapText="1" indent="1"/>
    </xf>
    <xf numFmtId="0" fontId="12" fillId="2" borderId="15" xfId="0" applyFont="1" applyFill="1" applyBorder="1" applyAlignment="1">
      <alignment horizontal="right" wrapText="1" indent="1"/>
    </xf>
    <xf numFmtId="168" fontId="5" fillId="0" borderId="12" xfId="0" applyNumberFormat="1" applyFont="1" applyBorder="1" applyAlignment="1">
      <alignment horizontal="center" vertical="center"/>
    </xf>
    <xf numFmtId="20" fontId="3" fillId="3" borderId="16" xfId="0" applyNumberFormat="1" applyFont="1" applyFill="1" applyBorder="1" applyAlignment="1">
      <alignment horizontal="center"/>
    </xf>
    <xf numFmtId="2" fontId="5" fillId="0" borderId="0" xfId="0" applyNumberFormat="1" applyFont="1"/>
    <xf numFmtId="20" fontId="3" fillId="3" borderId="17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 indent="1"/>
    </xf>
    <xf numFmtId="3" fontId="5" fillId="0" borderId="0" xfId="0" applyNumberFormat="1" applyFont="1"/>
    <xf numFmtId="0" fontId="10" fillId="2" borderId="18" xfId="0" applyFont="1" applyFill="1" applyBorder="1"/>
    <xf numFmtId="0" fontId="9" fillId="2" borderId="19" xfId="0" applyFont="1" applyFill="1" applyBorder="1" applyAlignment="1">
      <alignment horizontal="centerContinuous"/>
    </xf>
    <xf numFmtId="0" fontId="10" fillId="2" borderId="19" xfId="0" applyFont="1" applyFill="1" applyBorder="1" applyAlignment="1">
      <alignment horizontal="centerContinuous"/>
    </xf>
    <xf numFmtId="0" fontId="10" fillId="2" borderId="20" xfId="0" applyFont="1" applyFill="1" applyBorder="1" applyAlignment="1">
      <alignment horizontal="centerContinuous"/>
    </xf>
    <xf numFmtId="0" fontId="7" fillId="3" borderId="21" xfId="0" applyFont="1" applyFill="1" applyBorder="1"/>
    <xf numFmtId="177" fontId="3" fillId="3" borderId="22" xfId="0" applyNumberFormat="1" applyFont="1" applyFill="1" applyBorder="1" applyAlignment="1">
      <alignment horizontal="right" indent="1"/>
    </xf>
    <xf numFmtId="0" fontId="5" fillId="0" borderId="0" xfId="0" applyFont="1" applyAlignment="1">
      <alignment vertical="top"/>
    </xf>
    <xf numFmtId="0" fontId="3" fillId="3" borderId="23" xfId="0" applyFont="1" applyFill="1" applyBorder="1"/>
    <xf numFmtId="4" fontId="3" fillId="3" borderId="24" xfId="0" applyNumberFormat="1" applyFont="1" applyFill="1" applyBorder="1" applyAlignment="1">
      <alignment horizontal="left" indent="1"/>
    </xf>
    <xf numFmtId="4" fontId="3" fillId="3" borderId="6" xfId="0" applyNumberFormat="1" applyFont="1" applyFill="1" applyBorder="1" applyAlignment="1">
      <alignment horizontal="left" indent="1"/>
    </xf>
    <xf numFmtId="2" fontId="3" fillId="3" borderId="6" xfId="0" applyNumberFormat="1" applyFont="1" applyFill="1" applyBorder="1"/>
    <xf numFmtId="2" fontId="3" fillId="3" borderId="25" xfId="0" applyNumberFormat="1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right" wrapText="1" indent="1"/>
    </xf>
    <xf numFmtId="10" fontId="5" fillId="0" borderId="0" xfId="0" applyNumberFormat="1" applyFont="1" applyFill="1" applyBorder="1" applyAlignment="1">
      <alignment horizontal="center"/>
    </xf>
    <xf numFmtId="1" fontId="16" fillId="3" borderId="1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/>
    </xf>
    <xf numFmtId="17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5" fillId="0" borderId="0" xfId="0" applyFont="1" applyFill="1" applyBorder="1" applyAlignment="1">
      <alignment horizontal="right" indent="1"/>
    </xf>
    <xf numFmtId="0" fontId="8" fillId="0" borderId="0" xfId="0" applyFont="1" applyFill="1" applyBorder="1"/>
    <xf numFmtId="169" fontId="1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0" fillId="0" borderId="26" xfId="0" applyBorder="1"/>
    <xf numFmtId="0" fontId="0" fillId="0" borderId="0" xfId="0" applyBorder="1"/>
    <xf numFmtId="0" fontId="11" fillId="2" borderId="27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 readingOrder="1"/>
    </xf>
    <xf numFmtId="0" fontId="10" fillId="0" borderId="0" xfId="0" applyFont="1"/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164" fontId="3" fillId="0" borderId="3" xfId="0" applyNumberFormat="1" applyFont="1" applyFill="1" applyBorder="1" applyAlignment="1">
      <alignment horizontal="right" indent="1"/>
    </xf>
    <xf numFmtId="164" fontId="3" fillId="0" borderId="4" xfId="0" applyNumberFormat="1" applyFont="1" applyFill="1" applyBorder="1" applyAlignment="1">
      <alignment horizontal="right" indent="1"/>
    </xf>
    <xf numFmtId="3" fontId="0" fillId="0" borderId="0" xfId="0" applyNumberFormat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2" fontId="17" fillId="3" borderId="5" xfId="0" applyNumberFormat="1" applyFont="1" applyFill="1" applyBorder="1" applyAlignment="1">
      <alignment horizontal="center"/>
    </xf>
    <xf numFmtId="2" fontId="17" fillId="3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 wrapText="1" readingOrder="1"/>
    </xf>
    <xf numFmtId="0" fontId="5" fillId="0" borderId="0" xfId="0" applyNumberFormat="1" applyFont="1" applyAlignment="1">
      <alignment vertical="top" wrapText="1"/>
    </xf>
    <xf numFmtId="0" fontId="10" fillId="2" borderId="32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0" fillId="0" borderId="0" xfId="0" applyNumberFormat="1"/>
    <xf numFmtId="1" fontId="0" fillId="0" borderId="0" xfId="0" applyNumberFormat="1"/>
    <xf numFmtId="1" fontId="3" fillId="3" borderId="3" xfId="0" applyNumberFormat="1" applyFont="1" applyFill="1" applyBorder="1" applyAlignment="1">
      <alignment horizontal="right" indent="1"/>
    </xf>
    <xf numFmtId="1" fontId="3" fillId="3" borderId="4" xfId="0" applyNumberFormat="1" applyFont="1" applyFill="1" applyBorder="1" applyAlignment="1">
      <alignment horizontal="right" inden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8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538310412573674"/>
          <c:y val="0.12555079582400777"/>
          <c:w val="0.79371316306483297"/>
          <c:h val="0.7444941927809583"/>
        </c:manualLayout>
      </c:layout>
      <c:lineChart>
        <c:grouping val="standard"/>
        <c:ser>
          <c:idx val="1"/>
          <c:order val="0"/>
          <c:tx>
            <c:strRef>
              <c:f>'INPUTS-OUTPUTS'!$E$5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lgDash"/>
            </a:ln>
          </c:spPr>
          <c:marker>
            <c:symbol val="none"/>
          </c:marker>
          <c:cat>
            <c:numRef>
              <c:f>'INPUTS-OUTPUTS'!$D$7:$D$30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cat>
          <c:val>
            <c:numRef>
              <c:f>'INPUTS-OUTPUTS'!$E$7:$E$30</c:f>
              <c:numCache>
                <c:formatCode>0</c:formatCode>
                <c:ptCount val="24"/>
                <c:pt idx="0">
                  <c:v>4766.3941453157904</c:v>
                </c:pt>
                <c:pt idx="1">
                  <c:v>4731.4438946681803</c:v>
                </c:pt>
                <c:pt idx="2">
                  <c:v>4682.1650524084698</c:v>
                </c:pt>
                <c:pt idx="3">
                  <c:v>4684.9473155648502</c:v>
                </c:pt>
                <c:pt idx="4">
                  <c:v>4691.9082505206998</c:v>
                </c:pt>
                <c:pt idx="5">
                  <c:v>4714.4217482693402</c:v>
                </c:pt>
                <c:pt idx="6">
                  <c:v>4779.5801192256604</c:v>
                </c:pt>
                <c:pt idx="7">
                  <c:v>4886.2643700385997</c:v>
                </c:pt>
                <c:pt idx="8">
                  <c:v>5416.7616496958599</c:v>
                </c:pt>
                <c:pt idx="9">
                  <c:v>5642.02857287607</c:v>
                </c:pt>
                <c:pt idx="10">
                  <c:v>5858.3580007104401</c:v>
                </c:pt>
                <c:pt idx="11">
                  <c:v>6017.1154480384903</c:v>
                </c:pt>
                <c:pt idx="12">
                  <c:v>6044.12824870843</c:v>
                </c:pt>
                <c:pt idx="13">
                  <c:v>5995.4512400150697</c:v>
                </c:pt>
                <c:pt idx="14">
                  <c:v>5836.6592933853099</c:v>
                </c:pt>
                <c:pt idx="15">
                  <c:v>5786.1831917807403</c:v>
                </c:pt>
                <c:pt idx="16">
                  <c:v>5722.8039869079603</c:v>
                </c:pt>
                <c:pt idx="17">
                  <c:v>5569.4149749585104</c:v>
                </c:pt>
                <c:pt idx="18">
                  <c:v>5457.6666649458402</c:v>
                </c:pt>
                <c:pt idx="19">
                  <c:v>5367.6017963084096</c:v>
                </c:pt>
                <c:pt idx="20">
                  <c:v>5236.8623519768598</c:v>
                </c:pt>
                <c:pt idx="21">
                  <c:v>5109.56965224337</c:v>
                </c:pt>
                <c:pt idx="22">
                  <c:v>5004.2105142516402</c:v>
                </c:pt>
                <c:pt idx="23">
                  <c:v>4908.7543924132096</c:v>
                </c:pt>
              </c:numCache>
            </c:numRef>
          </c:val>
        </c:ser>
        <c:ser>
          <c:idx val="2"/>
          <c:order val="1"/>
          <c:tx>
            <c:strRef>
              <c:f>'INPUTS-OUTPUTS'!$F$5</c:f>
              <c:strCache>
                <c:ptCount val="1"/>
                <c:pt idx="0">
                  <c:v>Observed Load (kW)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'INPUTS-OUTPUTS'!$D$7:$D$30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cat>
          <c:val>
            <c:numRef>
              <c:f>'INPUTS-OUTPUTS'!$F$7:$F$30</c:f>
              <c:numCache>
                <c:formatCode>0</c:formatCode>
                <c:ptCount val="24"/>
                <c:pt idx="0">
                  <c:v>4766.3941453157904</c:v>
                </c:pt>
                <c:pt idx="1">
                  <c:v>4731.4438946681803</c:v>
                </c:pt>
                <c:pt idx="2">
                  <c:v>4682.1650524084698</c:v>
                </c:pt>
                <c:pt idx="3">
                  <c:v>4684.9473155648502</c:v>
                </c:pt>
                <c:pt idx="4">
                  <c:v>4691.9082505206998</c:v>
                </c:pt>
                <c:pt idx="5">
                  <c:v>4714.4217482693402</c:v>
                </c:pt>
                <c:pt idx="6">
                  <c:v>4779.5801192256604</c:v>
                </c:pt>
                <c:pt idx="7">
                  <c:v>4886.2643700385997</c:v>
                </c:pt>
                <c:pt idx="8">
                  <c:v>5416.7616496958599</c:v>
                </c:pt>
                <c:pt idx="9">
                  <c:v>5642.02857287607</c:v>
                </c:pt>
                <c:pt idx="10">
                  <c:v>3509.3929269720497</c:v>
                </c:pt>
                <c:pt idx="11">
                  <c:v>3604.495046489094</c:v>
                </c:pt>
                <c:pt idx="12">
                  <c:v>3620.6768045170766</c:v>
                </c:pt>
                <c:pt idx="13">
                  <c:v>3591.5173113632068</c:v>
                </c:pt>
                <c:pt idx="14">
                  <c:v>3496.3945253718039</c:v>
                </c:pt>
                <c:pt idx="15">
                  <c:v>3466.1573029400715</c:v>
                </c:pt>
                <c:pt idx="16">
                  <c:v>3428.1906007906514</c:v>
                </c:pt>
                <c:pt idx="17">
                  <c:v>3336.3043907732108</c:v>
                </c:pt>
                <c:pt idx="18">
                  <c:v>5457.6666649458402</c:v>
                </c:pt>
                <c:pt idx="19">
                  <c:v>5367.6017963084096</c:v>
                </c:pt>
                <c:pt idx="20">
                  <c:v>5236.8623519768598</c:v>
                </c:pt>
                <c:pt idx="21">
                  <c:v>5109.56965224337</c:v>
                </c:pt>
                <c:pt idx="22">
                  <c:v>5004.2105142516402</c:v>
                </c:pt>
                <c:pt idx="23">
                  <c:v>4908.7543924132096</c:v>
                </c:pt>
              </c:numCache>
            </c:numRef>
          </c:val>
        </c:ser>
        <c:marker val="1"/>
        <c:axId val="85982208"/>
        <c:axId val="91686400"/>
      </c:lineChart>
      <c:catAx>
        <c:axId val="85982208"/>
        <c:scaling>
          <c:orientation val="minMax"/>
        </c:scaling>
        <c:axPos val="b"/>
        <c:numFmt formatCode="h:mm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91686400"/>
        <c:crosses val="autoZero"/>
        <c:auto val="1"/>
        <c:lblAlgn val="ctr"/>
        <c:lblOffset val="100"/>
        <c:tickLblSkip val="2"/>
        <c:tickMarkSkip val="1"/>
      </c:catAx>
      <c:valAx>
        <c:axId val="91686400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859822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337917485265222E-2"/>
          <c:y val="3.5242290748898682E-2"/>
          <c:w val="0.85461689587426326"/>
          <c:h val="7.0484581497797349E-2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152400</xdr:rowOff>
    </xdr:from>
    <xdr:to>
      <xdr:col>2</xdr:col>
      <xdr:colOff>114300</xdr:colOff>
      <xdr:row>31</xdr:row>
      <xdr:rowOff>180975</xdr:rowOff>
    </xdr:to>
    <xdr:graphicFrame macro="">
      <xdr:nvGraphicFramePr>
        <xdr:cNvPr id="1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209550</xdr:colOff>
      <xdr:row>0</xdr:row>
      <xdr:rowOff>57150</xdr:rowOff>
    </xdr:from>
    <xdr:to>
      <xdr:col>12</xdr:col>
      <xdr:colOff>476250</xdr:colOff>
      <xdr:row>2</xdr:row>
      <xdr:rowOff>180975</xdr:rowOff>
    </xdr:to>
    <xdr:pic>
      <xdr:nvPicPr>
        <xdr:cNvPr id="112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1000" y="57150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0"/>
  <sheetViews>
    <sheetView showGridLines="0" tabSelected="1" zoomScaleNormal="100" workbookViewId="0">
      <selection activeCell="B10" sqref="B10"/>
    </sheetView>
  </sheetViews>
  <sheetFormatPr defaultRowHeight="12.75"/>
  <cols>
    <col min="1" max="1" width="35" style="9" customWidth="1"/>
    <col min="2" max="2" width="36" style="9" customWidth="1"/>
    <col min="3" max="3" width="4" style="9" customWidth="1"/>
    <col min="4" max="4" width="9.140625" style="9"/>
    <col min="5" max="5" width="13" style="9" customWidth="1"/>
    <col min="6" max="6" width="13.42578125" style="9" customWidth="1"/>
    <col min="7" max="7" width="17" style="9" customWidth="1"/>
    <col min="8" max="8" width="14.28515625" style="9" customWidth="1"/>
    <col min="9" max="9" width="11.7109375" style="9" customWidth="1"/>
    <col min="10" max="10" width="12.42578125" style="9" customWidth="1"/>
    <col min="11" max="11" width="10.7109375" style="9" customWidth="1"/>
    <col min="12" max="12" width="12.28515625" style="9" customWidth="1"/>
    <col min="13" max="13" width="10.7109375" style="9" customWidth="1"/>
    <col min="14" max="14" width="9.140625" style="9"/>
    <col min="15" max="15" width="10.28515625" style="9" customWidth="1"/>
    <col min="16" max="17" width="10.28515625" customWidth="1"/>
    <col min="18" max="16384" width="9.140625" style="9"/>
  </cols>
  <sheetData>
    <row r="1" spans="1:18" ht="18">
      <c r="A1" s="7" t="s">
        <v>52</v>
      </c>
      <c r="B1" s="8"/>
      <c r="C1" s="8"/>
      <c r="D1" s="7"/>
      <c r="E1" s="8"/>
      <c r="F1" s="8"/>
      <c r="G1" s="8"/>
      <c r="H1" s="8"/>
      <c r="I1" s="8"/>
      <c r="J1" s="8"/>
      <c r="K1" s="8"/>
      <c r="L1" s="8"/>
      <c r="M1" s="8"/>
    </row>
    <row r="2" spans="1:18" ht="27">
      <c r="A2" s="10" t="s">
        <v>53</v>
      </c>
      <c r="B2" s="11"/>
      <c r="C2" s="11"/>
      <c r="D2" s="10"/>
      <c r="E2" s="11"/>
      <c r="F2" s="11"/>
      <c r="G2" s="11"/>
      <c r="H2" s="11"/>
      <c r="I2" s="11"/>
      <c r="J2" s="11"/>
      <c r="K2" s="11"/>
      <c r="L2" s="11"/>
      <c r="M2" s="11"/>
    </row>
    <row r="3" spans="1:18" s="15" customFormat="1" ht="18" customHeight="1" thickBot="1">
      <c r="A3" s="12" t="str">
        <f>CONCATENATE( CustChar, ", ", WeatherYear, " Weather Year, ", DayType)</f>
        <v>All Customers, 1-in-2 Weather Year, September Monthly Peak</v>
      </c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  <c r="P3"/>
      <c r="Q3"/>
    </row>
    <row r="4" spans="1:18" ht="9" customHeight="1" thickBot="1">
      <c r="A4" s="16"/>
      <c r="B4" s="17"/>
      <c r="C4" s="18"/>
      <c r="E4" s="19"/>
      <c r="F4" s="20"/>
      <c r="G4" s="21"/>
      <c r="H4" s="22"/>
    </row>
    <row r="5" spans="1:18" ht="43.5" customHeight="1">
      <c r="A5" s="23" t="s">
        <v>27</v>
      </c>
      <c r="C5" s="18"/>
      <c r="D5" s="90" t="s">
        <v>28</v>
      </c>
      <c r="E5" s="88" t="str">
        <f>IF(TypeofResult="Aggregate", "Reference Load (MW)",  "Reference Load (kW)")</f>
        <v>Reference Load (kW)</v>
      </c>
      <c r="F5" s="88" t="str">
        <f>IF(TypeofResult="Aggregate", "Observed Load (MW)",  "Observed Load (kW)")</f>
        <v>Observed Load (kW)</v>
      </c>
      <c r="G5" s="88" t="str">
        <f>IF(TypeofResult="Aggregate", " Load Impact (MW)",  "Load Impact (kW)")</f>
        <v>Load Impact (kW)</v>
      </c>
      <c r="H5" s="88" t="s">
        <v>54</v>
      </c>
      <c r="I5" s="24" t="s">
        <v>29</v>
      </c>
      <c r="J5" s="25"/>
      <c r="K5" s="25"/>
      <c r="L5" s="25"/>
      <c r="M5" s="26"/>
    </row>
    <row r="6" spans="1:18" ht="19.5" customHeight="1">
      <c r="A6" s="27" t="s">
        <v>30</v>
      </c>
      <c r="B6" s="28" t="s">
        <v>38</v>
      </c>
      <c r="C6" s="29"/>
      <c r="D6" s="91"/>
      <c r="E6" s="89"/>
      <c r="F6" s="89"/>
      <c r="G6" s="89"/>
      <c r="H6" s="89"/>
      <c r="I6" s="31" t="s">
        <v>31</v>
      </c>
      <c r="J6" s="31" t="s">
        <v>32</v>
      </c>
      <c r="K6" s="31" t="s">
        <v>33</v>
      </c>
      <c r="L6" s="31" t="s">
        <v>34</v>
      </c>
      <c r="M6" s="32" t="s">
        <v>35</v>
      </c>
      <c r="O6" s="80" t="s">
        <v>46</v>
      </c>
    </row>
    <row r="7" spans="1:18" ht="20.100000000000001" customHeight="1">
      <c r="A7" s="68" t="s">
        <v>39</v>
      </c>
      <c r="B7" s="33" t="s">
        <v>50</v>
      </c>
      <c r="C7" s="18"/>
      <c r="D7" s="34">
        <v>4.1666666666666664E-2</v>
      </c>
      <c r="E7" s="94">
        <f>DGET(DATA,"Reference Load", criteria1)*IF(TypeofResult="Aggregate",Accounts/1000,1)</f>
        <v>4766.3941453157904</v>
      </c>
      <c r="F7" s="94">
        <f>DGET(DATA,"Observed Load", criteria1)*IF(TypeofResult="Aggregate",Accounts/1000,1)</f>
        <v>4766.3941453157904</v>
      </c>
      <c r="G7" s="94">
        <f>E7-F7</f>
        <v>0</v>
      </c>
      <c r="H7" s="94">
        <f>DGET(DATA,"Temperature", criteria1)</f>
        <v>88</v>
      </c>
      <c r="I7" s="94">
        <f>DGET(DATA,"PCTILE10", criteria1)*IF(TypeofResult="Aggregate",Accounts/1000,1)</f>
        <v>0</v>
      </c>
      <c r="J7" s="94">
        <f>DGET(DATA,"PCTILE30", criteria1)*IF(TypeofResult="Aggregate",Accounts/1000,1)</f>
        <v>0</v>
      </c>
      <c r="K7" s="94">
        <f>DGET(DATA,"PCTILE50", criteria1)*IF(TypeofResult="Aggregate",Accounts/1000,1)</f>
        <v>0</v>
      </c>
      <c r="L7" s="94">
        <f>DGET(DATA,"PCTILE70", criteria1)*IF(TypeofResult="Aggregate",Accounts/1000,1)</f>
        <v>0</v>
      </c>
      <c r="M7" s="94">
        <f>DGET(DATA,"PCTILE90", criteria1)*IF(TypeofResult="Aggregate",Accounts/1000,1)</f>
        <v>0</v>
      </c>
      <c r="N7" s="70"/>
      <c r="O7" s="77">
        <f>MAX(0,H7-70)</f>
        <v>18</v>
      </c>
      <c r="R7" s="35"/>
    </row>
    <row r="8" spans="1:18" ht="20.100000000000001" customHeight="1">
      <c r="A8" s="68" t="s">
        <v>1</v>
      </c>
      <c r="B8" s="73">
        <v>2012</v>
      </c>
      <c r="C8" s="18"/>
      <c r="D8" s="36">
        <v>8.3333333333333329E-2</v>
      </c>
      <c r="E8" s="95">
        <f>DGET(DATA,"Reference Load", criteria2)*IF(TypeofResult="Aggregate",Accounts/1000,1)</f>
        <v>4731.4438946681803</v>
      </c>
      <c r="F8" s="95">
        <f>DGET(DATA,"Observed Load", criteria2)*IF(TypeofResult="Aggregate",Accounts/1000,1)</f>
        <v>4731.4438946681803</v>
      </c>
      <c r="G8" s="94">
        <f t="shared" ref="G8:G30" si="0">E8-F8</f>
        <v>0</v>
      </c>
      <c r="H8" s="95">
        <f>DGET(DATA,"Temperature", criteria2)</f>
        <v>92</v>
      </c>
      <c r="I8" s="95">
        <f>DGET(DATA,"PCTILE10", criteria2)*IF(TypeofResult="Aggregate",Accounts/1000,1)</f>
        <v>0</v>
      </c>
      <c r="J8" s="95">
        <f>DGET(DATA,"PCTILE30", criteria2)*IF(TypeofResult="Aggregate",Accounts/1000,1)</f>
        <v>0</v>
      </c>
      <c r="K8" s="95">
        <f>DGET(DATA,"PCTILE50", criteria2)*IF(TypeofResult="Aggregate",Accounts/1000,1)</f>
        <v>0</v>
      </c>
      <c r="L8" s="95">
        <f>DGET(DATA,"PCTILE70", criteria2)*IF(TypeofResult="Aggregate",Accounts/1000,1)</f>
        <v>0</v>
      </c>
      <c r="M8" s="95">
        <f>DGET(DATA,"PCTILE90", criteria2)*IF(TypeofResult="Aggregate",Accounts/1000,1)</f>
        <v>0</v>
      </c>
      <c r="N8" s="70"/>
      <c r="O8" s="78">
        <f t="shared" ref="O8:O30" si="1">MAX(0,H8-70)</f>
        <v>22</v>
      </c>
    </row>
    <row r="9" spans="1:18" ht="20.100000000000001" customHeight="1">
      <c r="A9" s="68" t="s">
        <v>21</v>
      </c>
      <c r="B9" s="33" t="s">
        <v>17</v>
      </c>
      <c r="C9" s="18"/>
      <c r="D9" s="36">
        <v>0.125</v>
      </c>
      <c r="E9" s="95">
        <f>DGET(DATA,"Reference Load", criteria3)*IF(TypeofResult="Aggregate",Accounts/1000,1)</f>
        <v>4682.1650524084698</v>
      </c>
      <c r="F9" s="95">
        <f>DGET(DATA,"Observed Load", criteria3)*IF(TypeofResult="Aggregate",Accounts/1000,1)</f>
        <v>4682.1650524084698</v>
      </c>
      <c r="G9" s="94">
        <f t="shared" si="0"/>
        <v>0</v>
      </c>
      <c r="H9" s="95">
        <f>DGET(DATA,"Temperature", criteria3)</f>
        <v>103</v>
      </c>
      <c r="I9" s="95">
        <f>DGET(DATA,"PCTILE10", criteria3)*IF(TypeofResult="Aggregate",Accounts/1000,1)</f>
        <v>0</v>
      </c>
      <c r="J9" s="95">
        <f>DGET(DATA,"PCTILE30", criteria3)*IF(TypeofResult="Aggregate",Accounts/1000,1)</f>
        <v>0</v>
      </c>
      <c r="K9" s="95">
        <f>DGET(DATA,"PCTILE50", criteria3)*IF(TypeofResult="Aggregate",Accounts/1000,1)</f>
        <v>0</v>
      </c>
      <c r="L9" s="95">
        <f>DGET(DATA,"PCTILE70", criteria3)*IF(TypeofResult="Aggregate",Accounts/1000,1)</f>
        <v>0</v>
      </c>
      <c r="M9" s="95">
        <f>DGET(DATA,"PCTILE90", criteria3)*IF(TypeofResult="Aggregate",Accounts/1000,1)</f>
        <v>0</v>
      </c>
      <c r="N9" s="70"/>
      <c r="O9" s="78">
        <f t="shared" si="1"/>
        <v>33</v>
      </c>
    </row>
    <row r="10" spans="1:18" ht="20.100000000000001" customHeight="1">
      <c r="A10" s="72" t="s">
        <v>43</v>
      </c>
      <c r="B10" s="33" t="s">
        <v>45</v>
      </c>
      <c r="C10" s="18"/>
      <c r="D10" s="34">
        <v>0.16666666666666699</v>
      </c>
      <c r="E10" s="95">
        <f>DGET(DATA,"Reference Load", criteria4)*IF(TypeofResult="Aggregate",Accounts/1000,1)</f>
        <v>4684.9473155648502</v>
      </c>
      <c r="F10" s="95">
        <f>DGET(DATA,"Observed Load", criteria4)*IF(TypeofResult="Aggregate",Accounts/1000,1)</f>
        <v>4684.9473155648502</v>
      </c>
      <c r="G10" s="94">
        <f t="shared" si="0"/>
        <v>0</v>
      </c>
      <c r="H10" s="95">
        <f>DGET(DATA,"Temperature", criteria4)</f>
        <v>79</v>
      </c>
      <c r="I10" s="95">
        <f>DGET(DATA,"PCTILE10", criteria4)*IF(TypeofResult="Aggregate",Accounts/1000,1)</f>
        <v>0</v>
      </c>
      <c r="J10" s="95">
        <f>DGET(DATA,"PCTILE30", criteria4)*IF(TypeofResult="Aggregate",Accounts/1000,1)</f>
        <v>0</v>
      </c>
      <c r="K10" s="95">
        <f>DGET(DATA,"PCTILE50", criteria4)*IF(TypeofResult="Aggregate",Accounts/1000,1)</f>
        <v>0</v>
      </c>
      <c r="L10" s="95">
        <f>DGET(DATA,"PCTILE70", criteria4)*IF(TypeofResult="Aggregate",Accounts/1000,1)</f>
        <v>0</v>
      </c>
      <c r="M10" s="95">
        <f>DGET(DATA,"PCTILE90", criteria4)*IF(TypeofResult="Aggregate",Accounts/1000,1)</f>
        <v>0</v>
      </c>
      <c r="N10" s="70"/>
      <c r="O10" s="78">
        <f t="shared" si="1"/>
        <v>9</v>
      </c>
    </row>
    <row r="11" spans="1:18" ht="20.100000000000001" customHeight="1">
      <c r="A11" s="23" t="s">
        <v>42</v>
      </c>
      <c r="C11" s="18"/>
      <c r="D11" s="36">
        <v>0.20833333333333401</v>
      </c>
      <c r="E11" s="95">
        <f>DGET(DATA,"Reference Load", criteria5)*IF(TypeofResult="Aggregate",Accounts/1000,1)</f>
        <v>4691.9082505206998</v>
      </c>
      <c r="F11" s="95">
        <f>DGET(DATA,"Observed Load", criteria5)*IF(TypeofResult="Aggregate",Accounts/1000,1)</f>
        <v>4691.9082505206998</v>
      </c>
      <c r="G11" s="94">
        <f t="shared" si="0"/>
        <v>0</v>
      </c>
      <c r="H11" s="95">
        <f>DGET(DATA,"Temperature", criteria5)</f>
        <v>84</v>
      </c>
      <c r="I11" s="95">
        <f>DGET(DATA,"PCTILE10", criteria5)*IF(TypeofResult="Aggregate",Accounts/1000,1)</f>
        <v>0</v>
      </c>
      <c r="J11" s="95">
        <f>DGET(DATA,"PCTILE30", criteria5)*IF(TypeofResult="Aggregate",Accounts/1000,1)</f>
        <v>0</v>
      </c>
      <c r="K11" s="95">
        <f>DGET(DATA,"PCTILE50", criteria5)*IF(TypeofResult="Aggregate",Accounts/1000,1)</f>
        <v>0</v>
      </c>
      <c r="L11" s="95">
        <f>DGET(DATA,"PCTILE70", criteria5)*IF(TypeofResult="Aggregate",Accounts/1000,1)</f>
        <v>0</v>
      </c>
      <c r="M11" s="95">
        <f>DGET(DATA,"PCTILE90", criteria5)*IF(TypeofResult="Aggregate",Accounts/1000,1)</f>
        <v>0</v>
      </c>
      <c r="N11" s="70"/>
      <c r="O11" s="78">
        <f t="shared" si="1"/>
        <v>14</v>
      </c>
    </row>
    <row r="12" spans="1:18" ht="20.100000000000001" customHeight="1">
      <c r="A12" s="71" t="s">
        <v>47</v>
      </c>
      <c r="B12" s="56">
        <f>DGET(DATA,"count", criteria1)</f>
        <v>3</v>
      </c>
      <c r="C12" s="37"/>
      <c r="D12" s="36">
        <v>0.25</v>
      </c>
      <c r="E12" s="95">
        <f>DGET(DATA,"Reference Load", criteria6)*IF(TypeofResult="Aggregate",Accounts/1000,1)</f>
        <v>4714.4217482693402</v>
      </c>
      <c r="F12" s="95">
        <f>DGET(DATA,"Observed Load", criteria6)*IF(TypeofResult="Aggregate",Accounts/1000,1)</f>
        <v>4714.4217482693402</v>
      </c>
      <c r="G12" s="94">
        <f t="shared" si="0"/>
        <v>0</v>
      </c>
      <c r="H12" s="95">
        <f>DGET(DATA,"Temperature", criteria6)</f>
        <v>95</v>
      </c>
      <c r="I12" s="95">
        <f>DGET(DATA,"PCTILE10", criteria6)*IF(TypeofResult="Aggregate",Accounts/1000,1)</f>
        <v>0</v>
      </c>
      <c r="J12" s="95">
        <f>DGET(DATA,"PCTILE30", criteria6)*IF(TypeofResult="Aggregate",Accounts/1000,1)</f>
        <v>0</v>
      </c>
      <c r="K12" s="95">
        <f>DGET(DATA,"PCTILE50", criteria6)*IF(TypeofResult="Aggregate",Accounts/1000,1)</f>
        <v>0</v>
      </c>
      <c r="L12" s="95">
        <f>DGET(DATA,"PCTILE70", criteria6)*IF(TypeofResult="Aggregate",Accounts/1000,1)</f>
        <v>0</v>
      </c>
      <c r="M12" s="95">
        <f>DGET(DATA,"PCTILE90", criteria6)*IF(TypeofResult="Aggregate",Accounts/1000,1)</f>
        <v>0</v>
      </c>
      <c r="N12" s="70"/>
      <c r="O12" s="78">
        <f t="shared" si="1"/>
        <v>25</v>
      </c>
    </row>
    <row r="13" spans="1:18" ht="20.100000000000001" customHeight="1">
      <c r="A13"/>
      <c r="B13"/>
      <c r="C13" s="38"/>
      <c r="D13" s="34">
        <v>0.29166666666666702</v>
      </c>
      <c r="E13" s="95">
        <f>DGET(DATA,"Reference Load", criteria7)*IF(TypeofResult="Aggregate",Accounts/1000,1)</f>
        <v>4779.5801192256604</v>
      </c>
      <c r="F13" s="95">
        <f>DGET(DATA,"Observed Load", criteria7)*IF(TypeofResult="Aggregate",Accounts/1000,1)</f>
        <v>4779.5801192256604</v>
      </c>
      <c r="G13" s="94">
        <f t="shared" si="0"/>
        <v>0</v>
      </c>
      <c r="H13" s="95">
        <f>DGET(DATA,"Temperature", criteria7)</f>
        <v>86</v>
      </c>
      <c r="I13" s="95">
        <f>DGET(DATA,"PCTILE10", criteria7)*IF(TypeofResult="Aggregate",Accounts/1000,1)</f>
        <v>0</v>
      </c>
      <c r="J13" s="95">
        <f>DGET(DATA,"PCTILE30", criteria7)*IF(TypeofResult="Aggregate",Accounts/1000,1)</f>
        <v>0</v>
      </c>
      <c r="K13" s="95">
        <f>DGET(DATA,"PCTILE50", criteria7)*IF(TypeofResult="Aggregate",Accounts/1000,1)</f>
        <v>0</v>
      </c>
      <c r="L13" s="95">
        <f>DGET(DATA,"PCTILE70", criteria7)*IF(TypeofResult="Aggregate",Accounts/1000,1)</f>
        <v>0</v>
      </c>
      <c r="M13" s="95">
        <f>DGET(DATA,"PCTILE90", criteria7)*IF(TypeofResult="Aggregate",Accounts/1000,1)</f>
        <v>0</v>
      </c>
      <c r="N13" s="70"/>
      <c r="O13" s="78">
        <f t="shared" si="1"/>
        <v>16</v>
      </c>
    </row>
    <row r="14" spans="1:18" ht="20.100000000000001" customHeight="1">
      <c r="A14"/>
      <c r="B14"/>
      <c r="D14" s="36">
        <v>0.33333333333333398</v>
      </c>
      <c r="E14" s="95">
        <f>DGET(DATA,"Reference Load", criteria8)*IF(TypeofResult="Aggregate",Accounts/1000,1)</f>
        <v>4886.2643700385997</v>
      </c>
      <c r="F14" s="95">
        <f>DGET(DATA,"Observed Load", criteria8)*IF(TypeofResult="Aggregate",Accounts/1000,1)</f>
        <v>4886.2643700385997</v>
      </c>
      <c r="G14" s="94">
        <f t="shared" si="0"/>
        <v>0</v>
      </c>
      <c r="H14" s="95">
        <f>DGET(DATA,"Temperature", criteria8)</f>
        <v>87</v>
      </c>
      <c r="I14" s="95">
        <f>DGET(DATA,"PCTILE10", criteria8)*IF(TypeofResult="Aggregate",Accounts/1000,1)</f>
        <v>0</v>
      </c>
      <c r="J14" s="95">
        <f>DGET(DATA,"PCTILE30", criteria8)*IF(TypeofResult="Aggregate",Accounts/1000,1)</f>
        <v>0</v>
      </c>
      <c r="K14" s="95">
        <f>DGET(DATA,"PCTILE50", criteria8)*IF(TypeofResult="Aggregate",Accounts/1000,1)</f>
        <v>0</v>
      </c>
      <c r="L14" s="95">
        <f>DGET(DATA,"PCTILE70", criteria8)*IF(TypeofResult="Aggregate",Accounts/1000,1)</f>
        <v>0</v>
      </c>
      <c r="M14" s="95">
        <f>DGET(DATA,"PCTILE90", criteria8)*IF(TypeofResult="Aggregate",Accounts/1000,1)</f>
        <v>0</v>
      </c>
      <c r="N14" s="70"/>
      <c r="O14" s="78">
        <f t="shared" si="1"/>
        <v>17</v>
      </c>
    </row>
    <row r="15" spans="1:18" ht="20.100000000000001" customHeight="1">
      <c r="D15" s="36">
        <v>0.375</v>
      </c>
      <c r="E15" s="95">
        <f>DGET(DATA,"Reference Load", criteria9)*IF(TypeofResult="Aggregate",Accounts/1000,1)</f>
        <v>5416.7616496958599</v>
      </c>
      <c r="F15" s="95">
        <f>DGET(DATA,"Observed Load", criteria9)*IF(TypeofResult="Aggregate",Accounts/1000,1)</f>
        <v>5416.7616496958599</v>
      </c>
      <c r="G15" s="94">
        <f t="shared" si="0"/>
        <v>0</v>
      </c>
      <c r="H15" s="95">
        <f>DGET(DATA,"Temperature", criteria9)</f>
        <v>85</v>
      </c>
      <c r="I15" s="95">
        <f>DGET(DATA,"PCTILE10", criteria9)*IF(TypeofResult="Aggregate",Accounts/1000,1)</f>
        <v>0</v>
      </c>
      <c r="J15" s="95">
        <f>DGET(DATA,"PCTILE30", criteria9)*IF(TypeofResult="Aggregate",Accounts/1000,1)</f>
        <v>0</v>
      </c>
      <c r="K15" s="95">
        <f>DGET(DATA,"PCTILE50", criteria9)*IF(TypeofResult="Aggregate",Accounts/1000,1)</f>
        <v>0</v>
      </c>
      <c r="L15" s="95">
        <f>DGET(DATA,"PCTILE70", criteria9)*IF(TypeofResult="Aggregate",Accounts/1000,1)</f>
        <v>0</v>
      </c>
      <c r="M15" s="95">
        <f>DGET(DATA,"PCTILE90", criteria9)*IF(TypeofResult="Aggregate",Accounts/1000,1)</f>
        <v>0</v>
      </c>
      <c r="N15" s="70"/>
      <c r="O15" s="78">
        <f t="shared" si="1"/>
        <v>15</v>
      </c>
    </row>
    <row r="16" spans="1:18" ht="20.100000000000001" customHeight="1">
      <c r="D16" s="34">
        <v>0.41666666666666702</v>
      </c>
      <c r="E16" s="95">
        <f>DGET(DATA,"Reference Load", criteria10)*IF(TypeofResult="Aggregate",Accounts/1000,1)</f>
        <v>5642.02857287607</v>
      </c>
      <c r="F16" s="95">
        <f>DGET(DATA,"Observed Load", criteria10)*IF(TypeofResult="Aggregate",Accounts/1000,1)</f>
        <v>5642.02857287607</v>
      </c>
      <c r="G16" s="94">
        <f t="shared" si="0"/>
        <v>0</v>
      </c>
      <c r="H16" s="95">
        <f>DGET(DATA,"Temperature", criteria10)</f>
        <v>78</v>
      </c>
      <c r="I16" s="95">
        <f>DGET(DATA,"PCTILE10", criteria10)*IF(TypeofResult="Aggregate",Accounts/1000,1)</f>
        <v>0</v>
      </c>
      <c r="J16" s="95">
        <f>DGET(DATA,"PCTILE30", criteria10)*IF(TypeofResult="Aggregate",Accounts/1000,1)</f>
        <v>0</v>
      </c>
      <c r="K16" s="95">
        <f>DGET(DATA,"PCTILE50", criteria10)*IF(TypeofResult="Aggregate",Accounts/1000,1)</f>
        <v>0</v>
      </c>
      <c r="L16" s="95">
        <f>DGET(DATA,"PCTILE70", criteria10)*IF(TypeofResult="Aggregate",Accounts/1000,1)</f>
        <v>0</v>
      </c>
      <c r="M16" s="95">
        <f>DGET(DATA,"PCTILE90", criteria10)*IF(TypeofResult="Aggregate",Accounts/1000,1)</f>
        <v>0</v>
      </c>
      <c r="N16" s="70"/>
      <c r="O16" s="78">
        <f t="shared" si="1"/>
        <v>8</v>
      </c>
    </row>
    <row r="17" spans="1:15" ht="20.100000000000001" customHeight="1">
      <c r="C17" s="9" t="s">
        <v>36</v>
      </c>
      <c r="D17" s="36">
        <v>0.45833333333333398</v>
      </c>
      <c r="E17" s="95">
        <f>DGET(DATA,"Reference Load", criteria11)*IF(TypeofResult="Aggregate",Accounts/1000,1)</f>
        <v>5858.3580007104401</v>
      </c>
      <c r="F17" s="95">
        <f>DGET(DATA,"Observed Load", criteria11)*IF(TypeofResult="Aggregate",Accounts/1000,1)</f>
        <v>3509.3929269720497</v>
      </c>
      <c r="G17" s="94">
        <f t="shared" si="0"/>
        <v>2348.9650737383904</v>
      </c>
      <c r="H17" s="95">
        <f>DGET(DATA,"Temperature", criteria11)</f>
        <v>88</v>
      </c>
      <c r="I17" s="95">
        <f>DGET(DATA,"PCTILE10", criteria11)*IF(TypeofResult="Aggregate",Accounts/1000,1)</f>
        <v>2297.9508551498748</v>
      </c>
      <c r="J17" s="95">
        <f>DGET(DATA,"PCTILE30", criteria11)*IF(TypeofResult="Aggregate",Accounts/1000,1)</f>
        <v>2316.8736438181727</v>
      </c>
      <c r="K17" s="95">
        <f>DGET(DATA,"PCTILE50", criteria11)*IF(TypeofResult="Aggregate",Accounts/1000,1)</f>
        <v>2348.9650737383904</v>
      </c>
      <c r="L17" s="95">
        <f>DGET(DATA,"PCTILE70", criteria11)*IF(TypeofResult="Aggregate",Accounts/1000,1)</f>
        <v>2381.0565036586045</v>
      </c>
      <c r="M17" s="95">
        <f>DGET(DATA,"PCTILE90", criteria11)*IF(TypeofResult="Aggregate",Accounts/1000,1)</f>
        <v>2399.979292326906</v>
      </c>
      <c r="N17" s="70"/>
      <c r="O17" s="78">
        <f t="shared" si="1"/>
        <v>18</v>
      </c>
    </row>
    <row r="18" spans="1:15" ht="20.100000000000001" customHeight="1">
      <c r="D18" s="36">
        <v>0.5</v>
      </c>
      <c r="E18" s="95">
        <f>DGET(DATA,"Reference Load", criteria12)*IF(TypeofResult="Aggregate",Accounts/1000,1)</f>
        <v>6017.1154480384903</v>
      </c>
      <c r="F18" s="95">
        <f>DGET(DATA,"Observed Load", criteria12)*IF(TypeofResult="Aggregate",Accounts/1000,1)</f>
        <v>3604.495046489094</v>
      </c>
      <c r="G18" s="94">
        <f t="shared" si="0"/>
        <v>2412.6204015493963</v>
      </c>
      <c r="H18" s="95">
        <f>DGET(DATA,"Temperature", criteria12)</f>
        <v>82</v>
      </c>
      <c r="I18" s="95">
        <f>DGET(DATA,"PCTILE10", criteria12)*IF(TypeofResult="Aggregate",Accounts/1000,1)</f>
        <v>2364.3616513383072</v>
      </c>
      <c r="J18" s="95">
        <f>DGET(DATA,"PCTILE30", criteria12)*IF(TypeofResult="Aggregate",Accounts/1000,1)</f>
        <v>2382.2623495535736</v>
      </c>
      <c r="K18" s="95">
        <f>DGET(DATA,"PCTILE50", criteria12)*IF(TypeofResult="Aggregate",Accounts/1000,1)</f>
        <v>2412.6204015493963</v>
      </c>
      <c r="L18" s="95">
        <f>DGET(DATA,"PCTILE70", criteria12)*IF(TypeofResult="Aggregate",Accounts/1000,1)</f>
        <v>2442.9784535452191</v>
      </c>
      <c r="M18" s="95">
        <f>DGET(DATA,"PCTILE90", criteria12)*IF(TypeofResult="Aggregate",Accounts/1000,1)</f>
        <v>2460.8791517604891</v>
      </c>
      <c r="N18" s="70"/>
      <c r="O18" s="78">
        <f t="shared" si="1"/>
        <v>12</v>
      </c>
    </row>
    <row r="19" spans="1:15" ht="20.100000000000001" customHeight="1">
      <c r="D19" s="34">
        <v>0.54166666666666696</v>
      </c>
      <c r="E19" s="95">
        <f>DGET(DATA,"Reference Load", criteria13)*IF(TypeofResult="Aggregate",Accounts/1000,1)</f>
        <v>6044.12824870843</v>
      </c>
      <c r="F19" s="95">
        <f>DGET(DATA,"Observed Load", criteria13)*IF(TypeofResult="Aggregate",Accounts/1000,1)</f>
        <v>3620.6768045170766</v>
      </c>
      <c r="G19" s="94">
        <f t="shared" si="0"/>
        <v>2423.4514441913534</v>
      </c>
      <c r="H19" s="95">
        <f>DGET(DATA,"Temperature", criteria13)</f>
        <v>66</v>
      </c>
      <c r="I19" s="95">
        <f>DGET(DATA,"PCTILE10", criteria13)*IF(TypeofResult="Aggregate",Accounts/1000,1)</f>
        <v>2376.3515717731566</v>
      </c>
      <c r="J19" s="95">
        <f>DGET(DATA,"PCTILE30", criteria13)*IF(TypeofResult="Aggregate",Accounts/1000,1)</f>
        <v>2393.8224055276128</v>
      </c>
      <c r="K19" s="95">
        <f>DGET(DATA,"PCTILE50", criteria13)*IF(TypeofResult="Aggregate",Accounts/1000,1)</f>
        <v>2423.4514441913534</v>
      </c>
      <c r="L19" s="95">
        <f>DGET(DATA,"PCTILE70", criteria13)*IF(TypeofResult="Aggregate",Accounts/1000,1)</f>
        <v>2453.080482855094</v>
      </c>
      <c r="M19" s="95">
        <f>DGET(DATA,"PCTILE90", criteria13)*IF(TypeofResult="Aggregate",Accounts/1000,1)</f>
        <v>2470.5513166095466</v>
      </c>
      <c r="N19" s="70"/>
      <c r="O19" s="78">
        <f t="shared" si="1"/>
        <v>0</v>
      </c>
    </row>
    <row r="20" spans="1:15" ht="20.100000000000001" customHeight="1">
      <c r="D20" s="36">
        <v>0.58333333333333404</v>
      </c>
      <c r="E20" s="95">
        <f>DGET(DATA,"Reference Load", criteria14)*IF(TypeofResult="Aggregate",Accounts/1000,1)</f>
        <v>5995.4512400150697</v>
      </c>
      <c r="F20" s="95">
        <f>DGET(DATA,"Observed Load", criteria14)*IF(TypeofResult="Aggregate",Accounts/1000,1)</f>
        <v>3591.5173113632068</v>
      </c>
      <c r="G20" s="94">
        <f t="shared" si="0"/>
        <v>2403.933928651863</v>
      </c>
      <c r="H20" s="95">
        <f>DGET(DATA,"Temperature", criteria14)</f>
        <v>72</v>
      </c>
      <c r="I20" s="95">
        <f>DGET(DATA,"PCTILE10", criteria14)*IF(TypeofResult="Aggregate",Accounts/1000,1)</f>
        <v>2360.5819064595266</v>
      </c>
      <c r="J20" s="95">
        <f>DGET(DATA,"PCTILE30", criteria14)*IF(TypeofResult="Aggregate",Accounts/1000,1)</f>
        <v>2376.662543916822</v>
      </c>
      <c r="K20" s="95">
        <f>DGET(DATA,"PCTILE50", criteria14)*IF(TypeofResult="Aggregate",Accounts/1000,1)</f>
        <v>2403.933928651863</v>
      </c>
      <c r="L20" s="95">
        <f>DGET(DATA,"PCTILE70", criteria14)*IF(TypeofResult="Aggregate",Accounts/1000,1)</f>
        <v>2431.2053133869085</v>
      </c>
      <c r="M20" s="95">
        <f>DGET(DATA,"PCTILE90", criteria14)*IF(TypeofResult="Aggregate",Accounts/1000,1)</f>
        <v>2447.2859508441993</v>
      </c>
      <c r="N20" s="70"/>
      <c r="O20" s="78">
        <f t="shared" si="1"/>
        <v>2</v>
      </c>
    </row>
    <row r="21" spans="1:15" ht="20.100000000000001" customHeight="1">
      <c r="D21" s="36">
        <v>0.625</v>
      </c>
      <c r="E21" s="95">
        <f>DGET(DATA,"Reference Load", criteria15)*IF(TypeofResult="Aggregate",Accounts/1000,1)</f>
        <v>5836.6592933853099</v>
      </c>
      <c r="F21" s="95">
        <f>DGET(DATA,"Observed Load", criteria15)*IF(TypeofResult="Aggregate",Accounts/1000,1)</f>
        <v>3496.3945253718039</v>
      </c>
      <c r="G21" s="94">
        <f t="shared" si="0"/>
        <v>2340.264768013506</v>
      </c>
      <c r="H21" s="95">
        <f>DGET(DATA,"Temperature", criteria15)</f>
        <v>69</v>
      </c>
      <c r="I21" s="95">
        <f>DGET(DATA,"PCTILE10", criteria15)*IF(TypeofResult="Aggregate",Accounts/1000,1)</f>
        <v>2295.4714537552832</v>
      </c>
      <c r="J21" s="95">
        <f>DGET(DATA,"PCTILE30", criteria15)*IF(TypeofResult="Aggregate",Accounts/1000,1)</f>
        <v>2312.0867120678313</v>
      </c>
      <c r="K21" s="95">
        <f>DGET(DATA,"PCTILE50", criteria15)*IF(TypeofResult="Aggregate",Accounts/1000,1)</f>
        <v>2340.264768013506</v>
      </c>
      <c r="L21" s="95">
        <f>DGET(DATA,"PCTILE70", criteria15)*IF(TypeofResult="Aggregate",Accounts/1000,1)</f>
        <v>2368.4428239591771</v>
      </c>
      <c r="M21" s="95">
        <f>DGET(DATA,"PCTILE90", criteria15)*IF(TypeofResult="Aggregate",Accounts/1000,1)</f>
        <v>2385.0580822717288</v>
      </c>
      <c r="N21" s="70"/>
      <c r="O21" s="78">
        <f t="shared" si="1"/>
        <v>0</v>
      </c>
    </row>
    <row r="22" spans="1:15" ht="20.100000000000001" customHeight="1">
      <c r="D22" s="34">
        <v>0.66666666666666696</v>
      </c>
      <c r="E22" s="95">
        <f>DGET(DATA,"Reference Load", criteria16)*IF(TypeofResult="Aggregate",Accounts/1000,1)</f>
        <v>5786.1831917807403</v>
      </c>
      <c r="F22" s="95">
        <f>DGET(DATA,"Observed Load", criteria16)*IF(TypeofResult="Aggregate",Accounts/1000,1)</f>
        <v>3466.1573029400715</v>
      </c>
      <c r="G22" s="94">
        <f t="shared" si="0"/>
        <v>2320.0258888406688</v>
      </c>
      <c r="H22" s="95">
        <f>DGET(DATA,"Temperature", criteria16)</f>
        <v>65</v>
      </c>
      <c r="I22" s="95">
        <f>DGET(DATA,"PCTILE10", criteria16)*IF(TypeofResult="Aggregate",Accounts/1000,1)</f>
        <v>2276.0272003883447</v>
      </c>
      <c r="J22" s="95">
        <f>DGET(DATA,"PCTILE30", criteria16)*IF(TypeofResult="Aggregate",Accounts/1000,1)</f>
        <v>2292.3477068334441</v>
      </c>
      <c r="K22" s="95">
        <f>DGET(DATA,"PCTILE50", criteria16)*IF(TypeofResult="Aggregate",Accounts/1000,1)</f>
        <v>2320.0258888406688</v>
      </c>
      <c r="L22" s="95">
        <f>DGET(DATA,"PCTILE70", criteria16)*IF(TypeofResult="Aggregate",Accounts/1000,1)</f>
        <v>2347.704070847893</v>
      </c>
      <c r="M22" s="95">
        <f>DGET(DATA,"PCTILE90", criteria16)*IF(TypeofResult="Aggregate",Accounts/1000,1)</f>
        <v>2364.0245772929929</v>
      </c>
      <c r="N22" s="70"/>
      <c r="O22" s="78">
        <f t="shared" si="1"/>
        <v>0</v>
      </c>
    </row>
    <row r="23" spans="1:15" ht="20.100000000000001" customHeight="1">
      <c r="A23" s="84"/>
      <c r="B23" s="84"/>
      <c r="D23" s="36">
        <v>0.70833333333333404</v>
      </c>
      <c r="E23" s="95">
        <f>DGET(DATA,"Reference Load", criteria17)*IF(TypeofResult="Aggregate",Accounts/1000,1)</f>
        <v>5722.8039869079603</v>
      </c>
      <c r="F23" s="95">
        <f>DGET(DATA,"Observed Load", criteria17)*IF(TypeofResult="Aggregate",Accounts/1000,1)</f>
        <v>3428.1906007906514</v>
      </c>
      <c r="G23" s="94">
        <f t="shared" si="0"/>
        <v>2294.6133861173089</v>
      </c>
      <c r="H23" s="95">
        <f>DGET(DATA,"Temperature", criteria17)</f>
        <v>71</v>
      </c>
      <c r="I23" s="95">
        <f>DGET(DATA,"PCTILE10", criteria17)*IF(TypeofResult="Aggregate",Accounts/1000,1)</f>
        <v>2242.302775345252</v>
      </c>
      <c r="J23" s="95">
        <f>DGET(DATA,"PCTILE30", criteria17)*IF(TypeofResult="Aggregate",Accounts/1000,1)</f>
        <v>2261.7064369152481</v>
      </c>
      <c r="K23" s="95">
        <f>DGET(DATA,"PCTILE50", criteria17)*IF(TypeofResult="Aggregate",Accounts/1000,1)</f>
        <v>2294.6133861173089</v>
      </c>
      <c r="L23" s="95">
        <f>DGET(DATA,"PCTILE70", criteria17)*IF(TypeofResult="Aggregate",Accounts/1000,1)</f>
        <v>2327.5203353193738</v>
      </c>
      <c r="M23" s="95">
        <f>DGET(DATA,"PCTILE90", criteria17)*IF(TypeofResult="Aggregate",Accounts/1000,1)</f>
        <v>2346.9239968893653</v>
      </c>
      <c r="N23" s="70"/>
      <c r="O23" s="78">
        <f t="shared" si="1"/>
        <v>1</v>
      </c>
    </row>
    <row r="24" spans="1:15" ht="20.100000000000001" customHeight="1">
      <c r="A24" s="84"/>
      <c r="B24" s="84"/>
      <c r="C24" s="39"/>
      <c r="D24" s="36">
        <v>0.75</v>
      </c>
      <c r="E24" s="95">
        <f>DGET(DATA,"Reference Load", criteria18)*IF(TypeofResult="Aggregate",Accounts/1000,1)</f>
        <v>5569.4149749585104</v>
      </c>
      <c r="F24" s="95">
        <f>DGET(DATA,"Observed Load", criteria18)*IF(TypeofResult="Aggregate",Accounts/1000,1)</f>
        <v>3336.3043907732108</v>
      </c>
      <c r="G24" s="94">
        <f t="shared" si="0"/>
        <v>2233.1105841852996</v>
      </c>
      <c r="H24" s="95">
        <f>DGET(DATA,"Temperature", criteria18)</f>
        <v>71</v>
      </c>
      <c r="I24" s="95">
        <f>DGET(DATA,"PCTILE10", criteria18)*IF(TypeofResult="Aggregate",Accounts/1000,1)</f>
        <v>2187.5844179037949</v>
      </c>
      <c r="J24" s="95">
        <f>DGET(DATA,"PCTILE30", criteria18)*IF(TypeofResult="Aggregate",Accounts/1000,1)</f>
        <v>2204.4715142322043</v>
      </c>
      <c r="K24" s="95">
        <f>DGET(DATA,"PCTILE50", criteria18)*IF(TypeofResult="Aggregate",Accounts/1000,1)</f>
        <v>2233.1105841852996</v>
      </c>
      <c r="L24" s="95">
        <f>DGET(DATA,"PCTILE70", criteria18)*IF(TypeofResult="Aggregate",Accounts/1000,1)</f>
        <v>2261.7496541383948</v>
      </c>
      <c r="M24" s="95">
        <f>DGET(DATA,"PCTILE90", criteria18)*IF(TypeofResult="Aggregate",Accounts/1000,1)</f>
        <v>2278.6367504668037</v>
      </c>
      <c r="N24" s="70"/>
      <c r="O24" s="78">
        <f t="shared" si="1"/>
        <v>1</v>
      </c>
    </row>
    <row r="25" spans="1:15" ht="20.100000000000001" customHeight="1">
      <c r="A25" s="84"/>
      <c r="B25" s="84"/>
      <c r="C25" s="39"/>
      <c r="D25" s="34">
        <v>0.79166666666666696</v>
      </c>
      <c r="E25" s="95">
        <f>DGET(DATA,"Reference Load", criteria19)*IF(TypeofResult="Aggregate",Accounts/1000,1)</f>
        <v>5457.6666649458402</v>
      </c>
      <c r="F25" s="95">
        <f>DGET(DATA,"Observed Load", criteria19)*IF(TypeofResult="Aggregate",Accounts/1000,1)</f>
        <v>5457.6666649458402</v>
      </c>
      <c r="G25" s="94">
        <f t="shared" si="0"/>
        <v>0</v>
      </c>
      <c r="H25" s="95">
        <f>DGET(DATA,"Temperature", criteria19)</f>
        <v>70</v>
      </c>
      <c r="I25" s="95">
        <f>DGET(DATA,"PCTILE10", criteria19)*IF(TypeofResult="Aggregate",Accounts/1000,1)</f>
        <v>0</v>
      </c>
      <c r="J25" s="95">
        <f>DGET(DATA,"PCTILE30", criteria19)*IF(TypeofResult="Aggregate",Accounts/1000,1)</f>
        <v>0</v>
      </c>
      <c r="K25" s="95">
        <f>DGET(DATA,"PCTILE50", criteria19)*IF(TypeofResult="Aggregate",Accounts/1000,1)</f>
        <v>0</v>
      </c>
      <c r="L25" s="95">
        <f>DGET(DATA,"PCTILE70", criteria19)*IF(TypeofResult="Aggregate",Accounts/1000,1)</f>
        <v>0</v>
      </c>
      <c r="M25" s="95">
        <f>DGET(DATA,"PCTILE90", criteria19)*IF(TypeofResult="Aggregate",Accounts/1000,1)</f>
        <v>0</v>
      </c>
      <c r="N25" s="70"/>
      <c r="O25" s="78">
        <f t="shared" si="1"/>
        <v>0</v>
      </c>
    </row>
    <row r="26" spans="1:15" ht="20.100000000000001" customHeight="1">
      <c r="C26" s="39"/>
      <c r="D26" s="36">
        <v>0.83333333333333404</v>
      </c>
      <c r="E26" s="95">
        <f>DGET(DATA,"Reference Load", criteria20)*IF(TypeofResult="Aggregate",Accounts/1000,1)</f>
        <v>5367.6017963084096</v>
      </c>
      <c r="F26" s="95">
        <f>DGET(DATA,"Observed Load", criteria20)*IF(TypeofResult="Aggregate",Accounts/1000,1)</f>
        <v>5367.6017963084096</v>
      </c>
      <c r="G26" s="94">
        <f t="shared" si="0"/>
        <v>0</v>
      </c>
      <c r="H26" s="95">
        <f>DGET(DATA,"Temperature", criteria20)</f>
        <v>61</v>
      </c>
      <c r="I26" s="95">
        <f>DGET(DATA,"PCTILE10", criteria20)*IF(TypeofResult="Aggregate",Accounts/1000,1)</f>
        <v>0</v>
      </c>
      <c r="J26" s="95">
        <f>DGET(DATA,"PCTILE30", criteria20)*IF(TypeofResult="Aggregate",Accounts/1000,1)</f>
        <v>0</v>
      </c>
      <c r="K26" s="95">
        <f>DGET(DATA,"PCTILE50", criteria20)*IF(TypeofResult="Aggregate",Accounts/1000,1)</f>
        <v>0</v>
      </c>
      <c r="L26" s="95">
        <f>DGET(DATA,"PCTILE70", criteria20)*IF(TypeofResult="Aggregate",Accounts/1000,1)</f>
        <v>0</v>
      </c>
      <c r="M26" s="95">
        <f>DGET(DATA,"PCTILE90", criteria20)*IF(TypeofResult="Aggregate",Accounts/1000,1)</f>
        <v>0</v>
      </c>
      <c r="N26" s="70"/>
      <c r="O26" s="78">
        <f t="shared" si="1"/>
        <v>0</v>
      </c>
    </row>
    <row r="27" spans="1:15" ht="20.100000000000001" customHeight="1">
      <c r="A27" s="69"/>
      <c r="B27" s="69"/>
      <c r="D27" s="36">
        <v>0.875</v>
      </c>
      <c r="E27" s="95">
        <f>DGET(DATA,"Reference Load", criteria21)*IF(TypeofResult="Aggregate",Accounts/1000,1)</f>
        <v>5236.8623519768598</v>
      </c>
      <c r="F27" s="95">
        <f>DGET(DATA,"Observed Load", criteria21)*IF(TypeofResult="Aggregate",Accounts/1000,1)</f>
        <v>5236.8623519768598</v>
      </c>
      <c r="G27" s="94">
        <f t="shared" si="0"/>
        <v>0</v>
      </c>
      <c r="H27" s="95">
        <f>DGET(DATA,"Temperature", criteria21)</f>
        <v>82</v>
      </c>
      <c r="I27" s="95">
        <f>DGET(DATA,"PCTILE10", criteria21)*IF(TypeofResult="Aggregate",Accounts/1000,1)</f>
        <v>0</v>
      </c>
      <c r="J27" s="95">
        <f>DGET(DATA,"PCTILE30", criteria21)*IF(TypeofResult="Aggregate",Accounts/1000,1)</f>
        <v>0</v>
      </c>
      <c r="K27" s="95">
        <f>DGET(DATA,"PCTILE50", criteria21)*IF(TypeofResult="Aggregate",Accounts/1000,1)</f>
        <v>0</v>
      </c>
      <c r="L27" s="95">
        <f>DGET(DATA,"PCTILE70", criteria21)*IF(TypeofResult="Aggregate",Accounts/1000,1)</f>
        <v>0</v>
      </c>
      <c r="M27" s="95">
        <f>DGET(DATA,"PCTILE90", criteria21)*IF(TypeofResult="Aggregate",Accounts/1000,1)</f>
        <v>0</v>
      </c>
      <c r="N27" s="70"/>
      <c r="O27" s="78">
        <f t="shared" si="1"/>
        <v>12</v>
      </c>
    </row>
    <row r="28" spans="1:15" ht="20.100000000000001" customHeight="1">
      <c r="B28" s="69"/>
      <c r="D28" s="34">
        <v>0.91666666666666696</v>
      </c>
      <c r="E28" s="95">
        <f>DGET(DATA,"Reference Load", criteria22)*IF(TypeofResult="Aggregate",Accounts/1000,1)</f>
        <v>5109.56965224337</v>
      </c>
      <c r="F28" s="95">
        <f>DGET(DATA,"Observed Load", criteria22)*IF(TypeofResult="Aggregate",Accounts/1000,1)</f>
        <v>5109.56965224337</v>
      </c>
      <c r="G28" s="94">
        <f t="shared" si="0"/>
        <v>0</v>
      </c>
      <c r="H28" s="95">
        <f>DGET(DATA,"Temperature", criteria22)</f>
        <v>65</v>
      </c>
      <c r="I28" s="95">
        <f>DGET(DATA,"PCTILE10", criteria22)*IF(TypeofResult="Aggregate",Accounts/1000,1)</f>
        <v>0</v>
      </c>
      <c r="J28" s="95">
        <f>DGET(DATA,"PCTILE30", criteria22)*IF(TypeofResult="Aggregate",Accounts/1000,1)</f>
        <v>0</v>
      </c>
      <c r="K28" s="95">
        <f>DGET(DATA,"PCTILE50", criteria22)*IF(TypeofResult="Aggregate",Accounts/1000,1)</f>
        <v>0</v>
      </c>
      <c r="L28" s="95">
        <f>DGET(DATA,"PCTILE70", criteria22)*IF(TypeofResult="Aggregate",Accounts/1000,1)</f>
        <v>0</v>
      </c>
      <c r="M28" s="95">
        <f>DGET(DATA,"PCTILE90", criteria22)*IF(TypeofResult="Aggregate",Accounts/1000,1)</f>
        <v>0</v>
      </c>
      <c r="N28" s="70"/>
      <c r="O28" s="78">
        <f t="shared" si="1"/>
        <v>0</v>
      </c>
    </row>
    <row r="29" spans="1:15" ht="20.100000000000001" customHeight="1">
      <c r="A29" s="69"/>
      <c r="B29" s="69"/>
      <c r="D29" s="36">
        <v>0.95833333333333404</v>
      </c>
      <c r="E29" s="95">
        <f>DGET(DATA,"Reference Load", criteria23)*IF(TypeofResult="Aggregate",Accounts/1000,1)</f>
        <v>5004.2105142516402</v>
      </c>
      <c r="F29" s="95">
        <f>DGET(DATA,"Observed Load", criteria23)*IF(TypeofResult="Aggregate",Accounts/1000,1)</f>
        <v>5004.2105142516402</v>
      </c>
      <c r="G29" s="94">
        <f t="shared" si="0"/>
        <v>0</v>
      </c>
      <c r="H29" s="95">
        <f>DGET(DATA,"Temperature", criteria23)</f>
        <v>77</v>
      </c>
      <c r="I29" s="95">
        <f>DGET(DATA,"PCTILE10", criteria23)*IF(TypeofResult="Aggregate",Accounts/1000,1)</f>
        <v>0</v>
      </c>
      <c r="J29" s="95">
        <f>DGET(DATA,"PCTILE30", criteria23)*IF(TypeofResult="Aggregate",Accounts/1000,1)</f>
        <v>0</v>
      </c>
      <c r="K29" s="95">
        <f>DGET(DATA,"PCTILE50", criteria23)*IF(TypeofResult="Aggregate",Accounts/1000,1)</f>
        <v>0</v>
      </c>
      <c r="L29" s="95">
        <f>DGET(DATA,"PCTILE70", criteria23)*IF(TypeofResult="Aggregate",Accounts/1000,1)</f>
        <v>0</v>
      </c>
      <c r="M29" s="95">
        <f>DGET(DATA,"PCTILE90", criteria23)*IF(TypeofResult="Aggregate",Accounts/1000,1)</f>
        <v>0</v>
      </c>
      <c r="N29" s="70"/>
      <c r="O29" s="78">
        <f t="shared" si="1"/>
        <v>7</v>
      </c>
    </row>
    <row r="30" spans="1:15" ht="20.100000000000001" customHeight="1">
      <c r="A30" s="69"/>
      <c r="B30" s="69"/>
      <c r="D30" s="36">
        <v>1</v>
      </c>
      <c r="E30" s="95">
        <f>DGET(DATA,"Reference Load", criteria24)*IF(TypeofResult="Aggregate",Accounts/1000,1)</f>
        <v>4908.7543924132096</v>
      </c>
      <c r="F30" s="95">
        <f>DGET(DATA,"Observed Load", criteria24)*IF(TypeofResult="Aggregate",Accounts/1000,1)</f>
        <v>4908.7543924132096</v>
      </c>
      <c r="G30" s="94">
        <f t="shared" si="0"/>
        <v>0</v>
      </c>
      <c r="H30" s="95">
        <f>DGET(DATA,"Temperature", criteria24)</f>
        <v>87</v>
      </c>
      <c r="I30" s="95">
        <f>DGET(DATA,"PCTILE10", criteria24)*IF(TypeofResult="Aggregate",Accounts/1000,1)</f>
        <v>0</v>
      </c>
      <c r="J30" s="95">
        <f>DGET(DATA,"PCTILE30", criteria24)*IF(TypeofResult="Aggregate",Accounts/1000,1)</f>
        <v>0</v>
      </c>
      <c r="K30" s="95">
        <f>DGET(DATA,"PCTILE50", criteria24)*IF(TypeofResult="Aggregate",Accounts/1000,1)</f>
        <v>0</v>
      </c>
      <c r="L30" s="95">
        <f>DGET(DATA,"PCTILE70", criteria24)*IF(TypeofResult="Aggregate",Accounts/1000,1)</f>
        <v>0</v>
      </c>
      <c r="M30" s="95">
        <f>DGET(DATA,"PCTILE90", criteria24)*IF(TypeofResult="Aggregate",Accounts/1000,1)</f>
        <v>0</v>
      </c>
      <c r="N30" s="70"/>
      <c r="O30" s="78">
        <f t="shared" si="1"/>
        <v>17</v>
      </c>
    </row>
    <row r="31" spans="1:15" ht="26.25" customHeight="1">
      <c r="A31" s="69"/>
      <c r="B31" s="69"/>
      <c r="D31" s="40"/>
      <c r="E31" s="86" t="str">
        <f>IF(TypeofResult="Aggregate", "Reference Energy Use (MWh)", "Reference Energy Use (kWh)")</f>
        <v>Reference Energy Use (kWh)</v>
      </c>
      <c r="F31" s="86" t="str">
        <f>IF(TypeofResult="Aggregate", "Observed Energy Use (MWh)", "Observed Energy Use (kWh)")</f>
        <v>Observed Energy Use (kWh)</v>
      </c>
      <c r="G31" s="86" t="str">
        <f>IF(TypeofResult="Aggregate", "Change in Energy Use (MWh)", "Change in Energy Use (kWh)")</f>
        <v>Change in Energy Use (kWh)</v>
      </c>
      <c r="H31" s="86" t="s">
        <v>48</v>
      </c>
      <c r="I31" s="41" t="s">
        <v>29</v>
      </c>
      <c r="J31" s="42"/>
      <c r="K31" s="42"/>
      <c r="L31" s="42"/>
      <c r="M31" s="43"/>
    </row>
    <row r="32" spans="1:15" ht="26.25" customHeight="1">
      <c r="A32" s="69"/>
      <c r="B32" s="69"/>
      <c r="D32" s="30"/>
      <c r="E32" s="87"/>
      <c r="F32" s="87"/>
      <c r="G32" s="87"/>
      <c r="H32" s="87"/>
      <c r="I32" s="31" t="s">
        <v>31</v>
      </c>
      <c r="J32" s="31" t="s">
        <v>32</v>
      </c>
      <c r="K32" s="31" t="s">
        <v>33</v>
      </c>
      <c r="L32" s="31" t="s">
        <v>34</v>
      </c>
      <c r="M32" s="32" t="s">
        <v>35</v>
      </c>
    </row>
    <row r="33" spans="1:15" ht="24.95" customHeight="1">
      <c r="A33" s="84"/>
      <c r="B33" s="84"/>
      <c r="D33" s="44" t="s">
        <v>37</v>
      </c>
      <c r="E33" s="45">
        <f>SUM(E7:E30)</f>
        <v>126910.6948752278</v>
      </c>
      <c r="F33" s="4">
        <f>SUM(F7:F30)</f>
        <v>108133.70939993999</v>
      </c>
      <c r="G33" s="4">
        <f>E33-F33</f>
        <v>18776.985475287802</v>
      </c>
      <c r="H33" s="4">
        <f>SUM(O7:O30)</f>
        <v>247</v>
      </c>
      <c r="I33" s="82">
        <f>SUM(I7:I30)</f>
        <v>18400.63183211354</v>
      </c>
      <c r="J33" s="82">
        <f>SUM(J7:J30)</f>
        <v>18540.233312864908</v>
      </c>
      <c r="K33" s="82">
        <f>SUM(K7:K30)</f>
        <v>18776.985475287784</v>
      </c>
      <c r="L33" s="82">
        <f>SUM(L7:L30)</f>
        <v>19013.737637710663</v>
      </c>
      <c r="M33" s="83">
        <f>SUM(M7:M30)</f>
        <v>19153.33911846203</v>
      </c>
    </row>
    <row r="34" spans="1:15" ht="7.5" customHeight="1" thickBot="1">
      <c r="C34" s="46"/>
      <c r="D34" s="47"/>
      <c r="E34" s="48"/>
      <c r="F34" s="49"/>
      <c r="G34" s="50"/>
      <c r="H34" s="5"/>
      <c r="I34" s="50"/>
      <c r="J34" s="50"/>
      <c r="K34" s="50"/>
      <c r="L34" s="50"/>
      <c r="M34" s="51"/>
    </row>
    <row r="35" spans="1:15" ht="15" customHeight="1">
      <c r="H35" s="6"/>
      <c r="I35" s="52"/>
      <c r="J35" s="52"/>
      <c r="K35" s="52"/>
      <c r="L35" s="52"/>
      <c r="M35" s="52"/>
    </row>
    <row r="36" spans="1:15" ht="16.5" customHeight="1">
      <c r="D36" s="53"/>
      <c r="E36" s="19"/>
      <c r="F36" s="19"/>
      <c r="G36" s="52"/>
      <c r="H36" s="6"/>
      <c r="I36" s="52"/>
      <c r="J36" s="52"/>
      <c r="K36" s="52"/>
      <c r="L36" s="52"/>
      <c r="M36" s="52"/>
    </row>
    <row r="37" spans="1:15" ht="57" customHeight="1">
      <c r="D37" s="85"/>
      <c r="E37" s="85"/>
      <c r="F37" s="85"/>
      <c r="G37" s="85"/>
      <c r="H37" s="85"/>
      <c r="I37" s="85"/>
      <c r="J37" s="85"/>
      <c r="K37" s="85"/>
      <c r="L37" s="85"/>
      <c r="M37" s="85"/>
      <c r="O37" s="54"/>
    </row>
    <row r="38" spans="1:15">
      <c r="O38" s="55"/>
    </row>
    <row r="39" spans="1:15">
      <c r="C39" s="39"/>
      <c r="O39" s="57"/>
    </row>
    <row r="40" spans="1:15">
      <c r="C40" s="39"/>
      <c r="O40" s="58"/>
    </row>
    <row r="41" spans="1:15" ht="14.25">
      <c r="C41" s="39"/>
      <c r="G41" s="52"/>
      <c r="O41" s="58"/>
    </row>
    <row r="42" spans="1:15" ht="14.25">
      <c r="A42" s="18"/>
      <c r="B42" s="18"/>
      <c r="C42" s="39"/>
      <c r="D42" s="39"/>
      <c r="G42" s="52"/>
    </row>
    <row r="43" spans="1:15" ht="14.25">
      <c r="A43" s="18"/>
      <c r="B43" s="18"/>
      <c r="D43" s="39"/>
      <c r="G43" s="52"/>
    </row>
    <row r="44" spans="1:15" ht="14.25">
      <c r="A44" s="18"/>
      <c r="B44" s="18"/>
      <c r="C44" s="39"/>
      <c r="D44" s="39"/>
      <c r="G44" s="52"/>
    </row>
    <row r="45" spans="1:15" ht="14.25">
      <c r="A45" s="59"/>
      <c r="B45" s="59"/>
      <c r="D45" s="39"/>
      <c r="G45" s="52"/>
    </row>
    <row r="46" spans="1:15" ht="15">
      <c r="A46" s="60"/>
      <c r="B46" s="61"/>
      <c r="G46" s="52"/>
    </row>
    <row r="47" spans="1:15" ht="14.25">
      <c r="A47" s="62"/>
      <c r="B47" s="63"/>
      <c r="D47" s="39"/>
      <c r="G47" s="52"/>
    </row>
    <row r="48" spans="1:15" ht="15">
      <c r="A48" s="60"/>
      <c r="B48" s="61"/>
      <c r="C48" s="18"/>
      <c r="G48" s="52"/>
    </row>
    <row r="49" spans="1:7" ht="15">
      <c r="A49" s="60"/>
      <c r="B49" s="61"/>
      <c r="C49" s="18"/>
      <c r="G49" s="52"/>
    </row>
    <row r="50" spans="1:7" ht="14.25">
      <c r="A50" s="59"/>
      <c r="B50" s="59"/>
      <c r="C50" s="18"/>
      <c r="G50" s="52"/>
    </row>
    <row r="51" spans="1:7" ht="14.25">
      <c r="A51" s="59"/>
      <c r="B51" s="59"/>
      <c r="C51" s="18"/>
      <c r="D51" s="18"/>
      <c r="G51" s="52"/>
    </row>
    <row r="52" spans="1:7" ht="15">
      <c r="A52" s="60"/>
      <c r="B52" s="64"/>
      <c r="C52" s="18"/>
      <c r="D52" s="18"/>
      <c r="G52" s="52"/>
    </row>
    <row r="53" spans="1:7" ht="14.25">
      <c r="A53" s="53"/>
      <c r="B53" s="63"/>
      <c r="D53" s="18"/>
      <c r="G53" s="52"/>
    </row>
    <row r="54" spans="1:7" ht="14.25">
      <c r="A54" s="60"/>
      <c r="B54" s="65"/>
      <c r="D54" s="18"/>
      <c r="G54" s="52"/>
    </row>
    <row r="55" spans="1:7" ht="14.25">
      <c r="A55" s="59"/>
      <c r="B55" s="59"/>
      <c r="D55" s="18"/>
      <c r="G55" s="52"/>
    </row>
    <row r="56" spans="1:7" ht="14.25">
      <c r="A56" s="18"/>
      <c r="B56" s="18"/>
      <c r="G56" s="52"/>
    </row>
    <row r="57" spans="1:7" ht="14.25">
      <c r="A57" s="18"/>
      <c r="B57" s="18"/>
      <c r="G57" s="52"/>
    </row>
    <row r="58" spans="1:7" ht="14.25">
      <c r="A58" s="18"/>
      <c r="B58" s="18"/>
      <c r="G58" s="52"/>
    </row>
    <row r="59" spans="1:7" ht="14.25">
      <c r="A59" s="18"/>
      <c r="B59" s="18"/>
      <c r="G59" s="52"/>
    </row>
    <row r="60" spans="1:7" ht="14.25">
      <c r="A60" s="18"/>
      <c r="B60" s="18"/>
      <c r="G60" s="52"/>
    </row>
  </sheetData>
  <protectedRanges>
    <protectedRange sqref="B52 B48:B49 B12:B13 B7:B10" name="INPUT CELLS"/>
    <protectedRange sqref="B14" name="INPUT CELLS_1"/>
  </protectedRanges>
  <mergeCells count="12">
    <mergeCell ref="E5:E6"/>
    <mergeCell ref="F5:F6"/>
    <mergeCell ref="H5:H6"/>
    <mergeCell ref="D5:D6"/>
    <mergeCell ref="G5:G6"/>
    <mergeCell ref="A23:B25"/>
    <mergeCell ref="D37:M37"/>
    <mergeCell ref="H31:H32"/>
    <mergeCell ref="E31:E32"/>
    <mergeCell ref="F31:F32"/>
    <mergeCell ref="G31:G32"/>
    <mergeCell ref="A33:B33"/>
  </mergeCells>
  <phoneticPr fontId="2" type="noConversion"/>
  <conditionalFormatting sqref="E7:F30 H7:M30 O7:O30">
    <cfRule type="expression" dxfId="0" priority="1" stopIfTrue="1">
      <formula>($B$46="CUSTOM")</formula>
    </cfRule>
  </conditionalFormatting>
  <dataValidations xWindow="451" yWindow="290" count="7">
    <dataValidation type="list" allowBlank="1" showInputMessage="1" showErrorMessage="1" sqref="B48">
      <formula1>"1-in-2 weather year, 1-in-10 weather year"</formula1>
    </dataValidation>
    <dataValidation type="list" allowBlank="1" showInputMessage="1" showErrorMessage="1" sqref="B49 B9">
      <formula1>DayTypeList</formula1>
    </dataValidation>
    <dataValidation type="list" allowBlank="1" showInputMessage="1" showErrorMessage="1" sqref="B46">
      <formula1>"PROTOCOLS, CUSTOM"</formula1>
    </dataValidation>
    <dataValidation type="list" allowBlank="1" showInputMessage="1" showErrorMessage="1" sqref="B8">
      <formula1>ForecastYearList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WeatherYearList</formula1>
    </dataValidation>
    <dataValidation type="list" allowBlank="1" showInputMessage="1" showErrorMessage="1" sqref="B10">
      <formula1>CustCharList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opLeftCell="E1" workbookViewId="0">
      <selection activeCell="N72" sqref="N72"/>
    </sheetView>
  </sheetViews>
  <sheetFormatPr defaultRowHeight="12.75"/>
  <cols>
    <col min="1" max="1" width="16.42578125" bestFit="1" customWidth="1"/>
    <col min="2" max="2" width="4.140625" customWidth="1"/>
    <col min="3" max="3" width="16.140625" bestFit="1" customWidth="1"/>
    <col min="4" max="4" width="4.140625" customWidth="1"/>
    <col min="5" max="5" width="27.5703125" bestFit="1" customWidth="1"/>
    <col min="6" max="6" width="4.140625" customWidth="1"/>
    <col min="7" max="7" width="31" bestFit="1" customWidth="1"/>
    <col min="8" max="8" width="4.140625" customWidth="1"/>
    <col min="9" max="9" width="22.7109375" bestFit="1" customWidth="1"/>
    <col min="10" max="10" width="4.140625" customWidth="1"/>
    <col min="11" max="11" width="21.42578125" bestFit="1" customWidth="1"/>
    <col min="12" max="12" width="12.42578125" bestFit="1" customWidth="1"/>
    <col min="13" max="13" width="27.5703125" bestFit="1" customWidth="1"/>
    <col min="14" max="14" width="12.7109375" bestFit="1" customWidth="1"/>
    <col min="15" max="15" width="4.85546875" bestFit="1" customWidth="1"/>
  </cols>
  <sheetData>
    <row r="1" spans="1:15">
      <c r="A1" t="s">
        <v>0</v>
      </c>
      <c r="C1" t="s">
        <v>40</v>
      </c>
      <c r="E1" t="s">
        <v>41</v>
      </c>
      <c r="G1" t="s">
        <v>44</v>
      </c>
      <c r="I1" t="s">
        <v>2</v>
      </c>
    </row>
    <row r="2" spans="1:15">
      <c r="A2" s="66">
        <v>2012</v>
      </c>
      <c r="C2" s="9" t="s">
        <v>50</v>
      </c>
      <c r="E2" s="67" t="s">
        <v>9</v>
      </c>
      <c r="G2" t="s">
        <v>45</v>
      </c>
      <c r="I2" t="s">
        <v>3</v>
      </c>
      <c r="K2" s="75" t="s">
        <v>43</v>
      </c>
      <c r="L2" s="76" t="s">
        <v>39</v>
      </c>
      <c r="M2" s="76" t="s">
        <v>21</v>
      </c>
      <c r="N2" s="76" t="s">
        <v>1</v>
      </c>
      <c r="O2" s="74" t="s">
        <v>22</v>
      </c>
    </row>
    <row r="3" spans="1:15">
      <c r="A3" s="66">
        <f>A2+1</f>
        <v>2013</v>
      </c>
      <c r="C3" s="9" t="s">
        <v>49</v>
      </c>
      <c r="E3" s="67" t="s">
        <v>10</v>
      </c>
      <c r="I3" t="s">
        <v>38</v>
      </c>
      <c r="K3" t="str">
        <f>CustChar</f>
        <v>All Customers</v>
      </c>
      <c r="L3" t="str">
        <f>WeatherYear</f>
        <v>1-in-2</v>
      </c>
      <c r="M3" t="str">
        <f>DayType</f>
        <v>September Monthly Peak</v>
      </c>
      <c r="N3">
        <f>MIN(ForecastYear,2014)</f>
        <v>2012</v>
      </c>
      <c r="O3">
        <v>1</v>
      </c>
    </row>
    <row r="4" spans="1:15">
      <c r="A4" s="66">
        <f t="shared" ref="A4:A11" si="0">A3+1</f>
        <v>2014</v>
      </c>
      <c r="E4" s="67" t="s">
        <v>11</v>
      </c>
    </row>
    <row r="5" spans="1:15">
      <c r="A5" s="66">
        <f t="shared" si="0"/>
        <v>2015</v>
      </c>
      <c r="E5" s="67" t="s">
        <v>12</v>
      </c>
      <c r="K5" s="75" t="s">
        <v>43</v>
      </c>
      <c r="L5" s="76" t="s">
        <v>39</v>
      </c>
      <c r="M5" s="76" t="s">
        <v>21</v>
      </c>
      <c r="N5" s="76" t="s">
        <v>1</v>
      </c>
      <c r="O5" s="74" t="s">
        <v>22</v>
      </c>
    </row>
    <row r="6" spans="1:15">
      <c r="A6" s="66">
        <f t="shared" si="0"/>
        <v>2016</v>
      </c>
      <c r="E6" s="67" t="s">
        <v>13</v>
      </c>
      <c r="K6" t="str">
        <f>CustChar</f>
        <v>All Customers</v>
      </c>
      <c r="L6" t="str">
        <f>WeatherYear</f>
        <v>1-in-2</v>
      </c>
      <c r="M6" t="str">
        <f>DayType</f>
        <v>September Monthly Peak</v>
      </c>
      <c r="N6">
        <f>MIN(2014,ForecastYear)</f>
        <v>2012</v>
      </c>
      <c r="O6">
        <v>2</v>
      </c>
    </row>
    <row r="7" spans="1:15">
      <c r="A7" s="66">
        <f t="shared" si="0"/>
        <v>2017</v>
      </c>
      <c r="E7" s="67" t="s">
        <v>14</v>
      </c>
    </row>
    <row r="8" spans="1:15">
      <c r="A8" s="66">
        <f t="shared" si="0"/>
        <v>2018</v>
      </c>
      <c r="E8" s="67" t="s">
        <v>15</v>
      </c>
      <c r="K8" s="75" t="s">
        <v>43</v>
      </c>
      <c r="L8" s="76" t="s">
        <v>39</v>
      </c>
      <c r="M8" s="76" t="s">
        <v>21</v>
      </c>
      <c r="N8" s="76" t="s">
        <v>1</v>
      </c>
      <c r="O8" s="74" t="s">
        <v>22</v>
      </c>
    </row>
    <row r="9" spans="1:15">
      <c r="A9" s="66">
        <f t="shared" si="0"/>
        <v>2019</v>
      </c>
      <c r="E9" s="67" t="s">
        <v>16</v>
      </c>
      <c r="K9" t="str">
        <f>CustChar</f>
        <v>All Customers</v>
      </c>
      <c r="L9" t="str">
        <f>WeatherYear</f>
        <v>1-in-2</v>
      </c>
      <c r="M9" t="str">
        <f>DayType</f>
        <v>September Monthly Peak</v>
      </c>
      <c r="N9">
        <f>MIN(2014,ForecastYear)</f>
        <v>2012</v>
      </c>
      <c r="O9">
        <v>3</v>
      </c>
    </row>
    <row r="10" spans="1:15">
      <c r="A10" s="66">
        <f t="shared" si="0"/>
        <v>2020</v>
      </c>
      <c r="E10" s="67" t="s">
        <v>17</v>
      </c>
    </row>
    <row r="11" spans="1:15">
      <c r="A11" s="66">
        <f t="shared" si="0"/>
        <v>2021</v>
      </c>
      <c r="E11" s="67" t="s">
        <v>18</v>
      </c>
      <c r="K11" s="75" t="s">
        <v>43</v>
      </c>
      <c r="L11" s="76" t="s">
        <v>39</v>
      </c>
      <c r="M11" s="76" t="s">
        <v>21</v>
      </c>
      <c r="N11" s="76" t="s">
        <v>1</v>
      </c>
      <c r="O11" s="74" t="s">
        <v>22</v>
      </c>
    </row>
    <row r="12" spans="1:15">
      <c r="A12" s="66"/>
      <c r="E12" s="67" t="s">
        <v>19</v>
      </c>
      <c r="K12" t="str">
        <f>CustChar</f>
        <v>All Customers</v>
      </c>
      <c r="L12" t="str">
        <f>WeatherYear</f>
        <v>1-in-2</v>
      </c>
      <c r="M12" t="str">
        <f>DayType</f>
        <v>September Monthly Peak</v>
      </c>
      <c r="N12">
        <f>MIN(2014,ForecastYear)</f>
        <v>2012</v>
      </c>
      <c r="O12">
        <v>4</v>
      </c>
    </row>
    <row r="13" spans="1:15">
      <c r="E13" s="67" t="s">
        <v>20</v>
      </c>
    </row>
    <row r="14" spans="1:15">
      <c r="K14" s="75" t="s">
        <v>43</v>
      </c>
      <c r="L14" s="76" t="s">
        <v>39</v>
      </c>
      <c r="M14" s="76" t="s">
        <v>21</v>
      </c>
      <c r="N14" s="76" t="s">
        <v>1</v>
      </c>
      <c r="O14" s="74" t="s">
        <v>22</v>
      </c>
    </row>
    <row r="15" spans="1:15">
      <c r="E15" s="67"/>
      <c r="K15" t="str">
        <f>CustChar</f>
        <v>All Customers</v>
      </c>
      <c r="L15" t="str">
        <f>WeatherYear</f>
        <v>1-in-2</v>
      </c>
      <c r="M15" t="str">
        <f>DayType</f>
        <v>September Monthly Peak</v>
      </c>
      <c r="N15">
        <f>MIN(2014,ForecastYear)</f>
        <v>2012</v>
      </c>
      <c r="O15">
        <v>5</v>
      </c>
    </row>
    <row r="16" spans="1:15">
      <c r="E16" s="67"/>
    </row>
    <row r="17" spans="4:15">
      <c r="E17" s="67"/>
      <c r="K17" s="75" t="s">
        <v>43</v>
      </c>
      <c r="L17" s="76" t="s">
        <v>39</v>
      </c>
      <c r="M17" s="76" t="s">
        <v>21</v>
      </c>
      <c r="N17" s="76" t="s">
        <v>1</v>
      </c>
      <c r="O17" s="74" t="s">
        <v>22</v>
      </c>
    </row>
    <row r="18" spans="4:15">
      <c r="E18" s="67"/>
      <c r="K18" t="str">
        <f>CustChar</f>
        <v>All Customers</v>
      </c>
      <c r="L18" t="str">
        <f>WeatherYear</f>
        <v>1-in-2</v>
      </c>
      <c r="M18" t="str">
        <f>DayType</f>
        <v>September Monthly Peak</v>
      </c>
      <c r="N18">
        <f>MIN(2014,ForecastYear)</f>
        <v>2012</v>
      </c>
      <c r="O18">
        <v>6</v>
      </c>
    </row>
    <row r="19" spans="4:15">
      <c r="E19" s="67"/>
    </row>
    <row r="20" spans="4:15">
      <c r="D20" s="79"/>
      <c r="K20" s="75" t="s">
        <v>43</v>
      </c>
      <c r="L20" s="76" t="s">
        <v>39</v>
      </c>
      <c r="M20" s="76" t="s">
        <v>21</v>
      </c>
      <c r="N20" s="76" t="s">
        <v>1</v>
      </c>
      <c r="O20" s="74" t="s">
        <v>22</v>
      </c>
    </row>
    <row r="21" spans="4:15">
      <c r="D21" s="79"/>
      <c r="K21" t="str">
        <f>CustChar</f>
        <v>All Customers</v>
      </c>
      <c r="L21" t="str">
        <f>WeatherYear</f>
        <v>1-in-2</v>
      </c>
      <c r="M21" t="str">
        <f>DayType</f>
        <v>September Monthly Peak</v>
      </c>
      <c r="N21">
        <f>MIN(2014,ForecastYear)</f>
        <v>2012</v>
      </c>
      <c r="O21">
        <v>7</v>
      </c>
    </row>
    <row r="22" spans="4:15">
      <c r="D22" s="79"/>
    </row>
    <row r="23" spans="4:15">
      <c r="D23" s="79"/>
      <c r="K23" s="75" t="s">
        <v>43</v>
      </c>
      <c r="L23" s="76" t="s">
        <v>39</v>
      </c>
      <c r="M23" s="76" t="s">
        <v>21</v>
      </c>
      <c r="N23" s="76" t="s">
        <v>1</v>
      </c>
      <c r="O23" s="74" t="s">
        <v>22</v>
      </c>
    </row>
    <row r="24" spans="4:15">
      <c r="D24" s="79"/>
      <c r="K24" t="str">
        <f>CustChar</f>
        <v>All Customers</v>
      </c>
      <c r="L24" t="str">
        <f>WeatherYear</f>
        <v>1-in-2</v>
      </c>
      <c r="M24" t="str">
        <f>DayType</f>
        <v>September Monthly Peak</v>
      </c>
      <c r="N24">
        <f>MIN(2014,ForecastYear)</f>
        <v>2012</v>
      </c>
      <c r="O24">
        <v>8</v>
      </c>
    </row>
    <row r="25" spans="4:15">
      <c r="D25" s="79"/>
    </row>
    <row r="26" spans="4:15">
      <c r="D26" s="79"/>
      <c r="K26" s="75" t="s">
        <v>43</v>
      </c>
      <c r="L26" s="76" t="s">
        <v>39</v>
      </c>
      <c r="M26" s="76" t="s">
        <v>21</v>
      </c>
      <c r="N26" s="76" t="s">
        <v>1</v>
      </c>
      <c r="O26" s="74" t="s">
        <v>22</v>
      </c>
    </row>
    <row r="27" spans="4:15">
      <c r="D27" s="79"/>
      <c r="K27" t="str">
        <f>CustChar</f>
        <v>All Customers</v>
      </c>
      <c r="L27" t="str">
        <f>WeatherYear</f>
        <v>1-in-2</v>
      </c>
      <c r="M27" t="str">
        <f>DayType</f>
        <v>September Monthly Peak</v>
      </c>
      <c r="N27">
        <f>MIN(2014,ForecastYear)</f>
        <v>2012</v>
      </c>
      <c r="O27">
        <v>9</v>
      </c>
    </row>
    <row r="28" spans="4:15">
      <c r="D28" s="79"/>
    </row>
    <row r="29" spans="4:15">
      <c r="D29" s="79"/>
      <c r="K29" s="75" t="s">
        <v>43</v>
      </c>
      <c r="L29" s="76" t="s">
        <v>39</v>
      </c>
      <c r="M29" s="76" t="s">
        <v>21</v>
      </c>
      <c r="N29" s="76" t="s">
        <v>1</v>
      </c>
      <c r="O29" s="74" t="s">
        <v>22</v>
      </c>
    </row>
    <row r="30" spans="4:15">
      <c r="D30" s="79"/>
      <c r="K30" t="str">
        <f>CustChar</f>
        <v>All Customers</v>
      </c>
      <c r="L30" t="str">
        <f>WeatherYear</f>
        <v>1-in-2</v>
      </c>
      <c r="M30" t="str">
        <f>DayType</f>
        <v>September Monthly Peak</v>
      </c>
      <c r="N30">
        <f>MIN(2014,ForecastYear)</f>
        <v>2012</v>
      </c>
      <c r="O30">
        <v>10</v>
      </c>
    </row>
    <row r="31" spans="4:15">
      <c r="D31" s="79"/>
    </row>
    <row r="32" spans="4:15">
      <c r="D32" s="79"/>
      <c r="K32" s="75" t="s">
        <v>43</v>
      </c>
      <c r="L32" s="76" t="s">
        <v>39</v>
      </c>
      <c r="M32" s="76" t="s">
        <v>21</v>
      </c>
      <c r="N32" s="76" t="s">
        <v>1</v>
      </c>
      <c r="O32" s="74" t="s">
        <v>22</v>
      </c>
    </row>
    <row r="33" spans="4:15">
      <c r="D33" s="79"/>
      <c r="K33" t="str">
        <f>CustChar</f>
        <v>All Customers</v>
      </c>
      <c r="L33" t="str">
        <f>WeatherYear</f>
        <v>1-in-2</v>
      </c>
      <c r="M33" t="str">
        <f>DayType</f>
        <v>September Monthly Peak</v>
      </c>
      <c r="N33">
        <f>MIN(2014,ForecastYear)</f>
        <v>2012</v>
      </c>
      <c r="O33">
        <v>11</v>
      </c>
    </row>
    <row r="34" spans="4:15">
      <c r="D34" s="79"/>
    </row>
    <row r="35" spans="4:15">
      <c r="D35" s="79"/>
      <c r="K35" s="75" t="s">
        <v>43</v>
      </c>
      <c r="L35" s="76" t="s">
        <v>39</v>
      </c>
      <c r="M35" s="76" t="s">
        <v>21</v>
      </c>
      <c r="N35" s="76" t="s">
        <v>1</v>
      </c>
      <c r="O35" s="74" t="s">
        <v>22</v>
      </c>
    </row>
    <row r="36" spans="4:15">
      <c r="K36" t="str">
        <f>CustChar</f>
        <v>All Customers</v>
      </c>
      <c r="L36" t="str">
        <f>WeatherYear</f>
        <v>1-in-2</v>
      </c>
      <c r="M36" t="str">
        <f>DayType</f>
        <v>September Monthly Peak</v>
      </c>
      <c r="N36">
        <f>MIN(2014,ForecastYear)</f>
        <v>2012</v>
      </c>
      <c r="O36">
        <v>12</v>
      </c>
    </row>
    <row r="38" spans="4:15">
      <c r="K38" s="75" t="s">
        <v>43</v>
      </c>
      <c r="L38" s="76" t="s">
        <v>39</v>
      </c>
      <c r="M38" s="76" t="s">
        <v>21</v>
      </c>
      <c r="N38" s="76" t="s">
        <v>1</v>
      </c>
      <c r="O38" s="74" t="s">
        <v>22</v>
      </c>
    </row>
    <row r="39" spans="4:15">
      <c r="K39" t="str">
        <f>CustChar</f>
        <v>All Customers</v>
      </c>
      <c r="L39" t="str">
        <f>WeatherYear</f>
        <v>1-in-2</v>
      </c>
      <c r="M39" t="str">
        <f>DayType</f>
        <v>September Monthly Peak</v>
      </c>
      <c r="N39">
        <f>MIN(2014,ForecastYear)</f>
        <v>2012</v>
      </c>
      <c r="O39">
        <v>13</v>
      </c>
    </row>
    <row r="41" spans="4:15">
      <c r="K41" s="75" t="s">
        <v>43</v>
      </c>
      <c r="L41" s="76" t="s">
        <v>39</v>
      </c>
      <c r="M41" s="76" t="s">
        <v>21</v>
      </c>
      <c r="N41" s="76" t="s">
        <v>1</v>
      </c>
      <c r="O41" s="74" t="s">
        <v>22</v>
      </c>
    </row>
    <row r="42" spans="4:15">
      <c r="K42" t="str">
        <f>CustChar</f>
        <v>All Customers</v>
      </c>
      <c r="L42" t="str">
        <f>WeatherYear</f>
        <v>1-in-2</v>
      </c>
      <c r="M42" t="str">
        <f>DayType</f>
        <v>September Monthly Peak</v>
      </c>
      <c r="N42">
        <f>MIN(2014,ForecastYear)</f>
        <v>2012</v>
      </c>
      <c r="O42">
        <v>14</v>
      </c>
    </row>
    <row r="44" spans="4:15">
      <c r="K44" s="75" t="s">
        <v>43</v>
      </c>
      <c r="L44" s="76" t="s">
        <v>39</v>
      </c>
      <c r="M44" s="76" t="s">
        <v>21</v>
      </c>
      <c r="N44" s="76" t="s">
        <v>1</v>
      </c>
      <c r="O44" s="74" t="s">
        <v>22</v>
      </c>
    </row>
    <row r="45" spans="4:15">
      <c r="K45" t="str">
        <f>CustChar</f>
        <v>All Customers</v>
      </c>
      <c r="L45" t="str">
        <f>WeatherYear</f>
        <v>1-in-2</v>
      </c>
      <c r="M45" t="str">
        <f>DayType</f>
        <v>September Monthly Peak</v>
      </c>
      <c r="N45">
        <f>MIN(2014,ForecastYear)</f>
        <v>2012</v>
      </c>
      <c r="O45">
        <v>15</v>
      </c>
    </row>
    <row r="47" spans="4:15">
      <c r="K47" s="75" t="s">
        <v>43</v>
      </c>
      <c r="L47" s="76" t="s">
        <v>39</v>
      </c>
      <c r="M47" s="76" t="s">
        <v>21</v>
      </c>
      <c r="N47" s="76" t="s">
        <v>1</v>
      </c>
      <c r="O47" s="74" t="s">
        <v>22</v>
      </c>
    </row>
    <row r="48" spans="4:15">
      <c r="K48" t="str">
        <f>CustChar</f>
        <v>All Customers</v>
      </c>
      <c r="L48" t="str">
        <f>WeatherYear</f>
        <v>1-in-2</v>
      </c>
      <c r="M48" t="str">
        <f>DayType</f>
        <v>September Monthly Peak</v>
      </c>
      <c r="N48">
        <f>MIN(2014,ForecastYear)</f>
        <v>2012</v>
      </c>
      <c r="O48">
        <v>16</v>
      </c>
    </row>
    <row r="50" spans="11:15">
      <c r="K50" s="75" t="s">
        <v>43</v>
      </c>
      <c r="L50" s="76" t="s">
        <v>39</v>
      </c>
      <c r="M50" s="76" t="s">
        <v>21</v>
      </c>
      <c r="N50" s="76" t="s">
        <v>1</v>
      </c>
      <c r="O50" s="74" t="s">
        <v>22</v>
      </c>
    </row>
    <row r="51" spans="11:15">
      <c r="K51" t="str">
        <f>CustChar</f>
        <v>All Customers</v>
      </c>
      <c r="L51" t="str">
        <f>WeatherYear</f>
        <v>1-in-2</v>
      </c>
      <c r="M51" t="str">
        <f>DayType</f>
        <v>September Monthly Peak</v>
      </c>
      <c r="N51">
        <f>MIN(2014,ForecastYear)</f>
        <v>2012</v>
      </c>
      <c r="O51">
        <v>17</v>
      </c>
    </row>
    <row r="53" spans="11:15">
      <c r="K53" s="75" t="s">
        <v>43</v>
      </c>
      <c r="L53" s="76" t="s">
        <v>39</v>
      </c>
      <c r="M53" s="76" t="s">
        <v>21</v>
      </c>
      <c r="N53" s="76" t="s">
        <v>1</v>
      </c>
      <c r="O53" s="74" t="s">
        <v>22</v>
      </c>
    </row>
    <row r="54" spans="11:15">
      <c r="K54" t="str">
        <f>CustChar</f>
        <v>All Customers</v>
      </c>
      <c r="L54" t="str">
        <f>WeatherYear</f>
        <v>1-in-2</v>
      </c>
      <c r="M54" t="str">
        <f>DayType</f>
        <v>September Monthly Peak</v>
      </c>
      <c r="N54">
        <f>MIN(2014,ForecastYear)</f>
        <v>2012</v>
      </c>
      <c r="O54">
        <v>18</v>
      </c>
    </row>
    <row r="56" spans="11:15">
      <c r="K56" s="75" t="s">
        <v>43</v>
      </c>
      <c r="L56" s="76" t="s">
        <v>39</v>
      </c>
      <c r="M56" s="76" t="s">
        <v>21</v>
      </c>
      <c r="N56" s="76" t="s">
        <v>1</v>
      </c>
      <c r="O56" s="74" t="s">
        <v>22</v>
      </c>
    </row>
    <row r="57" spans="11:15">
      <c r="K57" t="str">
        <f>CustChar</f>
        <v>All Customers</v>
      </c>
      <c r="L57" t="str">
        <f>WeatherYear</f>
        <v>1-in-2</v>
      </c>
      <c r="M57" t="str">
        <f>DayType</f>
        <v>September Monthly Peak</v>
      </c>
      <c r="N57">
        <f>MIN(2014,ForecastYear)</f>
        <v>2012</v>
      </c>
      <c r="O57">
        <v>19</v>
      </c>
    </row>
    <row r="59" spans="11:15">
      <c r="K59" s="75" t="s">
        <v>43</v>
      </c>
      <c r="L59" s="76" t="s">
        <v>39</v>
      </c>
      <c r="M59" s="76" t="s">
        <v>21</v>
      </c>
      <c r="N59" s="76" t="s">
        <v>1</v>
      </c>
      <c r="O59" s="74" t="s">
        <v>22</v>
      </c>
    </row>
    <row r="60" spans="11:15">
      <c r="K60" t="str">
        <f>CustChar</f>
        <v>All Customers</v>
      </c>
      <c r="L60" t="str">
        <f>WeatherYear</f>
        <v>1-in-2</v>
      </c>
      <c r="M60" t="str">
        <f>DayType</f>
        <v>September Monthly Peak</v>
      </c>
      <c r="N60">
        <f>MIN(2014,ForecastYear)</f>
        <v>2012</v>
      </c>
      <c r="O60">
        <v>20</v>
      </c>
    </row>
    <row r="62" spans="11:15">
      <c r="K62" s="75" t="s">
        <v>43</v>
      </c>
      <c r="L62" s="76" t="s">
        <v>39</v>
      </c>
      <c r="M62" s="76" t="s">
        <v>21</v>
      </c>
      <c r="N62" s="76" t="s">
        <v>1</v>
      </c>
      <c r="O62" s="74" t="s">
        <v>22</v>
      </c>
    </row>
    <row r="63" spans="11:15">
      <c r="K63" t="str">
        <f>CustChar</f>
        <v>All Customers</v>
      </c>
      <c r="L63" t="str">
        <f>WeatherYear</f>
        <v>1-in-2</v>
      </c>
      <c r="M63" t="str">
        <f>DayType</f>
        <v>September Monthly Peak</v>
      </c>
      <c r="N63">
        <f>MIN(2014,ForecastYear)</f>
        <v>2012</v>
      </c>
      <c r="O63">
        <v>21</v>
      </c>
    </row>
    <row r="65" spans="11:15">
      <c r="K65" s="75" t="s">
        <v>43</v>
      </c>
      <c r="L65" s="76" t="s">
        <v>39</v>
      </c>
      <c r="M65" s="76" t="s">
        <v>21</v>
      </c>
      <c r="N65" s="76" t="s">
        <v>1</v>
      </c>
      <c r="O65" s="74" t="s">
        <v>22</v>
      </c>
    </row>
    <row r="66" spans="11:15">
      <c r="K66" t="str">
        <f>CustChar</f>
        <v>All Customers</v>
      </c>
      <c r="L66" t="str">
        <f>WeatherYear</f>
        <v>1-in-2</v>
      </c>
      <c r="M66" t="str">
        <f>DayType</f>
        <v>September Monthly Peak</v>
      </c>
      <c r="N66">
        <f>MIN(2014,ForecastYear)</f>
        <v>2012</v>
      </c>
      <c r="O66">
        <v>22</v>
      </c>
    </row>
    <row r="68" spans="11:15">
      <c r="K68" s="75" t="s">
        <v>43</v>
      </c>
      <c r="L68" s="76" t="s">
        <v>39</v>
      </c>
      <c r="M68" s="76" t="s">
        <v>21</v>
      </c>
      <c r="N68" s="76" t="s">
        <v>1</v>
      </c>
      <c r="O68" s="74" t="s">
        <v>22</v>
      </c>
    </row>
    <row r="69" spans="11:15">
      <c r="K69" t="str">
        <f>CustChar</f>
        <v>All Customers</v>
      </c>
      <c r="L69" t="str">
        <f>WeatherYear</f>
        <v>1-in-2</v>
      </c>
      <c r="M69" t="str">
        <f>DayType</f>
        <v>September Monthly Peak</v>
      </c>
      <c r="N69">
        <f>MIN(2014,ForecastYear)</f>
        <v>2012</v>
      </c>
      <c r="O69">
        <v>23</v>
      </c>
    </row>
    <row r="71" spans="11:15">
      <c r="K71" s="75" t="s">
        <v>43</v>
      </c>
      <c r="L71" s="76" t="s">
        <v>39</v>
      </c>
      <c r="M71" s="76" t="s">
        <v>21</v>
      </c>
      <c r="N71" s="76" t="s">
        <v>1</v>
      </c>
      <c r="O71" s="74" t="s">
        <v>22</v>
      </c>
    </row>
    <row r="72" spans="11:15">
      <c r="K72" t="str">
        <f>CustChar</f>
        <v>All Customers</v>
      </c>
      <c r="L72" t="str">
        <f>WeatherYear</f>
        <v>1-in-2</v>
      </c>
      <c r="M72" t="str">
        <f>DayType</f>
        <v>September Monthly Peak</v>
      </c>
      <c r="N72">
        <f>MIN(2014,ForecastYear)</f>
        <v>2012</v>
      </c>
      <c r="O72">
        <v>24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22"/>
  <sheetViews>
    <sheetView workbookViewId="0">
      <selection activeCell="R8" sqref="R8"/>
    </sheetView>
  </sheetViews>
  <sheetFormatPr defaultRowHeight="12.75"/>
  <cols>
    <col min="1" max="1" width="31" bestFit="1" customWidth="1"/>
    <col min="2" max="2" width="12.28515625" bestFit="1" customWidth="1"/>
    <col min="3" max="3" width="23.140625" bestFit="1" customWidth="1"/>
    <col min="4" max="4" width="8.42578125" customWidth="1"/>
    <col min="5" max="5" width="4.85546875" bestFit="1" customWidth="1"/>
    <col min="6" max="6" width="14" bestFit="1" customWidth="1"/>
    <col min="7" max="7" width="13.42578125" bestFit="1" customWidth="1"/>
    <col min="8" max="8" width="11.28515625" bestFit="1" customWidth="1"/>
    <col min="9" max="9" width="13.1406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5.5703125" customWidth="1"/>
  </cols>
  <sheetData>
    <row r="1" spans="1:27" s="3" customFormat="1" ht="26.25" customHeight="1">
      <c r="A1" s="1" t="s">
        <v>43</v>
      </c>
      <c r="B1" s="2" t="s">
        <v>39</v>
      </c>
      <c r="C1" s="2" t="s">
        <v>21</v>
      </c>
      <c r="D1" s="2" t="s">
        <v>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51</v>
      </c>
      <c r="P1"/>
      <c r="Q1"/>
      <c r="R1"/>
      <c r="S1"/>
      <c r="T1"/>
      <c r="U1"/>
      <c r="V1"/>
      <c r="W1"/>
      <c r="X1"/>
      <c r="Y1"/>
      <c r="Z1"/>
      <c r="AA1"/>
    </row>
    <row r="2" spans="1:27">
      <c r="A2" s="81" t="s">
        <v>43</v>
      </c>
      <c r="B2" s="92" t="s">
        <v>39</v>
      </c>
      <c r="C2" s="92" t="s">
        <v>21</v>
      </c>
      <c r="D2" s="92" t="s">
        <v>1</v>
      </c>
      <c r="E2" s="92" t="s">
        <v>22</v>
      </c>
      <c r="F2" s="92" t="s">
        <v>23</v>
      </c>
      <c r="G2" s="93" t="s">
        <v>24</v>
      </c>
      <c r="H2" s="92" t="s">
        <v>25</v>
      </c>
      <c r="I2" s="81" t="s">
        <v>26</v>
      </c>
      <c r="J2" s="93" t="s">
        <v>4</v>
      </c>
      <c r="K2" s="93" t="s">
        <v>5</v>
      </c>
      <c r="L2" s="93" t="s">
        <v>6</v>
      </c>
      <c r="M2" s="93" t="s">
        <v>7</v>
      </c>
      <c r="N2" s="93" t="s">
        <v>8</v>
      </c>
      <c r="O2" s="92" t="s">
        <v>51</v>
      </c>
    </row>
    <row r="3" spans="1:27">
      <c r="A3" s="81" t="s">
        <v>45</v>
      </c>
      <c r="B3" s="92" t="s">
        <v>50</v>
      </c>
      <c r="C3" s="92" t="s">
        <v>13</v>
      </c>
      <c r="D3" s="92">
        <v>2012</v>
      </c>
      <c r="E3" s="92">
        <v>1</v>
      </c>
      <c r="F3" s="92">
        <v>4674.5655764163002</v>
      </c>
      <c r="G3" s="93">
        <v>4674.5655764163002</v>
      </c>
      <c r="H3" s="92">
        <v>62</v>
      </c>
      <c r="I3" s="81"/>
      <c r="J3" s="93">
        <v>0</v>
      </c>
      <c r="K3" s="93">
        <v>0</v>
      </c>
      <c r="L3" s="93">
        <v>0</v>
      </c>
      <c r="M3" s="93">
        <v>0</v>
      </c>
      <c r="N3" s="93">
        <v>0</v>
      </c>
      <c r="O3" s="92">
        <v>3</v>
      </c>
    </row>
    <row r="4" spans="1:27">
      <c r="A4" s="81" t="s">
        <v>45</v>
      </c>
      <c r="B4" s="92" t="s">
        <v>50</v>
      </c>
      <c r="C4" s="92" t="s">
        <v>13</v>
      </c>
      <c r="D4" s="92">
        <v>2012</v>
      </c>
      <c r="E4" s="92">
        <v>2</v>
      </c>
      <c r="F4" s="92">
        <v>4647.4836900677501</v>
      </c>
      <c r="G4" s="93">
        <v>4647.4836900677501</v>
      </c>
      <c r="H4" s="92">
        <v>56</v>
      </c>
      <c r="I4" s="81"/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2">
        <v>3</v>
      </c>
    </row>
    <row r="5" spans="1:27">
      <c r="A5" s="81" t="s">
        <v>45</v>
      </c>
      <c r="B5" s="92" t="s">
        <v>50</v>
      </c>
      <c r="C5" s="92" t="s">
        <v>13</v>
      </c>
      <c r="D5" s="92">
        <v>2012</v>
      </c>
      <c r="E5" s="92">
        <v>3</v>
      </c>
      <c r="F5" s="92">
        <v>4625.6056418856897</v>
      </c>
      <c r="G5" s="93">
        <v>4625.6056418856897</v>
      </c>
      <c r="H5" s="92">
        <v>70</v>
      </c>
      <c r="I5" s="81"/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2">
        <v>3</v>
      </c>
    </row>
    <row r="6" spans="1:27">
      <c r="A6" s="81" t="s">
        <v>45</v>
      </c>
      <c r="B6" s="92" t="s">
        <v>50</v>
      </c>
      <c r="C6" s="92" t="s">
        <v>13</v>
      </c>
      <c r="D6" s="92">
        <v>2012</v>
      </c>
      <c r="E6" s="92">
        <v>4</v>
      </c>
      <c r="F6" s="92">
        <v>4606.6066562025799</v>
      </c>
      <c r="G6" s="93">
        <v>4606.6066562025799</v>
      </c>
      <c r="H6" s="92">
        <v>56</v>
      </c>
      <c r="I6" s="81"/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2">
        <v>3</v>
      </c>
    </row>
    <row r="7" spans="1:27">
      <c r="A7" s="81" t="s">
        <v>45</v>
      </c>
      <c r="B7" s="92" t="s">
        <v>50</v>
      </c>
      <c r="C7" s="92" t="s">
        <v>13</v>
      </c>
      <c r="D7" s="92">
        <v>2012</v>
      </c>
      <c r="E7" s="92">
        <v>5</v>
      </c>
      <c r="F7" s="92">
        <v>4628.2487009987299</v>
      </c>
      <c r="G7" s="93">
        <v>4628.2487009987299</v>
      </c>
      <c r="H7" s="92">
        <v>76</v>
      </c>
      <c r="I7" s="81"/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2">
        <v>3</v>
      </c>
    </row>
    <row r="8" spans="1:27">
      <c r="A8" s="81" t="s">
        <v>45</v>
      </c>
      <c r="B8" s="92" t="s">
        <v>50</v>
      </c>
      <c r="C8" s="92" t="s">
        <v>13</v>
      </c>
      <c r="D8" s="92">
        <v>2012</v>
      </c>
      <c r="E8" s="92">
        <v>6</v>
      </c>
      <c r="F8" s="92">
        <v>4676.0586264336898</v>
      </c>
      <c r="G8" s="93">
        <v>4676.0586264336898</v>
      </c>
      <c r="H8" s="92">
        <v>63</v>
      </c>
      <c r="I8" s="81"/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2">
        <v>3</v>
      </c>
    </row>
    <row r="9" spans="1:27">
      <c r="A9" s="81" t="s">
        <v>45</v>
      </c>
      <c r="B9" s="92" t="s">
        <v>50</v>
      </c>
      <c r="C9" s="92" t="s">
        <v>13</v>
      </c>
      <c r="D9" s="92">
        <v>2012</v>
      </c>
      <c r="E9" s="92">
        <v>7</v>
      </c>
      <c r="F9" s="92">
        <v>4725.8885652572899</v>
      </c>
      <c r="G9" s="93">
        <v>4725.8885652572899</v>
      </c>
      <c r="H9" s="92">
        <v>60</v>
      </c>
      <c r="I9" s="81"/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2">
        <v>3</v>
      </c>
    </row>
    <row r="10" spans="1:27">
      <c r="A10" s="81" t="s">
        <v>45</v>
      </c>
      <c r="B10" s="92" t="s">
        <v>50</v>
      </c>
      <c r="C10" s="92" t="s">
        <v>13</v>
      </c>
      <c r="D10" s="92">
        <v>2012</v>
      </c>
      <c r="E10" s="92">
        <v>8</v>
      </c>
      <c r="F10" s="92">
        <v>4828.4407496693602</v>
      </c>
      <c r="G10" s="93">
        <v>4828.4407496693602</v>
      </c>
      <c r="H10" s="92">
        <v>70</v>
      </c>
      <c r="I10" s="81"/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2">
        <v>3</v>
      </c>
    </row>
    <row r="11" spans="1:27">
      <c r="A11" s="81" t="s">
        <v>45</v>
      </c>
      <c r="B11" s="92" t="s">
        <v>50</v>
      </c>
      <c r="C11" s="92" t="s">
        <v>13</v>
      </c>
      <c r="D11" s="92">
        <v>2012</v>
      </c>
      <c r="E11" s="92">
        <v>9</v>
      </c>
      <c r="F11" s="92">
        <v>5192.9930176924599</v>
      </c>
      <c r="G11" s="93">
        <v>5192.9930176924599</v>
      </c>
      <c r="H11" s="92">
        <v>71</v>
      </c>
      <c r="I11" s="81"/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2">
        <v>3</v>
      </c>
    </row>
    <row r="12" spans="1:27">
      <c r="A12" s="81" t="s">
        <v>45</v>
      </c>
      <c r="B12" s="92" t="s">
        <v>50</v>
      </c>
      <c r="C12" s="92" t="s">
        <v>13</v>
      </c>
      <c r="D12" s="92">
        <v>2012</v>
      </c>
      <c r="E12" s="92">
        <v>10</v>
      </c>
      <c r="F12" s="92">
        <v>5362.2066296665898</v>
      </c>
      <c r="G12" s="93">
        <v>5362.2066296665898</v>
      </c>
      <c r="H12" s="92">
        <v>76</v>
      </c>
      <c r="I12" s="81"/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2">
        <v>3</v>
      </c>
    </row>
    <row r="13" spans="1:27">
      <c r="A13" s="81" t="s">
        <v>45</v>
      </c>
      <c r="B13" s="92" t="s">
        <v>50</v>
      </c>
      <c r="C13" s="92" t="s">
        <v>13</v>
      </c>
      <c r="D13" s="92">
        <v>2012</v>
      </c>
      <c r="E13" s="92">
        <v>11</v>
      </c>
      <c r="F13" s="92">
        <v>5453.81479711254</v>
      </c>
      <c r="G13" s="93">
        <v>3504.3779136292592</v>
      </c>
      <c r="H13" s="92">
        <v>61</v>
      </c>
      <c r="I13" s="81"/>
      <c r="J13" s="93">
        <v>1919.371038893059</v>
      </c>
      <c r="K13" s="93">
        <v>1930.5234124676438</v>
      </c>
      <c r="L13" s="93">
        <v>1949.4368834832808</v>
      </c>
      <c r="M13" s="93">
        <v>1968.350354498918</v>
      </c>
      <c r="N13" s="93">
        <v>1979.5027280735028</v>
      </c>
      <c r="O13" s="92">
        <v>3</v>
      </c>
    </row>
    <row r="14" spans="1:27">
      <c r="A14" s="81" t="s">
        <v>45</v>
      </c>
      <c r="B14" s="92" t="s">
        <v>50</v>
      </c>
      <c r="C14" s="92" t="s">
        <v>13</v>
      </c>
      <c r="D14" s="92">
        <v>2012</v>
      </c>
      <c r="E14" s="92">
        <v>12</v>
      </c>
      <c r="F14" s="92">
        <v>5533.0949245233796</v>
      </c>
      <c r="G14" s="93">
        <v>3555.3197841957758</v>
      </c>
      <c r="H14" s="92">
        <v>73</v>
      </c>
      <c r="I14" s="81"/>
      <c r="J14" s="93">
        <v>1949.333264236775</v>
      </c>
      <c r="K14" s="93">
        <v>1959.883256483798</v>
      </c>
      <c r="L14" s="93">
        <v>1977.7751403276038</v>
      </c>
      <c r="M14" s="93">
        <v>1995.6670241714135</v>
      </c>
      <c r="N14" s="93">
        <v>2006.2170164184326</v>
      </c>
      <c r="O14" s="92">
        <v>3</v>
      </c>
    </row>
    <row r="15" spans="1:27">
      <c r="A15" s="81" t="s">
        <v>45</v>
      </c>
      <c r="B15" s="92" t="s">
        <v>50</v>
      </c>
      <c r="C15" s="92" t="s">
        <v>13</v>
      </c>
      <c r="D15" s="92">
        <v>2012</v>
      </c>
      <c r="E15" s="92">
        <v>13</v>
      </c>
      <c r="F15" s="92">
        <v>5544.2136746633796</v>
      </c>
      <c r="G15" s="93">
        <v>3562.4641966606814</v>
      </c>
      <c r="H15" s="92">
        <v>76</v>
      </c>
      <c r="I15" s="81"/>
      <c r="J15" s="93">
        <v>1953.9906005068547</v>
      </c>
      <c r="K15" s="93">
        <v>1964.287246952819</v>
      </c>
      <c r="L15" s="93">
        <v>1981.7494780026982</v>
      </c>
      <c r="M15" s="93">
        <v>1999.2117090525776</v>
      </c>
      <c r="N15" s="93">
        <v>2009.5083554985385</v>
      </c>
      <c r="O15" s="92">
        <v>3</v>
      </c>
    </row>
    <row r="16" spans="1:27">
      <c r="A16" s="81" t="s">
        <v>45</v>
      </c>
      <c r="B16" s="92" t="s">
        <v>50</v>
      </c>
      <c r="C16" s="92" t="s">
        <v>13</v>
      </c>
      <c r="D16" s="92">
        <v>2012</v>
      </c>
      <c r="E16" s="92">
        <v>14</v>
      </c>
      <c r="F16" s="92">
        <v>5581.0062944747897</v>
      </c>
      <c r="G16" s="93">
        <v>3586.1054916162648</v>
      </c>
      <c r="H16" s="92">
        <v>87</v>
      </c>
      <c r="I16" s="81"/>
      <c r="J16" s="93">
        <v>1969.3507660654466</v>
      </c>
      <c r="K16" s="93">
        <v>1978.8280835678929</v>
      </c>
      <c r="L16" s="93">
        <v>1994.9008028585247</v>
      </c>
      <c r="M16" s="93">
        <v>2010.9735221491528</v>
      </c>
      <c r="N16" s="93">
        <v>2020.450839651603</v>
      </c>
      <c r="O16" s="92">
        <v>3</v>
      </c>
    </row>
    <row r="17" spans="1:15">
      <c r="A17" s="81" t="s">
        <v>45</v>
      </c>
      <c r="B17" s="92" t="s">
        <v>50</v>
      </c>
      <c r="C17" s="92" t="s">
        <v>13</v>
      </c>
      <c r="D17" s="92">
        <v>2012</v>
      </c>
      <c r="E17" s="92">
        <v>15</v>
      </c>
      <c r="F17" s="92">
        <v>5483.1909157486298</v>
      </c>
      <c r="G17" s="93">
        <v>3523.2536960249081</v>
      </c>
      <c r="H17" s="92">
        <v>98</v>
      </c>
      <c r="I17" s="81"/>
      <c r="J17" s="93">
        <v>1933.5377400799837</v>
      </c>
      <c r="K17" s="93">
        <v>1943.3301428271648</v>
      </c>
      <c r="L17" s="93">
        <v>1959.9372197237219</v>
      </c>
      <c r="M17" s="93">
        <v>1976.5442966202759</v>
      </c>
      <c r="N17" s="93">
        <v>1986.3366993674606</v>
      </c>
      <c r="O17" s="92">
        <v>3</v>
      </c>
    </row>
    <row r="18" spans="1:15">
      <c r="A18" s="81" t="s">
        <v>45</v>
      </c>
      <c r="B18" s="92" t="s">
        <v>50</v>
      </c>
      <c r="C18" s="92" t="s">
        <v>13</v>
      </c>
      <c r="D18" s="92">
        <v>2012</v>
      </c>
      <c r="E18" s="92">
        <v>16</v>
      </c>
      <c r="F18" s="92">
        <v>5422.7809903916304</v>
      </c>
      <c r="G18" s="93">
        <v>3484.436974874578</v>
      </c>
      <c r="H18" s="92">
        <v>79</v>
      </c>
      <c r="I18" s="81"/>
      <c r="J18" s="93">
        <v>1912.4128581695011</v>
      </c>
      <c r="K18" s="93">
        <v>1922.0315453510116</v>
      </c>
      <c r="L18" s="93">
        <v>1938.3440155170524</v>
      </c>
      <c r="M18" s="93">
        <v>1954.6564856830928</v>
      </c>
      <c r="N18" s="93">
        <v>1964.2751728646037</v>
      </c>
      <c r="O18" s="92">
        <v>3</v>
      </c>
    </row>
    <row r="19" spans="1:15">
      <c r="A19" s="81" t="s">
        <v>45</v>
      </c>
      <c r="B19" s="92" t="s">
        <v>50</v>
      </c>
      <c r="C19" s="92" t="s">
        <v>13</v>
      </c>
      <c r="D19" s="92">
        <v>2012</v>
      </c>
      <c r="E19" s="92">
        <v>17</v>
      </c>
      <c r="F19" s="92">
        <v>5325.8946844300199</v>
      </c>
      <c r="G19" s="93">
        <v>3422.1821599650666</v>
      </c>
      <c r="H19" s="92">
        <v>88</v>
      </c>
      <c r="I19" s="81"/>
      <c r="J19" s="93">
        <v>1872.8826355161814</v>
      </c>
      <c r="K19" s="93">
        <v>1884.3184173312522</v>
      </c>
      <c r="L19" s="93">
        <v>1903.712524464953</v>
      </c>
      <c r="M19" s="93">
        <v>1923.10663159865</v>
      </c>
      <c r="N19" s="93">
        <v>1934.5424134137247</v>
      </c>
      <c r="O19" s="92">
        <v>3</v>
      </c>
    </row>
    <row r="20" spans="1:15">
      <c r="A20" s="81" t="s">
        <v>45</v>
      </c>
      <c r="B20" s="92" t="s">
        <v>50</v>
      </c>
      <c r="C20" s="92" t="s">
        <v>13</v>
      </c>
      <c r="D20" s="92">
        <v>2012</v>
      </c>
      <c r="E20" s="92">
        <v>18</v>
      </c>
      <c r="F20" s="92">
        <v>5230.3640150677502</v>
      </c>
      <c r="G20" s="93">
        <v>3360.7984166145225</v>
      </c>
      <c r="H20" s="92">
        <v>87</v>
      </c>
      <c r="I20" s="81"/>
      <c r="J20" s="93">
        <v>1842.7342036366365</v>
      </c>
      <c r="K20" s="93">
        <v>1852.6868173948801</v>
      </c>
      <c r="L20" s="93">
        <v>1869.5655984532277</v>
      </c>
      <c r="M20" s="93">
        <v>1886.4443795115785</v>
      </c>
      <c r="N20" s="93">
        <v>1896.3969932698185</v>
      </c>
      <c r="O20" s="92">
        <v>3</v>
      </c>
    </row>
    <row r="21" spans="1:15">
      <c r="A21" s="81" t="s">
        <v>45</v>
      </c>
      <c r="B21" s="92" t="s">
        <v>50</v>
      </c>
      <c r="C21" s="92" t="s">
        <v>13</v>
      </c>
      <c r="D21" s="92">
        <v>2012</v>
      </c>
      <c r="E21" s="92">
        <v>19</v>
      </c>
      <c r="F21" s="92">
        <v>5131.6561632815301</v>
      </c>
      <c r="G21" s="93">
        <v>5131.6561632815301</v>
      </c>
      <c r="H21" s="92">
        <v>87</v>
      </c>
      <c r="I21" s="81"/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2">
        <v>3</v>
      </c>
    </row>
    <row r="22" spans="1:15">
      <c r="A22" s="81" t="s">
        <v>45</v>
      </c>
      <c r="B22" s="92" t="s">
        <v>50</v>
      </c>
      <c r="C22" s="92" t="s">
        <v>13</v>
      </c>
      <c r="D22" s="92">
        <v>2012</v>
      </c>
      <c r="E22" s="92">
        <v>20</v>
      </c>
      <c r="F22" s="92">
        <v>5049.39948338472</v>
      </c>
      <c r="G22" s="93">
        <v>5049.39948338472</v>
      </c>
      <c r="H22" s="92">
        <v>96</v>
      </c>
      <c r="I22" s="81"/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2">
        <v>3</v>
      </c>
    </row>
    <row r="23" spans="1:15">
      <c r="A23" s="81" t="s">
        <v>45</v>
      </c>
      <c r="B23" s="92" t="s">
        <v>50</v>
      </c>
      <c r="C23" s="92" t="s">
        <v>13</v>
      </c>
      <c r="D23" s="92">
        <v>2012</v>
      </c>
      <c r="E23" s="92">
        <v>21</v>
      </c>
      <c r="F23" s="92">
        <v>4969.6524834831798</v>
      </c>
      <c r="G23" s="93">
        <v>4969.6524834831798</v>
      </c>
      <c r="H23" s="92">
        <v>96</v>
      </c>
      <c r="I23" s="81"/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2">
        <v>3</v>
      </c>
    </row>
    <row r="24" spans="1:15">
      <c r="A24" s="81" t="s">
        <v>45</v>
      </c>
      <c r="B24" s="92" t="s">
        <v>50</v>
      </c>
      <c r="C24" s="92" t="s">
        <v>13</v>
      </c>
      <c r="D24" s="92">
        <v>2012</v>
      </c>
      <c r="E24" s="92">
        <v>22</v>
      </c>
      <c r="F24" s="92">
        <v>4858.4738515710396</v>
      </c>
      <c r="G24" s="93">
        <v>4858.4738515710396</v>
      </c>
      <c r="H24" s="92">
        <v>88</v>
      </c>
      <c r="I24" s="81"/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2">
        <v>3</v>
      </c>
    </row>
    <row r="25" spans="1:15">
      <c r="A25" s="81" t="s">
        <v>45</v>
      </c>
      <c r="B25" s="92" t="s">
        <v>50</v>
      </c>
      <c r="C25" s="92" t="s">
        <v>13</v>
      </c>
      <c r="D25" s="92">
        <v>2012</v>
      </c>
      <c r="E25" s="92">
        <v>23</v>
      </c>
      <c r="F25" s="92">
        <v>4780.4190439682898</v>
      </c>
      <c r="G25" s="93">
        <v>4780.4190439682898</v>
      </c>
      <c r="H25" s="92">
        <v>66</v>
      </c>
      <c r="I25" s="81"/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2">
        <v>3</v>
      </c>
    </row>
    <row r="26" spans="1:15">
      <c r="A26" s="81" t="s">
        <v>45</v>
      </c>
      <c r="B26" s="92" t="s">
        <v>50</v>
      </c>
      <c r="C26" s="92" t="s">
        <v>13</v>
      </c>
      <c r="D26" s="92">
        <v>2012</v>
      </c>
      <c r="E26" s="92">
        <v>24</v>
      </c>
      <c r="F26" s="92">
        <v>4726.9505196129003</v>
      </c>
      <c r="G26" s="93">
        <v>4726.9505196129003</v>
      </c>
      <c r="H26" s="92">
        <v>80</v>
      </c>
      <c r="I26" s="81"/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2">
        <v>3</v>
      </c>
    </row>
    <row r="27" spans="1:15">
      <c r="A27" s="81" t="s">
        <v>45</v>
      </c>
      <c r="B27" s="92" t="s">
        <v>50</v>
      </c>
      <c r="C27" s="92" t="s">
        <v>14</v>
      </c>
      <c r="D27" s="92">
        <v>2012</v>
      </c>
      <c r="E27" s="92">
        <v>1</v>
      </c>
      <c r="F27" s="92">
        <v>4481.7970497806</v>
      </c>
      <c r="G27" s="93">
        <v>4481.7970497806</v>
      </c>
      <c r="H27" s="92">
        <v>70</v>
      </c>
      <c r="I27" s="81"/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2">
        <v>3</v>
      </c>
    </row>
    <row r="28" spans="1:15">
      <c r="A28" s="81" t="s">
        <v>45</v>
      </c>
      <c r="B28" s="92" t="s">
        <v>50</v>
      </c>
      <c r="C28" s="92" t="s">
        <v>14</v>
      </c>
      <c r="D28" s="92">
        <v>2012</v>
      </c>
      <c r="E28" s="92">
        <v>2</v>
      </c>
      <c r="F28" s="92">
        <v>4461.0882052469797</v>
      </c>
      <c r="G28" s="93">
        <v>4461.0882052469797</v>
      </c>
      <c r="H28" s="92">
        <v>77</v>
      </c>
      <c r="I28" s="81"/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2">
        <v>3</v>
      </c>
    </row>
    <row r="29" spans="1:15">
      <c r="A29" s="81" t="s">
        <v>45</v>
      </c>
      <c r="B29" s="92" t="s">
        <v>50</v>
      </c>
      <c r="C29" s="92" t="s">
        <v>14</v>
      </c>
      <c r="D29" s="92">
        <v>2012</v>
      </c>
      <c r="E29" s="92">
        <v>3</v>
      </c>
      <c r="F29" s="92">
        <v>4440.38603256027</v>
      </c>
      <c r="G29" s="93">
        <v>4440.38603256027</v>
      </c>
      <c r="H29" s="92">
        <v>77</v>
      </c>
      <c r="I29" s="81"/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2">
        <v>3</v>
      </c>
    </row>
    <row r="30" spans="1:15">
      <c r="A30" s="81" t="s">
        <v>45</v>
      </c>
      <c r="B30" s="92" t="s">
        <v>50</v>
      </c>
      <c r="C30" s="92" t="s">
        <v>14</v>
      </c>
      <c r="D30" s="92">
        <v>2012</v>
      </c>
      <c r="E30" s="92">
        <v>4</v>
      </c>
      <c r="F30" s="92">
        <v>4432.7534514117597</v>
      </c>
      <c r="G30" s="93">
        <v>4432.7534514117597</v>
      </c>
      <c r="H30" s="92">
        <v>63</v>
      </c>
      <c r="I30" s="81"/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2">
        <v>3</v>
      </c>
    </row>
    <row r="31" spans="1:15">
      <c r="A31" s="81" t="s">
        <v>45</v>
      </c>
      <c r="B31" s="92" t="s">
        <v>50</v>
      </c>
      <c r="C31" s="92" t="s">
        <v>14</v>
      </c>
      <c r="D31" s="92">
        <v>2012</v>
      </c>
      <c r="E31" s="92">
        <v>5</v>
      </c>
      <c r="F31" s="92">
        <v>4456.8178240627703</v>
      </c>
      <c r="G31" s="93">
        <v>4456.8178240627703</v>
      </c>
      <c r="H31" s="92">
        <v>74</v>
      </c>
      <c r="I31" s="81"/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2">
        <v>3</v>
      </c>
    </row>
    <row r="32" spans="1:15">
      <c r="A32" s="81" t="s">
        <v>45</v>
      </c>
      <c r="B32" s="92" t="s">
        <v>50</v>
      </c>
      <c r="C32" s="92" t="s">
        <v>14</v>
      </c>
      <c r="D32" s="92">
        <v>2012</v>
      </c>
      <c r="E32" s="92">
        <v>6</v>
      </c>
      <c r="F32" s="92">
        <v>4494.6616928342601</v>
      </c>
      <c r="G32" s="93">
        <v>4494.6616928342601</v>
      </c>
      <c r="H32" s="92">
        <v>73</v>
      </c>
      <c r="I32" s="81"/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2">
        <v>3</v>
      </c>
    </row>
    <row r="33" spans="1:15">
      <c r="A33" s="81" t="s">
        <v>45</v>
      </c>
      <c r="B33" s="92" t="s">
        <v>50</v>
      </c>
      <c r="C33" s="92" t="s">
        <v>14</v>
      </c>
      <c r="D33" s="92">
        <v>2012</v>
      </c>
      <c r="E33" s="92">
        <v>7</v>
      </c>
      <c r="F33" s="92">
        <v>4587.79738493696</v>
      </c>
      <c r="G33" s="93">
        <v>4587.79738493696</v>
      </c>
      <c r="H33" s="92">
        <v>67</v>
      </c>
      <c r="I33" s="81"/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2">
        <v>3</v>
      </c>
    </row>
    <row r="34" spans="1:15">
      <c r="A34" s="81" t="s">
        <v>45</v>
      </c>
      <c r="B34" s="92" t="s">
        <v>50</v>
      </c>
      <c r="C34" s="92" t="s">
        <v>14</v>
      </c>
      <c r="D34" s="92">
        <v>2012</v>
      </c>
      <c r="E34" s="92">
        <v>8</v>
      </c>
      <c r="F34" s="92">
        <v>4765.72596330132</v>
      </c>
      <c r="G34" s="93">
        <v>4765.72596330132</v>
      </c>
      <c r="H34" s="92">
        <v>67</v>
      </c>
      <c r="I34" s="81"/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2">
        <v>3</v>
      </c>
    </row>
    <row r="35" spans="1:15">
      <c r="A35" s="81" t="s">
        <v>45</v>
      </c>
      <c r="B35" s="92" t="s">
        <v>50</v>
      </c>
      <c r="C35" s="92" t="s">
        <v>14</v>
      </c>
      <c r="D35" s="92">
        <v>2012</v>
      </c>
      <c r="E35" s="92">
        <v>9</v>
      </c>
      <c r="F35" s="92">
        <v>5119.9639062370998</v>
      </c>
      <c r="G35" s="93">
        <v>5119.9639062370998</v>
      </c>
      <c r="H35" s="92">
        <v>68</v>
      </c>
      <c r="I35" s="81"/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2">
        <v>3</v>
      </c>
    </row>
    <row r="36" spans="1:15">
      <c r="A36" s="81" t="s">
        <v>45</v>
      </c>
      <c r="B36" s="92" t="s">
        <v>50</v>
      </c>
      <c r="C36" s="92" t="s">
        <v>14</v>
      </c>
      <c r="D36" s="92">
        <v>2012</v>
      </c>
      <c r="E36" s="92">
        <v>10</v>
      </c>
      <c r="F36" s="92">
        <v>5283.7359818570803</v>
      </c>
      <c r="G36" s="93">
        <v>5283.7359818570803</v>
      </c>
      <c r="H36" s="92">
        <v>54</v>
      </c>
      <c r="I36" s="81"/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2">
        <v>3</v>
      </c>
    </row>
    <row r="37" spans="1:15">
      <c r="A37" s="81" t="s">
        <v>45</v>
      </c>
      <c r="B37" s="92" t="s">
        <v>50</v>
      </c>
      <c r="C37" s="92" t="s">
        <v>14</v>
      </c>
      <c r="D37" s="92">
        <v>2012</v>
      </c>
      <c r="E37" s="92">
        <v>11</v>
      </c>
      <c r="F37" s="92">
        <v>5406.27295237215</v>
      </c>
      <c r="G37" s="93">
        <v>3539.531706495859</v>
      </c>
      <c r="H37" s="92">
        <v>77</v>
      </c>
      <c r="I37" s="81"/>
      <c r="J37" s="93">
        <v>1837.7220284307575</v>
      </c>
      <c r="K37" s="93">
        <v>1848.4861748635503</v>
      </c>
      <c r="L37" s="93">
        <v>1866.741245876291</v>
      </c>
      <c r="M37" s="93">
        <v>1884.9963168890317</v>
      </c>
      <c r="N37" s="93">
        <v>1895.7604633218245</v>
      </c>
      <c r="O37" s="92">
        <v>3</v>
      </c>
    </row>
    <row r="38" spans="1:15">
      <c r="A38" s="81" t="s">
        <v>45</v>
      </c>
      <c r="B38" s="92" t="s">
        <v>50</v>
      </c>
      <c r="C38" s="92" t="s">
        <v>14</v>
      </c>
      <c r="D38" s="92">
        <v>2012</v>
      </c>
      <c r="E38" s="92">
        <v>12</v>
      </c>
      <c r="F38" s="92">
        <v>5510.8209178382604</v>
      </c>
      <c r="G38" s="93">
        <v>3607.98012592954</v>
      </c>
      <c r="H38" s="92">
        <v>75</v>
      </c>
      <c r="I38" s="81"/>
      <c r="J38" s="93">
        <v>1875.3890107235297</v>
      </c>
      <c r="K38" s="93">
        <v>1885.5717454259029</v>
      </c>
      <c r="L38" s="93">
        <v>1902.8407919087206</v>
      </c>
      <c r="M38" s="93">
        <v>1920.1098383915344</v>
      </c>
      <c r="N38" s="93">
        <v>1930.292573093908</v>
      </c>
      <c r="O38" s="92">
        <v>3</v>
      </c>
    </row>
    <row r="39" spans="1:15">
      <c r="A39" s="81" t="s">
        <v>45</v>
      </c>
      <c r="B39" s="92" t="s">
        <v>50</v>
      </c>
      <c r="C39" s="92" t="s">
        <v>14</v>
      </c>
      <c r="D39" s="92">
        <v>2012</v>
      </c>
      <c r="E39" s="92">
        <v>13</v>
      </c>
      <c r="F39" s="92">
        <v>5524.50679652078</v>
      </c>
      <c r="G39" s="93">
        <v>3616.9403841249346</v>
      </c>
      <c r="H39" s="92">
        <v>92</v>
      </c>
      <c r="I39" s="81"/>
      <c r="J39" s="93">
        <v>1880.7738538273154</v>
      </c>
      <c r="K39" s="93">
        <v>1890.7120619916834</v>
      </c>
      <c r="L39" s="93">
        <v>1907.5664123958454</v>
      </c>
      <c r="M39" s="93">
        <v>1924.420762800004</v>
      </c>
      <c r="N39" s="93">
        <v>1934.3589709643716</v>
      </c>
      <c r="O39" s="92">
        <v>3</v>
      </c>
    </row>
    <row r="40" spans="1:15">
      <c r="A40" s="81" t="s">
        <v>45</v>
      </c>
      <c r="B40" s="92" t="s">
        <v>50</v>
      </c>
      <c r="C40" s="92" t="s">
        <v>14</v>
      </c>
      <c r="D40" s="92">
        <v>2012</v>
      </c>
      <c r="E40" s="92">
        <v>14</v>
      </c>
      <c r="F40" s="92">
        <v>5505.9149699030904</v>
      </c>
      <c r="G40" s="93">
        <v>3604.7681611582584</v>
      </c>
      <c r="H40" s="92">
        <v>95</v>
      </c>
      <c r="I40" s="81"/>
      <c r="J40" s="93">
        <v>1876.4861985559269</v>
      </c>
      <c r="K40" s="93">
        <v>1885.6335995736686</v>
      </c>
      <c r="L40" s="93">
        <v>1901.1468087448322</v>
      </c>
      <c r="M40" s="93">
        <v>1916.6600179159957</v>
      </c>
      <c r="N40" s="93">
        <v>1925.8074189337374</v>
      </c>
      <c r="O40" s="92">
        <v>3</v>
      </c>
    </row>
    <row r="41" spans="1:15">
      <c r="A41" s="81" t="s">
        <v>45</v>
      </c>
      <c r="B41" s="92" t="s">
        <v>50</v>
      </c>
      <c r="C41" s="92" t="s">
        <v>14</v>
      </c>
      <c r="D41" s="92">
        <v>2012</v>
      </c>
      <c r="E41" s="92">
        <v>15</v>
      </c>
      <c r="F41" s="92">
        <v>5349.7513387059898</v>
      </c>
      <c r="G41" s="93">
        <v>3502.5265376048023</v>
      </c>
      <c r="H41" s="92">
        <v>88</v>
      </c>
      <c r="I41" s="81"/>
      <c r="J41" s="93">
        <v>1821.7443181587687</v>
      </c>
      <c r="K41" s="93">
        <v>1831.1958359360922</v>
      </c>
      <c r="L41" s="93">
        <v>1847.2248011011875</v>
      </c>
      <c r="M41" s="93">
        <v>1863.253766266283</v>
      </c>
      <c r="N41" s="93">
        <v>1872.7052840436063</v>
      </c>
      <c r="O41" s="92">
        <v>3</v>
      </c>
    </row>
    <row r="42" spans="1:15">
      <c r="A42" s="81" t="s">
        <v>45</v>
      </c>
      <c r="B42" s="92" t="s">
        <v>50</v>
      </c>
      <c r="C42" s="92" t="s">
        <v>14</v>
      </c>
      <c r="D42" s="92">
        <v>2012</v>
      </c>
      <c r="E42" s="92">
        <v>16</v>
      </c>
      <c r="F42" s="92">
        <v>5303.64104192388</v>
      </c>
      <c r="G42" s="93">
        <v>3472.3377441616967</v>
      </c>
      <c r="H42" s="92">
        <v>96</v>
      </c>
      <c r="I42" s="81"/>
      <c r="J42" s="93">
        <v>1806.2748342701677</v>
      </c>
      <c r="K42" s="93">
        <v>1815.5586837234305</v>
      </c>
      <c r="L42" s="93">
        <v>1831.3032977621833</v>
      </c>
      <c r="M42" s="93">
        <v>1847.0479118009355</v>
      </c>
      <c r="N42" s="93">
        <v>1856.3317612541989</v>
      </c>
      <c r="O42" s="92">
        <v>3</v>
      </c>
    </row>
    <row r="43" spans="1:15">
      <c r="A43" s="81" t="s">
        <v>45</v>
      </c>
      <c r="B43" s="92" t="s">
        <v>50</v>
      </c>
      <c r="C43" s="92" t="s">
        <v>14</v>
      </c>
      <c r="D43" s="92">
        <v>2012</v>
      </c>
      <c r="E43" s="92">
        <v>17</v>
      </c>
      <c r="F43" s="92">
        <v>5211.60274825125</v>
      </c>
      <c r="G43" s="93">
        <v>3412.0795105253228</v>
      </c>
      <c r="H43" s="92">
        <v>89</v>
      </c>
      <c r="I43" s="81"/>
      <c r="J43" s="93">
        <v>1769.7665731978029</v>
      </c>
      <c r="K43" s="93">
        <v>1780.8042620994199</v>
      </c>
      <c r="L43" s="93">
        <v>1799.5232377259274</v>
      </c>
      <c r="M43" s="93">
        <v>1818.2422133524385</v>
      </c>
      <c r="N43" s="93">
        <v>1829.2799022540553</v>
      </c>
      <c r="O43" s="92">
        <v>3</v>
      </c>
    </row>
    <row r="44" spans="1:15">
      <c r="A44" s="81" t="s">
        <v>45</v>
      </c>
      <c r="B44" s="92" t="s">
        <v>50</v>
      </c>
      <c r="C44" s="92" t="s">
        <v>14</v>
      </c>
      <c r="D44" s="92">
        <v>2012</v>
      </c>
      <c r="E44" s="92">
        <v>18</v>
      </c>
      <c r="F44" s="92">
        <v>5087.1337077669696</v>
      </c>
      <c r="G44" s="93">
        <v>3330.5885981810025</v>
      </c>
      <c r="H44" s="92">
        <v>88</v>
      </c>
      <c r="I44" s="81"/>
      <c r="J44" s="93">
        <v>1730.6477469420192</v>
      </c>
      <c r="K44" s="93">
        <v>1740.2538985981002</v>
      </c>
      <c r="L44" s="93">
        <v>1756.5451095859671</v>
      </c>
      <c r="M44" s="93">
        <v>1772.8363205738376</v>
      </c>
      <c r="N44" s="93">
        <v>1782.4424722299186</v>
      </c>
      <c r="O44" s="92">
        <v>3</v>
      </c>
    </row>
    <row r="45" spans="1:15">
      <c r="A45" s="81" t="s">
        <v>45</v>
      </c>
      <c r="B45" s="92" t="s">
        <v>50</v>
      </c>
      <c r="C45" s="92" t="s">
        <v>14</v>
      </c>
      <c r="D45" s="92">
        <v>2012</v>
      </c>
      <c r="E45" s="92">
        <v>19</v>
      </c>
      <c r="F45" s="92">
        <v>4995.0934619530499</v>
      </c>
      <c r="G45" s="93">
        <v>4995.0934619530499</v>
      </c>
      <c r="H45" s="92">
        <v>95</v>
      </c>
      <c r="I45" s="81"/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2">
        <v>3</v>
      </c>
    </row>
    <row r="46" spans="1:15">
      <c r="A46" s="81" t="s">
        <v>45</v>
      </c>
      <c r="B46" s="92" t="s">
        <v>50</v>
      </c>
      <c r="C46" s="92" t="s">
        <v>14</v>
      </c>
      <c r="D46" s="92">
        <v>2012</v>
      </c>
      <c r="E46" s="92">
        <v>20</v>
      </c>
      <c r="F46" s="92">
        <v>4899.7701678490102</v>
      </c>
      <c r="G46" s="93">
        <v>4899.7701678490102</v>
      </c>
      <c r="H46" s="92">
        <v>88</v>
      </c>
      <c r="I46" s="81"/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2">
        <v>3</v>
      </c>
    </row>
    <row r="47" spans="1:15">
      <c r="A47" s="81" t="s">
        <v>45</v>
      </c>
      <c r="B47" s="92" t="s">
        <v>50</v>
      </c>
      <c r="C47" s="92" t="s">
        <v>14</v>
      </c>
      <c r="D47" s="92">
        <v>2012</v>
      </c>
      <c r="E47" s="92">
        <v>21</v>
      </c>
      <c r="F47" s="92">
        <v>4815.8711485744698</v>
      </c>
      <c r="G47" s="93">
        <v>4815.8711485744698</v>
      </c>
      <c r="H47" s="92">
        <v>87</v>
      </c>
      <c r="I47" s="81"/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2">
        <v>3</v>
      </c>
    </row>
    <row r="48" spans="1:15">
      <c r="A48" s="81" t="s">
        <v>45</v>
      </c>
      <c r="B48" s="92" t="s">
        <v>50</v>
      </c>
      <c r="C48" s="92" t="s">
        <v>14</v>
      </c>
      <c r="D48" s="92">
        <v>2012</v>
      </c>
      <c r="E48" s="92">
        <v>22</v>
      </c>
      <c r="F48" s="92">
        <v>4699.51262506683</v>
      </c>
      <c r="G48" s="93">
        <v>4699.51262506683</v>
      </c>
      <c r="H48" s="92">
        <v>79</v>
      </c>
      <c r="I48" s="81"/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2">
        <v>3</v>
      </c>
    </row>
    <row r="49" spans="1:15">
      <c r="A49" s="81" t="s">
        <v>45</v>
      </c>
      <c r="B49" s="92" t="s">
        <v>50</v>
      </c>
      <c r="C49" s="92" t="s">
        <v>14</v>
      </c>
      <c r="D49" s="92">
        <v>2012</v>
      </c>
      <c r="E49" s="92">
        <v>23</v>
      </c>
      <c r="F49" s="92">
        <v>4617.5646450554104</v>
      </c>
      <c r="G49" s="93">
        <v>4617.5646450554104</v>
      </c>
      <c r="H49" s="92">
        <v>89</v>
      </c>
      <c r="I49" s="81"/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2">
        <v>3</v>
      </c>
    </row>
    <row r="50" spans="1:15">
      <c r="A50" s="81" t="s">
        <v>45</v>
      </c>
      <c r="B50" s="92" t="s">
        <v>50</v>
      </c>
      <c r="C50" s="92" t="s">
        <v>14</v>
      </c>
      <c r="D50" s="92">
        <v>2012</v>
      </c>
      <c r="E50" s="92">
        <v>24</v>
      </c>
      <c r="F50" s="92">
        <v>4567.6138633766304</v>
      </c>
      <c r="G50" s="93">
        <v>4567.6138633766304</v>
      </c>
      <c r="H50" s="92">
        <v>72</v>
      </c>
      <c r="I50" s="81"/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2">
        <v>3</v>
      </c>
    </row>
    <row r="51" spans="1:15">
      <c r="A51" s="81" t="s">
        <v>45</v>
      </c>
      <c r="B51" s="92" t="s">
        <v>50</v>
      </c>
      <c r="C51" s="92" t="s">
        <v>15</v>
      </c>
      <c r="D51" s="92">
        <v>2012</v>
      </c>
      <c r="E51" s="92">
        <v>1</v>
      </c>
      <c r="F51" s="92">
        <v>4718.6573037934604</v>
      </c>
      <c r="G51" s="93">
        <v>4718.6573037934604</v>
      </c>
      <c r="H51" s="92">
        <v>75</v>
      </c>
      <c r="I51" s="81"/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2">
        <v>3</v>
      </c>
    </row>
    <row r="52" spans="1:15">
      <c r="A52" s="81" t="s">
        <v>45</v>
      </c>
      <c r="B52" s="92" t="s">
        <v>50</v>
      </c>
      <c r="C52" s="92" t="s">
        <v>15</v>
      </c>
      <c r="D52" s="92">
        <v>2012</v>
      </c>
      <c r="E52" s="92">
        <v>2</v>
      </c>
      <c r="F52" s="92">
        <v>4686.58030763224</v>
      </c>
      <c r="G52" s="93">
        <v>4686.58030763224</v>
      </c>
      <c r="H52" s="92">
        <v>79</v>
      </c>
      <c r="I52" s="81"/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2">
        <v>3</v>
      </c>
    </row>
    <row r="53" spans="1:15">
      <c r="A53" s="81" t="s">
        <v>45</v>
      </c>
      <c r="B53" s="92" t="s">
        <v>50</v>
      </c>
      <c r="C53" s="92" t="s">
        <v>15</v>
      </c>
      <c r="D53" s="92">
        <v>2012</v>
      </c>
      <c r="E53" s="92">
        <v>3</v>
      </c>
      <c r="F53" s="92">
        <v>4662.3945113885302</v>
      </c>
      <c r="G53" s="93">
        <v>4662.3945113885302</v>
      </c>
      <c r="H53" s="92">
        <v>71</v>
      </c>
      <c r="I53" s="81"/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2">
        <v>3</v>
      </c>
    </row>
    <row r="54" spans="1:15">
      <c r="A54" s="81" t="s">
        <v>45</v>
      </c>
      <c r="B54" s="92" t="s">
        <v>50</v>
      </c>
      <c r="C54" s="92" t="s">
        <v>15</v>
      </c>
      <c r="D54" s="92">
        <v>2012</v>
      </c>
      <c r="E54" s="92">
        <v>4</v>
      </c>
      <c r="F54" s="92">
        <v>4673.0376273717002</v>
      </c>
      <c r="G54" s="93">
        <v>4673.0376273717002</v>
      </c>
      <c r="H54" s="92">
        <v>68</v>
      </c>
      <c r="I54" s="81"/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2">
        <v>3</v>
      </c>
    </row>
    <row r="55" spans="1:15">
      <c r="A55" s="81" t="s">
        <v>45</v>
      </c>
      <c r="B55" s="92" t="s">
        <v>50</v>
      </c>
      <c r="C55" s="92" t="s">
        <v>15</v>
      </c>
      <c r="D55" s="92">
        <v>2012</v>
      </c>
      <c r="E55" s="92">
        <v>5</v>
      </c>
      <c r="F55" s="92">
        <v>4696.3355986162296</v>
      </c>
      <c r="G55" s="93">
        <v>4696.3355986162296</v>
      </c>
      <c r="H55" s="92">
        <v>72</v>
      </c>
      <c r="I55" s="81"/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2">
        <v>3</v>
      </c>
    </row>
    <row r="56" spans="1:15">
      <c r="A56" s="81" t="s">
        <v>45</v>
      </c>
      <c r="B56" s="92" t="s">
        <v>50</v>
      </c>
      <c r="C56" s="92" t="s">
        <v>15</v>
      </c>
      <c r="D56" s="92">
        <v>2012</v>
      </c>
      <c r="E56" s="92">
        <v>6</v>
      </c>
      <c r="F56" s="92">
        <v>4725.0924960611801</v>
      </c>
      <c r="G56" s="93">
        <v>4725.0924960611801</v>
      </c>
      <c r="H56" s="92">
        <v>61</v>
      </c>
      <c r="I56" s="81"/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2">
        <v>3</v>
      </c>
    </row>
    <row r="57" spans="1:15">
      <c r="A57" s="81" t="s">
        <v>45</v>
      </c>
      <c r="B57" s="92" t="s">
        <v>50</v>
      </c>
      <c r="C57" s="92" t="s">
        <v>15</v>
      </c>
      <c r="D57" s="92">
        <v>2012</v>
      </c>
      <c r="E57" s="92">
        <v>7</v>
      </c>
      <c r="F57" s="92">
        <v>4769.8635394784396</v>
      </c>
      <c r="G57" s="93">
        <v>4769.8635394784396</v>
      </c>
      <c r="H57" s="92">
        <v>69</v>
      </c>
      <c r="I57" s="81"/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92">
        <v>3</v>
      </c>
    </row>
    <row r="58" spans="1:15">
      <c r="A58" s="81" t="s">
        <v>45</v>
      </c>
      <c r="B58" s="92" t="s">
        <v>50</v>
      </c>
      <c r="C58" s="92" t="s">
        <v>15</v>
      </c>
      <c r="D58" s="92">
        <v>2012</v>
      </c>
      <c r="E58" s="92">
        <v>8</v>
      </c>
      <c r="F58" s="92">
        <v>4869.8257168150003</v>
      </c>
      <c r="G58" s="93">
        <v>4869.8257168150003</v>
      </c>
      <c r="H58" s="92">
        <v>71</v>
      </c>
      <c r="I58" s="81"/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92">
        <v>3</v>
      </c>
    </row>
    <row r="59" spans="1:15">
      <c r="A59" s="81" t="s">
        <v>45</v>
      </c>
      <c r="B59" s="92" t="s">
        <v>50</v>
      </c>
      <c r="C59" s="92" t="s">
        <v>15</v>
      </c>
      <c r="D59" s="92">
        <v>2012</v>
      </c>
      <c r="E59" s="92">
        <v>9</v>
      </c>
      <c r="F59" s="92">
        <v>5396.31760731555</v>
      </c>
      <c r="G59" s="93">
        <v>5396.31760731555</v>
      </c>
      <c r="H59" s="92">
        <v>65</v>
      </c>
      <c r="I59" s="81"/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2">
        <v>3</v>
      </c>
    </row>
    <row r="60" spans="1:15">
      <c r="A60" s="81" t="s">
        <v>45</v>
      </c>
      <c r="B60" s="92" t="s">
        <v>50</v>
      </c>
      <c r="C60" s="92" t="s">
        <v>15</v>
      </c>
      <c r="D60" s="92">
        <v>2012</v>
      </c>
      <c r="E60" s="92">
        <v>10</v>
      </c>
      <c r="F60" s="92">
        <v>5576.5879336137205</v>
      </c>
      <c r="G60" s="93">
        <v>5576.5879336137205</v>
      </c>
      <c r="H60" s="92">
        <v>71</v>
      </c>
      <c r="I60" s="81"/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92">
        <v>3</v>
      </c>
    </row>
    <row r="61" spans="1:15">
      <c r="A61" s="81" t="s">
        <v>45</v>
      </c>
      <c r="B61" s="92" t="s">
        <v>50</v>
      </c>
      <c r="C61" s="92" t="s">
        <v>15</v>
      </c>
      <c r="D61" s="92">
        <v>2012</v>
      </c>
      <c r="E61" s="92">
        <v>11</v>
      </c>
      <c r="F61" s="92">
        <v>5761.51730174559</v>
      </c>
      <c r="G61" s="93">
        <v>3496.6083468049364</v>
      </c>
      <c r="H61" s="92">
        <v>55</v>
      </c>
      <c r="I61" s="81"/>
      <c r="J61" s="93">
        <v>2219.6494417182853</v>
      </c>
      <c r="K61" s="93">
        <v>2236.4376279854341</v>
      </c>
      <c r="L61" s="93">
        <v>2264.9089549406535</v>
      </c>
      <c r="M61" s="93">
        <v>2293.3802818958729</v>
      </c>
      <c r="N61" s="93">
        <v>2310.1684681630181</v>
      </c>
      <c r="O61" s="92">
        <v>3</v>
      </c>
    </row>
    <row r="62" spans="1:15">
      <c r="A62" s="81" t="s">
        <v>45</v>
      </c>
      <c r="B62" s="92" t="s">
        <v>50</v>
      </c>
      <c r="C62" s="92" t="s">
        <v>15</v>
      </c>
      <c r="D62" s="92">
        <v>2012</v>
      </c>
      <c r="E62" s="92">
        <v>12</v>
      </c>
      <c r="F62" s="92">
        <v>5898.1265757842802</v>
      </c>
      <c r="G62" s="93">
        <v>3579.5151754818071</v>
      </c>
      <c r="H62" s="92">
        <v>73</v>
      </c>
      <c r="I62" s="81"/>
      <c r="J62" s="93">
        <v>2275.7965223389097</v>
      </c>
      <c r="K62" s="93">
        <v>2291.6779159969874</v>
      </c>
      <c r="L62" s="93">
        <v>2318.6114003024732</v>
      </c>
      <c r="M62" s="93">
        <v>2345.5448846079548</v>
      </c>
      <c r="N62" s="93">
        <v>2361.4262782660362</v>
      </c>
      <c r="O62" s="92">
        <v>3</v>
      </c>
    </row>
    <row r="63" spans="1:15">
      <c r="A63" s="81" t="s">
        <v>45</v>
      </c>
      <c r="B63" s="92" t="s">
        <v>50</v>
      </c>
      <c r="C63" s="92" t="s">
        <v>15</v>
      </c>
      <c r="D63" s="92">
        <v>2012</v>
      </c>
      <c r="E63" s="92">
        <v>13</v>
      </c>
      <c r="F63" s="92">
        <v>5917.7402521681097</v>
      </c>
      <c r="G63" s="93">
        <v>3591.4185233263843</v>
      </c>
      <c r="H63" s="92">
        <v>58</v>
      </c>
      <c r="I63" s="81"/>
      <c r="J63" s="93">
        <v>2284.5350004067022</v>
      </c>
      <c r="K63" s="93">
        <v>2300.0350208557784</v>
      </c>
      <c r="L63" s="93">
        <v>2326.3217288417254</v>
      </c>
      <c r="M63" s="93">
        <v>2352.6084368276724</v>
      </c>
      <c r="N63" s="93">
        <v>2368.108457276745</v>
      </c>
      <c r="O63" s="92">
        <v>3</v>
      </c>
    </row>
    <row r="64" spans="1:15">
      <c r="A64" s="81" t="s">
        <v>45</v>
      </c>
      <c r="B64" s="92" t="s">
        <v>50</v>
      </c>
      <c r="C64" s="92" t="s">
        <v>15</v>
      </c>
      <c r="D64" s="92">
        <v>2012</v>
      </c>
      <c r="E64" s="92">
        <v>14</v>
      </c>
      <c r="F64" s="92">
        <v>5908.5719988540104</v>
      </c>
      <c r="G64" s="93">
        <v>3585.8544003037928</v>
      </c>
      <c r="H64" s="92">
        <v>70</v>
      </c>
      <c r="I64" s="81"/>
      <c r="J64" s="93">
        <v>2284.2559406846535</v>
      </c>
      <c r="K64" s="93">
        <v>2298.522587195363</v>
      </c>
      <c r="L64" s="93">
        <v>2322.7175985502176</v>
      </c>
      <c r="M64" s="93">
        <v>2346.9126099050682</v>
      </c>
      <c r="N64" s="93">
        <v>2361.1792564157777</v>
      </c>
      <c r="O64" s="92">
        <v>3</v>
      </c>
    </row>
    <row r="65" spans="1:15">
      <c r="A65" s="81" t="s">
        <v>45</v>
      </c>
      <c r="B65" s="92" t="s">
        <v>50</v>
      </c>
      <c r="C65" s="92" t="s">
        <v>15</v>
      </c>
      <c r="D65" s="92">
        <v>2012</v>
      </c>
      <c r="E65" s="92">
        <v>15</v>
      </c>
      <c r="F65" s="92">
        <v>5784.9899130014001</v>
      </c>
      <c r="G65" s="93">
        <v>3510.8536443784606</v>
      </c>
      <c r="H65" s="92">
        <v>84</v>
      </c>
      <c r="I65" s="81"/>
      <c r="J65" s="93">
        <v>2234.3959049549935</v>
      </c>
      <c r="K65" s="93">
        <v>2249.1368639287175</v>
      </c>
      <c r="L65" s="93">
        <v>2274.1362686229395</v>
      </c>
      <c r="M65" s="93">
        <v>2299.1356733171615</v>
      </c>
      <c r="N65" s="93">
        <v>2313.8766322908859</v>
      </c>
      <c r="O65" s="92">
        <v>3</v>
      </c>
    </row>
    <row r="66" spans="1:15">
      <c r="A66" s="81" t="s">
        <v>45</v>
      </c>
      <c r="B66" s="92" t="s">
        <v>50</v>
      </c>
      <c r="C66" s="92" t="s">
        <v>15</v>
      </c>
      <c r="D66" s="92">
        <v>2012</v>
      </c>
      <c r="E66" s="92">
        <v>16</v>
      </c>
      <c r="F66" s="92">
        <v>5720.2694326352403</v>
      </c>
      <c r="G66" s="93">
        <v>3471.5754195627551</v>
      </c>
      <c r="H66" s="92">
        <v>89</v>
      </c>
      <c r="I66" s="81"/>
      <c r="J66" s="93">
        <v>2209.6586367230557</v>
      </c>
      <c r="K66" s="93">
        <v>2224.1380935820521</v>
      </c>
      <c r="L66" s="93">
        <v>2248.6940130724852</v>
      </c>
      <c r="M66" s="93">
        <v>2273.2499325629215</v>
      </c>
      <c r="N66" s="93">
        <v>2287.7293894219142</v>
      </c>
      <c r="O66" s="92">
        <v>3</v>
      </c>
    </row>
    <row r="67" spans="1:15">
      <c r="A67" s="81" t="s">
        <v>45</v>
      </c>
      <c r="B67" s="92" t="s">
        <v>50</v>
      </c>
      <c r="C67" s="92" t="s">
        <v>15</v>
      </c>
      <c r="D67" s="92">
        <v>2012</v>
      </c>
      <c r="E67" s="92">
        <v>17</v>
      </c>
      <c r="F67" s="92">
        <v>5646.7061041463403</v>
      </c>
      <c r="G67" s="93">
        <v>3426.9305569438216</v>
      </c>
      <c r="H67" s="92">
        <v>91</v>
      </c>
      <c r="I67" s="81"/>
      <c r="J67" s="93">
        <v>2173.365882496983</v>
      </c>
      <c r="K67" s="93">
        <v>2190.5806963604114</v>
      </c>
      <c r="L67" s="93">
        <v>2219.7755472025187</v>
      </c>
      <c r="M67" s="93">
        <v>2248.9703980446302</v>
      </c>
      <c r="N67" s="93">
        <v>2266.1852119080581</v>
      </c>
      <c r="O67" s="92">
        <v>3</v>
      </c>
    </row>
    <row r="68" spans="1:15">
      <c r="A68" s="81" t="s">
        <v>45</v>
      </c>
      <c r="B68" s="92" t="s">
        <v>50</v>
      </c>
      <c r="C68" s="92" t="s">
        <v>15</v>
      </c>
      <c r="D68" s="92">
        <v>2012</v>
      </c>
      <c r="E68" s="92">
        <v>18</v>
      </c>
      <c r="F68" s="92">
        <v>5524.2421616254696</v>
      </c>
      <c r="G68" s="93">
        <v>3352.6083912408076</v>
      </c>
      <c r="H68" s="92">
        <v>78</v>
      </c>
      <c r="I68" s="81"/>
      <c r="J68" s="93">
        <v>2131.2432247330357</v>
      </c>
      <c r="K68" s="93">
        <v>2146.2253567877865</v>
      </c>
      <c r="L68" s="93">
        <v>2171.6337703846621</v>
      </c>
      <c r="M68" s="93">
        <v>2197.0421839815376</v>
      </c>
      <c r="N68" s="93">
        <v>2212.0243160362888</v>
      </c>
      <c r="O68" s="92">
        <v>3</v>
      </c>
    </row>
    <row r="69" spans="1:15">
      <c r="A69" s="81" t="s">
        <v>45</v>
      </c>
      <c r="B69" s="92" t="s">
        <v>50</v>
      </c>
      <c r="C69" s="92" t="s">
        <v>15</v>
      </c>
      <c r="D69" s="92">
        <v>2012</v>
      </c>
      <c r="E69" s="92">
        <v>19</v>
      </c>
      <c r="F69" s="92">
        <v>5399.9651241964302</v>
      </c>
      <c r="G69" s="93">
        <v>5399.9651241964302</v>
      </c>
      <c r="H69" s="92">
        <v>95</v>
      </c>
      <c r="I69" s="81"/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2">
        <v>3</v>
      </c>
    </row>
    <row r="70" spans="1:15">
      <c r="A70" s="81" t="s">
        <v>45</v>
      </c>
      <c r="B70" s="92" t="s">
        <v>50</v>
      </c>
      <c r="C70" s="92" t="s">
        <v>15</v>
      </c>
      <c r="D70" s="92">
        <v>2012</v>
      </c>
      <c r="E70" s="92">
        <v>20</v>
      </c>
      <c r="F70" s="92">
        <v>5205.6220544610596</v>
      </c>
      <c r="G70" s="93">
        <v>5205.6220544610596</v>
      </c>
      <c r="H70" s="92">
        <v>77</v>
      </c>
      <c r="I70" s="81"/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2">
        <v>3</v>
      </c>
    </row>
    <row r="71" spans="1:15">
      <c r="A71" s="81" t="s">
        <v>45</v>
      </c>
      <c r="B71" s="92" t="s">
        <v>50</v>
      </c>
      <c r="C71" s="92" t="s">
        <v>15</v>
      </c>
      <c r="D71" s="92">
        <v>2012</v>
      </c>
      <c r="E71" s="92">
        <v>21</v>
      </c>
      <c r="F71" s="92">
        <v>5092.0849878787703</v>
      </c>
      <c r="G71" s="93">
        <v>5092.0849878787703</v>
      </c>
      <c r="H71" s="92">
        <v>82</v>
      </c>
      <c r="I71" s="81"/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92">
        <v>3</v>
      </c>
    </row>
    <row r="72" spans="1:15">
      <c r="A72" s="81" t="s">
        <v>45</v>
      </c>
      <c r="B72" s="92" t="s">
        <v>50</v>
      </c>
      <c r="C72" s="92" t="s">
        <v>15</v>
      </c>
      <c r="D72" s="92">
        <v>2012</v>
      </c>
      <c r="E72" s="92">
        <v>22</v>
      </c>
      <c r="F72" s="92">
        <v>4963.8820829692604</v>
      </c>
      <c r="G72" s="93">
        <v>4963.8820829692604</v>
      </c>
      <c r="H72" s="92">
        <v>77</v>
      </c>
      <c r="I72" s="81"/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2">
        <v>3</v>
      </c>
    </row>
    <row r="73" spans="1:15">
      <c r="A73" s="81" t="s">
        <v>45</v>
      </c>
      <c r="B73" s="92" t="s">
        <v>50</v>
      </c>
      <c r="C73" s="92" t="s">
        <v>15</v>
      </c>
      <c r="D73" s="92">
        <v>2012</v>
      </c>
      <c r="E73" s="92">
        <v>23</v>
      </c>
      <c r="F73" s="92">
        <v>4872.5752678674799</v>
      </c>
      <c r="G73" s="93">
        <v>4872.5752678674799</v>
      </c>
      <c r="H73" s="92">
        <v>73</v>
      </c>
      <c r="I73" s="81"/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2">
        <v>3</v>
      </c>
    </row>
    <row r="74" spans="1:15">
      <c r="A74" s="81" t="s">
        <v>45</v>
      </c>
      <c r="B74" s="92" t="s">
        <v>50</v>
      </c>
      <c r="C74" s="92" t="s">
        <v>15</v>
      </c>
      <c r="D74" s="92">
        <v>2012</v>
      </c>
      <c r="E74" s="92">
        <v>24</v>
      </c>
      <c r="F74" s="92">
        <v>4802.5354379042201</v>
      </c>
      <c r="G74" s="93">
        <v>4802.5354379042201</v>
      </c>
      <c r="H74" s="92">
        <v>76</v>
      </c>
      <c r="I74" s="81"/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2">
        <v>3</v>
      </c>
    </row>
    <row r="75" spans="1:15">
      <c r="A75" s="81" t="s">
        <v>45</v>
      </c>
      <c r="B75" s="92" t="s">
        <v>50</v>
      </c>
      <c r="C75" s="92" t="s">
        <v>16</v>
      </c>
      <c r="D75" s="92">
        <v>2012</v>
      </c>
      <c r="E75" s="92">
        <v>1</v>
      </c>
      <c r="F75" s="92">
        <v>4829.59516875588</v>
      </c>
      <c r="G75" s="93">
        <v>4829.59516875588</v>
      </c>
      <c r="H75" s="92">
        <v>78</v>
      </c>
      <c r="I75" s="81"/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2">
        <v>3</v>
      </c>
    </row>
    <row r="76" spans="1:15">
      <c r="A76" s="81" t="s">
        <v>45</v>
      </c>
      <c r="B76" s="92" t="s">
        <v>50</v>
      </c>
      <c r="C76" s="92" t="s">
        <v>16</v>
      </c>
      <c r="D76" s="92">
        <v>2012</v>
      </c>
      <c r="E76" s="92">
        <v>2</v>
      </c>
      <c r="F76" s="92">
        <v>4794.8690869476504</v>
      </c>
      <c r="G76" s="93">
        <v>4794.8690869476504</v>
      </c>
      <c r="H76" s="92">
        <v>77</v>
      </c>
      <c r="I76" s="81"/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2">
        <v>3</v>
      </c>
    </row>
    <row r="77" spans="1:15">
      <c r="A77" s="81" t="s">
        <v>45</v>
      </c>
      <c r="B77" s="92" t="s">
        <v>50</v>
      </c>
      <c r="C77" s="92" t="s">
        <v>16</v>
      </c>
      <c r="D77" s="92">
        <v>2012</v>
      </c>
      <c r="E77" s="92">
        <v>3</v>
      </c>
      <c r="F77" s="92">
        <v>4768.2111181328701</v>
      </c>
      <c r="G77" s="93">
        <v>4768.2111181328701</v>
      </c>
      <c r="H77" s="92">
        <v>64</v>
      </c>
      <c r="I77" s="81"/>
      <c r="J77" s="93">
        <v>0</v>
      </c>
      <c r="K77" s="93">
        <v>0</v>
      </c>
      <c r="L77" s="93">
        <v>0</v>
      </c>
      <c r="M77" s="93">
        <v>0</v>
      </c>
      <c r="N77" s="93">
        <v>0</v>
      </c>
      <c r="O77" s="92">
        <v>3</v>
      </c>
    </row>
    <row r="78" spans="1:15">
      <c r="A78" s="81" t="s">
        <v>45</v>
      </c>
      <c r="B78" s="92" t="s">
        <v>50</v>
      </c>
      <c r="C78" s="92" t="s">
        <v>16</v>
      </c>
      <c r="D78" s="92">
        <v>2012</v>
      </c>
      <c r="E78" s="92">
        <v>4</v>
      </c>
      <c r="F78" s="92">
        <v>4761.4873297438498</v>
      </c>
      <c r="G78" s="93">
        <v>4761.4873297438498</v>
      </c>
      <c r="H78" s="92">
        <v>75</v>
      </c>
      <c r="I78" s="81"/>
      <c r="J78" s="93">
        <v>0</v>
      </c>
      <c r="K78" s="93">
        <v>0</v>
      </c>
      <c r="L78" s="93">
        <v>0</v>
      </c>
      <c r="M78" s="93">
        <v>0</v>
      </c>
      <c r="N78" s="93">
        <v>0</v>
      </c>
      <c r="O78" s="92">
        <v>3</v>
      </c>
    </row>
    <row r="79" spans="1:15">
      <c r="A79" s="81" t="s">
        <v>45</v>
      </c>
      <c r="B79" s="92" t="s">
        <v>50</v>
      </c>
      <c r="C79" s="92" t="s">
        <v>16</v>
      </c>
      <c r="D79" s="92">
        <v>2012</v>
      </c>
      <c r="E79" s="92">
        <v>5</v>
      </c>
      <c r="F79" s="92">
        <v>4771.8502979444802</v>
      </c>
      <c r="G79" s="93">
        <v>4771.8502979444802</v>
      </c>
      <c r="H79" s="92">
        <v>72</v>
      </c>
      <c r="I79" s="81"/>
      <c r="J79" s="93">
        <v>0</v>
      </c>
      <c r="K79" s="93">
        <v>0</v>
      </c>
      <c r="L79" s="93">
        <v>0</v>
      </c>
      <c r="M79" s="93">
        <v>0</v>
      </c>
      <c r="N79" s="93">
        <v>0</v>
      </c>
      <c r="O79" s="92">
        <v>3</v>
      </c>
    </row>
    <row r="80" spans="1:15">
      <c r="A80" s="81" t="s">
        <v>45</v>
      </c>
      <c r="B80" s="92" t="s">
        <v>50</v>
      </c>
      <c r="C80" s="92" t="s">
        <v>16</v>
      </c>
      <c r="D80" s="92">
        <v>2012</v>
      </c>
      <c r="E80" s="92">
        <v>6</v>
      </c>
      <c r="F80" s="92">
        <v>4805.4274672575202</v>
      </c>
      <c r="G80" s="93">
        <v>4805.4274672575202</v>
      </c>
      <c r="H80" s="92">
        <v>77</v>
      </c>
      <c r="I80" s="81"/>
      <c r="J80" s="93">
        <v>0</v>
      </c>
      <c r="K80" s="93">
        <v>0</v>
      </c>
      <c r="L80" s="93">
        <v>0</v>
      </c>
      <c r="M80" s="93">
        <v>0</v>
      </c>
      <c r="N80" s="93">
        <v>0</v>
      </c>
      <c r="O80" s="92">
        <v>3</v>
      </c>
    </row>
    <row r="81" spans="1:15">
      <c r="A81" s="81" t="s">
        <v>45</v>
      </c>
      <c r="B81" s="92" t="s">
        <v>50</v>
      </c>
      <c r="C81" s="92" t="s">
        <v>16</v>
      </c>
      <c r="D81" s="92">
        <v>2012</v>
      </c>
      <c r="E81" s="92">
        <v>7</v>
      </c>
      <c r="F81" s="92">
        <v>4848.9685232683896</v>
      </c>
      <c r="G81" s="93">
        <v>4848.9685232683896</v>
      </c>
      <c r="H81" s="92">
        <v>55</v>
      </c>
      <c r="I81" s="81"/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2">
        <v>3</v>
      </c>
    </row>
    <row r="82" spans="1:15">
      <c r="A82" s="81" t="s">
        <v>45</v>
      </c>
      <c r="B82" s="92" t="s">
        <v>50</v>
      </c>
      <c r="C82" s="92" t="s">
        <v>16</v>
      </c>
      <c r="D82" s="92">
        <v>2012</v>
      </c>
      <c r="E82" s="92">
        <v>8</v>
      </c>
      <c r="F82" s="92">
        <v>4946.6014433821902</v>
      </c>
      <c r="G82" s="93">
        <v>4946.6014433821902</v>
      </c>
      <c r="H82" s="92">
        <v>75</v>
      </c>
      <c r="I82" s="81"/>
      <c r="J82" s="93">
        <v>0</v>
      </c>
      <c r="K82" s="93">
        <v>0</v>
      </c>
      <c r="L82" s="93">
        <v>0</v>
      </c>
      <c r="M82" s="93">
        <v>0</v>
      </c>
      <c r="N82" s="93">
        <v>0</v>
      </c>
      <c r="O82" s="92">
        <v>3</v>
      </c>
    </row>
    <row r="83" spans="1:15">
      <c r="A83" s="81" t="s">
        <v>45</v>
      </c>
      <c r="B83" s="92" t="s">
        <v>50</v>
      </c>
      <c r="C83" s="92" t="s">
        <v>16</v>
      </c>
      <c r="D83" s="92">
        <v>2012</v>
      </c>
      <c r="E83" s="92">
        <v>9</v>
      </c>
      <c r="F83" s="92">
        <v>5409.0422590578401</v>
      </c>
      <c r="G83" s="93">
        <v>5409.0422590578401</v>
      </c>
      <c r="H83" s="92">
        <v>68</v>
      </c>
      <c r="I83" s="81"/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2">
        <v>3</v>
      </c>
    </row>
    <row r="84" spans="1:15">
      <c r="A84" s="81" t="s">
        <v>45</v>
      </c>
      <c r="B84" s="92" t="s">
        <v>50</v>
      </c>
      <c r="C84" s="92" t="s">
        <v>16</v>
      </c>
      <c r="D84" s="92">
        <v>2012</v>
      </c>
      <c r="E84" s="92">
        <v>10</v>
      </c>
      <c r="F84" s="92">
        <v>5579.8992931391404</v>
      </c>
      <c r="G84" s="93">
        <v>5579.8992931391404</v>
      </c>
      <c r="H84" s="92">
        <v>74</v>
      </c>
      <c r="I84" s="81"/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2">
        <v>3</v>
      </c>
    </row>
    <row r="85" spans="1:15">
      <c r="A85" s="81" t="s">
        <v>45</v>
      </c>
      <c r="B85" s="92" t="s">
        <v>50</v>
      </c>
      <c r="C85" s="92" t="s">
        <v>16</v>
      </c>
      <c r="D85" s="92">
        <v>2012</v>
      </c>
      <c r="E85" s="92">
        <v>11</v>
      </c>
      <c r="F85" s="92">
        <v>5775.3306630993602</v>
      </c>
      <c r="G85" s="93">
        <v>3490.6649996996248</v>
      </c>
      <c r="H85" s="92">
        <v>59</v>
      </c>
      <c r="I85" s="81"/>
      <c r="J85" s="93">
        <v>2242.1971438860401</v>
      </c>
      <c r="K85" s="93">
        <v>2257.9500622301457</v>
      </c>
      <c r="L85" s="93">
        <v>2284.6656633997354</v>
      </c>
      <c r="M85" s="93">
        <v>2311.3812645693251</v>
      </c>
      <c r="N85" s="93">
        <v>2327.1341829134308</v>
      </c>
      <c r="O85" s="92">
        <v>3</v>
      </c>
    </row>
    <row r="86" spans="1:15">
      <c r="A86" s="81" t="s">
        <v>45</v>
      </c>
      <c r="B86" s="92" t="s">
        <v>50</v>
      </c>
      <c r="C86" s="92" t="s">
        <v>16</v>
      </c>
      <c r="D86" s="92">
        <v>2012</v>
      </c>
      <c r="E86" s="92">
        <v>12</v>
      </c>
      <c r="F86" s="92">
        <v>5947.74792819703</v>
      </c>
      <c r="G86" s="93">
        <v>3594.8756410860665</v>
      </c>
      <c r="H86" s="92">
        <v>53</v>
      </c>
      <c r="I86" s="81"/>
      <c r="J86" s="93">
        <v>2312.6976508673433</v>
      </c>
      <c r="K86" s="93">
        <v>2327.5996952874661</v>
      </c>
      <c r="L86" s="93">
        <v>2352.8722871109635</v>
      </c>
      <c r="M86" s="93">
        <v>2378.1448789344649</v>
      </c>
      <c r="N86" s="93">
        <v>2393.0469233545878</v>
      </c>
      <c r="O86" s="92">
        <v>3</v>
      </c>
    </row>
    <row r="87" spans="1:15">
      <c r="A87" s="81" t="s">
        <v>45</v>
      </c>
      <c r="B87" s="92" t="s">
        <v>50</v>
      </c>
      <c r="C87" s="92" t="s">
        <v>16</v>
      </c>
      <c r="D87" s="92">
        <v>2012</v>
      </c>
      <c r="E87" s="92">
        <v>13</v>
      </c>
      <c r="F87" s="92">
        <v>5960.3246659799597</v>
      </c>
      <c r="G87" s="93">
        <v>3602.477141493614</v>
      </c>
      <c r="H87" s="92">
        <v>65</v>
      </c>
      <c r="I87" s="81"/>
      <c r="J87" s="93">
        <v>2318.6376354352387</v>
      </c>
      <c r="K87" s="93">
        <v>2333.1818245799614</v>
      </c>
      <c r="L87" s="93">
        <v>2357.8475244863457</v>
      </c>
      <c r="M87" s="93">
        <v>2382.5132243927342</v>
      </c>
      <c r="N87" s="93">
        <v>2397.0574135374573</v>
      </c>
      <c r="O87" s="92">
        <v>3</v>
      </c>
    </row>
    <row r="88" spans="1:15">
      <c r="A88" s="81" t="s">
        <v>45</v>
      </c>
      <c r="B88" s="92" t="s">
        <v>50</v>
      </c>
      <c r="C88" s="92" t="s">
        <v>16</v>
      </c>
      <c r="D88" s="92">
        <v>2012</v>
      </c>
      <c r="E88" s="92">
        <v>14</v>
      </c>
      <c r="F88" s="92">
        <v>5964.7770545059802</v>
      </c>
      <c r="G88" s="93">
        <v>3605.1682076332804</v>
      </c>
      <c r="H88" s="92">
        <v>68</v>
      </c>
      <c r="I88" s="81"/>
      <c r="J88" s="93">
        <v>2323.5189830783775</v>
      </c>
      <c r="K88" s="93">
        <v>2336.9058560824742</v>
      </c>
      <c r="L88" s="93">
        <v>2359.6088468726998</v>
      </c>
      <c r="M88" s="93">
        <v>2382.3118376629291</v>
      </c>
      <c r="N88" s="93">
        <v>2395.6987106670263</v>
      </c>
      <c r="O88" s="92">
        <v>3</v>
      </c>
    </row>
    <row r="89" spans="1:15">
      <c r="A89" s="81" t="s">
        <v>45</v>
      </c>
      <c r="B89" s="92" t="s">
        <v>50</v>
      </c>
      <c r="C89" s="92" t="s">
        <v>16</v>
      </c>
      <c r="D89" s="92">
        <v>2012</v>
      </c>
      <c r="E89" s="92">
        <v>15</v>
      </c>
      <c r="F89" s="92">
        <v>5823.3506151535903</v>
      </c>
      <c r="G89" s="93">
        <v>3519.6887172495044</v>
      </c>
      <c r="H89" s="92">
        <v>76</v>
      </c>
      <c r="I89" s="81"/>
      <c r="J89" s="93">
        <v>2266.3721815604381</v>
      </c>
      <c r="K89" s="93">
        <v>2280.2041178596755</v>
      </c>
      <c r="L89" s="93">
        <v>2303.6618979040859</v>
      </c>
      <c r="M89" s="93">
        <v>2327.1196779484917</v>
      </c>
      <c r="N89" s="93">
        <v>2340.9516142477296</v>
      </c>
      <c r="O89" s="92">
        <v>3</v>
      </c>
    </row>
    <row r="90" spans="1:15">
      <c r="A90" s="81" t="s">
        <v>45</v>
      </c>
      <c r="B90" s="92" t="s">
        <v>50</v>
      </c>
      <c r="C90" s="92" t="s">
        <v>16</v>
      </c>
      <c r="D90" s="92">
        <v>2012</v>
      </c>
      <c r="E90" s="92">
        <v>16</v>
      </c>
      <c r="F90" s="92">
        <v>5746.74900732892</v>
      </c>
      <c r="G90" s="93">
        <v>3473.3899740342031</v>
      </c>
      <c r="H90" s="92">
        <v>65</v>
      </c>
      <c r="I90" s="81"/>
      <c r="J90" s="93">
        <v>2236.7308302012534</v>
      </c>
      <c r="K90" s="93">
        <v>2250.3173902939948</v>
      </c>
      <c r="L90" s="93">
        <v>2273.3590332947169</v>
      </c>
      <c r="M90" s="93">
        <v>2296.4006762954391</v>
      </c>
      <c r="N90" s="93">
        <v>2309.9872363881846</v>
      </c>
      <c r="O90" s="92">
        <v>3</v>
      </c>
    </row>
    <row r="91" spans="1:15">
      <c r="A91" s="81" t="s">
        <v>45</v>
      </c>
      <c r="B91" s="92" t="s">
        <v>50</v>
      </c>
      <c r="C91" s="92" t="s">
        <v>16</v>
      </c>
      <c r="D91" s="92">
        <v>2012</v>
      </c>
      <c r="E91" s="92">
        <v>17</v>
      </c>
      <c r="F91" s="92">
        <v>5601.6944638859304</v>
      </c>
      <c r="G91" s="93">
        <v>3385.7176228943767</v>
      </c>
      <c r="H91" s="92">
        <v>71</v>
      </c>
      <c r="I91" s="81"/>
      <c r="J91" s="93">
        <v>2172.4290957586891</v>
      </c>
      <c r="K91" s="93">
        <v>2188.5823330878575</v>
      </c>
      <c r="L91" s="93">
        <v>2215.9768409915537</v>
      </c>
      <c r="M91" s="93">
        <v>2243.3713488952494</v>
      </c>
      <c r="N91" s="93">
        <v>2259.5245862244215</v>
      </c>
      <c r="O91" s="92">
        <v>3</v>
      </c>
    </row>
    <row r="92" spans="1:15">
      <c r="A92" s="81" t="s">
        <v>45</v>
      </c>
      <c r="B92" s="92" t="s">
        <v>50</v>
      </c>
      <c r="C92" s="92" t="s">
        <v>16</v>
      </c>
      <c r="D92" s="92">
        <v>2012</v>
      </c>
      <c r="E92" s="92">
        <v>18</v>
      </c>
      <c r="F92" s="92">
        <v>5547.2308133464503</v>
      </c>
      <c r="G92" s="93">
        <v>3352.7992724510432</v>
      </c>
      <c r="H92" s="92">
        <v>82</v>
      </c>
      <c r="I92" s="81"/>
      <c r="J92" s="93">
        <v>2156.5317369857326</v>
      </c>
      <c r="K92" s="93">
        <v>2170.5899740771902</v>
      </c>
      <c r="L92" s="93">
        <v>2194.4315408954071</v>
      </c>
      <c r="M92" s="93">
        <v>2218.2731077136204</v>
      </c>
      <c r="N92" s="93">
        <v>2232.3313448050772</v>
      </c>
      <c r="O92" s="92">
        <v>3</v>
      </c>
    </row>
    <row r="93" spans="1:15">
      <c r="A93" s="81" t="s">
        <v>45</v>
      </c>
      <c r="B93" s="92" t="s">
        <v>50</v>
      </c>
      <c r="C93" s="92" t="s">
        <v>16</v>
      </c>
      <c r="D93" s="92">
        <v>2012</v>
      </c>
      <c r="E93" s="92">
        <v>19</v>
      </c>
      <c r="F93" s="92">
        <v>5440.3654978711102</v>
      </c>
      <c r="G93" s="93">
        <v>5440.3654978711102</v>
      </c>
      <c r="H93" s="92">
        <v>70</v>
      </c>
      <c r="I93" s="81"/>
      <c r="J93" s="93">
        <v>0</v>
      </c>
      <c r="K93" s="93">
        <v>0</v>
      </c>
      <c r="L93" s="93">
        <v>0</v>
      </c>
      <c r="M93" s="93">
        <v>0</v>
      </c>
      <c r="N93" s="93">
        <v>0</v>
      </c>
      <c r="O93" s="92">
        <v>3</v>
      </c>
    </row>
    <row r="94" spans="1:15">
      <c r="A94" s="81" t="s">
        <v>45</v>
      </c>
      <c r="B94" s="92" t="s">
        <v>50</v>
      </c>
      <c r="C94" s="92" t="s">
        <v>16</v>
      </c>
      <c r="D94" s="92">
        <v>2012</v>
      </c>
      <c r="E94" s="92">
        <v>20</v>
      </c>
      <c r="F94" s="92">
        <v>5285.6499922412704</v>
      </c>
      <c r="G94" s="93">
        <v>5285.6499922412704</v>
      </c>
      <c r="H94" s="92">
        <v>85</v>
      </c>
      <c r="I94" s="81"/>
      <c r="J94" s="93">
        <v>0</v>
      </c>
      <c r="K94" s="93">
        <v>0</v>
      </c>
      <c r="L94" s="93">
        <v>0</v>
      </c>
      <c r="M94" s="93">
        <v>0</v>
      </c>
      <c r="N94" s="93">
        <v>0</v>
      </c>
      <c r="O94" s="92">
        <v>3</v>
      </c>
    </row>
    <row r="95" spans="1:15">
      <c r="A95" s="81" t="s">
        <v>45</v>
      </c>
      <c r="B95" s="92" t="s">
        <v>50</v>
      </c>
      <c r="C95" s="92" t="s">
        <v>16</v>
      </c>
      <c r="D95" s="92">
        <v>2012</v>
      </c>
      <c r="E95" s="92">
        <v>21</v>
      </c>
      <c r="F95" s="92">
        <v>5160.0004059652201</v>
      </c>
      <c r="G95" s="93">
        <v>5160.0004059652201</v>
      </c>
      <c r="H95" s="92">
        <v>75</v>
      </c>
      <c r="I95" s="81"/>
      <c r="J95" s="93">
        <v>0</v>
      </c>
      <c r="K95" s="93">
        <v>0</v>
      </c>
      <c r="L95" s="93">
        <v>0</v>
      </c>
      <c r="M95" s="93">
        <v>0</v>
      </c>
      <c r="N95" s="93">
        <v>0</v>
      </c>
      <c r="O95" s="92">
        <v>3</v>
      </c>
    </row>
    <row r="96" spans="1:15">
      <c r="A96" s="81" t="s">
        <v>45</v>
      </c>
      <c r="B96" s="92" t="s">
        <v>50</v>
      </c>
      <c r="C96" s="92" t="s">
        <v>16</v>
      </c>
      <c r="D96" s="92">
        <v>2012</v>
      </c>
      <c r="E96" s="92">
        <v>22</v>
      </c>
      <c r="F96" s="92">
        <v>5032.2945627520703</v>
      </c>
      <c r="G96" s="93">
        <v>5032.2945627520703</v>
      </c>
      <c r="H96" s="92">
        <v>85</v>
      </c>
      <c r="I96" s="81"/>
      <c r="J96" s="93">
        <v>0</v>
      </c>
      <c r="K96" s="93">
        <v>0</v>
      </c>
      <c r="L96" s="93">
        <v>0</v>
      </c>
      <c r="M96" s="93">
        <v>0</v>
      </c>
      <c r="N96" s="93">
        <v>0</v>
      </c>
      <c r="O96" s="92">
        <v>3</v>
      </c>
    </row>
    <row r="97" spans="1:15">
      <c r="A97" s="81" t="s">
        <v>45</v>
      </c>
      <c r="B97" s="92" t="s">
        <v>50</v>
      </c>
      <c r="C97" s="92" t="s">
        <v>16</v>
      </c>
      <c r="D97" s="92">
        <v>2012</v>
      </c>
      <c r="E97" s="92">
        <v>23</v>
      </c>
      <c r="F97" s="92">
        <v>4940.4003728658699</v>
      </c>
      <c r="G97" s="93">
        <v>4940.4003728658699</v>
      </c>
      <c r="H97" s="92">
        <v>92</v>
      </c>
      <c r="I97" s="81"/>
      <c r="J97" s="93">
        <v>0</v>
      </c>
      <c r="K97" s="93">
        <v>0</v>
      </c>
      <c r="L97" s="93">
        <v>0</v>
      </c>
      <c r="M97" s="93">
        <v>0</v>
      </c>
      <c r="N97" s="93">
        <v>0</v>
      </c>
      <c r="O97" s="92">
        <v>3</v>
      </c>
    </row>
    <row r="98" spans="1:15">
      <c r="A98" s="81" t="s">
        <v>45</v>
      </c>
      <c r="B98" s="92" t="s">
        <v>50</v>
      </c>
      <c r="C98" s="92" t="s">
        <v>16</v>
      </c>
      <c r="D98" s="92">
        <v>2012</v>
      </c>
      <c r="E98" s="92">
        <v>24</v>
      </c>
      <c r="F98" s="92">
        <v>4872.5008383084296</v>
      </c>
      <c r="G98" s="93">
        <v>4872.5008383084296</v>
      </c>
      <c r="H98" s="92">
        <v>99</v>
      </c>
      <c r="I98" s="81"/>
      <c r="J98" s="93">
        <v>0</v>
      </c>
      <c r="K98" s="93">
        <v>0</v>
      </c>
      <c r="L98" s="93">
        <v>0</v>
      </c>
      <c r="M98" s="93">
        <v>0</v>
      </c>
      <c r="N98" s="93">
        <v>0</v>
      </c>
      <c r="O98" s="92">
        <v>3</v>
      </c>
    </row>
    <row r="99" spans="1:15">
      <c r="A99" s="81" t="s">
        <v>45</v>
      </c>
      <c r="B99" s="92" t="s">
        <v>50</v>
      </c>
      <c r="C99" s="92" t="s">
        <v>17</v>
      </c>
      <c r="D99" s="92">
        <v>2012</v>
      </c>
      <c r="E99" s="92">
        <v>1</v>
      </c>
      <c r="F99" s="92">
        <v>4766.3941453157904</v>
      </c>
      <c r="G99" s="93">
        <v>4766.3941453157904</v>
      </c>
      <c r="H99" s="92">
        <v>88</v>
      </c>
      <c r="I99" s="81"/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2">
        <v>3</v>
      </c>
    </row>
    <row r="100" spans="1:15">
      <c r="A100" s="81" t="s">
        <v>45</v>
      </c>
      <c r="B100" s="92" t="s">
        <v>50</v>
      </c>
      <c r="C100" s="92" t="s">
        <v>17</v>
      </c>
      <c r="D100" s="92">
        <v>2012</v>
      </c>
      <c r="E100" s="92">
        <v>2</v>
      </c>
      <c r="F100" s="92">
        <v>4731.4438946681803</v>
      </c>
      <c r="G100" s="93">
        <v>4731.4438946681803</v>
      </c>
      <c r="H100" s="92">
        <v>92</v>
      </c>
      <c r="I100" s="81"/>
      <c r="J100" s="93">
        <v>0</v>
      </c>
      <c r="K100" s="93">
        <v>0</v>
      </c>
      <c r="L100" s="93">
        <v>0</v>
      </c>
      <c r="M100" s="93">
        <v>0</v>
      </c>
      <c r="N100" s="93">
        <v>0</v>
      </c>
      <c r="O100" s="92">
        <v>3</v>
      </c>
    </row>
    <row r="101" spans="1:15">
      <c r="A101" s="81" t="s">
        <v>45</v>
      </c>
      <c r="B101" s="92" t="s">
        <v>50</v>
      </c>
      <c r="C101" s="92" t="s">
        <v>17</v>
      </c>
      <c r="D101" s="92">
        <v>2012</v>
      </c>
      <c r="E101" s="92">
        <v>3</v>
      </c>
      <c r="F101" s="92">
        <v>4682.1650524084698</v>
      </c>
      <c r="G101" s="93">
        <v>4682.1650524084698</v>
      </c>
      <c r="H101" s="92">
        <v>103</v>
      </c>
      <c r="I101" s="81"/>
      <c r="J101" s="93">
        <v>0</v>
      </c>
      <c r="K101" s="93">
        <v>0</v>
      </c>
      <c r="L101" s="93">
        <v>0</v>
      </c>
      <c r="M101" s="93">
        <v>0</v>
      </c>
      <c r="N101" s="93">
        <v>0</v>
      </c>
      <c r="O101" s="92">
        <v>3</v>
      </c>
    </row>
    <row r="102" spans="1:15">
      <c r="A102" s="81" t="s">
        <v>45</v>
      </c>
      <c r="B102" s="92" t="s">
        <v>50</v>
      </c>
      <c r="C102" s="92" t="s">
        <v>17</v>
      </c>
      <c r="D102" s="92">
        <v>2012</v>
      </c>
      <c r="E102" s="92">
        <v>4</v>
      </c>
      <c r="F102" s="92">
        <v>4684.9473155648502</v>
      </c>
      <c r="G102" s="93">
        <v>4684.9473155648502</v>
      </c>
      <c r="H102" s="92">
        <v>79</v>
      </c>
      <c r="I102" s="81"/>
      <c r="J102" s="93">
        <v>0</v>
      </c>
      <c r="K102" s="93">
        <v>0</v>
      </c>
      <c r="L102" s="93">
        <v>0</v>
      </c>
      <c r="M102" s="93">
        <v>0</v>
      </c>
      <c r="N102" s="93">
        <v>0</v>
      </c>
      <c r="O102" s="92">
        <v>3</v>
      </c>
    </row>
    <row r="103" spans="1:15">
      <c r="A103" s="81" t="s">
        <v>45</v>
      </c>
      <c r="B103" s="92" t="s">
        <v>50</v>
      </c>
      <c r="C103" s="92" t="s">
        <v>17</v>
      </c>
      <c r="D103" s="92">
        <v>2012</v>
      </c>
      <c r="E103" s="92">
        <v>5</v>
      </c>
      <c r="F103" s="92">
        <v>4691.9082505206998</v>
      </c>
      <c r="G103" s="93">
        <v>4691.9082505206998</v>
      </c>
      <c r="H103" s="92">
        <v>84</v>
      </c>
      <c r="I103" s="81"/>
      <c r="J103" s="93">
        <v>0</v>
      </c>
      <c r="K103" s="93">
        <v>0</v>
      </c>
      <c r="L103" s="93">
        <v>0</v>
      </c>
      <c r="M103" s="93">
        <v>0</v>
      </c>
      <c r="N103" s="93">
        <v>0</v>
      </c>
      <c r="O103" s="92">
        <v>3</v>
      </c>
    </row>
    <row r="104" spans="1:15">
      <c r="A104" s="81" t="s">
        <v>45</v>
      </c>
      <c r="B104" s="92" t="s">
        <v>50</v>
      </c>
      <c r="C104" s="92" t="s">
        <v>17</v>
      </c>
      <c r="D104" s="92">
        <v>2012</v>
      </c>
      <c r="E104" s="92">
        <v>6</v>
      </c>
      <c r="F104" s="92">
        <v>4714.4217482693402</v>
      </c>
      <c r="G104" s="93">
        <v>4714.4217482693402</v>
      </c>
      <c r="H104" s="92">
        <v>95</v>
      </c>
      <c r="I104" s="81"/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2">
        <v>3</v>
      </c>
    </row>
    <row r="105" spans="1:15">
      <c r="A105" s="81" t="s">
        <v>45</v>
      </c>
      <c r="B105" s="92" t="s">
        <v>50</v>
      </c>
      <c r="C105" s="92" t="s">
        <v>17</v>
      </c>
      <c r="D105" s="92">
        <v>2012</v>
      </c>
      <c r="E105" s="92">
        <v>7</v>
      </c>
      <c r="F105" s="92">
        <v>4779.5801192256604</v>
      </c>
      <c r="G105" s="93">
        <v>4779.5801192256604</v>
      </c>
      <c r="H105" s="92">
        <v>86</v>
      </c>
      <c r="I105" s="81"/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2">
        <v>3</v>
      </c>
    </row>
    <row r="106" spans="1:15">
      <c r="A106" s="81" t="s">
        <v>45</v>
      </c>
      <c r="B106" s="92" t="s">
        <v>50</v>
      </c>
      <c r="C106" s="92" t="s">
        <v>17</v>
      </c>
      <c r="D106" s="92">
        <v>2012</v>
      </c>
      <c r="E106" s="92">
        <v>8</v>
      </c>
      <c r="F106" s="92">
        <v>4886.2643700385997</v>
      </c>
      <c r="G106" s="93">
        <v>4886.2643700385997</v>
      </c>
      <c r="H106" s="92">
        <v>87</v>
      </c>
      <c r="I106" s="81"/>
      <c r="J106" s="93">
        <v>0</v>
      </c>
      <c r="K106" s="93">
        <v>0</v>
      </c>
      <c r="L106" s="93">
        <v>0</v>
      </c>
      <c r="M106" s="93">
        <v>0</v>
      </c>
      <c r="N106" s="93">
        <v>0</v>
      </c>
      <c r="O106" s="92">
        <v>3</v>
      </c>
    </row>
    <row r="107" spans="1:15">
      <c r="A107" s="81" t="s">
        <v>45</v>
      </c>
      <c r="B107" s="92" t="s">
        <v>50</v>
      </c>
      <c r="C107" s="92" t="s">
        <v>17</v>
      </c>
      <c r="D107" s="92">
        <v>2012</v>
      </c>
      <c r="E107" s="92">
        <v>9</v>
      </c>
      <c r="F107" s="92">
        <v>5416.7616496958599</v>
      </c>
      <c r="G107" s="93">
        <v>5416.7616496958599</v>
      </c>
      <c r="H107" s="92">
        <v>85</v>
      </c>
      <c r="I107" s="81"/>
      <c r="J107" s="93">
        <v>0</v>
      </c>
      <c r="K107" s="93">
        <v>0</v>
      </c>
      <c r="L107" s="93">
        <v>0</v>
      </c>
      <c r="M107" s="93">
        <v>0</v>
      </c>
      <c r="N107" s="93">
        <v>0</v>
      </c>
      <c r="O107" s="92">
        <v>3</v>
      </c>
    </row>
    <row r="108" spans="1:15">
      <c r="A108" s="81" t="s">
        <v>45</v>
      </c>
      <c r="B108" s="92" t="s">
        <v>50</v>
      </c>
      <c r="C108" s="92" t="s">
        <v>17</v>
      </c>
      <c r="D108" s="92">
        <v>2012</v>
      </c>
      <c r="E108" s="92">
        <v>10</v>
      </c>
      <c r="F108" s="92">
        <v>5642.02857287607</v>
      </c>
      <c r="G108" s="93">
        <v>5642.02857287607</v>
      </c>
      <c r="H108" s="92">
        <v>78</v>
      </c>
      <c r="I108" s="81"/>
      <c r="J108" s="93">
        <v>0</v>
      </c>
      <c r="K108" s="93">
        <v>0</v>
      </c>
      <c r="L108" s="93">
        <v>0</v>
      </c>
      <c r="M108" s="93">
        <v>0</v>
      </c>
      <c r="N108" s="93">
        <v>0</v>
      </c>
      <c r="O108" s="92">
        <v>3</v>
      </c>
    </row>
    <row r="109" spans="1:15">
      <c r="A109" s="81" t="s">
        <v>45</v>
      </c>
      <c r="B109" s="92" t="s">
        <v>50</v>
      </c>
      <c r="C109" s="92" t="s">
        <v>17</v>
      </c>
      <c r="D109" s="92">
        <v>2012</v>
      </c>
      <c r="E109" s="92">
        <v>11</v>
      </c>
      <c r="F109" s="92">
        <v>5858.3580007104401</v>
      </c>
      <c r="G109" s="93">
        <v>3509.3929269720497</v>
      </c>
      <c r="H109" s="92">
        <v>88</v>
      </c>
      <c r="I109" s="81"/>
      <c r="J109" s="93">
        <v>2297.9508551498748</v>
      </c>
      <c r="K109" s="93">
        <v>2316.8736438181727</v>
      </c>
      <c r="L109" s="93">
        <v>2348.9650737383904</v>
      </c>
      <c r="M109" s="93">
        <v>2381.0565036586045</v>
      </c>
      <c r="N109" s="93">
        <v>2399.979292326906</v>
      </c>
      <c r="O109" s="92">
        <v>3</v>
      </c>
    </row>
    <row r="110" spans="1:15">
      <c r="A110" s="81" t="s">
        <v>45</v>
      </c>
      <c r="B110" s="92" t="s">
        <v>50</v>
      </c>
      <c r="C110" s="92" t="s">
        <v>17</v>
      </c>
      <c r="D110" s="92">
        <v>2012</v>
      </c>
      <c r="E110" s="92">
        <v>12</v>
      </c>
      <c r="F110" s="92">
        <v>6017.1154480384903</v>
      </c>
      <c r="G110" s="93">
        <v>3604.495046489094</v>
      </c>
      <c r="H110" s="92">
        <v>82</v>
      </c>
      <c r="I110" s="81"/>
      <c r="J110" s="93">
        <v>2364.3616513383072</v>
      </c>
      <c r="K110" s="93">
        <v>2382.2623495535736</v>
      </c>
      <c r="L110" s="93">
        <v>2412.6204015493963</v>
      </c>
      <c r="M110" s="93">
        <v>2442.9784535452191</v>
      </c>
      <c r="N110" s="93">
        <v>2460.8791517604891</v>
      </c>
      <c r="O110" s="92">
        <v>3</v>
      </c>
    </row>
    <row r="111" spans="1:15">
      <c r="A111" s="81" t="s">
        <v>45</v>
      </c>
      <c r="B111" s="92" t="s">
        <v>50</v>
      </c>
      <c r="C111" s="92" t="s">
        <v>17</v>
      </c>
      <c r="D111" s="92">
        <v>2012</v>
      </c>
      <c r="E111" s="92">
        <v>13</v>
      </c>
      <c r="F111" s="92">
        <v>6044.12824870843</v>
      </c>
      <c r="G111" s="93">
        <v>3620.6768045170766</v>
      </c>
      <c r="H111" s="92">
        <v>66</v>
      </c>
      <c r="I111" s="81"/>
      <c r="J111" s="93">
        <v>2376.3515717731566</v>
      </c>
      <c r="K111" s="93">
        <v>2393.8224055276128</v>
      </c>
      <c r="L111" s="93">
        <v>2423.4514441913534</v>
      </c>
      <c r="M111" s="93">
        <v>2453.080482855094</v>
      </c>
      <c r="N111" s="93">
        <v>2470.5513166095466</v>
      </c>
      <c r="O111" s="92">
        <v>3</v>
      </c>
    </row>
    <row r="112" spans="1:15">
      <c r="A112" s="81" t="s">
        <v>45</v>
      </c>
      <c r="B112" s="92" t="s">
        <v>50</v>
      </c>
      <c r="C112" s="92" t="s">
        <v>17</v>
      </c>
      <c r="D112" s="92">
        <v>2012</v>
      </c>
      <c r="E112" s="92">
        <v>14</v>
      </c>
      <c r="F112" s="92">
        <v>5995.4512400150697</v>
      </c>
      <c r="G112" s="93">
        <v>3591.5173113632068</v>
      </c>
      <c r="H112" s="92">
        <v>72</v>
      </c>
      <c r="I112" s="81"/>
      <c r="J112" s="93">
        <v>2360.5819064595266</v>
      </c>
      <c r="K112" s="93">
        <v>2376.662543916822</v>
      </c>
      <c r="L112" s="93">
        <v>2403.933928651863</v>
      </c>
      <c r="M112" s="93">
        <v>2431.2053133869085</v>
      </c>
      <c r="N112" s="93">
        <v>2447.2859508441993</v>
      </c>
      <c r="O112" s="92">
        <v>3</v>
      </c>
    </row>
    <row r="113" spans="1:15">
      <c r="A113" s="81" t="s">
        <v>45</v>
      </c>
      <c r="B113" s="92" t="s">
        <v>50</v>
      </c>
      <c r="C113" s="92" t="s">
        <v>17</v>
      </c>
      <c r="D113" s="92">
        <v>2012</v>
      </c>
      <c r="E113" s="92">
        <v>15</v>
      </c>
      <c r="F113" s="92">
        <v>5836.6592933853099</v>
      </c>
      <c r="G113" s="93">
        <v>3496.3945253718039</v>
      </c>
      <c r="H113" s="92">
        <v>69</v>
      </c>
      <c r="I113" s="81"/>
      <c r="J113" s="93">
        <v>2295.4714537552832</v>
      </c>
      <c r="K113" s="93">
        <v>2312.0867120678313</v>
      </c>
      <c r="L113" s="93">
        <v>2340.264768013506</v>
      </c>
      <c r="M113" s="93">
        <v>2368.4428239591771</v>
      </c>
      <c r="N113" s="93">
        <v>2385.0580822717288</v>
      </c>
      <c r="O113" s="92">
        <v>3</v>
      </c>
    </row>
    <row r="114" spans="1:15">
      <c r="A114" s="81" t="s">
        <v>45</v>
      </c>
      <c r="B114" s="92" t="s">
        <v>50</v>
      </c>
      <c r="C114" s="92" t="s">
        <v>17</v>
      </c>
      <c r="D114" s="92">
        <v>2012</v>
      </c>
      <c r="E114" s="92">
        <v>16</v>
      </c>
      <c r="F114" s="92">
        <v>5786.1831917807403</v>
      </c>
      <c r="G114" s="93">
        <v>3466.1573029400715</v>
      </c>
      <c r="H114" s="92">
        <v>65</v>
      </c>
      <c r="I114" s="81"/>
      <c r="J114" s="93">
        <v>2276.0272003883447</v>
      </c>
      <c r="K114" s="93">
        <v>2292.3477068334441</v>
      </c>
      <c r="L114" s="93">
        <v>2320.0258888406688</v>
      </c>
      <c r="M114" s="93">
        <v>2347.704070847893</v>
      </c>
      <c r="N114" s="93">
        <v>2364.0245772929929</v>
      </c>
      <c r="O114" s="92">
        <v>3</v>
      </c>
    </row>
    <row r="115" spans="1:15">
      <c r="A115" s="81" t="s">
        <v>45</v>
      </c>
      <c r="B115" s="92" t="s">
        <v>50</v>
      </c>
      <c r="C115" s="92" t="s">
        <v>17</v>
      </c>
      <c r="D115" s="92">
        <v>2012</v>
      </c>
      <c r="E115" s="92">
        <v>17</v>
      </c>
      <c r="F115" s="92">
        <v>5722.8039869079603</v>
      </c>
      <c r="G115" s="93">
        <v>3428.1906007906514</v>
      </c>
      <c r="H115" s="92">
        <v>71</v>
      </c>
      <c r="I115" s="81"/>
      <c r="J115" s="93">
        <v>2242.302775345252</v>
      </c>
      <c r="K115" s="93">
        <v>2261.7064369152481</v>
      </c>
      <c r="L115" s="93">
        <v>2294.6133861173089</v>
      </c>
      <c r="M115" s="93">
        <v>2327.5203353193738</v>
      </c>
      <c r="N115" s="93">
        <v>2346.9239968893653</v>
      </c>
      <c r="O115" s="92">
        <v>3</v>
      </c>
    </row>
    <row r="116" spans="1:15">
      <c r="A116" s="81" t="s">
        <v>45</v>
      </c>
      <c r="B116" s="92" t="s">
        <v>50</v>
      </c>
      <c r="C116" s="92" t="s">
        <v>17</v>
      </c>
      <c r="D116" s="92">
        <v>2012</v>
      </c>
      <c r="E116" s="92">
        <v>18</v>
      </c>
      <c r="F116" s="92">
        <v>5569.4149749585104</v>
      </c>
      <c r="G116" s="93">
        <v>3336.3043907732108</v>
      </c>
      <c r="H116" s="92">
        <v>71</v>
      </c>
      <c r="I116" s="81"/>
      <c r="J116" s="93">
        <v>2187.5844179037949</v>
      </c>
      <c r="K116" s="93">
        <v>2204.4715142322043</v>
      </c>
      <c r="L116" s="93">
        <v>2233.1105841852996</v>
      </c>
      <c r="M116" s="93">
        <v>2261.7496541383948</v>
      </c>
      <c r="N116" s="93">
        <v>2278.6367504668037</v>
      </c>
      <c r="O116" s="92">
        <v>3</v>
      </c>
    </row>
    <row r="117" spans="1:15">
      <c r="A117" s="81" t="s">
        <v>45</v>
      </c>
      <c r="B117" s="92" t="s">
        <v>50</v>
      </c>
      <c r="C117" s="92" t="s">
        <v>17</v>
      </c>
      <c r="D117" s="92">
        <v>2012</v>
      </c>
      <c r="E117" s="92">
        <v>19</v>
      </c>
      <c r="F117" s="92">
        <v>5457.6666649458402</v>
      </c>
      <c r="G117" s="93">
        <v>5457.6666649458402</v>
      </c>
      <c r="H117" s="92">
        <v>70</v>
      </c>
      <c r="I117" s="81"/>
      <c r="J117" s="93">
        <v>0</v>
      </c>
      <c r="K117" s="93">
        <v>0</v>
      </c>
      <c r="L117" s="93">
        <v>0</v>
      </c>
      <c r="M117" s="93">
        <v>0</v>
      </c>
      <c r="N117" s="93">
        <v>0</v>
      </c>
      <c r="O117" s="92">
        <v>3</v>
      </c>
    </row>
    <row r="118" spans="1:15">
      <c r="A118" s="81" t="s">
        <v>45</v>
      </c>
      <c r="B118" s="92" t="s">
        <v>50</v>
      </c>
      <c r="C118" s="92" t="s">
        <v>17</v>
      </c>
      <c r="D118" s="92">
        <v>2012</v>
      </c>
      <c r="E118" s="92">
        <v>20</v>
      </c>
      <c r="F118" s="92">
        <v>5367.6017963084096</v>
      </c>
      <c r="G118" s="93">
        <v>5367.6017963084096</v>
      </c>
      <c r="H118" s="92">
        <v>61</v>
      </c>
      <c r="I118" s="81"/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2">
        <v>3</v>
      </c>
    </row>
    <row r="119" spans="1:15">
      <c r="A119" s="81" t="s">
        <v>45</v>
      </c>
      <c r="B119" s="92" t="s">
        <v>50</v>
      </c>
      <c r="C119" s="92" t="s">
        <v>17</v>
      </c>
      <c r="D119" s="92">
        <v>2012</v>
      </c>
      <c r="E119" s="92">
        <v>21</v>
      </c>
      <c r="F119" s="92">
        <v>5236.8623519768598</v>
      </c>
      <c r="G119" s="93">
        <v>5236.8623519768598</v>
      </c>
      <c r="H119" s="92">
        <v>82</v>
      </c>
      <c r="I119" s="81"/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2">
        <v>3</v>
      </c>
    </row>
    <row r="120" spans="1:15">
      <c r="A120" s="81" t="s">
        <v>45</v>
      </c>
      <c r="B120" s="92" t="s">
        <v>50</v>
      </c>
      <c r="C120" s="92" t="s">
        <v>17</v>
      </c>
      <c r="D120" s="92">
        <v>2012</v>
      </c>
      <c r="E120" s="92">
        <v>22</v>
      </c>
      <c r="F120" s="92">
        <v>5109.56965224337</v>
      </c>
      <c r="G120" s="93">
        <v>5109.56965224337</v>
      </c>
      <c r="H120" s="92">
        <v>65</v>
      </c>
      <c r="I120" s="81"/>
      <c r="J120" s="93">
        <v>0</v>
      </c>
      <c r="K120" s="93">
        <v>0</v>
      </c>
      <c r="L120" s="93">
        <v>0</v>
      </c>
      <c r="M120" s="93">
        <v>0</v>
      </c>
      <c r="N120" s="93">
        <v>0</v>
      </c>
      <c r="O120" s="92">
        <v>3</v>
      </c>
    </row>
    <row r="121" spans="1:15">
      <c r="A121" s="81" t="s">
        <v>45</v>
      </c>
      <c r="B121" s="92" t="s">
        <v>50</v>
      </c>
      <c r="C121" s="92" t="s">
        <v>17</v>
      </c>
      <c r="D121" s="92">
        <v>2012</v>
      </c>
      <c r="E121" s="92">
        <v>23</v>
      </c>
      <c r="F121" s="92">
        <v>5004.2105142516402</v>
      </c>
      <c r="G121" s="93">
        <v>5004.2105142516402</v>
      </c>
      <c r="H121" s="92">
        <v>77</v>
      </c>
      <c r="I121" s="81"/>
      <c r="J121" s="93">
        <v>0</v>
      </c>
      <c r="K121" s="93">
        <v>0</v>
      </c>
      <c r="L121" s="93">
        <v>0</v>
      </c>
      <c r="M121" s="93">
        <v>0</v>
      </c>
      <c r="N121" s="93">
        <v>0</v>
      </c>
      <c r="O121" s="92">
        <v>3</v>
      </c>
    </row>
    <row r="122" spans="1:15">
      <c r="A122" s="81" t="s">
        <v>45</v>
      </c>
      <c r="B122" s="92" t="s">
        <v>50</v>
      </c>
      <c r="C122" s="92" t="s">
        <v>17</v>
      </c>
      <c r="D122" s="92">
        <v>2012</v>
      </c>
      <c r="E122" s="92">
        <v>24</v>
      </c>
      <c r="F122" s="92">
        <v>4908.7543924132096</v>
      </c>
      <c r="G122" s="93">
        <v>4908.7543924132096</v>
      </c>
      <c r="H122" s="92">
        <v>87</v>
      </c>
      <c r="I122" s="81"/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2">
        <v>3</v>
      </c>
    </row>
    <row r="123" spans="1:15">
      <c r="A123" s="81" t="s">
        <v>45</v>
      </c>
      <c r="B123" s="92" t="s">
        <v>49</v>
      </c>
      <c r="C123" s="92" t="s">
        <v>13</v>
      </c>
      <c r="D123" s="92">
        <v>2012</v>
      </c>
      <c r="E123" s="92">
        <v>1</v>
      </c>
      <c r="F123" s="92">
        <v>4793.8079134529598</v>
      </c>
      <c r="G123" s="93">
        <v>4793.8079134529598</v>
      </c>
      <c r="H123" s="92">
        <v>81</v>
      </c>
      <c r="I123" s="81"/>
      <c r="J123" s="93">
        <v>0</v>
      </c>
      <c r="K123" s="93">
        <v>0</v>
      </c>
      <c r="L123" s="93">
        <v>0</v>
      </c>
      <c r="M123" s="93">
        <v>0</v>
      </c>
      <c r="N123" s="93">
        <v>0</v>
      </c>
      <c r="O123" s="92">
        <v>3</v>
      </c>
    </row>
    <row r="124" spans="1:15">
      <c r="A124" s="81" t="s">
        <v>45</v>
      </c>
      <c r="B124" s="92" t="s">
        <v>49</v>
      </c>
      <c r="C124" s="92" t="s">
        <v>13</v>
      </c>
      <c r="D124" s="92">
        <v>2012</v>
      </c>
      <c r="E124" s="92">
        <v>2</v>
      </c>
      <c r="F124" s="92">
        <v>4757.9449913546596</v>
      </c>
      <c r="G124" s="93">
        <v>4757.9449913546596</v>
      </c>
      <c r="H124" s="92">
        <v>80</v>
      </c>
      <c r="I124" s="81"/>
      <c r="J124" s="93">
        <v>0</v>
      </c>
      <c r="K124" s="93">
        <v>0</v>
      </c>
      <c r="L124" s="93">
        <v>0</v>
      </c>
      <c r="M124" s="93">
        <v>0</v>
      </c>
      <c r="N124" s="93">
        <v>0</v>
      </c>
      <c r="O124" s="92">
        <v>3</v>
      </c>
    </row>
    <row r="125" spans="1:15">
      <c r="A125" s="81" t="s">
        <v>45</v>
      </c>
      <c r="B125" s="92" t="s">
        <v>49</v>
      </c>
      <c r="C125" s="92" t="s">
        <v>13</v>
      </c>
      <c r="D125" s="92">
        <v>2012</v>
      </c>
      <c r="E125" s="92">
        <v>3</v>
      </c>
      <c r="F125" s="92">
        <v>4725.1323565684697</v>
      </c>
      <c r="G125" s="93">
        <v>4725.1323565684697</v>
      </c>
      <c r="H125" s="92">
        <v>93</v>
      </c>
      <c r="I125" s="81"/>
      <c r="J125" s="93">
        <v>0</v>
      </c>
      <c r="K125" s="93">
        <v>0</v>
      </c>
      <c r="L125" s="93">
        <v>0</v>
      </c>
      <c r="M125" s="93">
        <v>0</v>
      </c>
      <c r="N125" s="93">
        <v>0</v>
      </c>
      <c r="O125" s="92">
        <v>3</v>
      </c>
    </row>
    <row r="126" spans="1:15">
      <c r="A126" s="81" t="s">
        <v>45</v>
      </c>
      <c r="B126" s="92" t="s">
        <v>49</v>
      </c>
      <c r="C126" s="92" t="s">
        <v>13</v>
      </c>
      <c r="D126" s="92">
        <v>2012</v>
      </c>
      <c r="E126" s="92">
        <v>4</v>
      </c>
      <c r="F126" s="92">
        <v>4710.2464516147502</v>
      </c>
      <c r="G126" s="93">
        <v>4710.2464516147502</v>
      </c>
      <c r="H126" s="92">
        <v>90</v>
      </c>
      <c r="I126" s="81"/>
      <c r="J126" s="93">
        <v>0</v>
      </c>
      <c r="K126" s="93">
        <v>0</v>
      </c>
      <c r="L126" s="93">
        <v>0</v>
      </c>
      <c r="M126" s="93">
        <v>0</v>
      </c>
      <c r="N126" s="93">
        <v>0</v>
      </c>
      <c r="O126" s="92">
        <v>3</v>
      </c>
    </row>
    <row r="127" spans="1:15">
      <c r="A127" s="81" t="s">
        <v>45</v>
      </c>
      <c r="B127" s="92" t="s">
        <v>49</v>
      </c>
      <c r="C127" s="92" t="s">
        <v>13</v>
      </c>
      <c r="D127" s="92">
        <v>2012</v>
      </c>
      <c r="E127" s="92">
        <v>5</v>
      </c>
      <c r="F127" s="92">
        <v>4732.9439559143202</v>
      </c>
      <c r="G127" s="93">
        <v>4732.9439559143202</v>
      </c>
      <c r="H127" s="92">
        <v>85</v>
      </c>
      <c r="I127" s="81"/>
      <c r="J127" s="93">
        <v>0</v>
      </c>
      <c r="K127" s="93">
        <v>0</v>
      </c>
      <c r="L127" s="93">
        <v>0</v>
      </c>
      <c r="M127" s="93">
        <v>0</v>
      </c>
      <c r="N127" s="93">
        <v>0</v>
      </c>
      <c r="O127" s="92">
        <v>3</v>
      </c>
    </row>
    <row r="128" spans="1:15">
      <c r="A128" s="81" t="s">
        <v>45</v>
      </c>
      <c r="B128" s="92" t="s">
        <v>49</v>
      </c>
      <c r="C128" s="92" t="s">
        <v>13</v>
      </c>
      <c r="D128" s="92">
        <v>2012</v>
      </c>
      <c r="E128" s="92">
        <v>6</v>
      </c>
      <c r="F128" s="92">
        <v>4772.2598873083498</v>
      </c>
      <c r="G128" s="93">
        <v>4772.2598873083498</v>
      </c>
      <c r="H128" s="92">
        <v>79</v>
      </c>
      <c r="I128" s="81"/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2">
        <v>3</v>
      </c>
    </row>
    <row r="129" spans="1:15">
      <c r="A129" s="81" t="s">
        <v>45</v>
      </c>
      <c r="B129" s="92" t="s">
        <v>49</v>
      </c>
      <c r="C129" s="92" t="s">
        <v>13</v>
      </c>
      <c r="D129" s="92">
        <v>2012</v>
      </c>
      <c r="E129" s="92">
        <v>7</v>
      </c>
      <c r="F129" s="92">
        <v>4857.1732966203999</v>
      </c>
      <c r="G129" s="93">
        <v>4857.1732966203999</v>
      </c>
      <c r="H129" s="92">
        <v>86</v>
      </c>
      <c r="I129" s="81"/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2">
        <v>3</v>
      </c>
    </row>
    <row r="130" spans="1:15">
      <c r="A130" s="81" t="s">
        <v>45</v>
      </c>
      <c r="B130" s="92" t="s">
        <v>49</v>
      </c>
      <c r="C130" s="92" t="s">
        <v>13</v>
      </c>
      <c r="D130" s="92">
        <v>2012</v>
      </c>
      <c r="E130" s="92">
        <v>8</v>
      </c>
      <c r="F130" s="92">
        <v>4943.1186709240101</v>
      </c>
      <c r="G130" s="93">
        <v>4943.1186709240101</v>
      </c>
      <c r="H130" s="92">
        <v>93</v>
      </c>
      <c r="I130" s="81"/>
      <c r="J130" s="93">
        <v>0</v>
      </c>
      <c r="K130" s="93">
        <v>0</v>
      </c>
      <c r="L130" s="93">
        <v>0</v>
      </c>
      <c r="M130" s="93">
        <v>0</v>
      </c>
      <c r="N130" s="93">
        <v>0</v>
      </c>
      <c r="O130" s="92">
        <v>3</v>
      </c>
    </row>
    <row r="131" spans="1:15">
      <c r="A131" s="81" t="s">
        <v>45</v>
      </c>
      <c r="B131" s="92" t="s">
        <v>49</v>
      </c>
      <c r="C131" s="92" t="s">
        <v>13</v>
      </c>
      <c r="D131" s="92">
        <v>2012</v>
      </c>
      <c r="E131" s="92">
        <v>9</v>
      </c>
      <c r="F131" s="92">
        <v>5387.0937225416301</v>
      </c>
      <c r="G131" s="93">
        <v>5387.0937225416301</v>
      </c>
      <c r="H131" s="92">
        <v>93</v>
      </c>
      <c r="I131" s="81"/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2">
        <v>3</v>
      </c>
    </row>
    <row r="132" spans="1:15">
      <c r="A132" s="81" t="s">
        <v>45</v>
      </c>
      <c r="B132" s="92" t="s">
        <v>49</v>
      </c>
      <c r="C132" s="92" t="s">
        <v>13</v>
      </c>
      <c r="D132" s="92">
        <v>2012</v>
      </c>
      <c r="E132" s="92">
        <v>10</v>
      </c>
      <c r="F132" s="92">
        <v>5597.1026988036001</v>
      </c>
      <c r="G132" s="93">
        <v>5597.1026988036001</v>
      </c>
      <c r="H132" s="92">
        <v>83</v>
      </c>
      <c r="I132" s="81"/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2">
        <v>3</v>
      </c>
    </row>
    <row r="133" spans="1:15">
      <c r="A133" s="81" t="s">
        <v>45</v>
      </c>
      <c r="B133" s="92" t="s">
        <v>49</v>
      </c>
      <c r="C133" s="92" t="s">
        <v>13</v>
      </c>
      <c r="D133" s="92">
        <v>2012</v>
      </c>
      <c r="E133" s="92">
        <v>11</v>
      </c>
      <c r="F133" s="92">
        <v>5697.5612028266996</v>
      </c>
      <c r="G133" s="93">
        <v>3443.7055640449894</v>
      </c>
      <c r="H133" s="92">
        <v>83</v>
      </c>
      <c r="I133" s="81"/>
      <c r="J133" s="93">
        <v>2205.3707928600093</v>
      </c>
      <c r="K133" s="93">
        <v>2223.3553571320185</v>
      </c>
      <c r="L133" s="93">
        <v>2253.8556387817102</v>
      </c>
      <c r="M133" s="93">
        <v>2284.3559204314024</v>
      </c>
      <c r="N133" s="93">
        <v>2302.3404847034076</v>
      </c>
      <c r="O133" s="92">
        <v>3</v>
      </c>
    </row>
    <row r="134" spans="1:15">
      <c r="A134" s="81" t="s">
        <v>45</v>
      </c>
      <c r="B134" s="92" t="s">
        <v>49</v>
      </c>
      <c r="C134" s="92" t="s">
        <v>13</v>
      </c>
      <c r="D134" s="92">
        <v>2012</v>
      </c>
      <c r="E134" s="92">
        <v>12</v>
      </c>
      <c r="F134" s="92">
        <v>5778.5704741927202</v>
      </c>
      <c r="G134" s="93">
        <v>3492.6689834118565</v>
      </c>
      <c r="H134" s="92">
        <v>81</v>
      </c>
      <c r="I134" s="81"/>
      <c r="J134" s="93">
        <v>2240.0354923769337</v>
      </c>
      <c r="K134" s="93">
        <v>2257.0486431978602</v>
      </c>
      <c r="L134" s="93">
        <v>2285.9014907808637</v>
      </c>
      <c r="M134" s="93">
        <v>2314.7543383638667</v>
      </c>
      <c r="N134" s="93">
        <v>2331.7674891847901</v>
      </c>
      <c r="O134" s="92">
        <v>3</v>
      </c>
    </row>
    <row r="135" spans="1:15">
      <c r="A135" s="81" t="s">
        <v>45</v>
      </c>
      <c r="B135" s="92" t="s">
        <v>49</v>
      </c>
      <c r="C135" s="92" t="s">
        <v>13</v>
      </c>
      <c r="D135" s="92">
        <v>2012</v>
      </c>
      <c r="E135" s="92">
        <v>13</v>
      </c>
      <c r="F135" s="92">
        <v>5774.0661464396399</v>
      </c>
      <c r="G135" s="93">
        <v>3489.9464889983046</v>
      </c>
      <c r="H135" s="92">
        <v>80</v>
      </c>
      <c r="I135" s="81"/>
      <c r="J135" s="93">
        <v>2239.3550776768593</v>
      </c>
      <c r="K135" s="93">
        <v>2255.9596774560096</v>
      </c>
      <c r="L135" s="93">
        <v>2284.1196574413352</v>
      </c>
      <c r="M135" s="93">
        <v>2312.2796374266568</v>
      </c>
      <c r="N135" s="93">
        <v>2328.884237205807</v>
      </c>
      <c r="O135" s="92">
        <v>3</v>
      </c>
    </row>
    <row r="136" spans="1:15">
      <c r="A136" s="81" t="s">
        <v>45</v>
      </c>
      <c r="B136" s="92" t="s">
        <v>49</v>
      </c>
      <c r="C136" s="92" t="s">
        <v>13</v>
      </c>
      <c r="D136" s="92">
        <v>2012</v>
      </c>
      <c r="E136" s="92">
        <v>14</v>
      </c>
      <c r="F136" s="92">
        <v>5801.6339940753496</v>
      </c>
      <c r="G136" s="93">
        <v>3506.6089778970177</v>
      </c>
      <c r="H136" s="92">
        <v>90</v>
      </c>
      <c r="I136" s="81"/>
      <c r="J136" s="93">
        <v>2253.8224617818046</v>
      </c>
      <c r="K136" s="93">
        <v>2269.1057935863832</v>
      </c>
      <c r="L136" s="93">
        <v>2295.025016178332</v>
      </c>
      <c r="M136" s="93">
        <v>2320.9442387702807</v>
      </c>
      <c r="N136" s="93">
        <v>2336.2275705748552</v>
      </c>
      <c r="O136" s="92">
        <v>3</v>
      </c>
    </row>
    <row r="137" spans="1:15">
      <c r="A137" s="81" t="s">
        <v>45</v>
      </c>
      <c r="B137" s="92" t="s">
        <v>49</v>
      </c>
      <c r="C137" s="92" t="s">
        <v>13</v>
      </c>
      <c r="D137" s="92">
        <v>2012</v>
      </c>
      <c r="E137" s="92">
        <v>15</v>
      </c>
      <c r="F137" s="92">
        <v>5663.1567348365297</v>
      </c>
      <c r="G137" s="93">
        <v>3422.9109023242913</v>
      </c>
      <c r="H137" s="92">
        <v>84</v>
      </c>
      <c r="I137" s="81"/>
      <c r="J137" s="93">
        <v>2197.6734477884806</v>
      </c>
      <c r="K137" s="93">
        <v>2213.4648930271323</v>
      </c>
      <c r="L137" s="93">
        <v>2240.2458325122384</v>
      </c>
      <c r="M137" s="93">
        <v>2267.0267719973449</v>
      </c>
      <c r="N137" s="93">
        <v>2282.8182172359961</v>
      </c>
      <c r="O137" s="92">
        <v>3</v>
      </c>
    </row>
    <row r="138" spans="1:15">
      <c r="A138" s="81" t="s">
        <v>45</v>
      </c>
      <c r="B138" s="92" t="s">
        <v>49</v>
      </c>
      <c r="C138" s="92" t="s">
        <v>13</v>
      </c>
      <c r="D138" s="92">
        <v>2012</v>
      </c>
      <c r="E138" s="92">
        <v>16</v>
      </c>
      <c r="F138" s="92">
        <v>5611.3956237030097</v>
      </c>
      <c r="G138" s="93">
        <v>3391.625582155511</v>
      </c>
      <c r="H138" s="92">
        <v>76</v>
      </c>
      <c r="I138" s="81"/>
      <c r="J138" s="93">
        <v>2177.9528837159764</v>
      </c>
      <c r="K138" s="93">
        <v>2193.4641913915389</v>
      </c>
      <c r="L138" s="93">
        <v>2219.7700415474987</v>
      </c>
      <c r="M138" s="93">
        <v>2246.0758917034627</v>
      </c>
      <c r="N138" s="93">
        <v>2261.5871993790256</v>
      </c>
      <c r="O138" s="92">
        <v>3</v>
      </c>
    </row>
    <row r="139" spans="1:15">
      <c r="A139" s="81" t="s">
        <v>45</v>
      </c>
      <c r="B139" s="92" t="s">
        <v>49</v>
      </c>
      <c r="C139" s="92" t="s">
        <v>13</v>
      </c>
      <c r="D139" s="92">
        <v>2012</v>
      </c>
      <c r="E139" s="92">
        <v>17</v>
      </c>
      <c r="F139" s="92">
        <v>5544.4181823085901</v>
      </c>
      <c r="G139" s="93">
        <v>3351.1432460498404</v>
      </c>
      <c r="H139" s="92">
        <v>72</v>
      </c>
      <c r="I139" s="81"/>
      <c r="J139" s="93">
        <v>2143.5579755068688</v>
      </c>
      <c r="K139" s="93">
        <v>2161.9995701753373</v>
      </c>
      <c r="L139" s="93">
        <v>2193.2749362587497</v>
      </c>
      <c r="M139" s="93">
        <v>2224.5503023421657</v>
      </c>
      <c r="N139" s="93">
        <v>2242.9918970106341</v>
      </c>
      <c r="O139" s="92">
        <v>3</v>
      </c>
    </row>
    <row r="140" spans="1:15">
      <c r="A140" s="81" t="s">
        <v>45</v>
      </c>
      <c r="B140" s="92" t="s">
        <v>49</v>
      </c>
      <c r="C140" s="92" t="s">
        <v>13</v>
      </c>
      <c r="D140" s="92">
        <v>2012</v>
      </c>
      <c r="E140" s="92">
        <v>18</v>
      </c>
      <c r="F140" s="92">
        <v>5435.5961893210797</v>
      </c>
      <c r="G140" s="93">
        <v>3285.3693316677304</v>
      </c>
      <c r="H140" s="92">
        <v>69</v>
      </c>
      <c r="I140" s="81"/>
      <c r="J140" s="93">
        <v>2106.957956969623</v>
      </c>
      <c r="K140" s="93">
        <v>2123.0077620279362</v>
      </c>
      <c r="L140" s="93">
        <v>2150.2268576533493</v>
      </c>
      <c r="M140" s="93">
        <v>2177.4459532787669</v>
      </c>
      <c r="N140" s="93">
        <v>2193.4957583370801</v>
      </c>
      <c r="O140" s="92">
        <v>3</v>
      </c>
    </row>
    <row r="141" spans="1:15">
      <c r="A141" s="81" t="s">
        <v>45</v>
      </c>
      <c r="B141" s="92" t="s">
        <v>49</v>
      </c>
      <c r="C141" s="92" t="s">
        <v>13</v>
      </c>
      <c r="D141" s="92">
        <v>2012</v>
      </c>
      <c r="E141" s="92">
        <v>19</v>
      </c>
      <c r="F141" s="92">
        <v>5327.1140205909496</v>
      </c>
      <c r="G141" s="93">
        <v>5327.1140205909496</v>
      </c>
      <c r="H141" s="92">
        <v>72</v>
      </c>
      <c r="I141" s="81"/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2">
        <v>3</v>
      </c>
    </row>
    <row r="142" spans="1:15">
      <c r="A142" s="81" t="s">
        <v>45</v>
      </c>
      <c r="B142" s="92" t="s">
        <v>49</v>
      </c>
      <c r="C142" s="92" t="s">
        <v>13</v>
      </c>
      <c r="D142" s="92">
        <v>2012</v>
      </c>
      <c r="E142" s="92">
        <v>20</v>
      </c>
      <c r="F142" s="92">
        <v>5226.5227726326602</v>
      </c>
      <c r="G142" s="93">
        <v>5226.5227726326602</v>
      </c>
      <c r="H142" s="92">
        <v>62</v>
      </c>
      <c r="I142" s="81"/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2">
        <v>3</v>
      </c>
    </row>
    <row r="143" spans="1:15">
      <c r="A143" s="81" t="s">
        <v>45</v>
      </c>
      <c r="B143" s="92" t="s">
        <v>49</v>
      </c>
      <c r="C143" s="92" t="s">
        <v>13</v>
      </c>
      <c r="D143" s="92">
        <v>2012</v>
      </c>
      <c r="E143" s="92">
        <v>21</v>
      </c>
      <c r="F143" s="92">
        <v>5146.8157655085997</v>
      </c>
      <c r="G143" s="93">
        <v>5146.8157655085997</v>
      </c>
      <c r="H143" s="92">
        <v>68</v>
      </c>
      <c r="I143" s="81"/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2">
        <v>3</v>
      </c>
    </row>
    <row r="144" spans="1:15">
      <c r="A144" s="81" t="s">
        <v>45</v>
      </c>
      <c r="B144" s="92" t="s">
        <v>49</v>
      </c>
      <c r="C144" s="92" t="s">
        <v>13</v>
      </c>
      <c r="D144" s="92">
        <v>2012</v>
      </c>
      <c r="E144" s="92">
        <v>22</v>
      </c>
      <c r="F144" s="92">
        <v>5024.3012600120901</v>
      </c>
      <c r="G144" s="93">
        <v>5024.3012600120901</v>
      </c>
      <c r="H144" s="92">
        <v>73</v>
      </c>
      <c r="I144" s="81"/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2">
        <v>3</v>
      </c>
    </row>
    <row r="145" spans="1:15">
      <c r="A145" s="81" t="s">
        <v>45</v>
      </c>
      <c r="B145" s="92" t="s">
        <v>49</v>
      </c>
      <c r="C145" s="92" t="s">
        <v>13</v>
      </c>
      <c r="D145" s="92">
        <v>2012</v>
      </c>
      <c r="E145" s="92">
        <v>23</v>
      </c>
      <c r="F145" s="92">
        <v>4936.07714958218</v>
      </c>
      <c r="G145" s="93">
        <v>4936.07714958218</v>
      </c>
      <c r="H145" s="92">
        <v>69</v>
      </c>
      <c r="I145" s="81"/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2">
        <v>3</v>
      </c>
    </row>
    <row r="146" spans="1:15">
      <c r="A146" s="81" t="s">
        <v>45</v>
      </c>
      <c r="B146" s="92" t="s">
        <v>49</v>
      </c>
      <c r="C146" s="92" t="s">
        <v>13</v>
      </c>
      <c r="D146" s="92">
        <v>2012</v>
      </c>
      <c r="E146" s="92">
        <v>24</v>
      </c>
      <c r="F146" s="92">
        <v>4873.57012538454</v>
      </c>
      <c r="G146" s="93">
        <v>4873.57012538454</v>
      </c>
      <c r="H146" s="92">
        <v>66</v>
      </c>
      <c r="I146" s="81"/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2">
        <v>3</v>
      </c>
    </row>
    <row r="147" spans="1:15">
      <c r="A147" s="81" t="s">
        <v>45</v>
      </c>
      <c r="B147" s="92" t="s">
        <v>49</v>
      </c>
      <c r="C147" s="92" t="s">
        <v>14</v>
      </c>
      <c r="D147" s="92">
        <v>2012</v>
      </c>
      <c r="E147" s="92">
        <v>1</v>
      </c>
      <c r="F147" s="92">
        <v>4635.1086259705799</v>
      </c>
      <c r="G147" s="93">
        <v>4635.1086259705799</v>
      </c>
      <c r="H147" s="92">
        <v>73</v>
      </c>
      <c r="I147" s="81"/>
      <c r="J147" s="93">
        <v>0</v>
      </c>
      <c r="K147" s="93">
        <v>0</v>
      </c>
      <c r="L147" s="93">
        <v>0</v>
      </c>
      <c r="M147" s="93">
        <v>0</v>
      </c>
      <c r="N147" s="93">
        <v>0</v>
      </c>
      <c r="O147" s="92">
        <v>3</v>
      </c>
    </row>
    <row r="148" spans="1:15">
      <c r="A148" s="81" t="s">
        <v>45</v>
      </c>
      <c r="B148" s="92" t="s">
        <v>49</v>
      </c>
      <c r="C148" s="92" t="s">
        <v>14</v>
      </c>
      <c r="D148" s="92">
        <v>2012</v>
      </c>
      <c r="E148" s="92">
        <v>2</v>
      </c>
      <c r="F148" s="92">
        <v>4603.1098783301404</v>
      </c>
      <c r="G148" s="93">
        <v>4603.1098783301404</v>
      </c>
      <c r="H148" s="92">
        <v>68</v>
      </c>
      <c r="I148" s="81"/>
      <c r="J148" s="93">
        <v>0</v>
      </c>
      <c r="K148" s="93">
        <v>0</v>
      </c>
      <c r="L148" s="93">
        <v>0</v>
      </c>
      <c r="M148" s="93">
        <v>0</v>
      </c>
      <c r="N148" s="93">
        <v>0</v>
      </c>
      <c r="O148" s="92">
        <v>3</v>
      </c>
    </row>
    <row r="149" spans="1:15">
      <c r="A149" s="81" t="s">
        <v>45</v>
      </c>
      <c r="B149" s="92" t="s">
        <v>49</v>
      </c>
      <c r="C149" s="92" t="s">
        <v>14</v>
      </c>
      <c r="D149" s="92">
        <v>2012</v>
      </c>
      <c r="E149" s="92">
        <v>3</v>
      </c>
      <c r="F149" s="92">
        <v>4568.3489514381399</v>
      </c>
      <c r="G149" s="93">
        <v>4568.3489514381399</v>
      </c>
      <c r="H149" s="92">
        <v>91</v>
      </c>
      <c r="I149" s="81"/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2">
        <v>3</v>
      </c>
    </row>
    <row r="150" spans="1:15">
      <c r="A150" s="81" t="s">
        <v>45</v>
      </c>
      <c r="B150" s="92" t="s">
        <v>49</v>
      </c>
      <c r="C150" s="92" t="s">
        <v>14</v>
      </c>
      <c r="D150" s="92">
        <v>2012</v>
      </c>
      <c r="E150" s="92">
        <v>4</v>
      </c>
      <c r="F150" s="92">
        <v>4566.0046169416901</v>
      </c>
      <c r="G150" s="93">
        <v>4566.0046169416901</v>
      </c>
      <c r="H150" s="92">
        <v>74</v>
      </c>
      <c r="I150" s="81"/>
      <c r="J150" s="93">
        <v>0</v>
      </c>
      <c r="K150" s="93">
        <v>0</v>
      </c>
      <c r="L150" s="93">
        <v>0</v>
      </c>
      <c r="M150" s="93">
        <v>0</v>
      </c>
      <c r="N150" s="93">
        <v>0</v>
      </c>
      <c r="O150" s="92">
        <v>3</v>
      </c>
    </row>
    <row r="151" spans="1:15">
      <c r="A151" s="81" t="s">
        <v>45</v>
      </c>
      <c r="B151" s="92" t="s">
        <v>49</v>
      </c>
      <c r="C151" s="92" t="s">
        <v>14</v>
      </c>
      <c r="D151" s="92">
        <v>2012</v>
      </c>
      <c r="E151" s="92">
        <v>5</v>
      </c>
      <c r="F151" s="92">
        <v>4591.4260089542404</v>
      </c>
      <c r="G151" s="93">
        <v>4591.4260089542404</v>
      </c>
      <c r="H151" s="92">
        <v>64</v>
      </c>
      <c r="I151" s="81"/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2">
        <v>3</v>
      </c>
    </row>
    <row r="152" spans="1:15">
      <c r="A152" s="81" t="s">
        <v>45</v>
      </c>
      <c r="B152" s="92" t="s">
        <v>49</v>
      </c>
      <c r="C152" s="92" t="s">
        <v>14</v>
      </c>
      <c r="D152" s="92">
        <v>2012</v>
      </c>
      <c r="E152" s="92">
        <v>6</v>
      </c>
      <c r="F152" s="92">
        <v>4618.34902824454</v>
      </c>
      <c r="G152" s="93">
        <v>4618.34902824454</v>
      </c>
      <c r="H152" s="92">
        <v>68</v>
      </c>
      <c r="I152" s="81"/>
      <c r="J152" s="93">
        <v>0</v>
      </c>
      <c r="K152" s="93">
        <v>0</v>
      </c>
      <c r="L152" s="93">
        <v>0</v>
      </c>
      <c r="M152" s="93">
        <v>0</v>
      </c>
      <c r="N152" s="93">
        <v>0</v>
      </c>
      <c r="O152" s="92">
        <v>3</v>
      </c>
    </row>
    <row r="153" spans="1:15">
      <c r="A153" s="81" t="s">
        <v>45</v>
      </c>
      <c r="B153" s="92" t="s">
        <v>49</v>
      </c>
      <c r="C153" s="92" t="s">
        <v>14</v>
      </c>
      <c r="D153" s="92">
        <v>2012</v>
      </c>
      <c r="E153" s="92">
        <v>7</v>
      </c>
      <c r="F153" s="92">
        <v>4756.5920395466701</v>
      </c>
      <c r="G153" s="93">
        <v>4756.5920395466701</v>
      </c>
      <c r="H153" s="92">
        <v>71</v>
      </c>
      <c r="I153" s="81"/>
      <c r="J153" s="93">
        <v>0</v>
      </c>
      <c r="K153" s="93">
        <v>0</v>
      </c>
      <c r="L153" s="93">
        <v>0</v>
      </c>
      <c r="M153" s="93">
        <v>0</v>
      </c>
      <c r="N153" s="93">
        <v>0</v>
      </c>
      <c r="O153" s="92">
        <v>3</v>
      </c>
    </row>
    <row r="154" spans="1:15">
      <c r="A154" s="81" t="s">
        <v>45</v>
      </c>
      <c r="B154" s="92" t="s">
        <v>49</v>
      </c>
      <c r="C154" s="92" t="s">
        <v>14</v>
      </c>
      <c r="D154" s="92">
        <v>2012</v>
      </c>
      <c r="E154" s="92">
        <v>8</v>
      </c>
      <c r="F154" s="92">
        <v>4913.1690049144299</v>
      </c>
      <c r="G154" s="93">
        <v>4913.1690049144299</v>
      </c>
      <c r="H154" s="92">
        <v>71</v>
      </c>
      <c r="I154" s="81"/>
      <c r="J154" s="93">
        <v>0</v>
      </c>
      <c r="K154" s="93">
        <v>0</v>
      </c>
      <c r="L154" s="93">
        <v>0</v>
      </c>
      <c r="M154" s="93">
        <v>0</v>
      </c>
      <c r="N154" s="93">
        <v>0</v>
      </c>
      <c r="O154" s="92">
        <v>3</v>
      </c>
    </row>
    <row r="155" spans="1:15">
      <c r="A155" s="81" t="s">
        <v>45</v>
      </c>
      <c r="B155" s="92" t="s">
        <v>49</v>
      </c>
      <c r="C155" s="92" t="s">
        <v>14</v>
      </c>
      <c r="D155" s="92">
        <v>2012</v>
      </c>
      <c r="E155" s="92">
        <v>9</v>
      </c>
      <c r="F155" s="92">
        <v>5369.5219553288898</v>
      </c>
      <c r="G155" s="93">
        <v>5369.5219553288898</v>
      </c>
      <c r="H155" s="92">
        <v>63</v>
      </c>
      <c r="I155" s="81"/>
      <c r="J155" s="93">
        <v>0</v>
      </c>
      <c r="K155" s="93">
        <v>0</v>
      </c>
      <c r="L155" s="93">
        <v>0</v>
      </c>
      <c r="M155" s="93">
        <v>0</v>
      </c>
      <c r="N155" s="93">
        <v>0</v>
      </c>
      <c r="O155" s="92">
        <v>3</v>
      </c>
    </row>
    <row r="156" spans="1:15">
      <c r="A156" s="81" t="s">
        <v>45</v>
      </c>
      <c r="B156" s="92" t="s">
        <v>49</v>
      </c>
      <c r="C156" s="92" t="s">
        <v>14</v>
      </c>
      <c r="D156" s="92">
        <v>2012</v>
      </c>
      <c r="E156" s="92">
        <v>10</v>
      </c>
      <c r="F156" s="92">
        <v>5585.7452136046604</v>
      </c>
      <c r="G156" s="93">
        <v>5585.7452136046604</v>
      </c>
      <c r="H156" s="92">
        <v>63</v>
      </c>
      <c r="I156" s="81"/>
      <c r="J156" s="93">
        <v>0</v>
      </c>
      <c r="K156" s="93">
        <v>0</v>
      </c>
      <c r="L156" s="93">
        <v>0</v>
      </c>
      <c r="M156" s="93">
        <v>0</v>
      </c>
      <c r="N156" s="93">
        <v>0</v>
      </c>
      <c r="O156" s="92">
        <v>3</v>
      </c>
    </row>
    <row r="157" spans="1:15">
      <c r="A157" s="81" t="s">
        <v>45</v>
      </c>
      <c r="B157" s="92" t="s">
        <v>49</v>
      </c>
      <c r="C157" s="92" t="s">
        <v>14</v>
      </c>
      <c r="D157" s="92">
        <v>2012</v>
      </c>
      <c r="E157" s="92">
        <v>11</v>
      </c>
      <c r="F157" s="92">
        <v>5719.6611882903599</v>
      </c>
      <c r="G157" s="93">
        <v>3458.9448579154364</v>
      </c>
      <c r="H157" s="92">
        <v>69</v>
      </c>
      <c r="I157" s="81"/>
      <c r="J157" s="93">
        <v>2206.7724286687721</v>
      </c>
      <c r="K157" s="93">
        <v>2226.7819295524896</v>
      </c>
      <c r="L157" s="93">
        <v>2260.7163303749235</v>
      </c>
      <c r="M157" s="93">
        <v>2294.6507311973573</v>
      </c>
      <c r="N157" s="93">
        <v>2314.6602320810712</v>
      </c>
      <c r="O157" s="92">
        <v>3</v>
      </c>
    </row>
    <row r="158" spans="1:15">
      <c r="A158" s="81" t="s">
        <v>45</v>
      </c>
      <c r="B158" s="92" t="s">
        <v>49</v>
      </c>
      <c r="C158" s="92" t="s">
        <v>14</v>
      </c>
      <c r="D158" s="92">
        <v>2012</v>
      </c>
      <c r="E158" s="92">
        <v>12</v>
      </c>
      <c r="F158" s="92">
        <v>5826.4323388416897</v>
      </c>
      <c r="G158" s="93">
        <v>3523.5143332769003</v>
      </c>
      <c r="H158" s="92">
        <v>71</v>
      </c>
      <c r="I158" s="81"/>
      <c r="J158" s="93">
        <v>2251.8878153574874</v>
      </c>
      <c r="K158" s="93">
        <v>2270.8165284048187</v>
      </c>
      <c r="L158" s="93">
        <v>2302.9180055647894</v>
      </c>
      <c r="M158" s="93">
        <v>2335.019482724756</v>
      </c>
      <c r="N158" s="93">
        <v>2353.9481957720873</v>
      </c>
      <c r="O158" s="92">
        <v>3</v>
      </c>
    </row>
    <row r="159" spans="1:15">
      <c r="A159" s="81" t="s">
        <v>45</v>
      </c>
      <c r="B159" s="92" t="s">
        <v>49</v>
      </c>
      <c r="C159" s="92" t="s">
        <v>14</v>
      </c>
      <c r="D159" s="92">
        <v>2012</v>
      </c>
      <c r="E159" s="92">
        <v>13</v>
      </c>
      <c r="F159" s="92">
        <v>5820.03140309025</v>
      </c>
      <c r="G159" s="93">
        <v>3519.6433900384063</v>
      </c>
      <c r="H159" s="92">
        <v>69</v>
      </c>
      <c r="I159" s="81"/>
      <c r="J159" s="93">
        <v>2250.5832535475729</v>
      </c>
      <c r="K159" s="93">
        <v>2269.0574155528097</v>
      </c>
      <c r="L159" s="93">
        <v>2300.3880130518437</v>
      </c>
      <c r="M159" s="93">
        <v>2331.7186105508777</v>
      </c>
      <c r="N159" s="93">
        <v>2350.1927725561145</v>
      </c>
      <c r="O159" s="92">
        <v>3</v>
      </c>
    </row>
    <row r="160" spans="1:15">
      <c r="A160" s="81" t="s">
        <v>45</v>
      </c>
      <c r="B160" s="92" t="s">
        <v>49</v>
      </c>
      <c r="C160" s="92" t="s">
        <v>14</v>
      </c>
      <c r="D160" s="92">
        <v>2012</v>
      </c>
      <c r="E160" s="92">
        <v>14</v>
      </c>
      <c r="F160" s="92">
        <v>5789.5791551038101</v>
      </c>
      <c r="G160" s="93">
        <v>3501.2275008594625</v>
      </c>
      <c r="H160" s="92">
        <v>71</v>
      </c>
      <c r="I160" s="81"/>
      <c r="J160" s="93">
        <v>2242.5099793425052</v>
      </c>
      <c r="K160" s="93">
        <v>2259.5141078064826</v>
      </c>
      <c r="L160" s="93">
        <v>2288.3516542443476</v>
      </c>
      <c r="M160" s="93">
        <v>2317.1892006822163</v>
      </c>
      <c r="N160" s="93">
        <v>2334.1933291461901</v>
      </c>
      <c r="O160" s="92">
        <v>3</v>
      </c>
    </row>
    <row r="161" spans="1:15">
      <c r="A161" s="81" t="s">
        <v>45</v>
      </c>
      <c r="B161" s="92" t="s">
        <v>49</v>
      </c>
      <c r="C161" s="92" t="s">
        <v>14</v>
      </c>
      <c r="D161" s="92">
        <v>2012</v>
      </c>
      <c r="E161" s="92">
        <v>15</v>
      </c>
      <c r="F161" s="92">
        <v>5581.1359632475796</v>
      </c>
      <c r="G161" s="93">
        <v>3375.1722184041573</v>
      </c>
      <c r="H161" s="92">
        <v>62</v>
      </c>
      <c r="I161" s="81"/>
      <c r="J161" s="93">
        <v>2158.5980062651547</v>
      </c>
      <c r="K161" s="93">
        <v>2176.1674581950961</v>
      </c>
      <c r="L161" s="93">
        <v>2205.9637448434223</v>
      </c>
      <c r="M161" s="93">
        <v>2235.760031491749</v>
      </c>
      <c r="N161" s="93">
        <v>2253.3294834216899</v>
      </c>
      <c r="O161" s="92">
        <v>3</v>
      </c>
    </row>
    <row r="162" spans="1:15">
      <c r="A162" s="81" t="s">
        <v>45</v>
      </c>
      <c r="B162" s="92" t="s">
        <v>49</v>
      </c>
      <c r="C162" s="92" t="s">
        <v>14</v>
      </c>
      <c r="D162" s="92">
        <v>2012</v>
      </c>
      <c r="E162" s="92">
        <v>16</v>
      </c>
      <c r="F162" s="92">
        <v>5546.1455704670898</v>
      </c>
      <c r="G162" s="93">
        <v>3354.0119022245385</v>
      </c>
      <c r="H162" s="92">
        <v>70</v>
      </c>
      <c r="I162" s="81"/>
      <c r="J162" s="93">
        <v>2145.608189841787</v>
      </c>
      <c r="K162" s="93">
        <v>2162.8659626711697</v>
      </c>
      <c r="L162" s="93">
        <v>2192.1336682425513</v>
      </c>
      <c r="M162" s="93">
        <v>2221.4013738139292</v>
      </c>
      <c r="N162" s="93">
        <v>2238.6591466433119</v>
      </c>
      <c r="O162" s="92">
        <v>3</v>
      </c>
    </row>
    <row r="163" spans="1:15">
      <c r="A163" s="81" t="s">
        <v>45</v>
      </c>
      <c r="B163" s="92" t="s">
        <v>49</v>
      </c>
      <c r="C163" s="92" t="s">
        <v>14</v>
      </c>
      <c r="D163" s="92">
        <v>2012</v>
      </c>
      <c r="E163" s="92">
        <v>17</v>
      </c>
      <c r="F163" s="92">
        <v>5492.5615312379996</v>
      </c>
      <c r="G163" s="93">
        <v>3321.6071441704689</v>
      </c>
      <c r="H163" s="92">
        <v>70</v>
      </c>
      <c r="I163" s="81"/>
      <c r="J163" s="93">
        <v>2115.6396429873034</v>
      </c>
      <c r="K163" s="93">
        <v>2136.1576327053081</v>
      </c>
      <c r="L163" s="93">
        <v>2170.9543870675307</v>
      </c>
      <c r="M163" s="93">
        <v>2205.7511414297533</v>
      </c>
      <c r="N163" s="93">
        <v>2226.2691311477579</v>
      </c>
      <c r="O163" s="92">
        <v>3</v>
      </c>
    </row>
    <row r="164" spans="1:15">
      <c r="A164" s="81" t="s">
        <v>45</v>
      </c>
      <c r="B164" s="92" t="s">
        <v>49</v>
      </c>
      <c r="C164" s="92" t="s">
        <v>14</v>
      </c>
      <c r="D164" s="92">
        <v>2012</v>
      </c>
      <c r="E164" s="92">
        <v>18</v>
      </c>
      <c r="F164" s="92">
        <v>5351.0036460926804</v>
      </c>
      <c r="G164" s="93">
        <v>3236.0005141967899</v>
      </c>
      <c r="H164" s="92">
        <v>88</v>
      </c>
      <c r="I164" s="81"/>
      <c r="J164" s="93">
        <v>2066.8624545142279</v>
      </c>
      <c r="K164" s="93">
        <v>2084.7193557791438</v>
      </c>
      <c r="L164" s="93">
        <v>2115.0031318958904</v>
      </c>
      <c r="M164" s="93">
        <v>2145.2869080126366</v>
      </c>
      <c r="N164" s="93">
        <v>2163.1438092775566</v>
      </c>
      <c r="O164" s="92">
        <v>3</v>
      </c>
    </row>
    <row r="165" spans="1:15">
      <c r="A165" s="81" t="s">
        <v>45</v>
      </c>
      <c r="B165" s="92" t="s">
        <v>49</v>
      </c>
      <c r="C165" s="92" t="s">
        <v>14</v>
      </c>
      <c r="D165" s="92">
        <v>2012</v>
      </c>
      <c r="E165" s="92">
        <v>19</v>
      </c>
      <c r="F165" s="92">
        <v>5246.3964213508698</v>
      </c>
      <c r="G165" s="93">
        <v>5246.3964213508698</v>
      </c>
      <c r="H165" s="92">
        <v>87</v>
      </c>
      <c r="I165" s="81"/>
      <c r="J165" s="93">
        <v>0</v>
      </c>
      <c r="K165" s="93">
        <v>0</v>
      </c>
      <c r="L165" s="93">
        <v>0</v>
      </c>
      <c r="M165" s="93">
        <v>0</v>
      </c>
      <c r="N165" s="93">
        <v>0</v>
      </c>
      <c r="O165" s="92">
        <v>3</v>
      </c>
    </row>
    <row r="166" spans="1:15">
      <c r="A166" s="81" t="s">
        <v>45</v>
      </c>
      <c r="B166" s="92" t="s">
        <v>49</v>
      </c>
      <c r="C166" s="92" t="s">
        <v>14</v>
      </c>
      <c r="D166" s="92">
        <v>2012</v>
      </c>
      <c r="E166" s="92">
        <v>20</v>
      </c>
      <c r="F166" s="92">
        <v>5127.5001111677902</v>
      </c>
      <c r="G166" s="93">
        <v>5127.5001111677902</v>
      </c>
      <c r="H166" s="92">
        <v>91</v>
      </c>
      <c r="I166" s="81"/>
      <c r="J166" s="93">
        <v>0</v>
      </c>
      <c r="K166" s="93">
        <v>0</v>
      </c>
      <c r="L166" s="93">
        <v>0</v>
      </c>
      <c r="M166" s="93">
        <v>0</v>
      </c>
      <c r="N166" s="93">
        <v>0</v>
      </c>
      <c r="O166" s="92">
        <v>3</v>
      </c>
    </row>
    <row r="167" spans="1:15">
      <c r="A167" s="81" t="s">
        <v>45</v>
      </c>
      <c r="B167" s="92" t="s">
        <v>49</v>
      </c>
      <c r="C167" s="92" t="s">
        <v>14</v>
      </c>
      <c r="D167" s="92">
        <v>2012</v>
      </c>
      <c r="E167" s="92">
        <v>21</v>
      </c>
      <c r="F167" s="92">
        <v>5043.6525111785804</v>
      </c>
      <c r="G167" s="93">
        <v>5043.6525111785804</v>
      </c>
      <c r="H167" s="92">
        <v>90</v>
      </c>
      <c r="I167" s="81"/>
      <c r="J167" s="93">
        <v>0</v>
      </c>
      <c r="K167" s="93">
        <v>0</v>
      </c>
      <c r="L167" s="93">
        <v>0</v>
      </c>
      <c r="M167" s="93">
        <v>0</v>
      </c>
      <c r="N167" s="93">
        <v>0</v>
      </c>
      <c r="O167" s="92">
        <v>3</v>
      </c>
    </row>
    <row r="168" spans="1:15">
      <c r="A168" s="81" t="s">
        <v>45</v>
      </c>
      <c r="B168" s="92" t="s">
        <v>49</v>
      </c>
      <c r="C168" s="92" t="s">
        <v>14</v>
      </c>
      <c r="D168" s="92">
        <v>2012</v>
      </c>
      <c r="E168" s="92">
        <v>22</v>
      </c>
      <c r="F168" s="92">
        <v>4912.7192930624597</v>
      </c>
      <c r="G168" s="93">
        <v>4912.7192930624597</v>
      </c>
      <c r="H168" s="92">
        <v>74</v>
      </c>
      <c r="I168" s="81"/>
      <c r="J168" s="93">
        <v>0</v>
      </c>
      <c r="K168" s="93">
        <v>0</v>
      </c>
      <c r="L168" s="93">
        <v>0</v>
      </c>
      <c r="M168" s="93">
        <v>0</v>
      </c>
      <c r="N168" s="93">
        <v>0</v>
      </c>
      <c r="O168" s="92">
        <v>3</v>
      </c>
    </row>
    <row r="169" spans="1:15">
      <c r="A169" s="81" t="s">
        <v>45</v>
      </c>
      <c r="B169" s="92" t="s">
        <v>49</v>
      </c>
      <c r="C169" s="92" t="s">
        <v>14</v>
      </c>
      <c r="D169" s="92">
        <v>2012</v>
      </c>
      <c r="E169" s="92">
        <v>23</v>
      </c>
      <c r="F169" s="92">
        <v>4817.6964951304099</v>
      </c>
      <c r="G169" s="93">
        <v>4817.6964951304099</v>
      </c>
      <c r="H169" s="92">
        <v>87</v>
      </c>
      <c r="I169" s="81"/>
      <c r="J169" s="93">
        <v>0</v>
      </c>
      <c r="K169" s="93">
        <v>0</v>
      </c>
      <c r="L169" s="93">
        <v>0</v>
      </c>
      <c r="M169" s="93">
        <v>0</v>
      </c>
      <c r="N169" s="93">
        <v>0</v>
      </c>
      <c r="O169" s="92">
        <v>3</v>
      </c>
    </row>
    <row r="170" spans="1:15">
      <c r="A170" s="81" t="s">
        <v>45</v>
      </c>
      <c r="B170" s="92" t="s">
        <v>49</v>
      </c>
      <c r="C170" s="92" t="s">
        <v>14</v>
      </c>
      <c r="D170" s="92">
        <v>2012</v>
      </c>
      <c r="E170" s="92">
        <v>24</v>
      </c>
      <c r="F170" s="92">
        <v>4756.1247850830296</v>
      </c>
      <c r="G170" s="93">
        <v>4756.1247850830296</v>
      </c>
      <c r="H170" s="92">
        <v>89</v>
      </c>
      <c r="I170" s="81"/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2">
        <v>3</v>
      </c>
    </row>
    <row r="171" spans="1:15">
      <c r="A171" s="81" t="s">
        <v>45</v>
      </c>
      <c r="B171" s="92" t="s">
        <v>49</v>
      </c>
      <c r="C171" s="92" t="s">
        <v>15</v>
      </c>
      <c r="D171" s="92">
        <v>2012</v>
      </c>
      <c r="E171" s="92">
        <v>1</v>
      </c>
      <c r="F171" s="92">
        <v>4769.7611625234604</v>
      </c>
      <c r="G171" s="93">
        <v>4769.7611625234604</v>
      </c>
      <c r="H171" s="92">
        <v>91</v>
      </c>
      <c r="I171" s="81"/>
      <c r="J171" s="93">
        <v>0</v>
      </c>
      <c r="K171" s="93">
        <v>0</v>
      </c>
      <c r="L171" s="93">
        <v>0</v>
      </c>
      <c r="M171" s="93">
        <v>0</v>
      </c>
      <c r="N171" s="93">
        <v>0</v>
      </c>
      <c r="O171" s="92">
        <v>3</v>
      </c>
    </row>
    <row r="172" spans="1:15">
      <c r="A172" s="81" t="s">
        <v>45</v>
      </c>
      <c r="B172" s="92" t="s">
        <v>49</v>
      </c>
      <c r="C172" s="92" t="s">
        <v>15</v>
      </c>
      <c r="D172" s="92">
        <v>2012</v>
      </c>
      <c r="E172" s="92">
        <v>2</v>
      </c>
      <c r="F172" s="92">
        <v>4733.9208653266296</v>
      </c>
      <c r="G172" s="93">
        <v>4733.9208653266296</v>
      </c>
      <c r="H172" s="92">
        <v>73</v>
      </c>
      <c r="I172" s="81"/>
      <c r="J172" s="93">
        <v>0</v>
      </c>
      <c r="K172" s="93">
        <v>0</v>
      </c>
      <c r="L172" s="93">
        <v>0</v>
      </c>
      <c r="M172" s="93">
        <v>0</v>
      </c>
      <c r="N172" s="93">
        <v>0</v>
      </c>
      <c r="O172" s="92">
        <v>3</v>
      </c>
    </row>
    <row r="173" spans="1:15">
      <c r="A173" s="81" t="s">
        <v>45</v>
      </c>
      <c r="B173" s="92" t="s">
        <v>49</v>
      </c>
      <c r="C173" s="92" t="s">
        <v>15</v>
      </c>
      <c r="D173" s="92">
        <v>2012</v>
      </c>
      <c r="E173" s="92">
        <v>3</v>
      </c>
      <c r="F173" s="92">
        <v>4705.0488176811496</v>
      </c>
      <c r="G173" s="93">
        <v>4705.0488176811496</v>
      </c>
      <c r="H173" s="92">
        <v>76</v>
      </c>
      <c r="I173" s="81"/>
      <c r="J173" s="93">
        <v>0</v>
      </c>
      <c r="K173" s="93">
        <v>0</v>
      </c>
      <c r="L173" s="93">
        <v>0</v>
      </c>
      <c r="M173" s="93">
        <v>0</v>
      </c>
      <c r="N173" s="93">
        <v>0</v>
      </c>
      <c r="O173" s="92">
        <v>3</v>
      </c>
    </row>
    <row r="174" spans="1:15">
      <c r="A174" s="81" t="s">
        <v>45</v>
      </c>
      <c r="B174" s="92" t="s">
        <v>49</v>
      </c>
      <c r="C174" s="92" t="s">
        <v>15</v>
      </c>
      <c r="D174" s="92">
        <v>2012</v>
      </c>
      <c r="E174" s="92">
        <v>4</v>
      </c>
      <c r="F174" s="92">
        <v>4717.4546825483503</v>
      </c>
      <c r="G174" s="93">
        <v>4717.4546825483503</v>
      </c>
      <c r="H174" s="92">
        <v>62</v>
      </c>
      <c r="I174" s="81"/>
      <c r="J174" s="93">
        <v>0</v>
      </c>
      <c r="K174" s="93">
        <v>0</v>
      </c>
      <c r="L174" s="93">
        <v>0</v>
      </c>
      <c r="M174" s="93">
        <v>0</v>
      </c>
      <c r="N174" s="93">
        <v>0</v>
      </c>
      <c r="O174" s="92">
        <v>3</v>
      </c>
    </row>
    <row r="175" spans="1:15">
      <c r="A175" s="81" t="s">
        <v>45</v>
      </c>
      <c r="B175" s="92" t="s">
        <v>49</v>
      </c>
      <c r="C175" s="92" t="s">
        <v>15</v>
      </c>
      <c r="D175" s="92">
        <v>2012</v>
      </c>
      <c r="E175" s="92">
        <v>5</v>
      </c>
      <c r="F175" s="92">
        <v>4741.2049935800596</v>
      </c>
      <c r="G175" s="93">
        <v>4741.2049935800596</v>
      </c>
      <c r="H175" s="92">
        <v>71</v>
      </c>
      <c r="I175" s="81"/>
      <c r="J175" s="93">
        <v>0</v>
      </c>
      <c r="K175" s="93">
        <v>0</v>
      </c>
      <c r="L175" s="93">
        <v>0</v>
      </c>
      <c r="M175" s="93">
        <v>0</v>
      </c>
      <c r="N175" s="93">
        <v>0</v>
      </c>
      <c r="O175" s="92">
        <v>3</v>
      </c>
    </row>
    <row r="176" spans="1:15">
      <c r="A176" s="81" t="s">
        <v>45</v>
      </c>
      <c r="B176" s="92" t="s">
        <v>49</v>
      </c>
      <c r="C176" s="92" t="s">
        <v>15</v>
      </c>
      <c r="D176" s="92">
        <v>2012</v>
      </c>
      <c r="E176" s="92">
        <v>6</v>
      </c>
      <c r="F176" s="92">
        <v>4766.3216078646101</v>
      </c>
      <c r="G176" s="93">
        <v>4766.3216078646101</v>
      </c>
      <c r="H176" s="92">
        <v>60</v>
      </c>
      <c r="I176" s="81"/>
      <c r="J176" s="93">
        <v>0</v>
      </c>
      <c r="K176" s="93">
        <v>0</v>
      </c>
      <c r="L176" s="93">
        <v>0</v>
      </c>
      <c r="M176" s="93">
        <v>0</v>
      </c>
      <c r="N176" s="93">
        <v>0</v>
      </c>
      <c r="O176" s="92">
        <v>3</v>
      </c>
    </row>
    <row r="177" spans="1:15">
      <c r="A177" s="81" t="s">
        <v>45</v>
      </c>
      <c r="B177" s="92" t="s">
        <v>49</v>
      </c>
      <c r="C177" s="92" t="s">
        <v>15</v>
      </c>
      <c r="D177" s="92">
        <v>2012</v>
      </c>
      <c r="E177" s="92">
        <v>7</v>
      </c>
      <c r="F177" s="92">
        <v>4826.1284243483497</v>
      </c>
      <c r="G177" s="93">
        <v>4826.1284243483497</v>
      </c>
      <c r="H177" s="92">
        <v>73</v>
      </c>
      <c r="I177" s="81"/>
      <c r="J177" s="93">
        <v>0</v>
      </c>
      <c r="K177" s="93">
        <v>0</v>
      </c>
      <c r="L177" s="93">
        <v>0</v>
      </c>
      <c r="M177" s="93">
        <v>0</v>
      </c>
      <c r="N177" s="93">
        <v>0</v>
      </c>
      <c r="O177" s="92">
        <v>3</v>
      </c>
    </row>
    <row r="178" spans="1:15">
      <c r="A178" s="81" t="s">
        <v>45</v>
      </c>
      <c r="B178" s="92" t="s">
        <v>49</v>
      </c>
      <c r="C178" s="92" t="s">
        <v>15</v>
      </c>
      <c r="D178" s="92">
        <v>2012</v>
      </c>
      <c r="E178" s="92">
        <v>8</v>
      </c>
      <c r="F178" s="92">
        <v>4918.9733973527</v>
      </c>
      <c r="G178" s="93">
        <v>4918.9733973527</v>
      </c>
      <c r="H178" s="92">
        <v>68</v>
      </c>
      <c r="I178" s="81"/>
      <c r="J178" s="93">
        <v>0</v>
      </c>
      <c r="K178" s="93">
        <v>0</v>
      </c>
      <c r="L178" s="93">
        <v>0</v>
      </c>
      <c r="M178" s="93">
        <v>0</v>
      </c>
      <c r="N178" s="93">
        <v>0</v>
      </c>
      <c r="O178" s="92">
        <v>3</v>
      </c>
    </row>
    <row r="179" spans="1:15">
      <c r="A179" s="81" t="s">
        <v>45</v>
      </c>
      <c r="B179" s="92" t="s">
        <v>49</v>
      </c>
      <c r="C179" s="92" t="s">
        <v>15</v>
      </c>
      <c r="D179" s="92">
        <v>2012</v>
      </c>
      <c r="E179" s="92">
        <v>9</v>
      </c>
      <c r="F179" s="92">
        <v>5479.5036236794804</v>
      </c>
      <c r="G179" s="93">
        <v>5479.5036236794804</v>
      </c>
      <c r="H179" s="92">
        <v>67</v>
      </c>
      <c r="I179" s="81"/>
      <c r="J179" s="93">
        <v>0</v>
      </c>
      <c r="K179" s="93">
        <v>0</v>
      </c>
      <c r="L179" s="93">
        <v>0</v>
      </c>
      <c r="M179" s="93">
        <v>0</v>
      </c>
      <c r="N179" s="93">
        <v>0</v>
      </c>
      <c r="O179" s="92">
        <v>3</v>
      </c>
    </row>
    <row r="180" spans="1:15">
      <c r="A180" s="81" t="s">
        <v>45</v>
      </c>
      <c r="B180" s="92" t="s">
        <v>49</v>
      </c>
      <c r="C180" s="92" t="s">
        <v>15</v>
      </c>
      <c r="D180" s="92">
        <v>2012</v>
      </c>
      <c r="E180" s="92">
        <v>10</v>
      </c>
      <c r="F180" s="92">
        <v>5677.2576775295802</v>
      </c>
      <c r="G180" s="93">
        <v>5677.2576775295802</v>
      </c>
      <c r="H180" s="92">
        <v>58</v>
      </c>
      <c r="I180" s="81"/>
      <c r="J180" s="93">
        <v>0</v>
      </c>
      <c r="K180" s="93">
        <v>0</v>
      </c>
      <c r="L180" s="93">
        <v>0</v>
      </c>
      <c r="M180" s="93">
        <v>0</v>
      </c>
      <c r="N180" s="93">
        <v>0</v>
      </c>
      <c r="O180" s="92">
        <v>3</v>
      </c>
    </row>
    <row r="181" spans="1:15">
      <c r="A181" s="81" t="s">
        <v>45</v>
      </c>
      <c r="B181" s="92" t="s">
        <v>49</v>
      </c>
      <c r="C181" s="92" t="s">
        <v>15</v>
      </c>
      <c r="D181" s="92">
        <v>2012</v>
      </c>
      <c r="E181" s="92">
        <v>11</v>
      </c>
      <c r="F181" s="92">
        <v>5865.9800470516602</v>
      </c>
      <c r="G181" s="93">
        <v>3469.4492015823544</v>
      </c>
      <c r="H181" s="92">
        <v>70</v>
      </c>
      <c r="I181" s="81"/>
      <c r="J181" s="93">
        <v>2342.7569085438859</v>
      </c>
      <c r="K181" s="93">
        <v>2362.7033641097305</v>
      </c>
      <c r="L181" s="93">
        <v>2396.5308454693059</v>
      </c>
      <c r="M181" s="93">
        <v>2430.3583268288771</v>
      </c>
      <c r="N181" s="93">
        <v>2450.3047823947254</v>
      </c>
      <c r="O181" s="92">
        <v>3</v>
      </c>
    </row>
    <row r="182" spans="1:15">
      <c r="A182" s="81" t="s">
        <v>45</v>
      </c>
      <c r="B182" s="92" t="s">
        <v>49</v>
      </c>
      <c r="C182" s="92" t="s">
        <v>15</v>
      </c>
      <c r="D182" s="92">
        <v>2012</v>
      </c>
      <c r="E182" s="92">
        <v>12</v>
      </c>
      <c r="F182" s="92">
        <v>6003.3303827854197</v>
      </c>
      <c r="G182" s="93">
        <v>3550.6854159619229</v>
      </c>
      <c r="H182" s="92">
        <v>66</v>
      </c>
      <c r="I182" s="81"/>
      <c r="J182" s="93">
        <v>2401.7755609646574</v>
      </c>
      <c r="K182" s="93">
        <v>2420.6446340070779</v>
      </c>
      <c r="L182" s="93">
        <v>2452.6449668234968</v>
      </c>
      <c r="M182" s="93">
        <v>2484.6452996399162</v>
      </c>
      <c r="N182" s="93">
        <v>2503.5143726823367</v>
      </c>
      <c r="O182" s="92">
        <v>3</v>
      </c>
    </row>
    <row r="183" spans="1:15">
      <c r="A183" s="81" t="s">
        <v>45</v>
      </c>
      <c r="B183" s="92" t="s">
        <v>49</v>
      </c>
      <c r="C183" s="92" t="s">
        <v>15</v>
      </c>
      <c r="D183" s="92">
        <v>2012</v>
      </c>
      <c r="E183" s="92">
        <v>13</v>
      </c>
      <c r="F183" s="92">
        <v>6016.2484543579303</v>
      </c>
      <c r="G183" s="93">
        <v>3558.3258430932356</v>
      </c>
      <c r="H183" s="92">
        <v>62</v>
      </c>
      <c r="I183" s="81"/>
      <c r="J183" s="93">
        <v>2408.2747750596441</v>
      </c>
      <c r="K183" s="93">
        <v>2426.6907292453657</v>
      </c>
      <c r="L183" s="93">
        <v>2457.9226112646948</v>
      </c>
      <c r="M183" s="93">
        <v>2489.1544932840238</v>
      </c>
      <c r="N183" s="93">
        <v>2507.5704474697491</v>
      </c>
      <c r="O183" s="92">
        <v>3</v>
      </c>
    </row>
    <row r="184" spans="1:15">
      <c r="A184" s="81" t="s">
        <v>45</v>
      </c>
      <c r="B184" s="92" t="s">
        <v>49</v>
      </c>
      <c r="C184" s="92" t="s">
        <v>15</v>
      </c>
      <c r="D184" s="92">
        <v>2012</v>
      </c>
      <c r="E184" s="92">
        <v>14</v>
      </c>
      <c r="F184" s="92">
        <v>6003.12672725425</v>
      </c>
      <c r="G184" s="93">
        <v>3550.5649633667308</v>
      </c>
      <c r="H184" s="92">
        <v>72</v>
      </c>
      <c r="I184" s="81"/>
      <c r="J184" s="93">
        <v>2406.8645255202327</v>
      </c>
      <c r="K184" s="93">
        <v>2423.8150779010116</v>
      </c>
      <c r="L184" s="93">
        <v>2452.5617638875192</v>
      </c>
      <c r="M184" s="93">
        <v>2481.3084498740268</v>
      </c>
      <c r="N184" s="93">
        <v>2498.2590022548015</v>
      </c>
      <c r="O184" s="92">
        <v>3</v>
      </c>
    </row>
    <row r="185" spans="1:15">
      <c r="A185" s="81" t="s">
        <v>45</v>
      </c>
      <c r="B185" s="92" t="s">
        <v>49</v>
      </c>
      <c r="C185" s="92" t="s">
        <v>15</v>
      </c>
      <c r="D185" s="92">
        <v>2012</v>
      </c>
      <c r="E185" s="92">
        <v>15</v>
      </c>
      <c r="F185" s="92">
        <v>5862.1181211819303</v>
      </c>
      <c r="G185" s="93">
        <v>3467.1650554519838</v>
      </c>
      <c r="H185" s="92">
        <v>73</v>
      </c>
      <c r="I185" s="81"/>
      <c r="J185" s="93">
        <v>2347.7365656590341</v>
      </c>
      <c r="K185" s="93">
        <v>2365.2506603020461</v>
      </c>
      <c r="L185" s="93">
        <v>2394.9530657299465</v>
      </c>
      <c r="M185" s="93">
        <v>2424.6554711578465</v>
      </c>
      <c r="N185" s="93">
        <v>2442.1695658008589</v>
      </c>
      <c r="O185" s="92">
        <v>3</v>
      </c>
    </row>
    <row r="186" spans="1:15">
      <c r="A186" s="81" t="s">
        <v>45</v>
      </c>
      <c r="B186" s="92" t="s">
        <v>49</v>
      </c>
      <c r="C186" s="92" t="s">
        <v>15</v>
      </c>
      <c r="D186" s="92">
        <v>2012</v>
      </c>
      <c r="E186" s="92">
        <v>16</v>
      </c>
      <c r="F186" s="92">
        <v>5801.1042754829796</v>
      </c>
      <c r="G186" s="93">
        <v>3431.0782572447365</v>
      </c>
      <c r="H186" s="92">
        <v>83</v>
      </c>
      <c r="I186" s="81"/>
      <c r="J186" s="93">
        <v>2323.6471308789987</v>
      </c>
      <c r="K186" s="93">
        <v>2340.8505284503476</v>
      </c>
      <c r="L186" s="93">
        <v>2370.0260182382431</v>
      </c>
      <c r="M186" s="93">
        <v>2399.201508026139</v>
      </c>
      <c r="N186" s="93">
        <v>2416.4049055974838</v>
      </c>
      <c r="O186" s="92">
        <v>3</v>
      </c>
    </row>
    <row r="187" spans="1:15">
      <c r="A187" s="81" t="s">
        <v>45</v>
      </c>
      <c r="B187" s="92" t="s">
        <v>49</v>
      </c>
      <c r="C187" s="92" t="s">
        <v>15</v>
      </c>
      <c r="D187" s="92">
        <v>2012</v>
      </c>
      <c r="E187" s="92">
        <v>17</v>
      </c>
      <c r="F187" s="92">
        <v>5740.3590318085899</v>
      </c>
      <c r="G187" s="93">
        <v>3395.1503244056253</v>
      </c>
      <c r="H187" s="92">
        <v>94</v>
      </c>
      <c r="I187" s="81"/>
      <c r="J187" s="93">
        <v>2290.0682473113134</v>
      </c>
      <c r="K187" s="93">
        <v>2310.5215895805204</v>
      </c>
      <c r="L187" s="93">
        <v>2345.2087074029646</v>
      </c>
      <c r="M187" s="93">
        <v>2379.8958252254088</v>
      </c>
      <c r="N187" s="93">
        <v>2400.3491674946163</v>
      </c>
      <c r="O187" s="92">
        <v>3</v>
      </c>
    </row>
    <row r="188" spans="1:15">
      <c r="A188" s="81" t="s">
        <v>45</v>
      </c>
      <c r="B188" s="92" t="s">
        <v>49</v>
      </c>
      <c r="C188" s="92" t="s">
        <v>15</v>
      </c>
      <c r="D188" s="92">
        <v>2012</v>
      </c>
      <c r="E188" s="92">
        <v>18</v>
      </c>
      <c r="F188" s="92">
        <v>5612.1988077340402</v>
      </c>
      <c r="G188" s="93">
        <v>3319.3496255414093</v>
      </c>
      <c r="H188" s="92">
        <v>87</v>
      </c>
      <c r="I188" s="81"/>
      <c r="J188" s="93">
        <v>2244.8601849715874</v>
      </c>
      <c r="K188" s="93">
        <v>2262.6608232630811</v>
      </c>
      <c r="L188" s="93">
        <v>2292.8491821926309</v>
      </c>
      <c r="M188" s="93">
        <v>2323.0375411221767</v>
      </c>
      <c r="N188" s="93">
        <v>2340.8381794136699</v>
      </c>
      <c r="O188" s="92">
        <v>3</v>
      </c>
    </row>
    <row r="189" spans="1:15">
      <c r="A189" s="81" t="s">
        <v>45</v>
      </c>
      <c r="B189" s="92" t="s">
        <v>49</v>
      </c>
      <c r="C189" s="92" t="s">
        <v>15</v>
      </c>
      <c r="D189" s="92">
        <v>2012</v>
      </c>
      <c r="E189" s="92">
        <v>19</v>
      </c>
      <c r="F189" s="92">
        <v>5483.7327773290399</v>
      </c>
      <c r="G189" s="93">
        <v>5483.7327773290399</v>
      </c>
      <c r="H189" s="92">
        <v>86</v>
      </c>
      <c r="I189" s="81"/>
      <c r="J189" s="93">
        <v>0</v>
      </c>
      <c r="K189" s="93">
        <v>0</v>
      </c>
      <c r="L189" s="93">
        <v>0</v>
      </c>
      <c r="M189" s="93">
        <v>0</v>
      </c>
      <c r="N189" s="93">
        <v>0</v>
      </c>
      <c r="O189" s="92">
        <v>3</v>
      </c>
    </row>
    <row r="190" spans="1:15">
      <c r="A190" s="81" t="s">
        <v>45</v>
      </c>
      <c r="B190" s="92" t="s">
        <v>49</v>
      </c>
      <c r="C190" s="92" t="s">
        <v>15</v>
      </c>
      <c r="D190" s="92">
        <v>2012</v>
      </c>
      <c r="E190" s="92">
        <v>20</v>
      </c>
      <c r="F190" s="92">
        <v>5281.5320355673202</v>
      </c>
      <c r="G190" s="93">
        <v>5281.5320355673202</v>
      </c>
      <c r="H190" s="92">
        <v>87</v>
      </c>
      <c r="I190" s="81"/>
      <c r="J190" s="93">
        <v>0</v>
      </c>
      <c r="K190" s="93">
        <v>0</v>
      </c>
      <c r="L190" s="93">
        <v>0</v>
      </c>
      <c r="M190" s="93">
        <v>0</v>
      </c>
      <c r="N190" s="93">
        <v>0</v>
      </c>
      <c r="O190" s="92">
        <v>3</v>
      </c>
    </row>
    <row r="191" spans="1:15">
      <c r="A191" s="81" t="s">
        <v>45</v>
      </c>
      <c r="B191" s="92" t="s">
        <v>49</v>
      </c>
      <c r="C191" s="92" t="s">
        <v>15</v>
      </c>
      <c r="D191" s="92">
        <v>2012</v>
      </c>
      <c r="E191" s="92">
        <v>21</v>
      </c>
      <c r="F191" s="92">
        <v>5168.0121087468096</v>
      </c>
      <c r="G191" s="93">
        <v>5168.0121087468096</v>
      </c>
      <c r="H191" s="92">
        <v>76</v>
      </c>
      <c r="I191" s="81"/>
      <c r="J191" s="93">
        <v>0</v>
      </c>
      <c r="K191" s="93">
        <v>0</v>
      </c>
      <c r="L191" s="93">
        <v>0</v>
      </c>
      <c r="M191" s="93">
        <v>0</v>
      </c>
      <c r="N191" s="93">
        <v>0</v>
      </c>
      <c r="O191" s="92">
        <v>3</v>
      </c>
    </row>
    <row r="192" spans="1:15">
      <c r="A192" s="81" t="s">
        <v>45</v>
      </c>
      <c r="B192" s="92" t="s">
        <v>49</v>
      </c>
      <c r="C192" s="92" t="s">
        <v>15</v>
      </c>
      <c r="D192" s="92">
        <v>2012</v>
      </c>
      <c r="E192" s="92">
        <v>22</v>
      </c>
      <c r="F192" s="92">
        <v>5034.9509723011397</v>
      </c>
      <c r="G192" s="93">
        <v>5034.9509723011397</v>
      </c>
      <c r="H192" s="92">
        <v>76</v>
      </c>
      <c r="I192" s="81"/>
      <c r="J192" s="93">
        <v>0</v>
      </c>
      <c r="K192" s="93">
        <v>0</v>
      </c>
      <c r="L192" s="93">
        <v>0</v>
      </c>
      <c r="M192" s="93">
        <v>0</v>
      </c>
      <c r="N192" s="93">
        <v>0</v>
      </c>
      <c r="O192" s="92">
        <v>3</v>
      </c>
    </row>
    <row r="193" spans="1:15">
      <c r="A193" s="81" t="s">
        <v>45</v>
      </c>
      <c r="B193" s="92" t="s">
        <v>49</v>
      </c>
      <c r="C193" s="92" t="s">
        <v>15</v>
      </c>
      <c r="D193" s="92">
        <v>2012</v>
      </c>
      <c r="E193" s="92">
        <v>23</v>
      </c>
      <c r="F193" s="92">
        <v>4939.28588455915</v>
      </c>
      <c r="G193" s="93">
        <v>4939.28588455915</v>
      </c>
      <c r="H193" s="92">
        <v>89</v>
      </c>
      <c r="I193" s="81"/>
      <c r="J193" s="93">
        <v>0</v>
      </c>
      <c r="K193" s="93">
        <v>0</v>
      </c>
      <c r="L193" s="93">
        <v>0</v>
      </c>
      <c r="M193" s="93">
        <v>0</v>
      </c>
      <c r="N193" s="93">
        <v>0</v>
      </c>
      <c r="O193" s="92">
        <v>3</v>
      </c>
    </row>
    <row r="194" spans="1:15">
      <c r="A194" s="81" t="s">
        <v>45</v>
      </c>
      <c r="B194" s="92" t="s">
        <v>49</v>
      </c>
      <c r="C194" s="92" t="s">
        <v>15</v>
      </c>
      <c r="D194" s="92">
        <v>2012</v>
      </c>
      <c r="E194" s="92">
        <v>24</v>
      </c>
      <c r="F194" s="92">
        <v>4865.3724118063601</v>
      </c>
      <c r="G194" s="93">
        <v>4865.3724118063601</v>
      </c>
      <c r="H194" s="92">
        <v>91</v>
      </c>
      <c r="I194" s="81"/>
      <c r="J194" s="93">
        <v>0</v>
      </c>
      <c r="K194" s="93">
        <v>0</v>
      </c>
      <c r="L194" s="93">
        <v>0</v>
      </c>
      <c r="M194" s="93">
        <v>0</v>
      </c>
      <c r="N194" s="93">
        <v>0</v>
      </c>
      <c r="O194" s="92">
        <v>3</v>
      </c>
    </row>
    <row r="195" spans="1:15">
      <c r="A195" s="81" t="s">
        <v>45</v>
      </c>
      <c r="B195" s="92" t="s">
        <v>49</v>
      </c>
      <c r="C195" s="92" t="s">
        <v>16</v>
      </c>
      <c r="D195" s="92">
        <v>2012</v>
      </c>
      <c r="E195" s="92">
        <v>1</v>
      </c>
      <c r="F195" s="92">
        <v>4897.7336470625396</v>
      </c>
      <c r="G195" s="93">
        <v>4897.7336470625396</v>
      </c>
      <c r="H195" s="92">
        <v>85</v>
      </c>
      <c r="I195" s="81"/>
      <c r="J195" s="93">
        <v>0</v>
      </c>
      <c r="K195" s="93">
        <v>0</v>
      </c>
      <c r="L195" s="93">
        <v>0</v>
      </c>
      <c r="M195" s="93">
        <v>0</v>
      </c>
      <c r="N195" s="93">
        <v>0</v>
      </c>
      <c r="O195" s="92">
        <v>3</v>
      </c>
    </row>
    <row r="196" spans="1:15">
      <c r="A196" s="81" t="s">
        <v>45</v>
      </c>
      <c r="B196" s="92" t="s">
        <v>49</v>
      </c>
      <c r="C196" s="92" t="s">
        <v>16</v>
      </c>
      <c r="D196" s="92">
        <v>2012</v>
      </c>
      <c r="E196" s="92">
        <v>2</v>
      </c>
      <c r="F196" s="92">
        <v>4857.9898305401603</v>
      </c>
      <c r="G196" s="93">
        <v>4857.9898305401603</v>
      </c>
      <c r="H196" s="92">
        <v>64</v>
      </c>
      <c r="I196" s="81"/>
      <c r="J196" s="93">
        <v>0</v>
      </c>
      <c r="K196" s="93">
        <v>0</v>
      </c>
      <c r="L196" s="93">
        <v>0</v>
      </c>
      <c r="M196" s="93">
        <v>0</v>
      </c>
      <c r="N196" s="93">
        <v>0</v>
      </c>
      <c r="O196" s="92">
        <v>3</v>
      </c>
    </row>
    <row r="197" spans="1:15">
      <c r="A197" s="81" t="s">
        <v>45</v>
      </c>
      <c r="B197" s="92" t="s">
        <v>49</v>
      </c>
      <c r="C197" s="92" t="s">
        <v>16</v>
      </c>
      <c r="D197" s="92">
        <v>2012</v>
      </c>
      <c r="E197" s="92">
        <v>3</v>
      </c>
      <c r="F197" s="92">
        <v>4825.0835265230398</v>
      </c>
      <c r="G197" s="93">
        <v>4825.0835265230398</v>
      </c>
      <c r="H197" s="92">
        <v>64</v>
      </c>
      <c r="I197" s="81"/>
      <c r="J197" s="93">
        <v>0</v>
      </c>
      <c r="K197" s="93">
        <v>0</v>
      </c>
      <c r="L197" s="93">
        <v>0</v>
      </c>
      <c r="M197" s="93">
        <v>0</v>
      </c>
      <c r="N197" s="93">
        <v>0</v>
      </c>
      <c r="O197" s="92">
        <v>3</v>
      </c>
    </row>
    <row r="198" spans="1:15">
      <c r="A198" s="81" t="s">
        <v>45</v>
      </c>
      <c r="B198" s="92" t="s">
        <v>49</v>
      </c>
      <c r="C198" s="92" t="s">
        <v>16</v>
      </c>
      <c r="D198" s="92">
        <v>2012</v>
      </c>
      <c r="E198" s="92">
        <v>4</v>
      </c>
      <c r="F198" s="92">
        <v>4820.71006997937</v>
      </c>
      <c r="G198" s="93">
        <v>4820.71006997937</v>
      </c>
      <c r="H198" s="92">
        <v>72</v>
      </c>
      <c r="I198" s="81"/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2">
        <v>3</v>
      </c>
    </row>
    <row r="199" spans="1:15">
      <c r="A199" s="81" t="s">
        <v>45</v>
      </c>
      <c r="B199" s="92" t="s">
        <v>49</v>
      </c>
      <c r="C199" s="92" t="s">
        <v>16</v>
      </c>
      <c r="D199" s="92">
        <v>2012</v>
      </c>
      <c r="E199" s="92">
        <v>5</v>
      </c>
      <c r="F199" s="92">
        <v>4831.6761578962496</v>
      </c>
      <c r="G199" s="93">
        <v>4831.6761578962496</v>
      </c>
      <c r="H199" s="92">
        <v>75</v>
      </c>
      <c r="I199" s="81"/>
      <c r="J199" s="93">
        <v>0</v>
      </c>
      <c r="K199" s="93">
        <v>0</v>
      </c>
      <c r="L199" s="93">
        <v>0</v>
      </c>
      <c r="M199" s="93">
        <v>0</v>
      </c>
      <c r="N199" s="93">
        <v>0</v>
      </c>
      <c r="O199" s="92">
        <v>3</v>
      </c>
    </row>
    <row r="200" spans="1:15">
      <c r="A200" s="81" t="s">
        <v>45</v>
      </c>
      <c r="B200" s="92" t="s">
        <v>49</v>
      </c>
      <c r="C200" s="92" t="s">
        <v>16</v>
      </c>
      <c r="D200" s="92">
        <v>2012</v>
      </c>
      <c r="E200" s="92">
        <v>6</v>
      </c>
      <c r="F200" s="92">
        <v>4860.3996163287602</v>
      </c>
      <c r="G200" s="93">
        <v>4860.3996163287602</v>
      </c>
      <c r="H200" s="92">
        <v>68</v>
      </c>
      <c r="I200" s="81"/>
      <c r="J200" s="93">
        <v>0</v>
      </c>
      <c r="K200" s="93">
        <v>0</v>
      </c>
      <c r="L200" s="93">
        <v>0</v>
      </c>
      <c r="M200" s="93">
        <v>0</v>
      </c>
      <c r="N200" s="93">
        <v>0</v>
      </c>
      <c r="O200" s="92">
        <v>3</v>
      </c>
    </row>
    <row r="201" spans="1:15">
      <c r="A201" s="81" t="s">
        <v>45</v>
      </c>
      <c r="B201" s="92" t="s">
        <v>49</v>
      </c>
      <c r="C201" s="92" t="s">
        <v>16</v>
      </c>
      <c r="D201" s="92">
        <v>2012</v>
      </c>
      <c r="E201" s="92">
        <v>7</v>
      </c>
      <c r="F201" s="92">
        <v>4923.9883697615996</v>
      </c>
      <c r="G201" s="93">
        <v>4923.9883697615996</v>
      </c>
      <c r="H201" s="92">
        <v>63</v>
      </c>
      <c r="I201" s="81"/>
      <c r="J201" s="93">
        <v>0</v>
      </c>
      <c r="K201" s="93">
        <v>0</v>
      </c>
      <c r="L201" s="93">
        <v>0</v>
      </c>
      <c r="M201" s="93">
        <v>0</v>
      </c>
      <c r="N201" s="93">
        <v>0</v>
      </c>
      <c r="O201" s="92">
        <v>3</v>
      </c>
    </row>
    <row r="202" spans="1:15">
      <c r="A202" s="81" t="s">
        <v>45</v>
      </c>
      <c r="B202" s="92" t="s">
        <v>49</v>
      </c>
      <c r="C202" s="92" t="s">
        <v>16</v>
      </c>
      <c r="D202" s="92">
        <v>2012</v>
      </c>
      <c r="E202" s="92">
        <v>8</v>
      </c>
      <c r="F202" s="92">
        <v>5012.1316840991303</v>
      </c>
      <c r="G202" s="93">
        <v>5012.1316840991303</v>
      </c>
      <c r="H202" s="92">
        <v>61</v>
      </c>
      <c r="I202" s="81"/>
      <c r="J202" s="93">
        <v>0</v>
      </c>
      <c r="K202" s="93">
        <v>0</v>
      </c>
      <c r="L202" s="93">
        <v>0</v>
      </c>
      <c r="M202" s="93">
        <v>0</v>
      </c>
      <c r="N202" s="93">
        <v>0</v>
      </c>
      <c r="O202" s="92">
        <v>3</v>
      </c>
    </row>
    <row r="203" spans="1:15">
      <c r="A203" s="81" t="s">
        <v>45</v>
      </c>
      <c r="B203" s="92" t="s">
        <v>49</v>
      </c>
      <c r="C203" s="92" t="s">
        <v>16</v>
      </c>
      <c r="D203" s="92">
        <v>2012</v>
      </c>
      <c r="E203" s="92">
        <v>9</v>
      </c>
      <c r="F203" s="92">
        <v>5519.9569475430799</v>
      </c>
      <c r="G203" s="93">
        <v>5519.9569475430799</v>
      </c>
      <c r="H203" s="92">
        <v>62</v>
      </c>
      <c r="I203" s="81"/>
      <c r="J203" s="93">
        <v>0</v>
      </c>
      <c r="K203" s="93">
        <v>0</v>
      </c>
      <c r="L203" s="93">
        <v>0</v>
      </c>
      <c r="M203" s="93">
        <v>0</v>
      </c>
      <c r="N203" s="93">
        <v>0</v>
      </c>
      <c r="O203" s="92">
        <v>3</v>
      </c>
    </row>
    <row r="204" spans="1:15">
      <c r="A204" s="81" t="s">
        <v>45</v>
      </c>
      <c r="B204" s="92" t="s">
        <v>49</v>
      </c>
      <c r="C204" s="92" t="s">
        <v>16</v>
      </c>
      <c r="D204" s="92">
        <v>2012</v>
      </c>
      <c r="E204" s="92">
        <v>10</v>
      </c>
      <c r="F204" s="92">
        <v>5714.12561836029</v>
      </c>
      <c r="G204" s="93">
        <v>5714.12561836029</v>
      </c>
      <c r="H204" s="92">
        <v>67</v>
      </c>
      <c r="I204" s="81"/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2">
        <v>3</v>
      </c>
    </row>
    <row r="205" spans="1:15">
      <c r="A205" s="81" t="s">
        <v>45</v>
      </c>
      <c r="B205" s="92" t="s">
        <v>49</v>
      </c>
      <c r="C205" s="92" t="s">
        <v>16</v>
      </c>
      <c r="D205" s="92">
        <v>2012</v>
      </c>
      <c r="E205" s="92">
        <v>11</v>
      </c>
      <c r="F205" s="92">
        <v>5914.6143235074496</v>
      </c>
      <c r="G205" s="93">
        <v>3453.6038530721239</v>
      </c>
      <c r="H205" s="92">
        <v>63</v>
      </c>
      <c r="I205" s="81"/>
      <c r="J205" s="93">
        <v>2409.0468332397577</v>
      </c>
      <c r="K205" s="93">
        <v>2428.3217913258418</v>
      </c>
      <c r="L205" s="93">
        <v>2461.0104704353257</v>
      </c>
      <c r="M205" s="93">
        <v>2493.6991495448101</v>
      </c>
      <c r="N205" s="93">
        <v>2512.9741076308942</v>
      </c>
      <c r="O205" s="92">
        <v>3</v>
      </c>
    </row>
    <row r="206" spans="1:15">
      <c r="A206" s="81" t="s">
        <v>45</v>
      </c>
      <c r="B206" s="92" t="s">
        <v>49</v>
      </c>
      <c r="C206" s="92" t="s">
        <v>16</v>
      </c>
      <c r="D206" s="92">
        <v>2012</v>
      </c>
      <c r="E206" s="92">
        <v>12</v>
      </c>
      <c r="F206" s="92">
        <v>6088.0196708652302</v>
      </c>
      <c r="G206" s="93">
        <v>3554.8570105938138</v>
      </c>
      <c r="H206" s="92">
        <v>78</v>
      </c>
      <c r="I206" s="81"/>
      <c r="J206" s="93">
        <v>2484.0057730963308</v>
      </c>
      <c r="K206" s="93">
        <v>2502.239618744512</v>
      </c>
      <c r="L206" s="93">
        <v>2533.1626602714164</v>
      </c>
      <c r="M206" s="93">
        <v>2564.0857017983158</v>
      </c>
      <c r="N206" s="93">
        <v>2582.3195474464978</v>
      </c>
      <c r="O206" s="92">
        <v>3</v>
      </c>
    </row>
    <row r="207" spans="1:15">
      <c r="A207" s="81" t="s">
        <v>45</v>
      </c>
      <c r="B207" s="92" t="s">
        <v>49</v>
      </c>
      <c r="C207" s="92" t="s">
        <v>16</v>
      </c>
      <c r="D207" s="92">
        <v>2012</v>
      </c>
      <c r="E207" s="92">
        <v>13</v>
      </c>
      <c r="F207" s="92">
        <v>6091.6689355663902</v>
      </c>
      <c r="G207" s="93">
        <v>3556.9878536113738</v>
      </c>
      <c r="H207" s="92">
        <v>77</v>
      </c>
      <c r="I207" s="81"/>
      <c r="J207" s="93">
        <v>2486.7046402880746</v>
      </c>
      <c r="K207" s="93">
        <v>2504.5006213270731</v>
      </c>
      <c r="L207" s="93">
        <v>2534.6810819550165</v>
      </c>
      <c r="M207" s="93">
        <v>2564.8615425829639</v>
      </c>
      <c r="N207" s="93">
        <v>2582.6575236219624</v>
      </c>
      <c r="O207" s="92">
        <v>3</v>
      </c>
    </row>
    <row r="208" spans="1:15">
      <c r="A208" s="81" t="s">
        <v>45</v>
      </c>
      <c r="B208" s="92" t="s">
        <v>49</v>
      </c>
      <c r="C208" s="92" t="s">
        <v>16</v>
      </c>
      <c r="D208" s="92">
        <v>2012</v>
      </c>
      <c r="E208" s="92">
        <v>14</v>
      </c>
      <c r="F208" s="92">
        <v>6090.8500257062997</v>
      </c>
      <c r="G208" s="93">
        <v>3556.5096837606552</v>
      </c>
      <c r="H208" s="92">
        <v>82</v>
      </c>
      <c r="I208" s="81"/>
      <c r="J208" s="93">
        <v>2490.1815012297366</v>
      </c>
      <c r="K208" s="93">
        <v>2506.5614132194578</v>
      </c>
      <c r="L208" s="93">
        <v>2534.3403419456445</v>
      </c>
      <c r="M208" s="93">
        <v>2562.1192706718352</v>
      </c>
      <c r="N208" s="93">
        <v>2578.4991826615565</v>
      </c>
      <c r="O208" s="92">
        <v>3</v>
      </c>
    </row>
    <row r="209" spans="1:15">
      <c r="A209" s="81" t="s">
        <v>45</v>
      </c>
      <c r="B209" s="92" t="s">
        <v>49</v>
      </c>
      <c r="C209" s="92" t="s">
        <v>16</v>
      </c>
      <c r="D209" s="92">
        <v>2012</v>
      </c>
      <c r="E209" s="92">
        <v>15</v>
      </c>
      <c r="F209" s="92">
        <v>5926.18822606096</v>
      </c>
      <c r="G209" s="93">
        <v>3460.3619732584257</v>
      </c>
      <c r="H209" s="92">
        <v>90</v>
      </c>
      <c r="I209" s="81"/>
      <c r="J209" s="93">
        <v>2420.1992963322964</v>
      </c>
      <c r="K209" s="93">
        <v>2437.1237789324941</v>
      </c>
      <c r="L209" s="93">
        <v>2465.8262528025343</v>
      </c>
      <c r="M209" s="93">
        <v>2494.528726672575</v>
      </c>
      <c r="N209" s="93">
        <v>2511.4532092727723</v>
      </c>
      <c r="O209" s="92">
        <v>3</v>
      </c>
    </row>
    <row r="210" spans="1:15">
      <c r="A210" s="81" t="s">
        <v>45</v>
      </c>
      <c r="B210" s="92" t="s">
        <v>49</v>
      </c>
      <c r="C210" s="92" t="s">
        <v>16</v>
      </c>
      <c r="D210" s="92">
        <v>2012</v>
      </c>
      <c r="E210" s="92">
        <v>16</v>
      </c>
      <c r="F210" s="92">
        <v>5854.52879779257</v>
      </c>
      <c r="G210" s="93">
        <v>3418.5192994947211</v>
      </c>
      <c r="H210" s="92">
        <v>73</v>
      </c>
      <c r="I210" s="81"/>
      <c r="J210" s="93">
        <v>2391.1919563051097</v>
      </c>
      <c r="K210" s="93">
        <v>2407.8162014513891</v>
      </c>
      <c r="L210" s="93">
        <v>2436.0094982978489</v>
      </c>
      <c r="M210" s="93">
        <v>2464.2027951443088</v>
      </c>
      <c r="N210" s="93">
        <v>2480.8270402905841</v>
      </c>
      <c r="O210" s="92">
        <v>3</v>
      </c>
    </row>
    <row r="211" spans="1:15">
      <c r="A211" s="81" t="s">
        <v>45</v>
      </c>
      <c r="B211" s="92" t="s">
        <v>49</v>
      </c>
      <c r="C211" s="92" t="s">
        <v>16</v>
      </c>
      <c r="D211" s="92">
        <v>2012</v>
      </c>
      <c r="E211" s="92">
        <v>17</v>
      </c>
      <c r="F211" s="92">
        <v>5726.5650341022601</v>
      </c>
      <c r="G211" s="93">
        <v>3343.7999478747847</v>
      </c>
      <c r="H211" s="92">
        <v>94</v>
      </c>
      <c r="I211" s="81"/>
      <c r="J211" s="93">
        <v>2329.4809298717105</v>
      </c>
      <c r="K211" s="93">
        <v>2349.2457103189345</v>
      </c>
      <c r="L211" s="93">
        <v>2382.7650862274754</v>
      </c>
      <c r="M211" s="93">
        <v>2416.2844621360164</v>
      </c>
      <c r="N211" s="93">
        <v>2436.0492425832444</v>
      </c>
      <c r="O211" s="92">
        <v>3</v>
      </c>
    </row>
    <row r="212" spans="1:15">
      <c r="A212" s="81" t="s">
        <v>45</v>
      </c>
      <c r="B212" s="92" t="s">
        <v>49</v>
      </c>
      <c r="C212" s="92" t="s">
        <v>16</v>
      </c>
      <c r="D212" s="92">
        <v>2012</v>
      </c>
      <c r="E212" s="92">
        <v>18</v>
      </c>
      <c r="F212" s="92">
        <v>5664.5063414912102</v>
      </c>
      <c r="G212" s="93">
        <v>3307.5632419468416</v>
      </c>
      <c r="H212" s="92">
        <v>86</v>
      </c>
      <c r="I212" s="81"/>
      <c r="J212" s="93">
        <v>2310.5696520426181</v>
      </c>
      <c r="K212" s="93">
        <v>2327.7710317986084</v>
      </c>
      <c r="L212" s="93">
        <v>2356.9430995443686</v>
      </c>
      <c r="M212" s="93">
        <v>2386.1151672901283</v>
      </c>
      <c r="N212" s="93">
        <v>2403.3165470461149</v>
      </c>
      <c r="O212" s="92">
        <v>3</v>
      </c>
    </row>
    <row r="213" spans="1:15">
      <c r="A213" s="81" t="s">
        <v>45</v>
      </c>
      <c r="B213" s="92" t="s">
        <v>49</v>
      </c>
      <c r="C213" s="92" t="s">
        <v>16</v>
      </c>
      <c r="D213" s="92">
        <v>2012</v>
      </c>
      <c r="E213" s="92">
        <v>19</v>
      </c>
      <c r="F213" s="92">
        <v>5552.05570204792</v>
      </c>
      <c r="G213" s="93">
        <v>5552.05570204792</v>
      </c>
      <c r="H213" s="92">
        <v>86</v>
      </c>
      <c r="I213" s="81"/>
      <c r="J213" s="93">
        <v>0</v>
      </c>
      <c r="K213" s="93">
        <v>0</v>
      </c>
      <c r="L213" s="93">
        <v>0</v>
      </c>
      <c r="M213" s="93">
        <v>0</v>
      </c>
      <c r="N213" s="93">
        <v>0</v>
      </c>
      <c r="O213" s="92">
        <v>3</v>
      </c>
    </row>
    <row r="214" spans="1:15">
      <c r="A214" s="81" t="s">
        <v>45</v>
      </c>
      <c r="B214" s="92" t="s">
        <v>49</v>
      </c>
      <c r="C214" s="92" t="s">
        <v>16</v>
      </c>
      <c r="D214" s="92">
        <v>2012</v>
      </c>
      <c r="E214" s="92">
        <v>20</v>
      </c>
      <c r="F214" s="92">
        <v>5386.86330038294</v>
      </c>
      <c r="G214" s="93">
        <v>5386.86330038294</v>
      </c>
      <c r="H214" s="92">
        <v>79</v>
      </c>
      <c r="I214" s="81"/>
      <c r="J214" s="93">
        <v>0</v>
      </c>
      <c r="K214" s="93">
        <v>0</v>
      </c>
      <c r="L214" s="93">
        <v>0</v>
      </c>
      <c r="M214" s="93">
        <v>0</v>
      </c>
      <c r="N214" s="93">
        <v>0</v>
      </c>
      <c r="O214" s="92">
        <v>3</v>
      </c>
    </row>
    <row r="215" spans="1:15">
      <c r="A215" s="81" t="s">
        <v>45</v>
      </c>
      <c r="B215" s="92" t="s">
        <v>49</v>
      </c>
      <c r="C215" s="92" t="s">
        <v>16</v>
      </c>
      <c r="D215" s="92">
        <v>2012</v>
      </c>
      <c r="E215" s="92">
        <v>21</v>
      </c>
      <c r="F215" s="92">
        <v>5261.2365671226098</v>
      </c>
      <c r="G215" s="93">
        <v>5261.2365671226098</v>
      </c>
      <c r="H215" s="92">
        <v>73</v>
      </c>
      <c r="I215" s="81"/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2">
        <v>3</v>
      </c>
    </row>
    <row r="216" spans="1:15">
      <c r="A216" s="81" t="s">
        <v>45</v>
      </c>
      <c r="B216" s="92" t="s">
        <v>49</v>
      </c>
      <c r="C216" s="92" t="s">
        <v>16</v>
      </c>
      <c r="D216" s="92">
        <v>2012</v>
      </c>
      <c r="E216" s="92">
        <v>22</v>
      </c>
      <c r="F216" s="92">
        <v>5127.0530818612397</v>
      </c>
      <c r="G216" s="93">
        <v>5127.0530818612397</v>
      </c>
      <c r="H216" s="92">
        <v>77</v>
      </c>
      <c r="I216" s="81"/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2">
        <v>3</v>
      </c>
    </row>
    <row r="217" spans="1:15">
      <c r="A217" s="81" t="s">
        <v>45</v>
      </c>
      <c r="B217" s="92" t="s">
        <v>49</v>
      </c>
      <c r="C217" s="92" t="s">
        <v>16</v>
      </c>
      <c r="D217" s="92">
        <v>2012</v>
      </c>
      <c r="E217" s="92">
        <v>23</v>
      </c>
      <c r="F217" s="92">
        <v>5029.3478617880901</v>
      </c>
      <c r="G217" s="93">
        <v>5029.3478617880901</v>
      </c>
      <c r="H217" s="92">
        <v>71</v>
      </c>
      <c r="I217" s="81"/>
      <c r="J217" s="93">
        <v>0</v>
      </c>
      <c r="K217" s="93">
        <v>0</v>
      </c>
      <c r="L217" s="93">
        <v>0</v>
      </c>
      <c r="M217" s="93">
        <v>0</v>
      </c>
      <c r="N217" s="93">
        <v>0</v>
      </c>
      <c r="O217" s="92">
        <v>3</v>
      </c>
    </row>
    <row r="218" spans="1:15">
      <c r="A218" s="81" t="s">
        <v>45</v>
      </c>
      <c r="B218" s="92" t="s">
        <v>49</v>
      </c>
      <c r="C218" s="92" t="s">
        <v>16</v>
      </c>
      <c r="D218" s="92">
        <v>2012</v>
      </c>
      <c r="E218" s="92">
        <v>24</v>
      </c>
      <c r="F218" s="92">
        <v>4956.2834701779402</v>
      </c>
      <c r="G218" s="93">
        <v>4956.2834701779402</v>
      </c>
      <c r="H218" s="92">
        <v>81</v>
      </c>
      <c r="I218" s="81"/>
      <c r="J218" s="93">
        <v>0</v>
      </c>
      <c r="K218" s="93">
        <v>0</v>
      </c>
      <c r="L218" s="93">
        <v>0</v>
      </c>
      <c r="M218" s="93">
        <v>0</v>
      </c>
      <c r="N218" s="93">
        <v>0</v>
      </c>
      <c r="O218" s="92">
        <v>3</v>
      </c>
    </row>
    <row r="219" spans="1:15">
      <c r="A219" s="81" t="s">
        <v>45</v>
      </c>
      <c r="B219" s="92" t="s">
        <v>49</v>
      </c>
      <c r="C219" s="92" t="s">
        <v>17</v>
      </c>
      <c r="D219" s="92">
        <v>2012</v>
      </c>
      <c r="E219" s="92">
        <v>1</v>
      </c>
      <c r="F219" s="92">
        <v>4851.5672431991197</v>
      </c>
      <c r="G219" s="93">
        <v>4851.5672431991197</v>
      </c>
      <c r="H219" s="92">
        <v>88</v>
      </c>
      <c r="I219" s="81"/>
      <c r="J219" s="93">
        <v>0</v>
      </c>
      <c r="K219" s="93">
        <v>0</v>
      </c>
      <c r="L219" s="93">
        <v>0</v>
      </c>
      <c r="M219" s="93">
        <v>0</v>
      </c>
      <c r="N219" s="93">
        <v>0</v>
      </c>
      <c r="O219" s="92">
        <v>3</v>
      </c>
    </row>
    <row r="220" spans="1:15">
      <c r="A220" s="81" t="s">
        <v>45</v>
      </c>
      <c r="B220" s="92" t="s">
        <v>49</v>
      </c>
      <c r="C220" s="92" t="s">
        <v>17</v>
      </c>
      <c r="D220" s="92">
        <v>2012</v>
      </c>
      <c r="E220" s="92">
        <v>2</v>
      </c>
      <c r="F220" s="92">
        <v>4810.3448241588303</v>
      </c>
      <c r="G220" s="93">
        <v>4810.3448241588303</v>
      </c>
      <c r="H220" s="92">
        <v>68</v>
      </c>
      <c r="I220" s="81"/>
      <c r="J220" s="93">
        <v>0</v>
      </c>
      <c r="K220" s="93">
        <v>0</v>
      </c>
      <c r="L220" s="93">
        <v>0</v>
      </c>
      <c r="M220" s="93">
        <v>0</v>
      </c>
      <c r="N220" s="93">
        <v>0</v>
      </c>
      <c r="O220" s="92">
        <v>3</v>
      </c>
    </row>
    <row r="221" spans="1:15">
      <c r="A221" s="81" t="s">
        <v>45</v>
      </c>
      <c r="B221" s="92" t="s">
        <v>49</v>
      </c>
      <c r="C221" s="92" t="s">
        <v>17</v>
      </c>
      <c r="D221" s="92">
        <v>2012</v>
      </c>
      <c r="E221" s="92">
        <v>3</v>
      </c>
      <c r="F221" s="92">
        <v>4753.25556289618</v>
      </c>
      <c r="G221" s="93">
        <v>4753.25556289618</v>
      </c>
      <c r="H221" s="92">
        <v>82</v>
      </c>
      <c r="I221" s="81"/>
      <c r="J221" s="93">
        <v>0</v>
      </c>
      <c r="K221" s="93">
        <v>0</v>
      </c>
      <c r="L221" s="93">
        <v>0</v>
      </c>
      <c r="M221" s="93">
        <v>0</v>
      </c>
      <c r="N221" s="93">
        <v>0</v>
      </c>
      <c r="O221" s="92">
        <v>3</v>
      </c>
    </row>
    <row r="222" spans="1:15">
      <c r="A222" s="81" t="s">
        <v>45</v>
      </c>
      <c r="B222" s="92" t="s">
        <v>49</v>
      </c>
      <c r="C222" s="92" t="s">
        <v>17</v>
      </c>
      <c r="D222" s="92">
        <v>2012</v>
      </c>
      <c r="E222" s="92">
        <v>4</v>
      </c>
      <c r="F222" s="92">
        <v>4758.9757408592604</v>
      </c>
      <c r="G222" s="93">
        <v>4758.9757408592604</v>
      </c>
      <c r="H222" s="92">
        <v>76</v>
      </c>
      <c r="I222" s="81"/>
      <c r="J222" s="93">
        <v>0</v>
      </c>
      <c r="K222" s="93">
        <v>0</v>
      </c>
      <c r="L222" s="93">
        <v>0</v>
      </c>
      <c r="M222" s="93">
        <v>0</v>
      </c>
      <c r="N222" s="93">
        <v>0</v>
      </c>
      <c r="O222" s="92">
        <v>3</v>
      </c>
    </row>
    <row r="223" spans="1:15">
      <c r="A223" s="81" t="s">
        <v>45</v>
      </c>
      <c r="B223" s="92" t="s">
        <v>49</v>
      </c>
      <c r="C223" s="92" t="s">
        <v>17</v>
      </c>
      <c r="D223" s="92">
        <v>2012</v>
      </c>
      <c r="E223" s="92">
        <v>5</v>
      </c>
      <c r="F223" s="92">
        <v>4766.6905754604004</v>
      </c>
      <c r="G223" s="93">
        <v>4766.6905754604004</v>
      </c>
      <c r="H223" s="92">
        <v>77</v>
      </c>
      <c r="I223" s="81"/>
      <c r="J223" s="93">
        <v>0</v>
      </c>
      <c r="K223" s="93">
        <v>0</v>
      </c>
      <c r="L223" s="93">
        <v>0</v>
      </c>
      <c r="M223" s="93">
        <v>0</v>
      </c>
      <c r="N223" s="93">
        <v>0</v>
      </c>
      <c r="O223" s="92">
        <v>3</v>
      </c>
    </row>
    <row r="224" spans="1:15">
      <c r="A224" s="81" t="s">
        <v>45</v>
      </c>
      <c r="B224" s="92" t="s">
        <v>49</v>
      </c>
      <c r="C224" s="92" t="s">
        <v>17</v>
      </c>
      <c r="D224" s="92">
        <v>2012</v>
      </c>
      <c r="E224" s="92">
        <v>6</v>
      </c>
      <c r="F224" s="92">
        <v>4783.1369346083902</v>
      </c>
      <c r="G224" s="93">
        <v>4783.1369346083902</v>
      </c>
      <c r="H224" s="92">
        <v>74</v>
      </c>
      <c r="I224" s="81"/>
      <c r="J224" s="93">
        <v>0</v>
      </c>
      <c r="K224" s="93">
        <v>0</v>
      </c>
      <c r="L224" s="93">
        <v>0</v>
      </c>
      <c r="M224" s="93">
        <v>0</v>
      </c>
      <c r="N224" s="93">
        <v>0</v>
      </c>
      <c r="O224" s="92">
        <v>3</v>
      </c>
    </row>
    <row r="225" spans="1:15">
      <c r="A225" s="81" t="s">
        <v>45</v>
      </c>
      <c r="B225" s="92" t="s">
        <v>49</v>
      </c>
      <c r="C225" s="92" t="s">
        <v>17</v>
      </c>
      <c r="D225" s="92">
        <v>2012</v>
      </c>
      <c r="E225" s="92">
        <v>7</v>
      </c>
      <c r="F225" s="92">
        <v>4873.3549273421704</v>
      </c>
      <c r="G225" s="93">
        <v>4873.3549273421704</v>
      </c>
      <c r="H225" s="92">
        <v>72</v>
      </c>
      <c r="I225" s="81"/>
      <c r="J225" s="93">
        <v>0</v>
      </c>
      <c r="K225" s="93">
        <v>0</v>
      </c>
      <c r="L225" s="93">
        <v>0</v>
      </c>
      <c r="M225" s="93">
        <v>0</v>
      </c>
      <c r="N225" s="93">
        <v>0</v>
      </c>
      <c r="O225" s="92">
        <v>3</v>
      </c>
    </row>
    <row r="226" spans="1:15">
      <c r="A226" s="81" t="s">
        <v>45</v>
      </c>
      <c r="B226" s="92" t="s">
        <v>49</v>
      </c>
      <c r="C226" s="92" t="s">
        <v>17</v>
      </c>
      <c r="D226" s="92">
        <v>2012</v>
      </c>
      <c r="E226" s="92">
        <v>8</v>
      </c>
      <c r="F226" s="92">
        <v>4968.1771709347704</v>
      </c>
      <c r="G226" s="93">
        <v>4968.1771709347704</v>
      </c>
      <c r="H226" s="92">
        <v>71</v>
      </c>
      <c r="I226" s="81"/>
      <c r="J226" s="93">
        <v>0</v>
      </c>
      <c r="K226" s="93">
        <v>0</v>
      </c>
      <c r="L226" s="93">
        <v>0</v>
      </c>
      <c r="M226" s="93">
        <v>0</v>
      </c>
      <c r="N226" s="93">
        <v>0</v>
      </c>
      <c r="O226" s="92">
        <v>3</v>
      </c>
    </row>
    <row r="227" spans="1:15">
      <c r="A227" s="81" t="s">
        <v>45</v>
      </c>
      <c r="B227" s="92" t="s">
        <v>49</v>
      </c>
      <c r="C227" s="92" t="s">
        <v>17</v>
      </c>
      <c r="D227" s="92">
        <v>2012</v>
      </c>
      <c r="E227" s="92">
        <v>9</v>
      </c>
      <c r="F227" s="92">
        <v>5555.4050103024101</v>
      </c>
      <c r="G227" s="93">
        <v>5555.4050103024101</v>
      </c>
      <c r="H227" s="92">
        <v>68</v>
      </c>
      <c r="I227" s="81"/>
      <c r="J227" s="93">
        <v>0</v>
      </c>
      <c r="K227" s="93">
        <v>0</v>
      </c>
      <c r="L227" s="93">
        <v>0</v>
      </c>
      <c r="M227" s="93">
        <v>0</v>
      </c>
      <c r="N227" s="93">
        <v>0</v>
      </c>
      <c r="O227" s="92">
        <v>3</v>
      </c>
    </row>
    <row r="228" spans="1:15">
      <c r="A228" s="81" t="s">
        <v>45</v>
      </c>
      <c r="B228" s="92" t="s">
        <v>49</v>
      </c>
      <c r="C228" s="92" t="s">
        <v>17</v>
      </c>
      <c r="D228" s="92">
        <v>2012</v>
      </c>
      <c r="E228" s="92">
        <v>10</v>
      </c>
      <c r="F228" s="92">
        <v>5809.8114794025096</v>
      </c>
      <c r="G228" s="93">
        <v>5809.8114794025096</v>
      </c>
      <c r="H228" s="92">
        <v>62</v>
      </c>
      <c r="I228" s="81"/>
      <c r="J228" s="93">
        <v>0</v>
      </c>
      <c r="K228" s="93">
        <v>0</v>
      </c>
      <c r="L228" s="93">
        <v>0</v>
      </c>
      <c r="M228" s="93">
        <v>0</v>
      </c>
      <c r="N228" s="93">
        <v>0</v>
      </c>
      <c r="O228" s="92">
        <v>3</v>
      </c>
    </row>
    <row r="229" spans="1:15">
      <c r="A229" s="81" t="s">
        <v>45</v>
      </c>
      <c r="B229" s="92" t="s">
        <v>49</v>
      </c>
      <c r="C229" s="92" t="s">
        <v>17</v>
      </c>
      <c r="D229" s="92">
        <v>2012</v>
      </c>
      <c r="E229" s="92">
        <v>11</v>
      </c>
      <c r="F229" s="92">
        <v>6032.4625762205496</v>
      </c>
      <c r="G229" s="93">
        <v>3460.485093161537</v>
      </c>
      <c r="H229" s="92">
        <v>66</v>
      </c>
      <c r="I229" s="81"/>
      <c r="J229" s="93">
        <v>2504.1662854149354</v>
      </c>
      <c r="K229" s="93">
        <v>2529.3196053689935</v>
      </c>
      <c r="L229" s="93">
        <v>2571.9774830590127</v>
      </c>
      <c r="M229" s="93">
        <v>2614.6353607490364</v>
      </c>
      <c r="N229" s="93">
        <v>2639.7886807030941</v>
      </c>
      <c r="O229" s="92">
        <v>3</v>
      </c>
    </row>
    <row r="230" spans="1:15">
      <c r="A230" s="81" t="s">
        <v>45</v>
      </c>
      <c r="B230" s="92" t="s">
        <v>49</v>
      </c>
      <c r="C230" s="92" t="s">
        <v>17</v>
      </c>
      <c r="D230" s="92">
        <v>2012</v>
      </c>
      <c r="E230" s="92">
        <v>12</v>
      </c>
      <c r="F230" s="92">
        <v>6192.4551263737303</v>
      </c>
      <c r="G230" s="93">
        <v>3552.2638365563867</v>
      </c>
      <c r="H230" s="92">
        <v>65</v>
      </c>
      <c r="I230" s="81"/>
      <c r="J230" s="93">
        <v>2576.0428280910833</v>
      </c>
      <c r="K230" s="93">
        <v>2599.8375233393581</v>
      </c>
      <c r="L230" s="93">
        <v>2640.1912898173437</v>
      </c>
      <c r="M230" s="93">
        <v>2680.5450562953333</v>
      </c>
      <c r="N230" s="93">
        <v>2704.3397515436077</v>
      </c>
      <c r="O230" s="92">
        <v>3</v>
      </c>
    </row>
    <row r="231" spans="1:15">
      <c r="A231" s="81" t="s">
        <v>45</v>
      </c>
      <c r="B231" s="92" t="s">
        <v>49</v>
      </c>
      <c r="C231" s="92" t="s">
        <v>17</v>
      </c>
      <c r="D231" s="92">
        <v>2012</v>
      </c>
      <c r="E231" s="92">
        <v>13</v>
      </c>
      <c r="F231" s="92">
        <v>6208.3085856914704</v>
      </c>
      <c r="G231" s="93">
        <v>3561.3580760897307</v>
      </c>
      <c r="H231" s="92">
        <v>77</v>
      </c>
      <c r="I231" s="81"/>
      <c r="J231" s="93">
        <v>2584.3424986210489</v>
      </c>
      <c r="K231" s="93">
        <v>2607.5657919206324</v>
      </c>
      <c r="L231" s="93">
        <v>2646.9505096017397</v>
      </c>
      <c r="M231" s="93">
        <v>2686.3352272828465</v>
      </c>
      <c r="N231" s="93">
        <v>2709.55852058243</v>
      </c>
      <c r="O231" s="92">
        <v>3</v>
      </c>
    </row>
    <row r="232" spans="1:15">
      <c r="A232" s="81" t="s">
        <v>45</v>
      </c>
      <c r="B232" s="92" t="s">
        <v>49</v>
      </c>
      <c r="C232" s="92" t="s">
        <v>17</v>
      </c>
      <c r="D232" s="92">
        <v>2012</v>
      </c>
      <c r="E232" s="92">
        <v>14</v>
      </c>
      <c r="F232" s="92">
        <v>6153.04245401547</v>
      </c>
      <c r="G232" s="93">
        <v>3529.6549992110799</v>
      </c>
      <c r="H232" s="92">
        <v>83</v>
      </c>
      <c r="I232" s="81"/>
      <c r="J232" s="93">
        <v>2565.7613139657501</v>
      </c>
      <c r="K232" s="93">
        <v>2587.1366739149985</v>
      </c>
      <c r="L232" s="93">
        <v>2623.38745480439</v>
      </c>
      <c r="M232" s="93">
        <v>2659.6382356937816</v>
      </c>
      <c r="N232" s="93">
        <v>2681.0135956430345</v>
      </c>
      <c r="O232" s="92">
        <v>3</v>
      </c>
    </row>
    <row r="233" spans="1:15">
      <c r="A233" s="81" t="s">
        <v>45</v>
      </c>
      <c r="B233" s="92" t="s">
        <v>49</v>
      </c>
      <c r="C233" s="92" t="s">
        <v>17</v>
      </c>
      <c r="D233" s="92">
        <v>2012</v>
      </c>
      <c r="E233" s="92">
        <v>15</v>
      </c>
      <c r="F233" s="92">
        <v>5965.20630701952</v>
      </c>
      <c r="G233" s="93">
        <v>3421.90394755953</v>
      </c>
      <c r="H233" s="92">
        <v>82</v>
      </c>
      <c r="I233" s="81"/>
      <c r="J233" s="93">
        <v>2483.7603656719762</v>
      </c>
      <c r="K233" s="93">
        <v>2505.8463761316875</v>
      </c>
      <c r="L233" s="93">
        <v>2543.3023594599899</v>
      </c>
      <c r="M233" s="93">
        <v>2580.7583427882973</v>
      </c>
      <c r="N233" s="93">
        <v>2602.8443532480037</v>
      </c>
      <c r="O233" s="92">
        <v>3</v>
      </c>
    </row>
    <row r="234" spans="1:15">
      <c r="A234" s="81" t="s">
        <v>45</v>
      </c>
      <c r="B234" s="92" t="s">
        <v>49</v>
      </c>
      <c r="C234" s="92" t="s">
        <v>17</v>
      </c>
      <c r="D234" s="92">
        <v>2012</v>
      </c>
      <c r="E234" s="92">
        <v>16</v>
      </c>
      <c r="F234" s="92">
        <v>5920.9079298603001</v>
      </c>
      <c r="G234" s="93">
        <v>3396.4924556731153</v>
      </c>
      <c r="H234" s="92">
        <v>68</v>
      </c>
      <c r="I234" s="81"/>
      <c r="J234" s="93">
        <v>2465.9297452811575</v>
      </c>
      <c r="K234" s="93">
        <v>2487.6239536571993</v>
      </c>
      <c r="L234" s="93">
        <v>2524.4154741871848</v>
      </c>
      <c r="M234" s="93">
        <v>2561.2069947171744</v>
      </c>
      <c r="N234" s="93">
        <v>2582.9012030932167</v>
      </c>
      <c r="O234" s="92">
        <v>3</v>
      </c>
    </row>
    <row r="235" spans="1:15">
      <c r="A235" s="81" t="s">
        <v>45</v>
      </c>
      <c r="B235" s="92" t="s">
        <v>49</v>
      </c>
      <c r="C235" s="92" t="s">
        <v>17</v>
      </c>
      <c r="D235" s="92">
        <v>2012</v>
      </c>
      <c r="E235" s="92">
        <v>17</v>
      </c>
      <c r="F235" s="92">
        <v>5878.8921996783702</v>
      </c>
      <c r="G235" s="93">
        <v>3372.3903902005504</v>
      </c>
      <c r="H235" s="92">
        <v>84</v>
      </c>
      <c r="I235" s="81"/>
      <c r="J235" s="93">
        <v>2436.9673686083302</v>
      </c>
      <c r="K235" s="93">
        <v>2462.7598940286462</v>
      </c>
      <c r="L235" s="93">
        <v>2506.5018094778197</v>
      </c>
      <c r="M235" s="93">
        <v>2550.2437249269974</v>
      </c>
      <c r="N235" s="93">
        <v>2576.0362503473139</v>
      </c>
      <c r="O235" s="92">
        <v>3</v>
      </c>
    </row>
    <row r="236" spans="1:15">
      <c r="A236" s="81" t="s">
        <v>45</v>
      </c>
      <c r="B236" s="92" t="s">
        <v>49</v>
      </c>
      <c r="C236" s="92" t="s">
        <v>17</v>
      </c>
      <c r="D236" s="92">
        <v>2012</v>
      </c>
      <c r="E236" s="92">
        <v>18</v>
      </c>
      <c r="F236" s="92">
        <v>5716.0093851394604</v>
      </c>
      <c r="G236" s="93">
        <v>3278.9536643987249</v>
      </c>
      <c r="H236" s="92">
        <v>75</v>
      </c>
      <c r="I236" s="81"/>
      <c r="J236" s="93">
        <v>2376.539575534362</v>
      </c>
      <c r="K236" s="93">
        <v>2398.9869295945509</v>
      </c>
      <c r="L236" s="93">
        <v>2437.0557207407355</v>
      </c>
      <c r="M236" s="93">
        <v>2475.1245118869206</v>
      </c>
      <c r="N236" s="93">
        <v>2497.5718659471127</v>
      </c>
      <c r="O236" s="92">
        <v>3</v>
      </c>
    </row>
    <row r="237" spans="1:15">
      <c r="A237" s="81" t="s">
        <v>45</v>
      </c>
      <c r="B237" s="92" t="s">
        <v>49</v>
      </c>
      <c r="C237" s="92" t="s">
        <v>17</v>
      </c>
      <c r="D237" s="92">
        <v>2012</v>
      </c>
      <c r="E237" s="92">
        <v>19</v>
      </c>
      <c r="F237" s="92">
        <v>5597.2794201668503</v>
      </c>
      <c r="G237" s="93">
        <v>5597.2794201668503</v>
      </c>
      <c r="H237" s="92">
        <v>91</v>
      </c>
      <c r="I237" s="81"/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2">
        <v>3</v>
      </c>
    </row>
    <row r="238" spans="1:15">
      <c r="A238" s="81" t="s">
        <v>45</v>
      </c>
      <c r="B238" s="92" t="s">
        <v>49</v>
      </c>
      <c r="C238" s="92" t="s">
        <v>17</v>
      </c>
      <c r="D238" s="92">
        <v>2012</v>
      </c>
      <c r="E238" s="92">
        <v>20</v>
      </c>
      <c r="F238" s="92">
        <v>5494.1184314855</v>
      </c>
      <c r="G238" s="93">
        <v>5494.1184314855</v>
      </c>
      <c r="H238" s="92">
        <v>83</v>
      </c>
      <c r="I238" s="81"/>
      <c r="J238" s="93">
        <v>0</v>
      </c>
      <c r="K238" s="93">
        <v>0</v>
      </c>
      <c r="L238" s="93">
        <v>0</v>
      </c>
      <c r="M238" s="93">
        <v>0</v>
      </c>
      <c r="N238" s="93">
        <v>0</v>
      </c>
      <c r="O238" s="92">
        <v>3</v>
      </c>
    </row>
    <row r="239" spans="1:15">
      <c r="A239" s="81" t="s">
        <v>45</v>
      </c>
      <c r="B239" s="92" t="s">
        <v>49</v>
      </c>
      <c r="C239" s="92" t="s">
        <v>17</v>
      </c>
      <c r="D239" s="92">
        <v>2012</v>
      </c>
      <c r="E239" s="92">
        <v>21</v>
      </c>
      <c r="F239" s="92">
        <v>5363.4075534235899</v>
      </c>
      <c r="G239" s="93">
        <v>5363.4075534235899</v>
      </c>
      <c r="H239" s="92">
        <v>75</v>
      </c>
      <c r="I239" s="81"/>
      <c r="J239" s="93">
        <v>0</v>
      </c>
      <c r="K239" s="93">
        <v>0</v>
      </c>
      <c r="L239" s="93">
        <v>0</v>
      </c>
      <c r="M239" s="93">
        <v>0</v>
      </c>
      <c r="N239" s="93">
        <v>0</v>
      </c>
      <c r="O239" s="92">
        <v>3</v>
      </c>
    </row>
    <row r="240" spans="1:15">
      <c r="A240" s="81" t="s">
        <v>45</v>
      </c>
      <c r="B240" s="92" t="s">
        <v>49</v>
      </c>
      <c r="C240" s="92" t="s">
        <v>17</v>
      </c>
      <c r="D240" s="92">
        <v>2012</v>
      </c>
      <c r="E240" s="92">
        <v>22</v>
      </c>
      <c r="F240" s="92">
        <v>5228.0178011298303</v>
      </c>
      <c r="G240" s="93">
        <v>5228.0178011298303</v>
      </c>
      <c r="H240" s="92">
        <v>78</v>
      </c>
      <c r="I240" s="81"/>
      <c r="J240" s="93">
        <v>0</v>
      </c>
      <c r="K240" s="93">
        <v>0</v>
      </c>
      <c r="L240" s="93">
        <v>0</v>
      </c>
      <c r="M240" s="93">
        <v>0</v>
      </c>
      <c r="N240" s="93">
        <v>0</v>
      </c>
      <c r="O240" s="92">
        <v>3</v>
      </c>
    </row>
    <row r="241" spans="1:15">
      <c r="A241" s="81" t="s">
        <v>45</v>
      </c>
      <c r="B241" s="92" t="s">
        <v>49</v>
      </c>
      <c r="C241" s="92" t="s">
        <v>17</v>
      </c>
      <c r="D241" s="92">
        <v>2012</v>
      </c>
      <c r="E241" s="92">
        <v>23</v>
      </c>
      <c r="F241" s="92">
        <v>5115.3948754044204</v>
      </c>
      <c r="G241" s="93">
        <v>5115.3948754044204</v>
      </c>
      <c r="H241" s="92">
        <v>67</v>
      </c>
      <c r="I241" s="81"/>
      <c r="J241" s="93">
        <v>0</v>
      </c>
      <c r="K241" s="93">
        <v>0</v>
      </c>
      <c r="L241" s="93">
        <v>0</v>
      </c>
      <c r="M241" s="93">
        <v>0</v>
      </c>
      <c r="N241" s="93">
        <v>0</v>
      </c>
      <c r="O241" s="92">
        <v>3</v>
      </c>
    </row>
    <row r="242" spans="1:15">
      <c r="A242" s="81" t="s">
        <v>45</v>
      </c>
      <c r="B242" s="92" t="s">
        <v>49</v>
      </c>
      <c r="C242" s="92" t="s">
        <v>17</v>
      </c>
      <c r="D242" s="92">
        <v>2012</v>
      </c>
      <c r="E242" s="92">
        <v>24</v>
      </c>
      <c r="F242" s="92">
        <v>5013.4826822501</v>
      </c>
      <c r="G242" s="81">
        <v>5013.4826822501</v>
      </c>
      <c r="H242" s="92">
        <v>66</v>
      </c>
      <c r="I242" s="81"/>
      <c r="J242" s="93">
        <v>0</v>
      </c>
      <c r="K242" s="93">
        <v>0</v>
      </c>
      <c r="L242" s="93">
        <v>0</v>
      </c>
      <c r="M242" s="93">
        <v>0</v>
      </c>
      <c r="N242" s="93">
        <v>0</v>
      </c>
      <c r="O242" s="93">
        <v>3</v>
      </c>
    </row>
    <row r="243" spans="1:15">
      <c r="A243" s="81" t="s">
        <v>45</v>
      </c>
      <c r="B243" s="92" t="s">
        <v>50</v>
      </c>
      <c r="C243" s="92" t="s">
        <v>13</v>
      </c>
      <c r="D243" s="92">
        <v>2013</v>
      </c>
      <c r="E243" s="92">
        <v>1</v>
      </c>
      <c r="F243" s="92">
        <v>7572.7962337944073</v>
      </c>
      <c r="G243" s="81">
        <v>7572.7962337944073</v>
      </c>
      <c r="H243" s="92">
        <v>62</v>
      </c>
      <c r="I243" s="81"/>
      <c r="J243" s="93">
        <v>0</v>
      </c>
      <c r="K243" s="93">
        <v>0</v>
      </c>
      <c r="L243" s="93">
        <v>0</v>
      </c>
      <c r="M243" s="93">
        <v>0</v>
      </c>
      <c r="N243" s="93">
        <v>0</v>
      </c>
      <c r="O243" s="93">
        <v>4.8600000000000003</v>
      </c>
    </row>
    <row r="244" spans="1:15">
      <c r="A244" s="81" t="s">
        <v>45</v>
      </c>
      <c r="B244" s="92" t="s">
        <v>50</v>
      </c>
      <c r="C244" s="92" t="s">
        <v>13</v>
      </c>
      <c r="D244" s="92">
        <v>2013</v>
      </c>
      <c r="E244" s="92">
        <v>2</v>
      </c>
      <c r="F244" s="92">
        <v>7528.9235779097553</v>
      </c>
      <c r="G244" s="81">
        <v>7528.9235779097553</v>
      </c>
      <c r="H244" s="92">
        <v>56</v>
      </c>
      <c r="I244" s="81"/>
      <c r="J244" s="93">
        <v>0</v>
      </c>
      <c r="K244" s="93">
        <v>0</v>
      </c>
      <c r="L244" s="93">
        <v>0</v>
      </c>
      <c r="M244" s="93">
        <v>0</v>
      </c>
      <c r="N244" s="93">
        <v>0</v>
      </c>
      <c r="O244" s="93">
        <v>4.8600000000000003</v>
      </c>
    </row>
    <row r="245" spans="1:15">
      <c r="A245" s="81" t="s">
        <v>45</v>
      </c>
      <c r="B245" s="92" t="s">
        <v>50</v>
      </c>
      <c r="C245" s="92" t="s">
        <v>13</v>
      </c>
      <c r="D245" s="92">
        <v>2013</v>
      </c>
      <c r="E245" s="92">
        <v>3</v>
      </c>
      <c r="F245" s="92">
        <v>7493.4811398548181</v>
      </c>
      <c r="G245" s="81">
        <v>7493.4811398548181</v>
      </c>
      <c r="H245" s="92">
        <v>70</v>
      </c>
      <c r="I245" s="81"/>
      <c r="J245" s="93">
        <v>0</v>
      </c>
      <c r="K245" s="93">
        <v>0</v>
      </c>
      <c r="L245" s="93">
        <v>0</v>
      </c>
      <c r="M245" s="93">
        <v>0</v>
      </c>
      <c r="N245" s="93">
        <v>0</v>
      </c>
      <c r="O245" s="93">
        <v>4.8600000000000003</v>
      </c>
    </row>
    <row r="246" spans="1:15">
      <c r="A246" s="81" t="s">
        <v>45</v>
      </c>
      <c r="B246" s="92" t="s">
        <v>50</v>
      </c>
      <c r="C246" s="92" t="s">
        <v>13</v>
      </c>
      <c r="D246" s="92">
        <v>2013</v>
      </c>
      <c r="E246" s="92">
        <v>4</v>
      </c>
      <c r="F246" s="92">
        <v>7462.7027830481802</v>
      </c>
      <c r="G246" s="81">
        <v>7462.7027830481802</v>
      </c>
      <c r="H246" s="92">
        <v>56</v>
      </c>
      <c r="I246" s="81"/>
      <c r="J246" s="93">
        <v>0</v>
      </c>
      <c r="K246" s="93">
        <v>0</v>
      </c>
      <c r="L246" s="93">
        <v>0</v>
      </c>
      <c r="M246" s="93">
        <v>0</v>
      </c>
      <c r="N246" s="93">
        <v>0</v>
      </c>
      <c r="O246" s="93">
        <v>4.8600000000000003</v>
      </c>
    </row>
    <row r="247" spans="1:15">
      <c r="A247" s="81" t="s">
        <v>45</v>
      </c>
      <c r="B247" s="92" t="s">
        <v>50</v>
      </c>
      <c r="C247" s="92" t="s">
        <v>13</v>
      </c>
      <c r="D247" s="92">
        <v>2013</v>
      </c>
      <c r="E247" s="92">
        <v>5</v>
      </c>
      <c r="F247" s="92">
        <v>7497.7628956179433</v>
      </c>
      <c r="G247" s="81">
        <v>7497.7628956179433</v>
      </c>
      <c r="H247" s="92">
        <v>76</v>
      </c>
      <c r="I247" s="81"/>
      <c r="J247" s="93">
        <v>0</v>
      </c>
      <c r="K247" s="93">
        <v>0</v>
      </c>
      <c r="L247" s="93">
        <v>0</v>
      </c>
      <c r="M247" s="93">
        <v>0</v>
      </c>
      <c r="N247" s="93">
        <v>0</v>
      </c>
      <c r="O247" s="93">
        <v>4.8600000000000003</v>
      </c>
    </row>
    <row r="248" spans="1:15">
      <c r="A248" s="81" t="s">
        <v>45</v>
      </c>
      <c r="B248" s="92" t="s">
        <v>50</v>
      </c>
      <c r="C248" s="92" t="s">
        <v>13</v>
      </c>
      <c r="D248" s="92">
        <v>2013</v>
      </c>
      <c r="E248" s="92">
        <v>6</v>
      </c>
      <c r="F248" s="92">
        <v>7575.2149748225784</v>
      </c>
      <c r="G248" s="81">
        <v>7575.2149748225784</v>
      </c>
      <c r="H248" s="92">
        <v>63</v>
      </c>
      <c r="I248" s="81"/>
      <c r="J248" s="93">
        <v>0</v>
      </c>
      <c r="K248" s="93">
        <v>0</v>
      </c>
      <c r="L248" s="93">
        <v>0</v>
      </c>
      <c r="M248" s="93">
        <v>0</v>
      </c>
      <c r="N248" s="93">
        <v>0</v>
      </c>
      <c r="O248" s="93">
        <v>4.8600000000000003</v>
      </c>
    </row>
    <row r="249" spans="1:15">
      <c r="A249" s="81" t="s">
        <v>45</v>
      </c>
      <c r="B249" s="92" t="s">
        <v>50</v>
      </c>
      <c r="C249" s="92" t="s">
        <v>13</v>
      </c>
      <c r="D249" s="92">
        <v>2013</v>
      </c>
      <c r="E249" s="92">
        <v>7</v>
      </c>
      <c r="F249" s="92">
        <v>7655.9394757168102</v>
      </c>
      <c r="G249" s="81">
        <v>7655.9394757168102</v>
      </c>
      <c r="H249" s="92">
        <v>60</v>
      </c>
      <c r="I249" s="81"/>
      <c r="J249" s="93">
        <v>0</v>
      </c>
      <c r="K249" s="93">
        <v>0</v>
      </c>
      <c r="L249" s="93">
        <v>0</v>
      </c>
      <c r="M249" s="93">
        <v>0</v>
      </c>
      <c r="N249" s="93">
        <v>0</v>
      </c>
      <c r="O249" s="93">
        <v>4.8600000000000003</v>
      </c>
    </row>
    <row r="250" spans="1:15">
      <c r="A250" s="81" t="s">
        <v>45</v>
      </c>
      <c r="B250" s="92" t="s">
        <v>50</v>
      </c>
      <c r="C250" s="92" t="s">
        <v>13</v>
      </c>
      <c r="D250" s="92">
        <v>2013</v>
      </c>
      <c r="E250" s="92">
        <v>8</v>
      </c>
      <c r="F250" s="92">
        <v>7822.0740144643642</v>
      </c>
      <c r="G250" s="81">
        <v>7822.0740144643642</v>
      </c>
      <c r="H250" s="92">
        <v>70</v>
      </c>
      <c r="I250" s="81"/>
      <c r="J250" s="93">
        <v>0</v>
      </c>
      <c r="K250" s="93">
        <v>0</v>
      </c>
      <c r="L250" s="93">
        <v>0</v>
      </c>
      <c r="M250" s="93">
        <v>0</v>
      </c>
      <c r="N250" s="93">
        <v>0</v>
      </c>
      <c r="O250" s="93">
        <v>4.8600000000000003</v>
      </c>
    </row>
    <row r="251" spans="1:15">
      <c r="A251" s="81" t="s">
        <v>45</v>
      </c>
      <c r="B251" s="92" t="s">
        <v>50</v>
      </c>
      <c r="C251" s="92" t="s">
        <v>13</v>
      </c>
      <c r="D251" s="92">
        <v>2013</v>
      </c>
      <c r="E251" s="92">
        <v>9</v>
      </c>
      <c r="F251" s="92">
        <v>8412.6486886617859</v>
      </c>
      <c r="G251" s="81">
        <v>8412.6486886617859</v>
      </c>
      <c r="H251" s="92">
        <v>71</v>
      </c>
      <c r="I251" s="81"/>
      <c r="J251" s="93">
        <v>0</v>
      </c>
      <c r="K251" s="93">
        <v>0</v>
      </c>
      <c r="L251" s="93">
        <v>0</v>
      </c>
      <c r="M251" s="93">
        <v>0</v>
      </c>
      <c r="N251" s="93">
        <v>0</v>
      </c>
      <c r="O251" s="93">
        <v>4.8600000000000003</v>
      </c>
    </row>
    <row r="252" spans="1:15">
      <c r="A252" s="81" t="s">
        <v>45</v>
      </c>
      <c r="B252" s="92" t="s">
        <v>50</v>
      </c>
      <c r="C252" s="92" t="s">
        <v>13</v>
      </c>
      <c r="D252" s="92">
        <v>2013</v>
      </c>
      <c r="E252" s="92">
        <v>10</v>
      </c>
      <c r="F252" s="92">
        <v>8686.7747400598764</v>
      </c>
      <c r="G252" s="81">
        <v>8686.7747400598764</v>
      </c>
      <c r="H252" s="92">
        <v>76</v>
      </c>
      <c r="I252" s="81"/>
      <c r="J252" s="93">
        <v>0</v>
      </c>
      <c r="K252" s="93">
        <v>0</v>
      </c>
      <c r="L252" s="93">
        <v>0</v>
      </c>
      <c r="M252" s="93">
        <v>0</v>
      </c>
      <c r="N252" s="93">
        <v>0</v>
      </c>
      <c r="O252" s="93">
        <v>4.8600000000000003</v>
      </c>
    </row>
    <row r="253" spans="1:15">
      <c r="A253" s="81" t="s">
        <v>45</v>
      </c>
      <c r="B253" s="92" t="s">
        <v>50</v>
      </c>
      <c r="C253" s="92" t="s">
        <v>13</v>
      </c>
      <c r="D253" s="92">
        <v>2013</v>
      </c>
      <c r="E253" s="92">
        <v>11</v>
      </c>
      <c r="F253" s="92">
        <v>8835.1799713223154</v>
      </c>
      <c r="G253" s="81">
        <v>5677.0922200794002</v>
      </c>
      <c r="H253" s="92">
        <v>61</v>
      </c>
      <c r="I253" s="81"/>
      <c r="J253" s="93">
        <v>3109.3810830067555</v>
      </c>
      <c r="K253" s="93">
        <v>3127.4479281975828</v>
      </c>
      <c r="L253" s="93">
        <v>3158.0877512429151</v>
      </c>
      <c r="M253" s="93">
        <v>3188.7275742882475</v>
      </c>
      <c r="N253" s="93">
        <v>3206.7944194790748</v>
      </c>
      <c r="O253" s="93">
        <v>4.8600000000000003</v>
      </c>
    </row>
    <row r="254" spans="1:15">
      <c r="A254" s="81" t="s">
        <v>45</v>
      </c>
      <c r="B254" s="92" t="s">
        <v>50</v>
      </c>
      <c r="C254" s="92" t="s">
        <v>13</v>
      </c>
      <c r="D254" s="92">
        <v>2013</v>
      </c>
      <c r="E254" s="92">
        <v>12</v>
      </c>
      <c r="F254" s="92">
        <v>8963.6137777278764</v>
      </c>
      <c r="G254" s="81">
        <v>5759.6180503971573</v>
      </c>
      <c r="H254" s="92">
        <v>73</v>
      </c>
      <c r="I254" s="81"/>
      <c r="J254" s="93">
        <v>3157.9198880635749</v>
      </c>
      <c r="K254" s="93">
        <v>3175.0108755037531</v>
      </c>
      <c r="L254" s="93">
        <v>3203.9957273307186</v>
      </c>
      <c r="M254" s="93">
        <v>3232.9805791576896</v>
      </c>
      <c r="N254" s="93">
        <v>3250.071566597861</v>
      </c>
      <c r="O254" s="93">
        <v>4.8600000000000003</v>
      </c>
    </row>
    <row r="255" spans="1:15">
      <c r="A255" s="81" t="s">
        <v>45</v>
      </c>
      <c r="B255" s="92" t="s">
        <v>50</v>
      </c>
      <c r="C255" s="92" t="s">
        <v>13</v>
      </c>
      <c r="D255" s="92">
        <v>2013</v>
      </c>
      <c r="E255" s="92">
        <v>13</v>
      </c>
      <c r="F255" s="92">
        <v>8981.6261529546755</v>
      </c>
      <c r="G255" s="81">
        <v>5771.1919985903041</v>
      </c>
      <c r="H255" s="92">
        <v>76</v>
      </c>
      <c r="I255" s="81"/>
      <c r="J255" s="93">
        <v>3165.4647728211048</v>
      </c>
      <c r="K255" s="93">
        <v>3182.1453400635678</v>
      </c>
      <c r="L255" s="93">
        <v>3210.4341543643714</v>
      </c>
      <c r="M255" s="93">
        <v>3238.7229686651758</v>
      </c>
      <c r="N255" s="93">
        <v>3255.4035359076329</v>
      </c>
      <c r="O255" s="93">
        <v>4.8600000000000003</v>
      </c>
    </row>
    <row r="256" spans="1:15">
      <c r="A256" s="81" t="s">
        <v>45</v>
      </c>
      <c r="B256" s="92" t="s">
        <v>50</v>
      </c>
      <c r="C256" s="92" t="s">
        <v>13</v>
      </c>
      <c r="D256" s="92">
        <v>2013</v>
      </c>
      <c r="E256" s="92">
        <v>14</v>
      </c>
      <c r="F256" s="92">
        <v>9041.2301970491608</v>
      </c>
      <c r="G256" s="81">
        <v>5809.4908964183505</v>
      </c>
      <c r="H256" s="92">
        <v>87</v>
      </c>
      <c r="I256" s="81"/>
      <c r="J256" s="93">
        <v>3190.3482410260235</v>
      </c>
      <c r="K256" s="93">
        <v>3205.7014953799862</v>
      </c>
      <c r="L256" s="93">
        <v>3231.7393006308102</v>
      </c>
      <c r="M256" s="93">
        <v>3257.7771058816274</v>
      </c>
      <c r="N256" s="93">
        <v>3273.130360235597</v>
      </c>
      <c r="O256" s="93">
        <v>4.8600000000000003</v>
      </c>
    </row>
    <row r="257" spans="1:15">
      <c r="A257" s="81" t="s">
        <v>45</v>
      </c>
      <c r="B257" s="92" t="s">
        <v>50</v>
      </c>
      <c r="C257" s="92" t="s">
        <v>13</v>
      </c>
      <c r="D257" s="92">
        <v>2013</v>
      </c>
      <c r="E257" s="92">
        <v>15</v>
      </c>
      <c r="F257" s="92">
        <v>8882.76928351278</v>
      </c>
      <c r="G257" s="81">
        <v>5707.6709875603501</v>
      </c>
      <c r="H257" s="92">
        <v>98</v>
      </c>
      <c r="I257" s="81"/>
      <c r="J257" s="93">
        <v>3132.3311389295736</v>
      </c>
      <c r="K257" s="93">
        <v>3148.1948313800067</v>
      </c>
      <c r="L257" s="93">
        <v>3175.0982959524295</v>
      </c>
      <c r="M257" s="93">
        <v>3202.0017605248472</v>
      </c>
      <c r="N257" s="93">
        <v>3217.8654529752862</v>
      </c>
      <c r="O257" s="93">
        <v>4.8600000000000003</v>
      </c>
    </row>
    <row r="258" spans="1:15">
      <c r="A258" s="81" t="s">
        <v>45</v>
      </c>
      <c r="B258" s="92" t="s">
        <v>50</v>
      </c>
      <c r="C258" s="92" t="s">
        <v>13</v>
      </c>
      <c r="D258" s="92">
        <v>2013</v>
      </c>
      <c r="E258" s="92">
        <v>16</v>
      </c>
      <c r="F258" s="92">
        <v>8784.9052044344426</v>
      </c>
      <c r="G258" s="81">
        <v>5644.7878992968172</v>
      </c>
      <c r="H258" s="92">
        <v>79</v>
      </c>
      <c r="I258" s="81"/>
      <c r="J258" s="93">
        <v>3098.1088302345911</v>
      </c>
      <c r="K258" s="93">
        <v>3113.6911034686391</v>
      </c>
      <c r="L258" s="93">
        <v>3140.1173051376254</v>
      </c>
      <c r="M258" s="93">
        <v>3166.5435068066104</v>
      </c>
      <c r="N258" s="93">
        <v>3182.1257800406579</v>
      </c>
      <c r="O258" s="93">
        <v>4.8600000000000003</v>
      </c>
    </row>
    <row r="259" spans="1:15">
      <c r="A259" s="81" t="s">
        <v>45</v>
      </c>
      <c r="B259" s="92" t="s">
        <v>50</v>
      </c>
      <c r="C259" s="92" t="s">
        <v>13</v>
      </c>
      <c r="D259" s="92">
        <v>2013</v>
      </c>
      <c r="E259" s="92">
        <v>17</v>
      </c>
      <c r="F259" s="92">
        <v>8627.949388776633</v>
      </c>
      <c r="G259" s="81">
        <v>5543.9350991434085</v>
      </c>
      <c r="H259" s="92">
        <v>88</v>
      </c>
      <c r="I259" s="81"/>
      <c r="J259" s="93">
        <v>3034.0698695362148</v>
      </c>
      <c r="K259" s="93">
        <v>3052.5958360766299</v>
      </c>
      <c r="L259" s="93">
        <v>3084.0142896332245</v>
      </c>
      <c r="M259" s="93">
        <v>3115.4327431898132</v>
      </c>
      <c r="N259" s="93">
        <v>3133.9587097302347</v>
      </c>
      <c r="O259" s="93">
        <v>4.8600000000000003</v>
      </c>
    </row>
    <row r="260" spans="1:15">
      <c r="A260" s="81" t="s">
        <v>45</v>
      </c>
      <c r="B260" s="92" t="s">
        <v>50</v>
      </c>
      <c r="C260" s="92" t="s">
        <v>13</v>
      </c>
      <c r="D260" s="92">
        <v>2013</v>
      </c>
      <c r="E260" s="92">
        <v>18</v>
      </c>
      <c r="F260" s="92">
        <v>8473.189704409755</v>
      </c>
      <c r="G260" s="81">
        <v>5444.4934349155264</v>
      </c>
      <c r="H260" s="92">
        <v>87</v>
      </c>
      <c r="I260" s="81"/>
      <c r="J260" s="93">
        <v>2985.2294098913512</v>
      </c>
      <c r="K260" s="93">
        <v>3001.3526441797062</v>
      </c>
      <c r="L260" s="93">
        <v>3028.696269494229</v>
      </c>
      <c r="M260" s="93">
        <v>3056.0398948087582</v>
      </c>
      <c r="N260" s="93">
        <v>3072.1631290971068</v>
      </c>
      <c r="O260" s="93">
        <v>4.8600000000000003</v>
      </c>
    </row>
    <row r="261" spans="1:15">
      <c r="A261" s="81" t="s">
        <v>45</v>
      </c>
      <c r="B261" s="92" t="s">
        <v>50</v>
      </c>
      <c r="C261" s="92" t="s">
        <v>13</v>
      </c>
      <c r="D261" s="92">
        <v>2013</v>
      </c>
      <c r="E261" s="92">
        <v>19</v>
      </c>
      <c r="F261" s="92">
        <v>8313.2829845160795</v>
      </c>
      <c r="G261" s="81">
        <v>8313.2829845160795</v>
      </c>
      <c r="H261" s="92">
        <v>87</v>
      </c>
      <c r="I261" s="81"/>
      <c r="J261" s="93">
        <v>0</v>
      </c>
      <c r="K261" s="93">
        <v>0</v>
      </c>
      <c r="L261" s="93">
        <v>0</v>
      </c>
      <c r="M261" s="93">
        <v>0</v>
      </c>
      <c r="N261" s="93">
        <v>0</v>
      </c>
      <c r="O261" s="93">
        <v>4.8600000000000003</v>
      </c>
    </row>
    <row r="262" spans="1:15">
      <c r="A262" s="81" t="s">
        <v>45</v>
      </c>
      <c r="B262" s="92" t="s">
        <v>50</v>
      </c>
      <c r="C262" s="92" t="s">
        <v>13</v>
      </c>
      <c r="D262" s="92">
        <v>2013</v>
      </c>
      <c r="E262" s="92">
        <v>20</v>
      </c>
      <c r="F262" s="92">
        <v>8180.0271630832467</v>
      </c>
      <c r="G262" s="81">
        <v>8180.0271630832467</v>
      </c>
      <c r="H262" s="92">
        <v>96</v>
      </c>
      <c r="I262" s="81"/>
      <c r="J262" s="93">
        <v>0</v>
      </c>
      <c r="K262" s="93">
        <v>0</v>
      </c>
      <c r="L262" s="93">
        <v>0</v>
      </c>
      <c r="M262" s="93">
        <v>0</v>
      </c>
      <c r="N262" s="93">
        <v>0</v>
      </c>
      <c r="O262" s="93">
        <v>4.8600000000000003</v>
      </c>
    </row>
    <row r="263" spans="1:15">
      <c r="A263" s="81" t="s">
        <v>45</v>
      </c>
      <c r="B263" s="92" t="s">
        <v>50</v>
      </c>
      <c r="C263" s="92" t="s">
        <v>13</v>
      </c>
      <c r="D263" s="92">
        <v>2013</v>
      </c>
      <c r="E263" s="92">
        <v>21</v>
      </c>
      <c r="F263" s="92">
        <v>8050.8370232427515</v>
      </c>
      <c r="G263" s="81">
        <v>8050.8370232427515</v>
      </c>
      <c r="H263" s="92">
        <v>96</v>
      </c>
      <c r="I263" s="81"/>
      <c r="J263" s="93">
        <v>0</v>
      </c>
      <c r="K263" s="93">
        <v>0</v>
      </c>
      <c r="L263" s="93">
        <v>0</v>
      </c>
      <c r="M263" s="93">
        <v>0</v>
      </c>
      <c r="N263" s="93">
        <v>0</v>
      </c>
      <c r="O263" s="93">
        <v>4.8600000000000003</v>
      </c>
    </row>
    <row r="264" spans="1:15">
      <c r="A264" s="81" t="s">
        <v>45</v>
      </c>
      <c r="B264" s="92" t="s">
        <v>50</v>
      </c>
      <c r="C264" s="92" t="s">
        <v>13</v>
      </c>
      <c r="D264" s="92">
        <v>2013</v>
      </c>
      <c r="E264" s="92">
        <v>22</v>
      </c>
      <c r="F264" s="92">
        <v>7870.7276395450845</v>
      </c>
      <c r="G264" s="81">
        <v>7870.7276395450845</v>
      </c>
      <c r="H264" s="92">
        <v>88</v>
      </c>
      <c r="I264" s="81"/>
      <c r="J264" s="93">
        <v>0</v>
      </c>
      <c r="K264" s="93">
        <v>0</v>
      </c>
      <c r="L264" s="93">
        <v>0</v>
      </c>
      <c r="M264" s="93">
        <v>0</v>
      </c>
      <c r="N264" s="93">
        <v>0</v>
      </c>
      <c r="O264" s="93">
        <v>4.8600000000000003</v>
      </c>
    </row>
    <row r="265" spans="1:15">
      <c r="A265" s="81" t="s">
        <v>45</v>
      </c>
      <c r="B265" s="92" t="s">
        <v>50</v>
      </c>
      <c r="C265" s="92" t="s">
        <v>13</v>
      </c>
      <c r="D265" s="92">
        <v>2013</v>
      </c>
      <c r="E265" s="92">
        <v>23</v>
      </c>
      <c r="F265" s="92">
        <v>7744.2788512286297</v>
      </c>
      <c r="G265" s="81">
        <v>7744.2788512286297</v>
      </c>
      <c r="H265" s="92">
        <v>66</v>
      </c>
      <c r="I265" s="81"/>
      <c r="J265" s="93">
        <v>0</v>
      </c>
      <c r="K265" s="93">
        <v>0</v>
      </c>
      <c r="L265" s="93">
        <v>0</v>
      </c>
      <c r="M265" s="93">
        <v>0</v>
      </c>
      <c r="N265" s="93">
        <v>0</v>
      </c>
      <c r="O265" s="93">
        <v>4.8600000000000003</v>
      </c>
    </row>
    <row r="266" spans="1:15">
      <c r="A266" s="81" t="s">
        <v>45</v>
      </c>
      <c r="B266" s="92" t="s">
        <v>50</v>
      </c>
      <c r="C266" s="92" t="s">
        <v>13</v>
      </c>
      <c r="D266" s="92">
        <v>2013</v>
      </c>
      <c r="E266" s="92">
        <v>24</v>
      </c>
      <c r="F266" s="92">
        <v>7657.6598417728992</v>
      </c>
      <c r="G266" s="81">
        <v>7657.6598417728992</v>
      </c>
      <c r="H266" s="92">
        <v>80</v>
      </c>
      <c r="I266" s="81"/>
      <c r="J266" s="93">
        <v>0</v>
      </c>
      <c r="K266" s="93">
        <v>0</v>
      </c>
      <c r="L266" s="93">
        <v>0</v>
      </c>
      <c r="M266" s="93">
        <v>0</v>
      </c>
      <c r="N266" s="93">
        <v>0</v>
      </c>
      <c r="O266" s="93">
        <v>4.8600000000000003</v>
      </c>
    </row>
    <row r="267" spans="1:15">
      <c r="A267" s="81" t="s">
        <v>45</v>
      </c>
      <c r="B267" s="92" t="s">
        <v>50</v>
      </c>
      <c r="C267" s="92" t="s">
        <v>14</v>
      </c>
      <c r="D267" s="92">
        <v>2013</v>
      </c>
      <c r="E267" s="92">
        <v>1</v>
      </c>
      <c r="F267" s="92">
        <v>7260.5112206445729</v>
      </c>
      <c r="G267" s="81">
        <v>7260.5112206445729</v>
      </c>
      <c r="H267" s="92">
        <v>70</v>
      </c>
      <c r="I267" s="81"/>
      <c r="J267" s="93">
        <v>0</v>
      </c>
      <c r="K267" s="93">
        <v>0</v>
      </c>
      <c r="L267" s="93">
        <v>0</v>
      </c>
      <c r="M267" s="93">
        <v>0</v>
      </c>
      <c r="N267" s="93">
        <v>0</v>
      </c>
      <c r="O267" s="93">
        <v>4.8600000000000003</v>
      </c>
    </row>
    <row r="268" spans="1:15">
      <c r="A268" s="81" t="s">
        <v>45</v>
      </c>
      <c r="B268" s="92" t="s">
        <v>50</v>
      </c>
      <c r="C268" s="92" t="s">
        <v>14</v>
      </c>
      <c r="D268" s="92">
        <v>2013</v>
      </c>
      <c r="E268" s="92">
        <v>2</v>
      </c>
      <c r="F268" s="92">
        <v>7226.962892500108</v>
      </c>
      <c r="G268" s="81">
        <v>7226.962892500108</v>
      </c>
      <c r="H268" s="92">
        <v>77</v>
      </c>
      <c r="I268" s="81"/>
      <c r="J268" s="93">
        <v>0</v>
      </c>
      <c r="K268" s="93">
        <v>0</v>
      </c>
      <c r="L268" s="93">
        <v>0</v>
      </c>
      <c r="M268" s="93">
        <v>0</v>
      </c>
      <c r="N268" s="93">
        <v>0</v>
      </c>
      <c r="O268" s="93">
        <v>4.8600000000000003</v>
      </c>
    </row>
    <row r="269" spans="1:15">
      <c r="A269" s="81" t="s">
        <v>45</v>
      </c>
      <c r="B269" s="92" t="s">
        <v>50</v>
      </c>
      <c r="C269" s="92" t="s">
        <v>14</v>
      </c>
      <c r="D269" s="92">
        <v>2013</v>
      </c>
      <c r="E269" s="92">
        <v>3</v>
      </c>
      <c r="F269" s="92">
        <v>7193.425372747638</v>
      </c>
      <c r="G269" s="81">
        <v>7193.425372747638</v>
      </c>
      <c r="H269" s="92">
        <v>77</v>
      </c>
      <c r="I269" s="81"/>
      <c r="J269" s="93">
        <v>0</v>
      </c>
      <c r="K269" s="93">
        <v>0</v>
      </c>
      <c r="L269" s="93">
        <v>0</v>
      </c>
      <c r="M269" s="93">
        <v>0</v>
      </c>
      <c r="N269" s="93">
        <v>0</v>
      </c>
      <c r="O269" s="93">
        <v>4.8600000000000003</v>
      </c>
    </row>
    <row r="270" spans="1:15">
      <c r="A270" s="81" t="s">
        <v>45</v>
      </c>
      <c r="B270" s="92" t="s">
        <v>50</v>
      </c>
      <c r="C270" s="92" t="s">
        <v>14</v>
      </c>
      <c r="D270" s="92">
        <v>2013</v>
      </c>
      <c r="E270" s="92">
        <v>4</v>
      </c>
      <c r="F270" s="92">
        <v>7181.0605912870515</v>
      </c>
      <c r="G270" s="81">
        <v>7181.0605912870515</v>
      </c>
      <c r="H270" s="92">
        <v>63</v>
      </c>
      <c r="I270" s="81"/>
      <c r="J270" s="93">
        <v>0</v>
      </c>
      <c r="K270" s="93">
        <v>0</v>
      </c>
      <c r="L270" s="93">
        <v>0</v>
      </c>
      <c r="M270" s="93">
        <v>0</v>
      </c>
      <c r="N270" s="93">
        <v>0</v>
      </c>
      <c r="O270" s="93">
        <v>4.8600000000000003</v>
      </c>
    </row>
    <row r="271" spans="1:15">
      <c r="A271" s="81" t="s">
        <v>45</v>
      </c>
      <c r="B271" s="92" t="s">
        <v>50</v>
      </c>
      <c r="C271" s="92" t="s">
        <v>14</v>
      </c>
      <c r="D271" s="92">
        <v>2013</v>
      </c>
      <c r="E271" s="92">
        <v>5</v>
      </c>
      <c r="F271" s="92">
        <v>7220.0448749816887</v>
      </c>
      <c r="G271" s="81">
        <v>7220.0448749816887</v>
      </c>
      <c r="H271" s="92">
        <v>74</v>
      </c>
      <c r="I271" s="81"/>
      <c r="J271" s="93">
        <v>0</v>
      </c>
      <c r="K271" s="93">
        <v>0</v>
      </c>
      <c r="L271" s="93">
        <v>0</v>
      </c>
      <c r="M271" s="93">
        <v>0</v>
      </c>
      <c r="N271" s="93">
        <v>0</v>
      </c>
      <c r="O271" s="93">
        <v>4.8600000000000003</v>
      </c>
    </row>
    <row r="272" spans="1:15">
      <c r="A272" s="81" t="s">
        <v>45</v>
      </c>
      <c r="B272" s="92" t="s">
        <v>50</v>
      </c>
      <c r="C272" s="92" t="s">
        <v>14</v>
      </c>
      <c r="D272" s="92">
        <v>2013</v>
      </c>
      <c r="E272" s="92">
        <v>6</v>
      </c>
      <c r="F272" s="92">
        <v>7281.3519423915022</v>
      </c>
      <c r="G272" s="81">
        <v>7281.3519423915022</v>
      </c>
      <c r="H272" s="92">
        <v>73</v>
      </c>
      <c r="I272" s="81"/>
      <c r="J272" s="93">
        <v>0</v>
      </c>
      <c r="K272" s="93">
        <v>0</v>
      </c>
      <c r="L272" s="93">
        <v>0</v>
      </c>
      <c r="M272" s="93">
        <v>0</v>
      </c>
      <c r="N272" s="93">
        <v>0</v>
      </c>
      <c r="O272" s="93">
        <v>4.8600000000000003</v>
      </c>
    </row>
    <row r="273" spans="1:15">
      <c r="A273" s="81" t="s">
        <v>45</v>
      </c>
      <c r="B273" s="92" t="s">
        <v>50</v>
      </c>
      <c r="C273" s="92" t="s">
        <v>14</v>
      </c>
      <c r="D273" s="92">
        <v>2013</v>
      </c>
      <c r="E273" s="92">
        <v>7</v>
      </c>
      <c r="F273" s="92">
        <v>7432.2317635978761</v>
      </c>
      <c r="G273" s="81">
        <v>7432.2317635978761</v>
      </c>
      <c r="H273" s="92">
        <v>67</v>
      </c>
      <c r="I273" s="81"/>
      <c r="J273" s="93">
        <v>0</v>
      </c>
      <c r="K273" s="93">
        <v>0</v>
      </c>
      <c r="L273" s="93">
        <v>0</v>
      </c>
      <c r="M273" s="93">
        <v>0</v>
      </c>
      <c r="N273" s="93">
        <v>0</v>
      </c>
      <c r="O273" s="93">
        <v>4.8600000000000003</v>
      </c>
    </row>
    <row r="274" spans="1:15">
      <c r="A274" s="81" t="s">
        <v>45</v>
      </c>
      <c r="B274" s="92" t="s">
        <v>50</v>
      </c>
      <c r="C274" s="92" t="s">
        <v>14</v>
      </c>
      <c r="D274" s="92">
        <v>2013</v>
      </c>
      <c r="E274" s="92">
        <v>8</v>
      </c>
      <c r="F274" s="92">
        <v>7720.4760605481388</v>
      </c>
      <c r="G274" s="81">
        <v>7720.4760605481388</v>
      </c>
      <c r="H274" s="92">
        <v>67</v>
      </c>
      <c r="I274" s="81"/>
      <c r="J274" s="93">
        <v>0</v>
      </c>
      <c r="K274" s="93">
        <v>0</v>
      </c>
      <c r="L274" s="93">
        <v>0</v>
      </c>
      <c r="M274" s="93">
        <v>0</v>
      </c>
      <c r="N274" s="93">
        <v>0</v>
      </c>
      <c r="O274" s="93">
        <v>4.8600000000000003</v>
      </c>
    </row>
    <row r="275" spans="1:15">
      <c r="A275" s="81" t="s">
        <v>45</v>
      </c>
      <c r="B275" s="92" t="s">
        <v>50</v>
      </c>
      <c r="C275" s="92" t="s">
        <v>14</v>
      </c>
      <c r="D275" s="92">
        <v>2013</v>
      </c>
      <c r="E275" s="92">
        <v>9</v>
      </c>
      <c r="F275" s="92">
        <v>8294.3415281041016</v>
      </c>
      <c r="G275" s="81">
        <v>8294.3415281041016</v>
      </c>
      <c r="H275" s="92">
        <v>68</v>
      </c>
      <c r="I275" s="81"/>
      <c r="J275" s="93">
        <v>0</v>
      </c>
      <c r="K275" s="93">
        <v>0</v>
      </c>
      <c r="L275" s="93">
        <v>0</v>
      </c>
      <c r="M275" s="93">
        <v>0</v>
      </c>
      <c r="N275" s="93">
        <v>0</v>
      </c>
      <c r="O275" s="93">
        <v>4.8600000000000003</v>
      </c>
    </row>
    <row r="276" spans="1:15">
      <c r="A276" s="81" t="s">
        <v>45</v>
      </c>
      <c r="B276" s="92" t="s">
        <v>50</v>
      </c>
      <c r="C276" s="92" t="s">
        <v>14</v>
      </c>
      <c r="D276" s="92">
        <v>2013</v>
      </c>
      <c r="E276" s="92">
        <v>10</v>
      </c>
      <c r="F276" s="92">
        <v>8559.6522906084701</v>
      </c>
      <c r="G276" s="81">
        <v>8559.6522906084701</v>
      </c>
      <c r="H276" s="92">
        <v>54</v>
      </c>
      <c r="I276" s="81"/>
      <c r="J276" s="93">
        <v>0</v>
      </c>
      <c r="K276" s="93">
        <v>0</v>
      </c>
      <c r="L276" s="93">
        <v>0</v>
      </c>
      <c r="M276" s="93">
        <v>0</v>
      </c>
      <c r="N276" s="93">
        <v>0</v>
      </c>
      <c r="O276" s="93">
        <v>4.8600000000000003</v>
      </c>
    </row>
    <row r="277" spans="1:15">
      <c r="A277" s="81" t="s">
        <v>45</v>
      </c>
      <c r="B277" s="92" t="s">
        <v>50</v>
      </c>
      <c r="C277" s="92" t="s">
        <v>14</v>
      </c>
      <c r="D277" s="92">
        <v>2013</v>
      </c>
      <c r="E277" s="92">
        <v>11</v>
      </c>
      <c r="F277" s="92">
        <v>8758.1621828428833</v>
      </c>
      <c r="G277" s="81">
        <v>5734.041364523292</v>
      </c>
      <c r="H277" s="92">
        <v>77</v>
      </c>
      <c r="I277" s="81"/>
      <c r="J277" s="93">
        <v>2977.1096860578273</v>
      </c>
      <c r="K277" s="93">
        <v>2994.5476032789516</v>
      </c>
      <c r="L277" s="93">
        <v>3024.1208183195913</v>
      </c>
      <c r="M277" s="93">
        <v>3053.6940333602311</v>
      </c>
      <c r="N277" s="93">
        <v>3071.1319505813553</v>
      </c>
      <c r="O277" s="93">
        <v>4.8600000000000003</v>
      </c>
    </row>
    <row r="278" spans="1:15">
      <c r="A278" s="81" t="s">
        <v>45</v>
      </c>
      <c r="B278" s="92" t="s">
        <v>50</v>
      </c>
      <c r="C278" s="92" t="s">
        <v>14</v>
      </c>
      <c r="D278" s="92">
        <v>2013</v>
      </c>
      <c r="E278" s="92">
        <v>12</v>
      </c>
      <c r="F278" s="92">
        <v>8927.5298868979826</v>
      </c>
      <c r="G278" s="81">
        <v>5844.9278040058543</v>
      </c>
      <c r="H278" s="92">
        <v>75</v>
      </c>
      <c r="I278" s="81"/>
      <c r="J278" s="93">
        <v>3038.1301973721188</v>
      </c>
      <c r="K278" s="93">
        <v>3054.626227589963</v>
      </c>
      <c r="L278" s="93">
        <v>3082.6020828921278</v>
      </c>
      <c r="M278" s="93">
        <v>3110.5779381942862</v>
      </c>
      <c r="N278" s="93">
        <v>3127.0739684121309</v>
      </c>
      <c r="O278" s="93">
        <v>4.8600000000000003</v>
      </c>
    </row>
    <row r="279" spans="1:15">
      <c r="A279" s="81" t="s">
        <v>45</v>
      </c>
      <c r="B279" s="92" t="s">
        <v>50</v>
      </c>
      <c r="C279" s="92" t="s">
        <v>14</v>
      </c>
      <c r="D279" s="92">
        <v>2013</v>
      </c>
      <c r="E279" s="92">
        <v>13</v>
      </c>
      <c r="F279" s="92">
        <v>8949.701010363664</v>
      </c>
      <c r="G279" s="81">
        <v>5859.4434222823947</v>
      </c>
      <c r="H279" s="92">
        <v>92</v>
      </c>
      <c r="I279" s="81"/>
      <c r="J279" s="93">
        <v>3046.853643200252</v>
      </c>
      <c r="K279" s="93">
        <v>3062.9535404265275</v>
      </c>
      <c r="L279" s="93">
        <v>3090.2575880812697</v>
      </c>
      <c r="M279" s="93">
        <v>3117.5616357360063</v>
      </c>
      <c r="N279" s="93">
        <v>3133.6615329622828</v>
      </c>
      <c r="O279" s="93">
        <v>4.8600000000000003</v>
      </c>
    </row>
    <row r="280" spans="1:15">
      <c r="A280" s="81" t="s">
        <v>45</v>
      </c>
      <c r="B280" s="92" t="s">
        <v>50</v>
      </c>
      <c r="C280" s="92" t="s">
        <v>14</v>
      </c>
      <c r="D280" s="92">
        <v>2013</v>
      </c>
      <c r="E280" s="92">
        <v>14</v>
      </c>
      <c r="F280" s="92">
        <v>8919.5822512430077</v>
      </c>
      <c r="G280" s="81">
        <v>5839.7244210763783</v>
      </c>
      <c r="H280" s="92">
        <v>95</v>
      </c>
      <c r="I280" s="81"/>
      <c r="J280" s="93">
        <v>3039.9076416606022</v>
      </c>
      <c r="K280" s="93">
        <v>3054.7264313093438</v>
      </c>
      <c r="L280" s="93">
        <v>3079.8578301666289</v>
      </c>
      <c r="M280" s="93">
        <v>3104.9892290239136</v>
      </c>
      <c r="N280" s="93">
        <v>3119.8080186726552</v>
      </c>
      <c r="O280" s="93">
        <v>4.8600000000000003</v>
      </c>
    </row>
    <row r="281" spans="1:15">
      <c r="A281" s="81" t="s">
        <v>45</v>
      </c>
      <c r="B281" s="92" t="s">
        <v>50</v>
      </c>
      <c r="C281" s="92" t="s">
        <v>14</v>
      </c>
      <c r="D281" s="92">
        <v>2013</v>
      </c>
      <c r="E281" s="92">
        <v>15</v>
      </c>
      <c r="F281" s="92">
        <v>8666.5971687037036</v>
      </c>
      <c r="G281" s="81">
        <v>5674.0929909197803</v>
      </c>
      <c r="H281" s="92">
        <v>88</v>
      </c>
      <c r="I281" s="81"/>
      <c r="J281" s="93">
        <v>2951.2257954172051</v>
      </c>
      <c r="K281" s="93">
        <v>2966.5372542164696</v>
      </c>
      <c r="L281" s="93">
        <v>2992.5041777839238</v>
      </c>
      <c r="M281" s="93">
        <v>3018.4711013513788</v>
      </c>
      <c r="N281" s="93">
        <v>3033.7825601506424</v>
      </c>
      <c r="O281" s="93">
        <v>4.8600000000000003</v>
      </c>
    </row>
    <row r="282" spans="1:15">
      <c r="A282" s="81" t="s">
        <v>45</v>
      </c>
      <c r="B282" s="92" t="s">
        <v>50</v>
      </c>
      <c r="C282" s="92" t="s">
        <v>14</v>
      </c>
      <c r="D282" s="92">
        <v>2013</v>
      </c>
      <c r="E282" s="92">
        <v>16</v>
      </c>
      <c r="F282" s="92">
        <v>8591.8984879166856</v>
      </c>
      <c r="G282" s="81">
        <v>5625.1871455419487</v>
      </c>
      <c r="H282" s="92">
        <v>96</v>
      </c>
      <c r="I282" s="81"/>
      <c r="J282" s="93">
        <v>2926.1652315176711</v>
      </c>
      <c r="K282" s="93">
        <v>2941.2050676319573</v>
      </c>
      <c r="L282" s="93">
        <v>2966.7113423747369</v>
      </c>
      <c r="M282" s="93">
        <v>2992.2176171175165</v>
      </c>
      <c r="N282" s="93">
        <v>3007.2574532318026</v>
      </c>
      <c r="O282" s="93">
        <v>4.8600000000000003</v>
      </c>
    </row>
    <row r="283" spans="1:15">
      <c r="A283" s="81" t="s">
        <v>45</v>
      </c>
      <c r="B283" s="92" t="s">
        <v>50</v>
      </c>
      <c r="C283" s="92" t="s">
        <v>14</v>
      </c>
      <c r="D283" s="92">
        <v>2013</v>
      </c>
      <c r="E283" s="92">
        <v>17</v>
      </c>
      <c r="F283" s="92">
        <v>8442.7964521670256</v>
      </c>
      <c r="G283" s="81">
        <v>5527.5688070510223</v>
      </c>
      <c r="H283" s="92">
        <v>89</v>
      </c>
      <c r="I283" s="81"/>
      <c r="J283" s="93">
        <v>2867.0218485804412</v>
      </c>
      <c r="K283" s="93">
        <v>2884.9029046010605</v>
      </c>
      <c r="L283" s="93">
        <v>2915.2276451160028</v>
      </c>
      <c r="M283" s="93">
        <v>2945.5523856309505</v>
      </c>
      <c r="N283" s="93">
        <v>2963.4334416515703</v>
      </c>
      <c r="O283" s="93">
        <v>4.8600000000000003</v>
      </c>
    </row>
    <row r="284" spans="1:15">
      <c r="A284" s="81" t="s">
        <v>45</v>
      </c>
      <c r="B284" s="92" t="s">
        <v>50</v>
      </c>
      <c r="C284" s="92" t="s">
        <v>14</v>
      </c>
      <c r="D284" s="92">
        <v>2013</v>
      </c>
      <c r="E284" s="92">
        <v>18</v>
      </c>
      <c r="F284" s="92">
        <v>8241.1566065824918</v>
      </c>
      <c r="G284" s="81">
        <v>5395.5535290532243</v>
      </c>
      <c r="H284" s="92">
        <v>88</v>
      </c>
      <c r="I284" s="81"/>
      <c r="J284" s="93">
        <v>2803.6493500460715</v>
      </c>
      <c r="K284" s="93">
        <v>2819.2113157289223</v>
      </c>
      <c r="L284" s="93">
        <v>2845.603077529267</v>
      </c>
      <c r="M284" s="93">
        <v>2871.9948393296168</v>
      </c>
      <c r="N284" s="93">
        <v>2887.556805012468</v>
      </c>
      <c r="O284" s="93">
        <v>4.8600000000000003</v>
      </c>
    </row>
    <row r="285" spans="1:15">
      <c r="A285" s="81" t="s">
        <v>45</v>
      </c>
      <c r="B285" s="92" t="s">
        <v>50</v>
      </c>
      <c r="C285" s="92" t="s">
        <v>14</v>
      </c>
      <c r="D285" s="92">
        <v>2013</v>
      </c>
      <c r="E285" s="92">
        <v>19</v>
      </c>
      <c r="F285" s="92">
        <v>8092.0514083639409</v>
      </c>
      <c r="G285" s="81">
        <v>8092.0514083639409</v>
      </c>
      <c r="H285" s="92">
        <v>95</v>
      </c>
      <c r="I285" s="81"/>
      <c r="J285" s="93">
        <v>0</v>
      </c>
      <c r="K285" s="93">
        <v>0</v>
      </c>
      <c r="L285" s="93">
        <v>0</v>
      </c>
      <c r="M285" s="93">
        <v>0</v>
      </c>
      <c r="N285" s="93">
        <v>0</v>
      </c>
      <c r="O285" s="93">
        <v>4.8600000000000003</v>
      </c>
    </row>
    <row r="286" spans="1:15">
      <c r="A286" s="81" t="s">
        <v>45</v>
      </c>
      <c r="B286" s="92" t="s">
        <v>50</v>
      </c>
      <c r="C286" s="92" t="s">
        <v>14</v>
      </c>
      <c r="D286" s="92">
        <v>2013</v>
      </c>
      <c r="E286" s="92">
        <v>20</v>
      </c>
      <c r="F286" s="92">
        <v>7937.6276719153975</v>
      </c>
      <c r="G286" s="81">
        <v>7937.6276719153975</v>
      </c>
      <c r="H286" s="92">
        <v>88</v>
      </c>
      <c r="I286" s="81"/>
      <c r="J286" s="93">
        <v>0</v>
      </c>
      <c r="K286" s="93">
        <v>0</v>
      </c>
      <c r="L286" s="93">
        <v>0</v>
      </c>
      <c r="M286" s="93">
        <v>0</v>
      </c>
      <c r="N286" s="93">
        <v>0</v>
      </c>
      <c r="O286" s="93">
        <v>4.8600000000000003</v>
      </c>
    </row>
    <row r="287" spans="1:15">
      <c r="A287" s="81" t="s">
        <v>45</v>
      </c>
      <c r="B287" s="92" t="s">
        <v>50</v>
      </c>
      <c r="C287" s="92" t="s">
        <v>14</v>
      </c>
      <c r="D287" s="92">
        <v>2013</v>
      </c>
      <c r="E287" s="92">
        <v>21</v>
      </c>
      <c r="F287" s="92">
        <v>7801.7112606906412</v>
      </c>
      <c r="G287" s="81">
        <v>7801.7112606906412</v>
      </c>
      <c r="H287" s="92">
        <v>87</v>
      </c>
      <c r="I287" s="81"/>
      <c r="J287" s="93">
        <v>0</v>
      </c>
      <c r="K287" s="93">
        <v>0</v>
      </c>
      <c r="L287" s="93">
        <v>0</v>
      </c>
      <c r="M287" s="93">
        <v>0</v>
      </c>
      <c r="N287" s="93">
        <v>0</v>
      </c>
      <c r="O287" s="93">
        <v>4.8600000000000003</v>
      </c>
    </row>
    <row r="288" spans="1:15">
      <c r="A288" s="81" t="s">
        <v>45</v>
      </c>
      <c r="B288" s="92" t="s">
        <v>50</v>
      </c>
      <c r="C288" s="92" t="s">
        <v>14</v>
      </c>
      <c r="D288" s="92">
        <v>2013</v>
      </c>
      <c r="E288" s="92">
        <v>22</v>
      </c>
      <c r="F288" s="92">
        <v>7613.2104526082649</v>
      </c>
      <c r="G288" s="81">
        <v>7613.2104526082649</v>
      </c>
      <c r="H288" s="92">
        <v>79</v>
      </c>
      <c r="I288" s="81"/>
      <c r="J288" s="93">
        <v>0</v>
      </c>
      <c r="K288" s="93">
        <v>0</v>
      </c>
      <c r="L288" s="93">
        <v>0</v>
      </c>
      <c r="M288" s="93">
        <v>0</v>
      </c>
      <c r="N288" s="93">
        <v>0</v>
      </c>
      <c r="O288" s="93">
        <v>4.8600000000000003</v>
      </c>
    </row>
    <row r="289" spans="1:15">
      <c r="A289" s="81" t="s">
        <v>45</v>
      </c>
      <c r="B289" s="92" t="s">
        <v>50</v>
      </c>
      <c r="C289" s="92" t="s">
        <v>14</v>
      </c>
      <c r="D289" s="92">
        <v>2013</v>
      </c>
      <c r="E289" s="92">
        <v>23</v>
      </c>
      <c r="F289" s="92">
        <v>7480.4547249897651</v>
      </c>
      <c r="G289" s="81">
        <v>7480.4547249897651</v>
      </c>
      <c r="H289" s="92">
        <v>89</v>
      </c>
      <c r="I289" s="81"/>
      <c r="J289" s="93">
        <v>0</v>
      </c>
      <c r="K289" s="93">
        <v>0</v>
      </c>
      <c r="L289" s="93">
        <v>0</v>
      </c>
      <c r="M289" s="93">
        <v>0</v>
      </c>
      <c r="N289" s="93">
        <v>0</v>
      </c>
      <c r="O289" s="93">
        <v>4.8600000000000003</v>
      </c>
    </row>
    <row r="290" spans="1:15">
      <c r="A290" s="81" t="s">
        <v>45</v>
      </c>
      <c r="B290" s="92" t="s">
        <v>50</v>
      </c>
      <c r="C290" s="92" t="s">
        <v>14</v>
      </c>
      <c r="D290" s="92">
        <v>2013</v>
      </c>
      <c r="E290" s="92">
        <v>24</v>
      </c>
      <c r="F290" s="92">
        <v>7399.5344586701422</v>
      </c>
      <c r="G290" s="81">
        <v>7399.5344586701422</v>
      </c>
      <c r="H290" s="92">
        <v>72</v>
      </c>
      <c r="I290" s="81"/>
      <c r="J290" s="93">
        <v>0</v>
      </c>
      <c r="K290" s="93">
        <v>0</v>
      </c>
      <c r="L290" s="93">
        <v>0</v>
      </c>
      <c r="M290" s="93">
        <v>0</v>
      </c>
      <c r="N290" s="93">
        <v>0</v>
      </c>
      <c r="O290" s="93">
        <v>4.8600000000000003</v>
      </c>
    </row>
    <row r="291" spans="1:15">
      <c r="A291" s="81" t="s">
        <v>45</v>
      </c>
      <c r="B291" s="92" t="s">
        <v>50</v>
      </c>
      <c r="C291" s="92" t="s">
        <v>15</v>
      </c>
      <c r="D291" s="92">
        <v>2013</v>
      </c>
      <c r="E291" s="92">
        <v>1</v>
      </c>
      <c r="F291" s="92">
        <v>7644.2248321454063</v>
      </c>
      <c r="G291" s="81">
        <v>7644.2248321454063</v>
      </c>
      <c r="H291" s="92">
        <v>75</v>
      </c>
      <c r="I291" s="81"/>
      <c r="J291" s="93">
        <v>0</v>
      </c>
      <c r="K291" s="93">
        <v>0</v>
      </c>
      <c r="L291" s="93">
        <v>0</v>
      </c>
      <c r="M291" s="93">
        <v>0</v>
      </c>
      <c r="N291" s="93">
        <v>0</v>
      </c>
      <c r="O291" s="93">
        <v>4.8600000000000003</v>
      </c>
    </row>
    <row r="292" spans="1:15">
      <c r="A292" s="81" t="s">
        <v>45</v>
      </c>
      <c r="B292" s="92" t="s">
        <v>50</v>
      </c>
      <c r="C292" s="92" t="s">
        <v>15</v>
      </c>
      <c r="D292" s="92">
        <v>2013</v>
      </c>
      <c r="E292" s="92">
        <v>2</v>
      </c>
      <c r="F292" s="92">
        <v>7592.2600983642296</v>
      </c>
      <c r="G292" s="81">
        <v>7592.2600983642296</v>
      </c>
      <c r="H292" s="92">
        <v>79</v>
      </c>
      <c r="I292" s="81"/>
      <c r="J292" s="93">
        <v>0</v>
      </c>
      <c r="K292" s="93">
        <v>0</v>
      </c>
      <c r="L292" s="93">
        <v>0</v>
      </c>
      <c r="M292" s="93">
        <v>0</v>
      </c>
      <c r="N292" s="93">
        <v>0</v>
      </c>
      <c r="O292" s="93">
        <v>4.8600000000000003</v>
      </c>
    </row>
    <row r="293" spans="1:15">
      <c r="A293" s="81" t="s">
        <v>45</v>
      </c>
      <c r="B293" s="92" t="s">
        <v>50</v>
      </c>
      <c r="C293" s="92" t="s">
        <v>15</v>
      </c>
      <c r="D293" s="92">
        <v>2013</v>
      </c>
      <c r="E293" s="92">
        <v>3</v>
      </c>
      <c r="F293" s="92">
        <v>7553.0791084494194</v>
      </c>
      <c r="G293" s="81">
        <v>7553.0791084494194</v>
      </c>
      <c r="H293" s="92">
        <v>71</v>
      </c>
      <c r="I293" s="81"/>
      <c r="J293" s="93">
        <v>0</v>
      </c>
      <c r="K293" s="93">
        <v>0</v>
      </c>
      <c r="L293" s="93">
        <v>0</v>
      </c>
      <c r="M293" s="93">
        <v>0</v>
      </c>
      <c r="N293" s="93">
        <v>0</v>
      </c>
      <c r="O293" s="93">
        <v>4.8600000000000003</v>
      </c>
    </row>
    <row r="294" spans="1:15">
      <c r="A294" s="81" t="s">
        <v>45</v>
      </c>
      <c r="B294" s="92" t="s">
        <v>50</v>
      </c>
      <c r="C294" s="92" t="s">
        <v>15</v>
      </c>
      <c r="D294" s="92">
        <v>2013</v>
      </c>
      <c r="E294" s="92">
        <v>4</v>
      </c>
      <c r="F294" s="92">
        <v>7570.3209563421551</v>
      </c>
      <c r="G294" s="81">
        <v>7570.3209563421551</v>
      </c>
      <c r="H294" s="92">
        <v>68</v>
      </c>
      <c r="I294" s="81"/>
      <c r="J294" s="93">
        <v>0</v>
      </c>
      <c r="K294" s="93">
        <v>0</v>
      </c>
      <c r="L294" s="93">
        <v>0</v>
      </c>
      <c r="M294" s="93">
        <v>0</v>
      </c>
      <c r="N294" s="93">
        <v>0</v>
      </c>
      <c r="O294" s="93">
        <v>4.8600000000000003</v>
      </c>
    </row>
    <row r="295" spans="1:15">
      <c r="A295" s="81" t="s">
        <v>45</v>
      </c>
      <c r="B295" s="92" t="s">
        <v>50</v>
      </c>
      <c r="C295" s="92" t="s">
        <v>15</v>
      </c>
      <c r="D295" s="92">
        <v>2013</v>
      </c>
      <c r="E295" s="92">
        <v>5</v>
      </c>
      <c r="F295" s="92">
        <v>7608.0636697582922</v>
      </c>
      <c r="G295" s="81">
        <v>7608.0636697582922</v>
      </c>
      <c r="H295" s="92">
        <v>72</v>
      </c>
      <c r="I295" s="81"/>
      <c r="J295" s="93">
        <v>0</v>
      </c>
      <c r="K295" s="93">
        <v>0</v>
      </c>
      <c r="L295" s="93">
        <v>0</v>
      </c>
      <c r="M295" s="93">
        <v>0</v>
      </c>
      <c r="N295" s="93">
        <v>0</v>
      </c>
      <c r="O295" s="93">
        <v>4.8600000000000003</v>
      </c>
    </row>
    <row r="296" spans="1:15">
      <c r="A296" s="81" t="s">
        <v>45</v>
      </c>
      <c r="B296" s="92" t="s">
        <v>50</v>
      </c>
      <c r="C296" s="92" t="s">
        <v>15</v>
      </c>
      <c r="D296" s="92">
        <v>2013</v>
      </c>
      <c r="E296" s="92">
        <v>6</v>
      </c>
      <c r="F296" s="92">
        <v>7654.6498436191123</v>
      </c>
      <c r="G296" s="81">
        <v>7654.6498436191123</v>
      </c>
      <c r="H296" s="92">
        <v>61</v>
      </c>
      <c r="I296" s="81"/>
      <c r="J296" s="93">
        <v>0</v>
      </c>
      <c r="K296" s="93">
        <v>0</v>
      </c>
      <c r="L296" s="93">
        <v>0</v>
      </c>
      <c r="M296" s="93">
        <v>0</v>
      </c>
      <c r="N296" s="93">
        <v>0</v>
      </c>
      <c r="O296" s="93">
        <v>4.8600000000000003</v>
      </c>
    </row>
    <row r="297" spans="1:15">
      <c r="A297" s="81" t="s">
        <v>45</v>
      </c>
      <c r="B297" s="92" t="s">
        <v>50</v>
      </c>
      <c r="C297" s="92" t="s">
        <v>15</v>
      </c>
      <c r="D297" s="92">
        <v>2013</v>
      </c>
      <c r="E297" s="92">
        <v>7</v>
      </c>
      <c r="F297" s="92">
        <v>7727.1789339550724</v>
      </c>
      <c r="G297" s="81">
        <v>7727.1789339550724</v>
      </c>
      <c r="H297" s="92">
        <v>69</v>
      </c>
      <c r="I297" s="81"/>
      <c r="J297" s="93">
        <v>0</v>
      </c>
      <c r="K297" s="93">
        <v>0</v>
      </c>
      <c r="L297" s="93">
        <v>0</v>
      </c>
      <c r="M297" s="93">
        <v>0</v>
      </c>
      <c r="N297" s="93">
        <v>0</v>
      </c>
      <c r="O297" s="93">
        <v>4.8600000000000003</v>
      </c>
    </row>
    <row r="298" spans="1:15">
      <c r="A298" s="81" t="s">
        <v>45</v>
      </c>
      <c r="B298" s="92" t="s">
        <v>50</v>
      </c>
      <c r="C298" s="92" t="s">
        <v>15</v>
      </c>
      <c r="D298" s="92">
        <v>2013</v>
      </c>
      <c r="E298" s="92">
        <v>8</v>
      </c>
      <c r="F298" s="92">
        <v>7889.1176612403015</v>
      </c>
      <c r="G298" s="81">
        <v>7889.1176612403015</v>
      </c>
      <c r="H298" s="92">
        <v>71</v>
      </c>
      <c r="I298" s="81"/>
      <c r="J298" s="93">
        <v>0</v>
      </c>
      <c r="K298" s="93">
        <v>0</v>
      </c>
      <c r="L298" s="93">
        <v>0</v>
      </c>
      <c r="M298" s="93">
        <v>0</v>
      </c>
      <c r="N298" s="93">
        <v>0</v>
      </c>
      <c r="O298" s="93">
        <v>4.8600000000000003</v>
      </c>
    </row>
    <row r="299" spans="1:15">
      <c r="A299" s="81" t="s">
        <v>45</v>
      </c>
      <c r="B299" s="92" t="s">
        <v>50</v>
      </c>
      <c r="C299" s="92" t="s">
        <v>15</v>
      </c>
      <c r="D299" s="92">
        <v>2013</v>
      </c>
      <c r="E299" s="92">
        <v>9</v>
      </c>
      <c r="F299" s="92">
        <v>8742.0345238511909</v>
      </c>
      <c r="G299" s="81">
        <v>8742.0345238511909</v>
      </c>
      <c r="H299" s="92">
        <v>65</v>
      </c>
      <c r="I299" s="81"/>
      <c r="J299" s="93">
        <v>0</v>
      </c>
      <c r="K299" s="93">
        <v>0</v>
      </c>
      <c r="L299" s="93">
        <v>0</v>
      </c>
      <c r="M299" s="93">
        <v>0</v>
      </c>
      <c r="N299" s="93">
        <v>0</v>
      </c>
      <c r="O299" s="93">
        <v>4.8600000000000003</v>
      </c>
    </row>
    <row r="300" spans="1:15">
      <c r="A300" s="81" t="s">
        <v>45</v>
      </c>
      <c r="B300" s="92" t="s">
        <v>50</v>
      </c>
      <c r="C300" s="92" t="s">
        <v>15</v>
      </c>
      <c r="D300" s="92">
        <v>2013</v>
      </c>
      <c r="E300" s="92">
        <v>10</v>
      </c>
      <c r="F300" s="92">
        <v>9034.0724524542275</v>
      </c>
      <c r="G300" s="81">
        <v>9034.0724524542275</v>
      </c>
      <c r="H300" s="92">
        <v>71</v>
      </c>
      <c r="I300" s="81"/>
      <c r="J300" s="93">
        <v>0</v>
      </c>
      <c r="K300" s="93">
        <v>0</v>
      </c>
      <c r="L300" s="93">
        <v>0</v>
      </c>
      <c r="M300" s="93">
        <v>0</v>
      </c>
      <c r="N300" s="93">
        <v>0</v>
      </c>
      <c r="O300" s="93">
        <v>4.8600000000000003</v>
      </c>
    </row>
    <row r="301" spans="1:15">
      <c r="A301" s="81" t="s">
        <v>45</v>
      </c>
      <c r="B301" s="92" t="s">
        <v>50</v>
      </c>
      <c r="C301" s="92" t="s">
        <v>15</v>
      </c>
      <c r="D301" s="92">
        <v>2013</v>
      </c>
      <c r="E301" s="92">
        <v>11</v>
      </c>
      <c r="F301" s="92">
        <v>9333.6580288278565</v>
      </c>
      <c r="G301" s="81">
        <v>5664.5055218239977</v>
      </c>
      <c r="H301" s="92">
        <v>55</v>
      </c>
      <c r="I301" s="81"/>
      <c r="J301" s="93">
        <v>3595.8320955836225</v>
      </c>
      <c r="K301" s="93">
        <v>3623.0289573364048</v>
      </c>
      <c r="L301" s="93">
        <v>3669.1525070038592</v>
      </c>
      <c r="M301" s="93">
        <v>3715.276056671315</v>
      </c>
      <c r="N301" s="93">
        <v>3742.47291842409</v>
      </c>
      <c r="O301" s="93">
        <v>4.8600000000000003</v>
      </c>
    </row>
    <row r="302" spans="1:15">
      <c r="A302" s="81" t="s">
        <v>45</v>
      </c>
      <c r="B302" s="92" t="s">
        <v>50</v>
      </c>
      <c r="C302" s="92" t="s">
        <v>15</v>
      </c>
      <c r="D302" s="92">
        <v>2013</v>
      </c>
      <c r="E302" s="92">
        <v>12</v>
      </c>
      <c r="F302" s="92">
        <v>9554.9650527705344</v>
      </c>
      <c r="G302" s="81">
        <v>5798.8145842805279</v>
      </c>
      <c r="H302" s="92">
        <v>73</v>
      </c>
      <c r="I302" s="81"/>
      <c r="J302" s="93">
        <v>3686.7903661890341</v>
      </c>
      <c r="K302" s="93">
        <v>3712.51822391512</v>
      </c>
      <c r="L302" s="93">
        <v>3756.1504684900069</v>
      </c>
      <c r="M302" s="93">
        <v>3799.782713064887</v>
      </c>
      <c r="N302" s="93">
        <v>3825.5105707909788</v>
      </c>
      <c r="O302" s="93">
        <v>4.8600000000000003</v>
      </c>
    </row>
    <row r="303" spans="1:15">
      <c r="A303" s="81" t="s">
        <v>45</v>
      </c>
      <c r="B303" s="92" t="s">
        <v>50</v>
      </c>
      <c r="C303" s="92" t="s">
        <v>15</v>
      </c>
      <c r="D303" s="92">
        <v>2013</v>
      </c>
      <c r="E303" s="92">
        <v>13</v>
      </c>
      <c r="F303" s="92">
        <v>9586.7392085123374</v>
      </c>
      <c r="G303" s="81">
        <v>5818.0980077887425</v>
      </c>
      <c r="H303" s="92">
        <v>58</v>
      </c>
      <c r="I303" s="81"/>
      <c r="J303" s="93">
        <v>3700.9467006588579</v>
      </c>
      <c r="K303" s="93">
        <v>3726.0567337863613</v>
      </c>
      <c r="L303" s="93">
        <v>3768.6412007235949</v>
      </c>
      <c r="M303" s="93">
        <v>3811.2256676608295</v>
      </c>
      <c r="N303" s="93">
        <v>3836.3357007883274</v>
      </c>
      <c r="O303" s="93">
        <v>4.8600000000000003</v>
      </c>
    </row>
    <row r="304" spans="1:15">
      <c r="A304" s="81" t="s">
        <v>45</v>
      </c>
      <c r="B304" s="92" t="s">
        <v>50</v>
      </c>
      <c r="C304" s="92" t="s">
        <v>15</v>
      </c>
      <c r="D304" s="92">
        <v>2013</v>
      </c>
      <c r="E304" s="92">
        <v>14</v>
      </c>
      <c r="F304" s="92">
        <v>9571.8866381434982</v>
      </c>
      <c r="G304" s="81">
        <v>5809.0841284921453</v>
      </c>
      <c r="H304" s="92">
        <v>70</v>
      </c>
      <c r="I304" s="81"/>
      <c r="J304" s="93">
        <v>3700.4946239091382</v>
      </c>
      <c r="K304" s="93">
        <v>3723.6065912564882</v>
      </c>
      <c r="L304" s="93">
        <v>3762.8025096513529</v>
      </c>
      <c r="M304" s="93">
        <v>3801.9984280462099</v>
      </c>
      <c r="N304" s="93">
        <v>3825.1103953935599</v>
      </c>
      <c r="O304" s="93">
        <v>4.8600000000000003</v>
      </c>
    </row>
    <row r="305" spans="1:15">
      <c r="A305" s="81" t="s">
        <v>45</v>
      </c>
      <c r="B305" s="92" t="s">
        <v>50</v>
      </c>
      <c r="C305" s="92" t="s">
        <v>15</v>
      </c>
      <c r="D305" s="92">
        <v>2013</v>
      </c>
      <c r="E305" s="92">
        <v>15</v>
      </c>
      <c r="F305" s="92">
        <v>9371.6836590622679</v>
      </c>
      <c r="G305" s="81">
        <v>5687.582903893106</v>
      </c>
      <c r="H305" s="92">
        <v>84</v>
      </c>
      <c r="I305" s="81"/>
      <c r="J305" s="93">
        <v>3619.7213660270891</v>
      </c>
      <c r="K305" s="93">
        <v>3643.6017195645231</v>
      </c>
      <c r="L305" s="93">
        <v>3684.1007551691623</v>
      </c>
      <c r="M305" s="93">
        <v>3724.5997907738019</v>
      </c>
      <c r="N305" s="93">
        <v>3748.4801443112351</v>
      </c>
      <c r="O305" s="93">
        <v>4.8600000000000003</v>
      </c>
    </row>
    <row r="306" spans="1:15">
      <c r="A306" s="81" t="s">
        <v>45</v>
      </c>
      <c r="B306" s="92" t="s">
        <v>50</v>
      </c>
      <c r="C306" s="92" t="s">
        <v>15</v>
      </c>
      <c r="D306" s="92">
        <v>2013</v>
      </c>
      <c r="E306" s="92">
        <v>16</v>
      </c>
      <c r="F306" s="92">
        <v>9266.8364808690894</v>
      </c>
      <c r="G306" s="81">
        <v>5623.9521796916633</v>
      </c>
      <c r="H306" s="92">
        <v>89</v>
      </c>
      <c r="I306" s="81"/>
      <c r="J306" s="93">
        <v>3579.6469914913509</v>
      </c>
      <c r="K306" s="93">
        <v>3603.1037116029252</v>
      </c>
      <c r="L306" s="93">
        <v>3642.8843011774261</v>
      </c>
      <c r="M306" s="93">
        <v>3682.6648907519329</v>
      </c>
      <c r="N306" s="93">
        <v>3706.1216108635017</v>
      </c>
      <c r="O306" s="93">
        <v>4.8600000000000003</v>
      </c>
    </row>
    <row r="307" spans="1:15">
      <c r="A307" s="81" t="s">
        <v>45</v>
      </c>
      <c r="B307" s="92" t="s">
        <v>50</v>
      </c>
      <c r="C307" s="92" t="s">
        <v>15</v>
      </c>
      <c r="D307" s="92">
        <v>2013</v>
      </c>
      <c r="E307" s="92">
        <v>17</v>
      </c>
      <c r="F307" s="92">
        <v>9147.663888717072</v>
      </c>
      <c r="G307" s="81">
        <v>5551.6275022489917</v>
      </c>
      <c r="H307" s="92">
        <v>91</v>
      </c>
      <c r="I307" s="81"/>
      <c r="J307" s="93">
        <v>3520.852729645113</v>
      </c>
      <c r="K307" s="93">
        <v>3548.7407281038663</v>
      </c>
      <c r="L307" s="93">
        <v>3596.0363864680808</v>
      </c>
      <c r="M307" s="93">
        <v>3643.3320448323016</v>
      </c>
      <c r="N307" s="93">
        <v>3671.2200432910554</v>
      </c>
      <c r="O307" s="93">
        <v>4.8600000000000003</v>
      </c>
    </row>
    <row r="308" spans="1:15">
      <c r="A308" s="81" t="s">
        <v>45</v>
      </c>
      <c r="B308" s="92" t="s">
        <v>50</v>
      </c>
      <c r="C308" s="92" t="s">
        <v>15</v>
      </c>
      <c r="D308" s="92">
        <v>2013</v>
      </c>
      <c r="E308" s="92">
        <v>18</v>
      </c>
      <c r="F308" s="92">
        <v>8949.2723018332617</v>
      </c>
      <c r="G308" s="81">
        <v>5431.2255938101089</v>
      </c>
      <c r="H308" s="92">
        <v>78</v>
      </c>
      <c r="I308" s="81"/>
      <c r="J308" s="93">
        <v>3452.6140240675181</v>
      </c>
      <c r="K308" s="93">
        <v>3476.8850779962145</v>
      </c>
      <c r="L308" s="93">
        <v>3518.0467080231529</v>
      </c>
      <c r="M308" s="93">
        <v>3559.2083380500912</v>
      </c>
      <c r="N308" s="93">
        <v>3583.4793919787876</v>
      </c>
      <c r="O308" s="93">
        <v>4.8600000000000003</v>
      </c>
    </row>
    <row r="309" spans="1:15">
      <c r="A309" s="81" t="s">
        <v>45</v>
      </c>
      <c r="B309" s="92" t="s">
        <v>50</v>
      </c>
      <c r="C309" s="92" t="s">
        <v>15</v>
      </c>
      <c r="D309" s="92">
        <v>2013</v>
      </c>
      <c r="E309" s="92">
        <v>19</v>
      </c>
      <c r="F309" s="92">
        <v>8747.9435011982168</v>
      </c>
      <c r="G309" s="81">
        <v>8747.9435011982168</v>
      </c>
      <c r="H309" s="92">
        <v>95</v>
      </c>
      <c r="I309" s="81"/>
      <c r="J309" s="93">
        <v>0</v>
      </c>
      <c r="K309" s="93">
        <v>0</v>
      </c>
      <c r="L309" s="93">
        <v>0</v>
      </c>
      <c r="M309" s="93">
        <v>0</v>
      </c>
      <c r="N309" s="93">
        <v>0</v>
      </c>
      <c r="O309" s="93">
        <v>4.8600000000000003</v>
      </c>
    </row>
    <row r="310" spans="1:15">
      <c r="A310" s="81" t="s">
        <v>45</v>
      </c>
      <c r="B310" s="92" t="s">
        <v>50</v>
      </c>
      <c r="C310" s="92" t="s">
        <v>15</v>
      </c>
      <c r="D310" s="92">
        <v>2013</v>
      </c>
      <c r="E310" s="92">
        <v>20</v>
      </c>
      <c r="F310" s="92">
        <v>8433.107728226918</v>
      </c>
      <c r="G310" s="81">
        <v>8433.107728226918</v>
      </c>
      <c r="H310" s="92">
        <v>77</v>
      </c>
      <c r="I310" s="81"/>
      <c r="J310" s="93">
        <v>0</v>
      </c>
      <c r="K310" s="93">
        <v>0</v>
      </c>
      <c r="L310" s="93">
        <v>0</v>
      </c>
      <c r="M310" s="93">
        <v>0</v>
      </c>
      <c r="N310" s="93">
        <v>0</v>
      </c>
      <c r="O310" s="93">
        <v>4.8600000000000003</v>
      </c>
    </row>
    <row r="311" spans="1:15">
      <c r="A311" s="81" t="s">
        <v>45</v>
      </c>
      <c r="B311" s="92" t="s">
        <v>50</v>
      </c>
      <c r="C311" s="92" t="s">
        <v>15</v>
      </c>
      <c r="D311" s="92">
        <v>2013</v>
      </c>
      <c r="E311" s="92">
        <v>21</v>
      </c>
      <c r="F311" s="92">
        <v>8249.1776803636076</v>
      </c>
      <c r="G311" s="81">
        <v>8249.1776803636076</v>
      </c>
      <c r="H311" s="92">
        <v>82</v>
      </c>
      <c r="I311" s="81"/>
      <c r="J311" s="93">
        <v>0</v>
      </c>
      <c r="K311" s="93">
        <v>0</v>
      </c>
      <c r="L311" s="93">
        <v>0</v>
      </c>
      <c r="M311" s="93">
        <v>0</v>
      </c>
      <c r="N311" s="93">
        <v>0</v>
      </c>
      <c r="O311" s="93">
        <v>4.8600000000000003</v>
      </c>
    </row>
    <row r="312" spans="1:15">
      <c r="A312" s="81" t="s">
        <v>45</v>
      </c>
      <c r="B312" s="92" t="s">
        <v>50</v>
      </c>
      <c r="C312" s="92" t="s">
        <v>15</v>
      </c>
      <c r="D312" s="92">
        <v>2013</v>
      </c>
      <c r="E312" s="92">
        <v>22</v>
      </c>
      <c r="F312" s="92">
        <v>8041.488974410202</v>
      </c>
      <c r="G312" s="81">
        <v>8041.488974410202</v>
      </c>
      <c r="H312" s="92">
        <v>77</v>
      </c>
      <c r="I312" s="81"/>
      <c r="J312" s="93">
        <v>0</v>
      </c>
      <c r="K312" s="93">
        <v>0</v>
      </c>
      <c r="L312" s="93">
        <v>0</v>
      </c>
      <c r="M312" s="93">
        <v>0</v>
      </c>
      <c r="N312" s="93">
        <v>0</v>
      </c>
      <c r="O312" s="93">
        <v>4.8600000000000003</v>
      </c>
    </row>
    <row r="313" spans="1:15">
      <c r="A313" s="81" t="s">
        <v>45</v>
      </c>
      <c r="B313" s="92" t="s">
        <v>50</v>
      </c>
      <c r="C313" s="92" t="s">
        <v>15</v>
      </c>
      <c r="D313" s="92">
        <v>2013</v>
      </c>
      <c r="E313" s="92">
        <v>23</v>
      </c>
      <c r="F313" s="92">
        <v>7893.5719339453181</v>
      </c>
      <c r="G313" s="81">
        <v>7893.5719339453181</v>
      </c>
      <c r="H313" s="92">
        <v>73</v>
      </c>
      <c r="I313" s="81"/>
      <c r="J313" s="93">
        <v>0</v>
      </c>
      <c r="K313" s="93">
        <v>0</v>
      </c>
      <c r="L313" s="93">
        <v>0</v>
      </c>
      <c r="M313" s="93">
        <v>0</v>
      </c>
      <c r="N313" s="93">
        <v>0</v>
      </c>
      <c r="O313" s="93">
        <v>4.8600000000000003</v>
      </c>
    </row>
    <row r="314" spans="1:15">
      <c r="A314" s="81" t="s">
        <v>45</v>
      </c>
      <c r="B314" s="92" t="s">
        <v>50</v>
      </c>
      <c r="C314" s="92" t="s">
        <v>15</v>
      </c>
      <c r="D314" s="92">
        <v>2013</v>
      </c>
      <c r="E314" s="92">
        <v>24</v>
      </c>
      <c r="F314" s="92">
        <v>7780.1074094048372</v>
      </c>
      <c r="G314" s="81">
        <v>7780.1074094048372</v>
      </c>
      <c r="H314" s="92">
        <v>76</v>
      </c>
      <c r="I314" s="81"/>
      <c r="J314" s="93">
        <v>0</v>
      </c>
      <c r="K314" s="93">
        <v>0</v>
      </c>
      <c r="L314" s="93">
        <v>0</v>
      </c>
      <c r="M314" s="93">
        <v>0</v>
      </c>
      <c r="N314" s="93">
        <v>0</v>
      </c>
      <c r="O314" s="93">
        <v>4.8600000000000003</v>
      </c>
    </row>
    <row r="315" spans="1:15">
      <c r="A315" s="81" t="s">
        <v>45</v>
      </c>
      <c r="B315" s="92" t="s">
        <v>50</v>
      </c>
      <c r="C315" s="92" t="s">
        <v>16</v>
      </c>
      <c r="D315" s="92">
        <v>2013</v>
      </c>
      <c r="E315" s="92">
        <v>1</v>
      </c>
      <c r="F315" s="92">
        <v>7823.944173384526</v>
      </c>
      <c r="G315" s="81">
        <v>7823.944173384526</v>
      </c>
      <c r="H315" s="92">
        <v>78</v>
      </c>
      <c r="I315" s="81"/>
      <c r="J315" s="93">
        <v>0</v>
      </c>
      <c r="K315" s="93">
        <v>0</v>
      </c>
      <c r="L315" s="93">
        <v>0</v>
      </c>
      <c r="M315" s="93">
        <v>0</v>
      </c>
      <c r="N315" s="93">
        <v>0</v>
      </c>
      <c r="O315" s="93">
        <v>4.8600000000000003</v>
      </c>
    </row>
    <row r="316" spans="1:15">
      <c r="A316" s="81" t="s">
        <v>45</v>
      </c>
      <c r="B316" s="92" t="s">
        <v>50</v>
      </c>
      <c r="C316" s="92" t="s">
        <v>16</v>
      </c>
      <c r="D316" s="92">
        <v>2013</v>
      </c>
      <c r="E316" s="92">
        <v>2</v>
      </c>
      <c r="F316" s="92">
        <v>7767.6879208551945</v>
      </c>
      <c r="G316" s="81">
        <v>7767.6879208551945</v>
      </c>
      <c r="H316" s="92">
        <v>77</v>
      </c>
      <c r="I316" s="81"/>
      <c r="J316" s="93">
        <v>0</v>
      </c>
      <c r="K316" s="93">
        <v>0</v>
      </c>
      <c r="L316" s="93">
        <v>0</v>
      </c>
      <c r="M316" s="93">
        <v>0</v>
      </c>
      <c r="N316" s="93">
        <v>0</v>
      </c>
      <c r="O316" s="93">
        <v>4.8600000000000003</v>
      </c>
    </row>
    <row r="317" spans="1:15">
      <c r="A317" s="81" t="s">
        <v>45</v>
      </c>
      <c r="B317" s="92" t="s">
        <v>50</v>
      </c>
      <c r="C317" s="92" t="s">
        <v>16</v>
      </c>
      <c r="D317" s="92">
        <v>2013</v>
      </c>
      <c r="E317" s="92">
        <v>3</v>
      </c>
      <c r="F317" s="92">
        <v>7724.5020113752498</v>
      </c>
      <c r="G317" s="81">
        <v>7724.5020113752498</v>
      </c>
      <c r="H317" s="92">
        <v>64</v>
      </c>
      <c r="I317" s="81"/>
      <c r="J317" s="93">
        <v>0</v>
      </c>
      <c r="K317" s="93">
        <v>0</v>
      </c>
      <c r="L317" s="93">
        <v>0</v>
      </c>
      <c r="M317" s="93">
        <v>0</v>
      </c>
      <c r="N317" s="93">
        <v>0</v>
      </c>
      <c r="O317" s="93">
        <v>4.8600000000000003</v>
      </c>
    </row>
    <row r="318" spans="1:15">
      <c r="A318" s="81" t="s">
        <v>45</v>
      </c>
      <c r="B318" s="92" t="s">
        <v>50</v>
      </c>
      <c r="C318" s="92" t="s">
        <v>16</v>
      </c>
      <c r="D318" s="92">
        <v>2013</v>
      </c>
      <c r="E318" s="92">
        <v>4</v>
      </c>
      <c r="F318" s="92">
        <v>7713.6094741850375</v>
      </c>
      <c r="G318" s="81">
        <v>7713.6094741850375</v>
      </c>
      <c r="H318" s="92">
        <v>75</v>
      </c>
      <c r="I318" s="81"/>
      <c r="J318" s="93">
        <v>0</v>
      </c>
      <c r="K318" s="93">
        <v>0</v>
      </c>
      <c r="L318" s="93">
        <v>0</v>
      </c>
      <c r="M318" s="93">
        <v>0</v>
      </c>
      <c r="N318" s="93">
        <v>0</v>
      </c>
      <c r="O318" s="93">
        <v>4.8600000000000003</v>
      </c>
    </row>
    <row r="319" spans="1:15">
      <c r="A319" s="81" t="s">
        <v>45</v>
      </c>
      <c r="B319" s="92" t="s">
        <v>50</v>
      </c>
      <c r="C319" s="92" t="s">
        <v>16</v>
      </c>
      <c r="D319" s="92">
        <v>2013</v>
      </c>
      <c r="E319" s="92">
        <v>5</v>
      </c>
      <c r="F319" s="92">
        <v>7730.3974826700587</v>
      </c>
      <c r="G319" s="81">
        <v>7730.3974826700587</v>
      </c>
      <c r="H319" s="92">
        <v>72</v>
      </c>
      <c r="I319" s="81"/>
      <c r="J319" s="93">
        <v>0</v>
      </c>
      <c r="K319" s="93">
        <v>0</v>
      </c>
      <c r="L319" s="93">
        <v>0</v>
      </c>
      <c r="M319" s="93">
        <v>0</v>
      </c>
      <c r="N319" s="93">
        <v>0</v>
      </c>
      <c r="O319" s="93">
        <v>4.8600000000000003</v>
      </c>
    </row>
    <row r="320" spans="1:15">
      <c r="A320" s="81" t="s">
        <v>45</v>
      </c>
      <c r="B320" s="92" t="s">
        <v>50</v>
      </c>
      <c r="C320" s="92" t="s">
        <v>16</v>
      </c>
      <c r="D320" s="92">
        <v>2013</v>
      </c>
      <c r="E320" s="92">
        <v>6</v>
      </c>
      <c r="F320" s="92">
        <v>7784.7924969571832</v>
      </c>
      <c r="G320" s="81">
        <v>7784.7924969571832</v>
      </c>
      <c r="H320" s="92">
        <v>77</v>
      </c>
      <c r="I320" s="81"/>
      <c r="J320" s="93">
        <v>0</v>
      </c>
      <c r="K320" s="93">
        <v>0</v>
      </c>
      <c r="L320" s="93">
        <v>0</v>
      </c>
      <c r="M320" s="93">
        <v>0</v>
      </c>
      <c r="N320" s="93">
        <v>0</v>
      </c>
      <c r="O320" s="93">
        <v>4.8600000000000003</v>
      </c>
    </row>
    <row r="321" spans="1:15">
      <c r="A321" s="81" t="s">
        <v>45</v>
      </c>
      <c r="B321" s="92" t="s">
        <v>50</v>
      </c>
      <c r="C321" s="92" t="s">
        <v>16</v>
      </c>
      <c r="D321" s="92">
        <v>2013</v>
      </c>
      <c r="E321" s="92">
        <v>7</v>
      </c>
      <c r="F321" s="92">
        <v>7855.3290076947915</v>
      </c>
      <c r="G321" s="81">
        <v>7855.3290076947915</v>
      </c>
      <c r="H321" s="92">
        <v>55</v>
      </c>
      <c r="I321" s="81"/>
      <c r="J321" s="93">
        <v>0</v>
      </c>
      <c r="K321" s="93">
        <v>0</v>
      </c>
      <c r="L321" s="93">
        <v>0</v>
      </c>
      <c r="M321" s="93">
        <v>0</v>
      </c>
      <c r="N321" s="93">
        <v>0</v>
      </c>
      <c r="O321" s="93">
        <v>4.8600000000000003</v>
      </c>
    </row>
    <row r="322" spans="1:15">
      <c r="A322" s="81" t="s">
        <v>45</v>
      </c>
      <c r="B322" s="92" t="s">
        <v>50</v>
      </c>
      <c r="C322" s="92" t="s">
        <v>16</v>
      </c>
      <c r="D322" s="92">
        <v>2013</v>
      </c>
      <c r="E322" s="92">
        <v>8</v>
      </c>
      <c r="F322" s="92">
        <v>8013.4943382791489</v>
      </c>
      <c r="G322" s="81">
        <v>8013.4943382791489</v>
      </c>
      <c r="H322" s="92">
        <v>75</v>
      </c>
      <c r="I322" s="81"/>
      <c r="J322" s="93">
        <v>0</v>
      </c>
      <c r="K322" s="93">
        <v>0</v>
      </c>
      <c r="L322" s="93">
        <v>0</v>
      </c>
      <c r="M322" s="93">
        <v>0</v>
      </c>
      <c r="N322" s="93">
        <v>0</v>
      </c>
      <c r="O322" s="93">
        <v>4.8600000000000003</v>
      </c>
    </row>
    <row r="323" spans="1:15">
      <c r="A323" s="81" t="s">
        <v>45</v>
      </c>
      <c r="B323" s="92" t="s">
        <v>50</v>
      </c>
      <c r="C323" s="92" t="s">
        <v>16</v>
      </c>
      <c r="D323" s="92">
        <v>2013</v>
      </c>
      <c r="E323" s="92">
        <v>9</v>
      </c>
      <c r="F323" s="92">
        <v>8762.6484596737009</v>
      </c>
      <c r="G323" s="81">
        <v>8762.6484596737009</v>
      </c>
      <c r="H323" s="92">
        <v>68</v>
      </c>
      <c r="I323" s="81"/>
      <c r="J323" s="93">
        <v>0</v>
      </c>
      <c r="K323" s="93">
        <v>0</v>
      </c>
      <c r="L323" s="93">
        <v>0</v>
      </c>
      <c r="M323" s="93">
        <v>0</v>
      </c>
      <c r="N323" s="93">
        <v>0</v>
      </c>
      <c r="O323" s="93">
        <v>4.8600000000000003</v>
      </c>
    </row>
    <row r="324" spans="1:15">
      <c r="A324" s="81" t="s">
        <v>45</v>
      </c>
      <c r="B324" s="92" t="s">
        <v>50</v>
      </c>
      <c r="C324" s="92" t="s">
        <v>16</v>
      </c>
      <c r="D324" s="92">
        <v>2013</v>
      </c>
      <c r="E324" s="92">
        <v>10</v>
      </c>
      <c r="F324" s="92">
        <v>9039.4368548854072</v>
      </c>
      <c r="G324" s="81">
        <v>9039.4368548854072</v>
      </c>
      <c r="H324" s="92">
        <v>74</v>
      </c>
      <c r="I324" s="81"/>
      <c r="J324" s="93">
        <v>0</v>
      </c>
      <c r="K324" s="93">
        <v>0</v>
      </c>
      <c r="L324" s="93">
        <v>0</v>
      </c>
      <c r="M324" s="93">
        <v>0</v>
      </c>
      <c r="N324" s="93">
        <v>0</v>
      </c>
      <c r="O324" s="93">
        <v>4.8600000000000003</v>
      </c>
    </row>
    <row r="325" spans="1:15">
      <c r="A325" s="81" t="s">
        <v>45</v>
      </c>
      <c r="B325" s="92" t="s">
        <v>50</v>
      </c>
      <c r="C325" s="92" t="s">
        <v>16</v>
      </c>
      <c r="D325" s="92">
        <v>2013</v>
      </c>
      <c r="E325" s="92">
        <v>11</v>
      </c>
      <c r="F325" s="92">
        <v>9356.0356742209642</v>
      </c>
      <c r="G325" s="81">
        <v>5654.8772995133932</v>
      </c>
      <c r="H325" s="92">
        <v>59</v>
      </c>
      <c r="I325" s="81"/>
      <c r="J325" s="93">
        <v>3632.3593730953844</v>
      </c>
      <c r="K325" s="93">
        <v>3657.8791008128364</v>
      </c>
      <c r="L325" s="93">
        <v>3701.1583747075715</v>
      </c>
      <c r="M325" s="93">
        <v>3744.437648602307</v>
      </c>
      <c r="N325" s="93">
        <v>3769.9573763197582</v>
      </c>
      <c r="O325" s="93">
        <v>4.8600000000000003</v>
      </c>
    </row>
    <row r="326" spans="1:15">
      <c r="A326" s="81" t="s">
        <v>45</v>
      </c>
      <c r="B326" s="92" t="s">
        <v>50</v>
      </c>
      <c r="C326" s="92" t="s">
        <v>16</v>
      </c>
      <c r="D326" s="92">
        <v>2013</v>
      </c>
      <c r="E326" s="92">
        <v>12</v>
      </c>
      <c r="F326" s="92">
        <v>9635.3516436791888</v>
      </c>
      <c r="G326" s="81">
        <v>5823.6985385594271</v>
      </c>
      <c r="H326" s="92">
        <v>53</v>
      </c>
      <c r="I326" s="81"/>
      <c r="J326" s="93">
        <v>3746.570194405097</v>
      </c>
      <c r="K326" s="93">
        <v>3770.7115063656956</v>
      </c>
      <c r="L326" s="93">
        <v>3811.6531051197612</v>
      </c>
      <c r="M326" s="93">
        <v>3852.5947038738336</v>
      </c>
      <c r="N326" s="93">
        <v>3876.7360158344327</v>
      </c>
      <c r="O326" s="93">
        <v>4.8600000000000003</v>
      </c>
    </row>
    <row r="327" spans="1:15">
      <c r="A327" s="81" t="s">
        <v>45</v>
      </c>
      <c r="B327" s="92" t="s">
        <v>50</v>
      </c>
      <c r="C327" s="92" t="s">
        <v>16</v>
      </c>
      <c r="D327" s="92">
        <v>2013</v>
      </c>
      <c r="E327" s="92">
        <v>13</v>
      </c>
      <c r="F327" s="92">
        <v>9655.7259588875349</v>
      </c>
      <c r="G327" s="81">
        <v>5836.0129692196551</v>
      </c>
      <c r="H327" s="92">
        <v>65</v>
      </c>
      <c r="I327" s="81"/>
      <c r="J327" s="93">
        <v>3756.1929694050873</v>
      </c>
      <c r="K327" s="93">
        <v>3779.754555819537</v>
      </c>
      <c r="L327" s="93">
        <v>3819.7129896678798</v>
      </c>
      <c r="M327" s="93">
        <v>3859.6714235162303</v>
      </c>
      <c r="N327" s="93">
        <v>3883.233009930681</v>
      </c>
      <c r="O327" s="93">
        <v>4.8600000000000003</v>
      </c>
    </row>
    <row r="328" spans="1:15">
      <c r="A328" s="81" t="s">
        <v>45</v>
      </c>
      <c r="B328" s="92" t="s">
        <v>50</v>
      </c>
      <c r="C328" s="92" t="s">
        <v>16</v>
      </c>
      <c r="D328" s="92">
        <v>2013</v>
      </c>
      <c r="E328" s="92">
        <v>14</v>
      </c>
      <c r="F328" s="92">
        <v>9662.9388282996879</v>
      </c>
      <c r="G328" s="81">
        <v>5840.3724963659151</v>
      </c>
      <c r="H328" s="92">
        <v>68</v>
      </c>
      <c r="I328" s="81"/>
      <c r="J328" s="93">
        <v>3764.1007525869704</v>
      </c>
      <c r="K328" s="93">
        <v>3785.7874868536082</v>
      </c>
      <c r="L328" s="93">
        <v>3822.5663319337732</v>
      </c>
      <c r="M328" s="93">
        <v>3859.3451770139454</v>
      </c>
      <c r="N328" s="93">
        <v>3881.0319112805823</v>
      </c>
      <c r="O328" s="93">
        <v>4.8600000000000003</v>
      </c>
    </row>
    <row r="329" spans="1:15">
      <c r="A329" s="81" t="s">
        <v>45</v>
      </c>
      <c r="B329" s="92" t="s">
        <v>50</v>
      </c>
      <c r="C329" s="92" t="s">
        <v>16</v>
      </c>
      <c r="D329" s="92">
        <v>2013</v>
      </c>
      <c r="E329" s="92">
        <v>15</v>
      </c>
      <c r="F329" s="92">
        <v>9433.8279965488164</v>
      </c>
      <c r="G329" s="81">
        <v>5701.8957219441972</v>
      </c>
      <c r="H329" s="92">
        <v>76</v>
      </c>
      <c r="I329" s="81"/>
      <c r="J329" s="93">
        <v>3671.5229341279105</v>
      </c>
      <c r="K329" s="93">
        <v>3693.9306709326752</v>
      </c>
      <c r="L329" s="93">
        <v>3731.9322746046191</v>
      </c>
      <c r="M329" s="93">
        <v>3769.9338782765572</v>
      </c>
      <c r="N329" s="93">
        <v>3792.3416150813227</v>
      </c>
      <c r="O329" s="93">
        <v>4.8600000000000003</v>
      </c>
    </row>
    <row r="330" spans="1:15">
      <c r="A330" s="81" t="s">
        <v>45</v>
      </c>
      <c r="B330" s="92" t="s">
        <v>50</v>
      </c>
      <c r="C330" s="92" t="s">
        <v>16</v>
      </c>
      <c r="D330" s="92">
        <v>2013</v>
      </c>
      <c r="E330" s="92">
        <v>16</v>
      </c>
      <c r="F330" s="92">
        <v>9309.7333918728509</v>
      </c>
      <c r="G330" s="81">
        <v>5626.8917579354093</v>
      </c>
      <c r="H330" s="92">
        <v>65</v>
      </c>
      <c r="I330" s="81"/>
      <c r="J330" s="93">
        <v>3623.5039449260307</v>
      </c>
      <c r="K330" s="93">
        <v>3645.514172276271</v>
      </c>
      <c r="L330" s="93">
        <v>3682.8416339374417</v>
      </c>
      <c r="M330" s="93">
        <v>3720.1690955986119</v>
      </c>
      <c r="N330" s="93">
        <v>3742.179322948859</v>
      </c>
      <c r="O330" s="93">
        <v>4.8600000000000003</v>
      </c>
    </row>
    <row r="331" spans="1:15">
      <c r="A331" s="81" t="s">
        <v>45</v>
      </c>
      <c r="B331" s="92" t="s">
        <v>50</v>
      </c>
      <c r="C331" s="92" t="s">
        <v>16</v>
      </c>
      <c r="D331" s="92">
        <v>2013</v>
      </c>
      <c r="E331" s="92">
        <v>17</v>
      </c>
      <c r="F331" s="92">
        <v>9074.7450314952075</v>
      </c>
      <c r="G331" s="81">
        <v>5484.8625490888908</v>
      </c>
      <c r="H331" s="92">
        <v>71</v>
      </c>
      <c r="I331" s="81"/>
      <c r="J331" s="93">
        <v>3519.3351351290771</v>
      </c>
      <c r="K331" s="93">
        <v>3545.503379602329</v>
      </c>
      <c r="L331" s="93">
        <v>3589.8824824063167</v>
      </c>
      <c r="M331" s="93">
        <v>3634.261585210304</v>
      </c>
      <c r="N331" s="93">
        <v>3660.4298296835627</v>
      </c>
      <c r="O331" s="93">
        <v>4.8600000000000003</v>
      </c>
    </row>
    <row r="332" spans="1:15">
      <c r="A332" s="81" t="s">
        <v>45</v>
      </c>
      <c r="B332" s="92" t="s">
        <v>50</v>
      </c>
      <c r="C332" s="92" t="s">
        <v>16</v>
      </c>
      <c r="D332" s="92">
        <v>2013</v>
      </c>
      <c r="E332" s="92">
        <v>18</v>
      </c>
      <c r="F332" s="92">
        <v>8986.5139176212506</v>
      </c>
      <c r="G332" s="81">
        <v>5431.5348213706911</v>
      </c>
      <c r="H332" s="92">
        <v>82</v>
      </c>
      <c r="I332" s="81"/>
      <c r="J332" s="93">
        <v>3493.581413916887</v>
      </c>
      <c r="K332" s="93">
        <v>3516.3557580050474</v>
      </c>
      <c r="L332" s="93">
        <v>3554.9790962505599</v>
      </c>
      <c r="M332" s="93">
        <v>3593.6024344960647</v>
      </c>
      <c r="N332" s="93">
        <v>3616.376778584226</v>
      </c>
      <c r="O332" s="93">
        <v>4.8600000000000003</v>
      </c>
    </row>
    <row r="333" spans="1:15">
      <c r="A333" s="81" t="s">
        <v>45</v>
      </c>
      <c r="B333" s="92" t="s">
        <v>50</v>
      </c>
      <c r="C333" s="92" t="s">
        <v>16</v>
      </c>
      <c r="D333" s="92">
        <v>2013</v>
      </c>
      <c r="E333" s="92">
        <v>19</v>
      </c>
      <c r="F333" s="92">
        <v>8813.3921065511986</v>
      </c>
      <c r="G333" s="81">
        <v>8813.3921065511986</v>
      </c>
      <c r="H333" s="92">
        <v>70</v>
      </c>
      <c r="I333" s="81"/>
      <c r="J333" s="93">
        <v>0</v>
      </c>
      <c r="K333" s="93">
        <v>0</v>
      </c>
      <c r="L333" s="93">
        <v>0</v>
      </c>
      <c r="M333" s="93">
        <v>0</v>
      </c>
      <c r="N333" s="93">
        <v>0</v>
      </c>
      <c r="O333" s="93">
        <v>4.8600000000000003</v>
      </c>
    </row>
    <row r="334" spans="1:15">
      <c r="A334" s="81" t="s">
        <v>45</v>
      </c>
      <c r="B334" s="92" t="s">
        <v>50</v>
      </c>
      <c r="C334" s="92" t="s">
        <v>16</v>
      </c>
      <c r="D334" s="92">
        <v>2013</v>
      </c>
      <c r="E334" s="92">
        <v>20</v>
      </c>
      <c r="F334" s="92">
        <v>8562.7529874308584</v>
      </c>
      <c r="G334" s="81">
        <v>8562.7529874308584</v>
      </c>
      <c r="H334" s="92">
        <v>85</v>
      </c>
      <c r="I334" s="81"/>
      <c r="J334" s="93">
        <v>0</v>
      </c>
      <c r="K334" s="93">
        <v>0</v>
      </c>
      <c r="L334" s="93">
        <v>0</v>
      </c>
      <c r="M334" s="93">
        <v>0</v>
      </c>
      <c r="N334" s="93">
        <v>0</v>
      </c>
      <c r="O334" s="93">
        <v>4.8600000000000003</v>
      </c>
    </row>
    <row r="335" spans="1:15">
      <c r="A335" s="81" t="s">
        <v>45</v>
      </c>
      <c r="B335" s="92" t="s">
        <v>50</v>
      </c>
      <c r="C335" s="92" t="s">
        <v>16</v>
      </c>
      <c r="D335" s="92">
        <v>2013</v>
      </c>
      <c r="E335" s="92">
        <v>21</v>
      </c>
      <c r="F335" s="92">
        <v>8359.2006576636577</v>
      </c>
      <c r="G335" s="81">
        <v>8359.2006576636577</v>
      </c>
      <c r="H335" s="92">
        <v>75</v>
      </c>
      <c r="I335" s="81"/>
      <c r="J335" s="93">
        <v>0</v>
      </c>
      <c r="K335" s="93">
        <v>0</v>
      </c>
      <c r="L335" s="93">
        <v>0</v>
      </c>
      <c r="M335" s="93">
        <v>0</v>
      </c>
      <c r="N335" s="93">
        <v>0</v>
      </c>
      <c r="O335" s="93">
        <v>4.8600000000000003</v>
      </c>
    </row>
    <row r="336" spans="1:15">
      <c r="A336" s="81" t="s">
        <v>45</v>
      </c>
      <c r="B336" s="92" t="s">
        <v>50</v>
      </c>
      <c r="C336" s="92" t="s">
        <v>16</v>
      </c>
      <c r="D336" s="92">
        <v>2013</v>
      </c>
      <c r="E336" s="92">
        <v>22</v>
      </c>
      <c r="F336" s="92">
        <v>8152.3171916583542</v>
      </c>
      <c r="G336" s="81">
        <v>8152.3171916583542</v>
      </c>
      <c r="H336" s="92">
        <v>85</v>
      </c>
      <c r="I336" s="81"/>
      <c r="J336" s="93">
        <v>0</v>
      </c>
      <c r="K336" s="93">
        <v>0</v>
      </c>
      <c r="L336" s="93">
        <v>0</v>
      </c>
      <c r="M336" s="93">
        <v>0</v>
      </c>
      <c r="N336" s="93">
        <v>0</v>
      </c>
      <c r="O336" s="93">
        <v>4.8600000000000003</v>
      </c>
    </row>
    <row r="337" spans="1:15">
      <c r="A337" s="81" t="s">
        <v>45</v>
      </c>
      <c r="B337" s="92" t="s">
        <v>50</v>
      </c>
      <c r="C337" s="92" t="s">
        <v>16</v>
      </c>
      <c r="D337" s="92">
        <v>2013</v>
      </c>
      <c r="E337" s="92">
        <v>23</v>
      </c>
      <c r="F337" s="92">
        <v>8003.44860404271</v>
      </c>
      <c r="G337" s="81">
        <v>8003.44860404271</v>
      </c>
      <c r="H337" s="92">
        <v>92</v>
      </c>
      <c r="I337" s="81"/>
      <c r="J337" s="93">
        <v>0</v>
      </c>
      <c r="K337" s="93">
        <v>0</v>
      </c>
      <c r="L337" s="93">
        <v>0</v>
      </c>
      <c r="M337" s="93">
        <v>0</v>
      </c>
      <c r="N337" s="93">
        <v>0</v>
      </c>
      <c r="O337" s="93">
        <v>4.8600000000000003</v>
      </c>
    </row>
    <row r="338" spans="1:15">
      <c r="A338" s="81" t="s">
        <v>45</v>
      </c>
      <c r="B338" s="92" t="s">
        <v>50</v>
      </c>
      <c r="C338" s="92" t="s">
        <v>16</v>
      </c>
      <c r="D338" s="92">
        <v>2013</v>
      </c>
      <c r="E338" s="92">
        <v>24</v>
      </c>
      <c r="F338" s="92">
        <v>7893.4513580596567</v>
      </c>
      <c r="G338" s="81">
        <v>7893.4513580596567</v>
      </c>
      <c r="H338" s="92">
        <v>99</v>
      </c>
      <c r="I338" s="81"/>
      <c r="J338" s="93">
        <v>0</v>
      </c>
      <c r="K338" s="93">
        <v>0</v>
      </c>
      <c r="L338" s="93">
        <v>0</v>
      </c>
      <c r="M338" s="93">
        <v>0</v>
      </c>
      <c r="N338" s="93">
        <v>0</v>
      </c>
      <c r="O338" s="93">
        <v>4.8600000000000003</v>
      </c>
    </row>
    <row r="339" spans="1:15">
      <c r="A339" s="81" t="s">
        <v>45</v>
      </c>
      <c r="B339" s="92" t="s">
        <v>50</v>
      </c>
      <c r="C339" s="92" t="s">
        <v>17</v>
      </c>
      <c r="D339" s="92">
        <v>2013</v>
      </c>
      <c r="E339" s="92">
        <v>1</v>
      </c>
      <c r="F339" s="92">
        <v>7721.5585154115806</v>
      </c>
      <c r="G339" s="81">
        <v>7721.5585154115806</v>
      </c>
      <c r="H339" s="92">
        <v>88</v>
      </c>
      <c r="I339" s="81"/>
      <c r="J339" s="93">
        <v>0</v>
      </c>
      <c r="K339" s="93">
        <v>0</v>
      </c>
      <c r="L339" s="93">
        <v>0</v>
      </c>
      <c r="M339" s="93">
        <v>0</v>
      </c>
      <c r="N339" s="93">
        <v>0</v>
      </c>
      <c r="O339" s="93">
        <v>4.8600000000000003</v>
      </c>
    </row>
    <row r="340" spans="1:15">
      <c r="A340" s="81" t="s">
        <v>45</v>
      </c>
      <c r="B340" s="92" t="s">
        <v>50</v>
      </c>
      <c r="C340" s="92" t="s">
        <v>17</v>
      </c>
      <c r="D340" s="92">
        <v>2013</v>
      </c>
      <c r="E340" s="92">
        <v>2</v>
      </c>
      <c r="F340" s="92">
        <v>7664.9391093624527</v>
      </c>
      <c r="G340" s="81">
        <v>7664.9391093624527</v>
      </c>
      <c r="H340" s="92">
        <v>92</v>
      </c>
      <c r="I340" s="81"/>
      <c r="J340" s="93">
        <v>0</v>
      </c>
      <c r="K340" s="93">
        <v>0</v>
      </c>
      <c r="L340" s="93">
        <v>0</v>
      </c>
      <c r="M340" s="93">
        <v>0</v>
      </c>
      <c r="N340" s="93">
        <v>0</v>
      </c>
      <c r="O340" s="93">
        <v>4.8600000000000003</v>
      </c>
    </row>
    <row r="341" spans="1:15">
      <c r="A341" s="81" t="s">
        <v>45</v>
      </c>
      <c r="B341" s="92" t="s">
        <v>50</v>
      </c>
      <c r="C341" s="92" t="s">
        <v>17</v>
      </c>
      <c r="D341" s="92">
        <v>2013</v>
      </c>
      <c r="E341" s="92">
        <v>3</v>
      </c>
      <c r="F341" s="92">
        <v>7585.1073849017212</v>
      </c>
      <c r="G341" s="81">
        <v>7585.1073849017212</v>
      </c>
      <c r="H341" s="92">
        <v>103</v>
      </c>
      <c r="I341" s="81"/>
      <c r="J341" s="93">
        <v>0</v>
      </c>
      <c r="K341" s="93">
        <v>0</v>
      </c>
      <c r="L341" s="93">
        <v>0</v>
      </c>
      <c r="M341" s="93">
        <v>0</v>
      </c>
      <c r="N341" s="93">
        <v>0</v>
      </c>
      <c r="O341" s="93">
        <v>4.8600000000000003</v>
      </c>
    </row>
    <row r="342" spans="1:15">
      <c r="A342" s="81" t="s">
        <v>45</v>
      </c>
      <c r="B342" s="92" t="s">
        <v>50</v>
      </c>
      <c r="C342" s="92" t="s">
        <v>17</v>
      </c>
      <c r="D342" s="92">
        <v>2013</v>
      </c>
      <c r="E342" s="92">
        <v>4</v>
      </c>
      <c r="F342" s="92">
        <v>7589.6146512150581</v>
      </c>
      <c r="G342" s="81">
        <v>7589.6146512150581</v>
      </c>
      <c r="H342" s="92">
        <v>79</v>
      </c>
      <c r="I342" s="81"/>
      <c r="J342" s="93">
        <v>0</v>
      </c>
      <c r="K342" s="93">
        <v>0</v>
      </c>
      <c r="L342" s="93">
        <v>0</v>
      </c>
      <c r="M342" s="93">
        <v>0</v>
      </c>
      <c r="N342" s="93">
        <v>0</v>
      </c>
      <c r="O342" s="93">
        <v>4.8600000000000003</v>
      </c>
    </row>
    <row r="343" spans="1:15">
      <c r="A343" s="81" t="s">
        <v>45</v>
      </c>
      <c r="B343" s="92" t="s">
        <v>50</v>
      </c>
      <c r="C343" s="92" t="s">
        <v>17</v>
      </c>
      <c r="D343" s="92">
        <v>2013</v>
      </c>
      <c r="E343" s="92">
        <v>5</v>
      </c>
      <c r="F343" s="92">
        <v>7600.891365843534</v>
      </c>
      <c r="G343" s="81">
        <v>7600.891365843534</v>
      </c>
      <c r="H343" s="92">
        <v>84</v>
      </c>
      <c r="I343" s="81"/>
      <c r="J343" s="93">
        <v>0</v>
      </c>
      <c r="K343" s="93">
        <v>0</v>
      </c>
      <c r="L343" s="93">
        <v>0</v>
      </c>
      <c r="M343" s="93">
        <v>0</v>
      </c>
      <c r="N343" s="93">
        <v>0</v>
      </c>
      <c r="O343" s="93">
        <v>4.8600000000000003</v>
      </c>
    </row>
    <row r="344" spans="1:15">
      <c r="A344" s="81" t="s">
        <v>45</v>
      </c>
      <c r="B344" s="92" t="s">
        <v>50</v>
      </c>
      <c r="C344" s="92" t="s">
        <v>17</v>
      </c>
      <c r="D344" s="92">
        <v>2013</v>
      </c>
      <c r="E344" s="92">
        <v>6</v>
      </c>
      <c r="F344" s="92">
        <v>7637.3632321963314</v>
      </c>
      <c r="G344" s="81">
        <v>7637.3632321963314</v>
      </c>
      <c r="H344" s="92">
        <v>95</v>
      </c>
      <c r="I344" s="81"/>
      <c r="J344" s="93">
        <v>0</v>
      </c>
      <c r="K344" s="93">
        <v>0</v>
      </c>
      <c r="L344" s="93">
        <v>0</v>
      </c>
      <c r="M344" s="93">
        <v>0</v>
      </c>
      <c r="N344" s="93">
        <v>0</v>
      </c>
      <c r="O344" s="93">
        <v>4.8600000000000003</v>
      </c>
    </row>
    <row r="345" spans="1:15">
      <c r="A345" s="81" t="s">
        <v>45</v>
      </c>
      <c r="B345" s="92" t="s">
        <v>50</v>
      </c>
      <c r="C345" s="92" t="s">
        <v>17</v>
      </c>
      <c r="D345" s="92">
        <v>2013</v>
      </c>
      <c r="E345" s="92">
        <v>7</v>
      </c>
      <c r="F345" s="92">
        <v>7742.9197931455701</v>
      </c>
      <c r="G345" s="81">
        <v>7742.9197931455701</v>
      </c>
      <c r="H345" s="92">
        <v>86</v>
      </c>
      <c r="I345" s="81"/>
      <c r="J345" s="93">
        <v>0</v>
      </c>
      <c r="K345" s="93">
        <v>0</v>
      </c>
      <c r="L345" s="93">
        <v>0</v>
      </c>
      <c r="M345" s="93">
        <v>0</v>
      </c>
      <c r="N345" s="93">
        <v>0</v>
      </c>
      <c r="O345" s="93">
        <v>4.8600000000000003</v>
      </c>
    </row>
    <row r="346" spans="1:15">
      <c r="A346" s="81" t="s">
        <v>45</v>
      </c>
      <c r="B346" s="92" t="s">
        <v>50</v>
      </c>
      <c r="C346" s="92" t="s">
        <v>17</v>
      </c>
      <c r="D346" s="92">
        <v>2013</v>
      </c>
      <c r="E346" s="92">
        <v>8</v>
      </c>
      <c r="F346" s="92">
        <v>7915.7482794625321</v>
      </c>
      <c r="G346" s="81">
        <v>7915.7482794625321</v>
      </c>
      <c r="H346" s="92">
        <v>87</v>
      </c>
      <c r="I346" s="81"/>
      <c r="J346" s="93">
        <v>0</v>
      </c>
      <c r="K346" s="93">
        <v>0</v>
      </c>
      <c r="L346" s="93">
        <v>0</v>
      </c>
      <c r="M346" s="93">
        <v>0</v>
      </c>
      <c r="N346" s="93">
        <v>0</v>
      </c>
      <c r="O346" s="93">
        <v>4.8600000000000003</v>
      </c>
    </row>
    <row r="347" spans="1:15">
      <c r="A347" s="81" t="s">
        <v>45</v>
      </c>
      <c r="B347" s="92" t="s">
        <v>50</v>
      </c>
      <c r="C347" s="92" t="s">
        <v>17</v>
      </c>
      <c r="D347" s="92">
        <v>2013</v>
      </c>
      <c r="E347" s="92">
        <v>9</v>
      </c>
      <c r="F347" s="92">
        <v>8775.1538725072933</v>
      </c>
      <c r="G347" s="81">
        <v>8775.1538725072933</v>
      </c>
      <c r="H347" s="92">
        <v>85</v>
      </c>
      <c r="I347" s="81"/>
      <c r="J347" s="93">
        <v>0</v>
      </c>
      <c r="K347" s="93">
        <v>0</v>
      </c>
      <c r="L347" s="93">
        <v>0</v>
      </c>
      <c r="M347" s="93">
        <v>0</v>
      </c>
      <c r="N347" s="93">
        <v>0</v>
      </c>
      <c r="O347" s="93">
        <v>4.8600000000000003</v>
      </c>
    </row>
    <row r="348" spans="1:15">
      <c r="A348" s="81" t="s">
        <v>45</v>
      </c>
      <c r="B348" s="92" t="s">
        <v>50</v>
      </c>
      <c r="C348" s="92" t="s">
        <v>17</v>
      </c>
      <c r="D348" s="92">
        <v>2013</v>
      </c>
      <c r="E348" s="92">
        <v>10</v>
      </c>
      <c r="F348" s="92">
        <v>9140.086288059234</v>
      </c>
      <c r="G348" s="81">
        <v>9140.086288059234</v>
      </c>
      <c r="H348" s="92">
        <v>78</v>
      </c>
      <c r="I348" s="81"/>
      <c r="J348" s="93">
        <v>0</v>
      </c>
      <c r="K348" s="93">
        <v>0</v>
      </c>
      <c r="L348" s="93">
        <v>0</v>
      </c>
      <c r="M348" s="93">
        <v>0</v>
      </c>
      <c r="N348" s="93">
        <v>0</v>
      </c>
      <c r="O348" s="93">
        <v>4.8600000000000003</v>
      </c>
    </row>
    <row r="349" spans="1:15">
      <c r="A349" s="81" t="s">
        <v>45</v>
      </c>
      <c r="B349" s="92" t="s">
        <v>50</v>
      </c>
      <c r="C349" s="92" t="s">
        <v>17</v>
      </c>
      <c r="D349" s="92">
        <v>2013</v>
      </c>
      <c r="E349" s="92">
        <v>11</v>
      </c>
      <c r="F349" s="92">
        <v>9490.5399611509129</v>
      </c>
      <c r="G349" s="81">
        <v>5685.2165416947209</v>
      </c>
      <c r="H349" s="92">
        <v>88</v>
      </c>
      <c r="I349" s="81"/>
      <c r="J349" s="93">
        <v>3722.6803853427969</v>
      </c>
      <c r="K349" s="93">
        <v>3753.3353029854397</v>
      </c>
      <c r="L349" s="93">
        <v>3805.3234194561924</v>
      </c>
      <c r="M349" s="93">
        <v>3857.3115359269395</v>
      </c>
      <c r="N349" s="93">
        <v>3887.9664535695888</v>
      </c>
      <c r="O349" s="93">
        <v>4.8600000000000003</v>
      </c>
    </row>
    <row r="350" spans="1:15">
      <c r="A350" s="81" t="s">
        <v>45</v>
      </c>
      <c r="B350" s="92" t="s">
        <v>50</v>
      </c>
      <c r="C350" s="92" t="s">
        <v>17</v>
      </c>
      <c r="D350" s="92">
        <v>2013</v>
      </c>
      <c r="E350" s="92">
        <v>12</v>
      </c>
      <c r="F350" s="92">
        <v>9747.7270258223543</v>
      </c>
      <c r="G350" s="81">
        <v>5839.2819753123322</v>
      </c>
      <c r="H350" s="92">
        <v>82</v>
      </c>
      <c r="I350" s="81"/>
      <c r="J350" s="93">
        <v>3830.2658751680583</v>
      </c>
      <c r="K350" s="93">
        <v>3859.2650062767898</v>
      </c>
      <c r="L350" s="93">
        <v>3908.4450505100222</v>
      </c>
      <c r="M350" s="93">
        <v>3957.6250947432554</v>
      </c>
      <c r="N350" s="93">
        <v>3986.6242258519928</v>
      </c>
      <c r="O350" s="93">
        <v>4.8600000000000003</v>
      </c>
    </row>
    <row r="351" spans="1:15">
      <c r="A351" s="81" t="s">
        <v>45</v>
      </c>
      <c r="B351" s="92" t="s">
        <v>50</v>
      </c>
      <c r="C351" s="92" t="s">
        <v>17</v>
      </c>
      <c r="D351" s="92">
        <v>2013</v>
      </c>
      <c r="E351" s="92">
        <v>13</v>
      </c>
      <c r="F351" s="92">
        <v>9791.4877629076564</v>
      </c>
      <c r="G351" s="81">
        <v>5865.4964233176634</v>
      </c>
      <c r="H351" s="92">
        <v>66</v>
      </c>
      <c r="I351" s="81"/>
      <c r="J351" s="93">
        <v>3849.6895462725138</v>
      </c>
      <c r="K351" s="93">
        <v>3877.9922969547329</v>
      </c>
      <c r="L351" s="93">
        <v>3925.9913395899925</v>
      </c>
      <c r="M351" s="93">
        <v>3973.9903822252527</v>
      </c>
      <c r="N351" s="93">
        <v>4002.2931329074654</v>
      </c>
      <c r="O351" s="93">
        <v>4.8600000000000003</v>
      </c>
    </row>
    <row r="352" spans="1:15">
      <c r="A352" s="81" t="s">
        <v>45</v>
      </c>
      <c r="B352" s="92" t="s">
        <v>50</v>
      </c>
      <c r="C352" s="92" t="s">
        <v>17</v>
      </c>
      <c r="D352" s="92">
        <v>2013</v>
      </c>
      <c r="E352" s="92">
        <v>14</v>
      </c>
      <c r="F352" s="92">
        <v>9712.6310088244136</v>
      </c>
      <c r="G352" s="81">
        <v>5818.2580444083951</v>
      </c>
      <c r="H352" s="92">
        <v>72</v>
      </c>
      <c r="I352" s="81"/>
      <c r="J352" s="93">
        <v>3824.1426884644338</v>
      </c>
      <c r="K352" s="93">
        <v>3850.193321145252</v>
      </c>
      <c r="L352" s="93">
        <v>3894.3729644160185</v>
      </c>
      <c r="M352" s="93">
        <v>3938.5526076867918</v>
      </c>
      <c r="N352" s="93">
        <v>3964.6032403676027</v>
      </c>
      <c r="O352" s="93">
        <v>4.8600000000000003</v>
      </c>
    </row>
    <row r="353" spans="1:15">
      <c r="A353" s="81" t="s">
        <v>45</v>
      </c>
      <c r="B353" s="92" t="s">
        <v>50</v>
      </c>
      <c r="C353" s="92" t="s">
        <v>17</v>
      </c>
      <c r="D353" s="92">
        <v>2013</v>
      </c>
      <c r="E353" s="92">
        <v>15</v>
      </c>
      <c r="F353" s="92">
        <v>9455.388055284202</v>
      </c>
      <c r="G353" s="81">
        <v>5664.1591311023221</v>
      </c>
      <c r="H353" s="92">
        <v>69</v>
      </c>
      <c r="I353" s="81"/>
      <c r="J353" s="93">
        <v>3718.6637550835603</v>
      </c>
      <c r="K353" s="93">
        <v>3745.5804735498873</v>
      </c>
      <c r="L353" s="93">
        <v>3791.2289241818803</v>
      </c>
      <c r="M353" s="93">
        <v>3836.8773748138678</v>
      </c>
      <c r="N353" s="93">
        <v>3863.7940932802017</v>
      </c>
      <c r="O353" s="93">
        <v>4.8600000000000003</v>
      </c>
    </row>
    <row r="354" spans="1:15">
      <c r="A354" s="81" t="s">
        <v>45</v>
      </c>
      <c r="B354" s="92" t="s">
        <v>50</v>
      </c>
      <c r="C354" s="92" t="s">
        <v>17</v>
      </c>
      <c r="D354" s="92">
        <v>2013</v>
      </c>
      <c r="E354" s="92">
        <v>16</v>
      </c>
      <c r="F354" s="92">
        <v>9373.6167706847991</v>
      </c>
      <c r="G354" s="81">
        <v>5615.1748307629159</v>
      </c>
      <c r="H354" s="92">
        <v>65</v>
      </c>
      <c r="I354" s="81"/>
      <c r="J354" s="93">
        <v>3687.1640646291185</v>
      </c>
      <c r="K354" s="93">
        <v>3713.603285070179</v>
      </c>
      <c r="L354" s="93">
        <v>3758.4419399218832</v>
      </c>
      <c r="M354" s="93">
        <v>3803.2805947735865</v>
      </c>
      <c r="N354" s="93">
        <v>3829.7198152146489</v>
      </c>
      <c r="O354" s="93">
        <v>4.8600000000000003</v>
      </c>
    </row>
    <row r="355" spans="1:15">
      <c r="A355" s="81" t="s">
        <v>45</v>
      </c>
      <c r="B355" s="92" t="s">
        <v>50</v>
      </c>
      <c r="C355" s="92" t="s">
        <v>17</v>
      </c>
      <c r="D355" s="92">
        <v>2013</v>
      </c>
      <c r="E355" s="92">
        <v>17</v>
      </c>
      <c r="F355" s="92">
        <v>9270.9424587908961</v>
      </c>
      <c r="G355" s="81">
        <v>5553.668773280855</v>
      </c>
      <c r="H355" s="92">
        <v>71</v>
      </c>
      <c r="I355" s="81"/>
      <c r="J355" s="93">
        <v>3632.5304960593094</v>
      </c>
      <c r="K355" s="93">
        <v>3663.9644278027026</v>
      </c>
      <c r="L355" s="93">
        <v>3717.2736855100407</v>
      </c>
      <c r="M355" s="93">
        <v>3770.5829432173855</v>
      </c>
      <c r="N355" s="93">
        <v>3802.0168749607719</v>
      </c>
      <c r="O355" s="93">
        <v>4.8600000000000003</v>
      </c>
    </row>
    <row r="356" spans="1:15">
      <c r="A356" s="81" t="s">
        <v>45</v>
      </c>
      <c r="B356" s="92" t="s">
        <v>50</v>
      </c>
      <c r="C356" s="92" t="s">
        <v>17</v>
      </c>
      <c r="D356" s="92">
        <v>2013</v>
      </c>
      <c r="E356" s="92">
        <v>18</v>
      </c>
      <c r="F356" s="92">
        <v>9022.4522594327882</v>
      </c>
      <c r="G356" s="81">
        <v>5404.8131130526026</v>
      </c>
      <c r="H356" s="92">
        <v>71</v>
      </c>
      <c r="I356" s="81"/>
      <c r="J356" s="93">
        <v>3543.8867570041475</v>
      </c>
      <c r="K356" s="93">
        <v>3571.2438530561708</v>
      </c>
      <c r="L356" s="93">
        <v>3617.6391463801856</v>
      </c>
      <c r="M356" s="93">
        <v>3664.0344397041995</v>
      </c>
      <c r="N356" s="93">
        <v>3691.3915357562219</v>
      </c>
      <c r="O356" s="93">
        <v>4.8600000000000003</v>
      </c>
    </row>
    <row r="357" spans="1:15">
      <c r="A357" s="81" t="s">
        <v>45</v>
      </c>
      <c r="B357" s="92" t="s">
        <v>50</v>
      </c>
      <c r="C357" s="92" t="s">
        <v>17</v>
      </c>
      <c r="D357" s="92">
        <v>2013</v>
      </c>
      <c r="E357" s="92">
        <v>19</v>
      </c>
      <c r="F357" s="92">
        <v>8841.4199972122624</v>
      </c>
      <c r="G357" s="81">
        <v>8841.4199972122624</v>
      </c>
      <c r="H357" s="92">
        <v>70</v>
      </c>
      <c r="I357" s="81"/>
      <c r="J357" s="93">
        <v>0</v>
      </c>
      <c r="K357" s="93">
        <v>0</v>
      </c>
      <c r="L357" s="93">
        <v>0</v>
      </c>
      <c r="M357" s="93">
        <v>0</v>
      </c>
      <c r="N357" s="93">
        <v>0</v>
      </c>
      <c r="O357" s="93">
        <v>4.8600000000000003</v>
      </c>
    </row>
    <row r="358" spans="1:15">
      <c r="A358" s="81" t="s">
        <v>45</v>
      </c>
      <c r="B358" s="92" t="s">
        <v>50</v>
      </c>
      <c r="C358" s="92" t="s">
        <v>17</v>
      </c>
      <c r="D358" s="92">
        <v>2013</v>
      </c>
      <c r="E358" s="92">
        <v>20</v>
      </c>
      <c r="F358" s="92">
        <v>8695.5149100196249</v>
      </c>
      <c r="G358" s="81">
        <v>8695.5149100196249</v>
      </c>
      <c r="H358" s="92">
        <v>61</v>
      </c>
      <c r="I358" s="81"/>
      <c r="J358" s="93">
        <v>0</v>
      </c>
      <c r="K358" s="93">
        <v>0</v>
      </c>
      <c r="L358" s="93">
        <v>0</v>
      </c>
      <c r="M358" s="93">
        <v>0</v>
      </c>
      <c r="N358" s="93">
        <v>0</v>
      </c>
      <c r="O358" s="93">
        <v>4.8600000000000003</v>
      </c>
    </row>
    <row r="359" spans="1:15">
      <c r="A359" s="81" t="s">
        <v>45</v>
      </c>
      <c r="B359" s="92" t="s">
        <v>50</v>
      </c>
      <c r="C359" s="92" t="s">
        <v>17</v>
      </c>
      <c r="D359" s="92">
        <v>2013</v>
      </c>
      <c r="E359" s="92">
        <v>21</v>
      </c>
      <c r="F359" s="92">
        <v>8483.7170102025138</v>
      </c>
      <c r="G359" s="81">
        <v>8483.7170102025138</v>
      </c>
      <c r="H359" s="92">
        <v>82</v>
      </c>
      <c r="I359" s="81"/>
      <c r="J359" s="93">
        <v>0</v>
      </c>
      <c r="K359" s="93">
        <v>0</v>
      </c>
      <c r="L359" s="93">
        <v>0</v>
      </c>
      <c r="M359" s="93">
        <v>0</v>
      </c>
      <c r="N359" s="93">
        <v>0</v>
      </c>
      <c r="O359" s="93">
        <v>4.8600000000000003</v>
      </c>
    </row>
    <row r="360" spans="1:15">
      <c r="A360" s="81" t="s">
        <v>45</v>
      </c>
      <c r="B360" s="92" t="s">
        <v>50</v>
      </c>
      <c r="C360" s="92" t="s">
        <v>17</v>
      </c>
      <c r="D360" s="92">
        <v>2013</v>
      </c>
      <c r="E360" s="92">
        <v>22</v>
      </c>
      <c r="F360" s="92">
        <v>8277.5028366342594</v>
      </c>
      <c r="G360" s="81">
        <v>8277.5028366342594</v>
      </c>
      <c r="H360" s="92">
        <v>65</v>
      </c>
      <c r="I360" s="81"/>
      <c r="J360" s="93">
        <v>0</v>
      </c>
      <c r="K360" s="93">
        <v>0</v>
      </c>
      <c r="L360" s="93">
        <v>0</v>
      </c>
      <c r="M360" s="93">
        <v>0</v>
      </c>
      <c r="N360" s="93">
        <v>0</v>
      </c>
      <c r="O360" s="93">
        <v>4.8600000000000003</v>
      </c>
    </row>
    <row r="361" spans="1:15">
      <c r="A361" s="81" t="s">
        <v>45</v>
      </c>
      <c r="B361" s="92" t="s">
        <v>50</v>
      </c>
      <c r="C361" s="92" t="s">
        <v>17</v>
      </c>
      <c r="D361" s="92">
        <v>2013</v>
      </c>
      <c r="E361" s="92">
        <v>23</v>
      </c>
      <c r="F361" s="92">
        <v>8106.8210330876573</v>
      </c>
      <c r="G361" s="81">
        <v>8106.8210330876573</v>
      </c>
      <c r="H361" s="92">
        <v>77</v>
      </c>
      <c r="I361" s="81"/>
      <c r="J361" s="93">
        <v>0</v>
      </c>
      <c r="K361" s="93">
        <v>0</v>
      </c>
      <c r="L361" s="93">
        <v>0</v>
      </c>
      <c r="M361" s="93">
        <v>0</v>
      </c>
      <c r="N361" s="93">
        <v>0</v>
      </c>
      <c r="O361" s="93">
        <v>4.8600000000000003</v>
      </c>
    </row>
    <row r="362" spans="1:15">
      <c r="A362" s="81" t="s">
        <v>45</v>
      </c>
      <c r="B362" s="92" t="s">
        <v>50</v>
      </c>
      <c r="C362" s="92" t="s">
        <v>17</v>
      </c>
      <c r="D362" s="92">
        <v>2013</v>
      </c>
      <c r="E362" s="92">
        <v>24</v>
      </c>
      <c r="F362" s="92">
        <v>7952.1821157094</v>
      </c>
      <c r="G362" s="81">
        <v>7952.1821157094</v>
      </c>
      <c r="H362" s="92">
        <v>87</v>
      </c>
      <c r="I362" s="81"/>
      <c r="J362" s="93">
        <v>0</v>
      </c>
      <c r="K362" s="93">
        <v>0</v>
      </c>
      <c r="L362" s="93">
        <v>0</v>
      </c>
      <c r="M362" s="93">
        <v>0</v>
      </c>
      <c r="N362" s="93">
        <v>0</v>
      </c>
      <c r="O362" s="93">
        <v>4.8600000000000003</v>
      </c>
    </row>
    <row r="363" spans="1:15">
      <c r="A363" s="81" t="s">
        <v>45</v>
      </c>
      <c r="B363" s="92" t="s">
        <v>49</v>
      </c>
      <c r="C363" s="92" t="s">
        <v>13</v>
      </c>
      <c r="D363" s="92">
        <v>2013</v>
      </c>
      <c r="E363" s="92">
        <v>1</v>
      </c>
      <c r="F363" s="92">
        <v>7765.9688197937958</v>
      </c>
      <c r="G363" s="81">
        <v>7765.9688197937958</v>
      </c>
      <c r="H363" s="92">
        <v>81</v>
      </c>
      <c r="I363" s="81"/>
      <c r="J363" s="93">
        <v>0</v>
      </c>
      <c r="K363" s="93">
        <v>0</v>
      </c>
      <c r="L363" s="93">
        <v>0</v>
      </c>
      <c r="M363" s="93">
        <v>0</v>
      </c>
      <c r="N363" s="93">
        <v>0</v>
      </c>
      <c r="O363" s="93">
        <v>4.8600000000000003</v>
      </c>
    </row>
    <row r="364" spans="1:15">
      <c r="A364" s="81" t="s">
        <v>45</v>
      </c>
      <c r="B364" s="92" t="s">
        <v>49</v>
      </c>
      <c r="C364" s="92" t="s">
        <v>13</v>
      </c>
      <c r="D364" s="92">
        <v>2013</v>
      </c>
      <c r="E364" s="92">
        <v>2</v>
      </c>
      <c r="F364" s="92">
        <v>7707.8708859945491</v>
      </c>
      <c r="G364" s="81">
        <v>7707.8708859945491</v>
      </c>
      <c r="H364" s="92">
        <v>80</v>
      </c>
      <c r="I364" s="81"/>
      <c r="J364" s="93">
        <v>0</v>
      </c>
      <c r="K364" s="93">
        <v>0</v>
      </c>
      <c r="L364" s="93">
        <v>0</v>
      </c>
      <c r="M364" s="93">
        <v>0</v>
      </c>
      <c r="N364" s="93">
        <v>0</v>
      </c>
      <c r="O364" s="93">
        <v>4.8600000000000003</v>
      </c>
    </row>
    <row r="365" spans="1:15">
      <c r="A365" s="81" t="s">
        <v>45</v>
      </c>
      <c r="B365" s="92" t="s">
        <v>49</v>
      </c>
      <c r="C365" s="92" t="s">
        <v>13</v>
      </c>
      <c r="D365" s="92">
        <v>2013</v>
      </c>
      <c r="E365" s="92">
        <v>3</v>
      </c>
      <c r="F365" s="92">
        <v>7654.7144176409211</v>
      </c>
      <c r="G365" s="81">
        <v>7654.7144176409211</v>
      </c>
      <c r="H365" s="92">
        <v>93</v>
      </c>
      <c r="I365" s="81"/>
      <c r="J365" s="93">
        <v>0</v>
      </c>
      <c r="K365" s="93">
        <v>0</v>
      </c>
      <c r="L365" s="93">
        <v>0</v>
      </c>
      <c r="M365" s="93">
        <v>0</v>
      </c>
      <c r="N365" s="93">
        <v>0</v>
      </c>
      <c r="O365" s="93">
        <v>4.8600000000000003</v>
      </c>
    </row>
    <row r="366" spans="1:15">
      <c r="A366" s="81" t="s">
        <v>45</v>
      </c>
      <c r="B366" s="92" t="s">
        <v>49</v>
      </c>
      <c r="C366" s="92" t="s">
        <v>13</v>
      </c>
      <c r="D366" s="92">
        <v>2013</v>
      </c>
      <c r="E366" s="92">
        <v>4</v>
      </c>
      <c r="F366" s="92">
        <v>7630.5992516158958</v>
      </c>
      <c r="G366" s="81">
        <v>7630.5992516158958</v>
      </c>
      <c r="H366" s="92">
        <v>90</v>
      </c>
      <c r="I366" s="81"/>
      <c r="J366" s="93">
        <v>0</v>
      </c>
      <c r="K366" s="93">
        <v>0</v>
      </c>
      <c r="L366" s="93">
        <v>0</v>
      </c>
      <c r="M366" s="93">
        <v>0</v>
      </c>
      <c r="N366" s="93">
        <v>0</v>
      </c>
      <c r="O366" s="93">
        <v>4.8600000000000003</v>
      </c>
    </row>
    <row r="367" spans="1:15">
      <c r="A367" s="81" t="s">
        <v>45</v>
      </c>
      <c r="B367" s="92" t="s">
        <v>49</v>
      </c>
      <c r="C367" s="92" t="s">
        <v>13</v>
      </c>
      <c r="D367" s="92">
        <v>2013</v>
      </c>
      <c r="E367" s="92">
        <v>5</v>
      </c>
      <c r="F367" s="92">
        <v>7667.369208581199</v>
      </c>
      <c r="G367" s="81">
        <v>7667.369208581199</v>
      </c>
      <c r="H367" s="92">
        <v>85</v>
      </c>
      <c r="I367" s="81"/>
      <c r="J367" s="93">
        <v>0</v>
      </c>
      <c r="K367" s="93">
        <v>0</v>
      </c>
      <c r="L367" s="93">
        <v>0</v>
      </c>
      <c r="M367" s="93">
        <v>0</v>
      </c>
      <c r="N367" s="93">
        <v>0</v>
      </c>
      <c r="O367" s="93">
        <v>4.8600000000000003</v>
      </c>
    </row>
    <row r="368" spans="1:15">
      <c r="A368" s="81" t="s">
        <v>45</v>
      </c>
      <c r="B368" s="92" t="s">
        <v>49</v>
      </c>
      <c r="C368" s="92" t="s">
        <v>13</v>
      </c>
      <c r="D368" s="92">
        <v>2013</v>
      </c>
      <c r="E368" s="92">
        <v>6</v>
      </c>
      <c r="F368" s="92">
        <v>7731.0610174395269</v>
      </c>
      <c r="G368" s="81">
        <v>7731.0610174395269</v>
      </c>
      <c r="H368" s="92">
        <v>79</v>
      </c>
      <c r="I368" s="81"/>
      <c r="J368" s="93">
        <v>0</v>
      </c>
      <c r="K368" s="93">
        <v>0</v>
      </c>
      <c r="L368" s="93">
        <v>0</v>
      </c>
      <c r="M368" s="93">
        <v>0</v>
      </c>
      <c r="N368" s="93">
        <v>0</v>
      </c>
      <c r="O368" s="93">
        <v>4.8600000000000003</v>
      </c>
    </row>
    <row r="369" spans="1:15">
      <c r="A369" s="81" t="s">
        <v>45</v>
      </c>
      <c r="B369" s="92" t="s">
        <v>49</v>
      </c>
      <c r="C369" s="92" t="s">
        <v>13</v>
      </c>
      <c r="D369" s="92">
        <v>2013</v>
      </c>
      <c r="E369" s="92">
        <v>7</v>
      </c>
      <c r="F369" s="92">
        <v>7868.6207405250479</v>
      </c>
      <c r="G369" s="81">
        <v>7868.6207405250479</v>
      </c>
      <c r="H369" s="92">
        <v>86</v>
      </c>
      <c r="I369" s="81"/>
      <c r="J369" s="93">
        <v>0</v>
      </c>
      <c r="K369" s="93">
        <v>0</v>
      </c>
      <c r="L369" s="93">
        <v>0</v>
      </c>
      <c r="M369" s="93">
        <v>0</v>
      </c>
      <c r="N369" s="93">
        <v>0</v>
      </c>
      <c r="O369" s="93">
        <v>4.8600000000000003</v>
      </c>
    </row>
    <row r="370" spans="1:15">
      <c r="A370" s="81" t="s">
        <v>45</v>
      </c>
      <c r="B370" s="92" t="s">
        <v>49</v>
      </c>
      <c r="C370" s="92" t="s">
        <v>13</v>
      </c>
      <c r="D370" s="92">
        <v>2013</v>
      </c>
      <c r="E370" s="92">
        <v>8</v>
      </c>
      <c r="F370" s="92">
        <v>8007.8522468968968</v>
      </c>
      <c r="G370" s="81">
        <v>8007.8522468968968</v>
      </c>
      <c r="H370" s="92">
        <v>93</v>
      </c>
      <c r="I370" s="81"/>
      <c r="J370" s="93">
        <v>0</v>
      </c>
      <c r="K370" s="93">
        <v>0</v>
      </c>
      <c r="L370" s="93">
        <v>0</v>
      </c>
      <c r="M370" s="93">
        <v>0</v>
      </c>
      <c r="N370" s="93">
        <v>0</v>
      </c>
      <c r="O370" s="93">
        <v>4.8600000000000003</v>
      </c>
    </row>
    <row r="371" spans="1:15">
      <c r="A371" s="81" t="s">
        <v>45</v>
      </c>
      <c r="B371" s="92" t="s">
        <v>49</v>
      </c>
      <c r="C371" s="92" t="s">
        <v>13</v>
      </c>
      <c r="D371" s="92">
        <v>2013</v>
      </c>
      <c r="E371" s="92">
        <v>9</v>
      </c>
      <c r="F371" s="92">
        <v>8727.0918305174418</v>
      </c>
      <c r="G371" s="81">
        <v>8727.0918305174418</v>
      </c>
      <c r="H371" s="92">
        <v>93</v>
      </c>
      <c r="I371" s="81"/>
      <c r="J371" s="93">
        <v>0</v>
      </c>
      <c r="K371" s="93">
        <v>0</v>
      </c>
      <c r="L371" s="93">
        <v>0</v>
      </c>
      <c r="M371" s="93">
        <v>0</v>
      </c>
      <c r="N371" s="93">
        <v>0</v>
      </c>
      <c r="O371" s="93">
        <v>4.8600000000000003</v>
      </c>
    </row>
    <row r="372" spans="1:15">
      <c r="A372" s="81" t="s">
        <v>45</v>
      </c>
      <c r="B372" s="92" t="s">
        <v>49</v>
      </c>
      <c r="C372" s="92" t="s">
        <v>13</v>
      </c>
      <c r="D372" s="92">
        <v>2013</v>
      </c>
      <c r="E372" s="92">
        <v>10</v>
      </c>
      <c r="F372" s="92">
        <v>9067.306372061832</v>
      </c>
      <c r="G372" s="81">
        <v>9067.306372061832</v>
      </c>
      <c r="H372" s="92">
        <v>83</v>
      </c>
      <c r="I372" s="81"/>
      <c r="J372" s="93">
        <v>0</v>
      </c>
      <c r="K372" s="93">
        <v>0</v>
      </c>
      <c r="L372" s="93">
        <v>0</v>
      </c>
      <c r="M372" s="93">
        <v>0</v>
      </c>
      <c r="N372" s="93">
        <v>0</v>
      </c>
      <c r="O372" s="93">
        <v>4.8600000000000003</v>
      </c>
    </row>
    <row r="373" spans="1:15">
      <c r="A373" s="81" t="s">
        <v>45</v>
      </c>
      <c r="B373" s="92" t="s">
        <v>49</v>
      </c>
      <c r="C373" s="92" t="s">
        <v>13</v>
      </c>
      <c r="D373" s="92">
        <v>2013</v>
      </c>
      <c r="E373" s="92">
        <v>11</v>
      </c>
      <c r="F373" s="92">
        <v>9230.0491485792536</v>
      </c>
      <c r="G373" s="81">
        <v>5578.8030137528831</v>
      </c>
      <c r="H373" s="92">
        <v>83</v>
      </c>
      <c r="I373" s="81"/>
      <c r="J373" s="93">
        <v>3572.7006844332154</v>
      </c>
      <c r="K373" s="93">
        <v>3601.8356785538699</v>
      </c>
      <c r="L373" s="93">
        <v>3651.2461348263705</v>
      </c>
      <c r="M373" s="93">
        <v>3700.656591098872</v>
      </c>
      <c r="N373" s="93">
        <v>3729.7915852195201</v>
      </c>
      <c r="O373" s="93">
        <v>4.8600000000000003</v>
      </c>
    </row>
    <row r="374" spans="1:15">
      <c r="A374" s="81" t="s">
        <v>45</v>
      </c>
      <c r="B374" s="92" t="s">
        <v>49</v>
      </c>
      <c r="C374" s="92" t="s">
        <v>13</v>
      </c>
      <c r="D374" s="92">
        <v>2013</v>
      </c>
      <c r="E374" s="92">
        <v>12</v>
      </c>
      <c r="F374" s="92">
        <v>9361.2841681922073</v>
      </c>
      <c r="G374" s="81">
        <v>5658.1237531272081</v>
      </c>
      <c r="H374" s="92">
        <v>81</v>
      </c>
      <c r="I374" s="81"/>
      <c r="J374" s="93">
        <v>3628.857497650632</v>
      </c>
      <c r="K374" s="93">
        <v>3656.4188019805342</v>
      </c>
      <c r="L374" s="93">
        <v>3703.1604150649991</v>
      </c>
      <c r="M374" s="93">
        <v>3749.9020281494641</v>
      </c>
      <c r="N374" s="93">
        <v>3777.4633324793595</v>
      </c>
      <c r="O374" s="93">
        <v>4.8600000000000003</v>
      </c>
    </row>
    <row r="375" spans="1:15">
      <c r="A375" s="81" t="s">
        <v>45</v>
      </c>
      <c r="B375" s="92" t="s">
        <v>49</v>
      </c>
      <c r="C375" s="92" t="s">
        <v>13</v>
      </c>
      <c r="D375" s="92">
        <v>2013</v>
      </c>
      <c r="E375" s="92">
        <v>13</v>
      </c>
      <c r="F375" s="92">
        <v>9353.9871572322172</v>
      </c>
      <c r="G375" s="81">
        <v>5653.713312177254</v>
      </c>
      <c r="H375" s="92">
        <v>80</v>
      </c>
      <c r="I375" s="81"/>
      <c r="J375" s="93">
        <v>3627.7552258365117</v>
      </c>
      <c r="K375" s="93">
        <v>3654.6546774787357</v>
      </c>
      <c r="L375" s="93">
        <v>3700.2738450549632</v>
      </c>
      <c r="M375" s="93">
        <v>3745.8930126311839</v>
      </c>
      <c r="N375" s="93">
        <v>3772.7924642734079</v>
      </c>
      <c r="O375" s="93">
        <v>4.8600000000000003</v>
      </c>
    </row>
    <row r="376" spans="1:15">
      <c r="A376" s="81" t="s">
        <v>45</v>
      </c>
      <c r="B376" s="92" t="s">
        <v>49</v>
      </c>
      <c r="C376" s="92" t="s">
        <v>13</v>
      </c>
      <c r="D376" s="92">
        <v>2013</v>
      </c>
      <c r="E376" s="92">
        <v>14</v>
      </c>
      <c r="F376" s="92">
        <v>9398.6470704020667</v>
      </c>
      <c r="G376" s="81">
        <v>5680.7065441931691</v>
      </c>
      <c r="H376" s="92">
        <v>90</v>
      </c>
      <c r="I376" s="81"/>
      <c r="J376" s="93">
        <v>3651.1923880865238</v>
      </c>
      <c r="K376" s="93">
        <v>3675.9513856099411</v>
      </c>
      <c r="L376" s="93">
        <v>3717.9405262088976</v>
      </c>
      <c r="M376" s="93">
        <v>3759.9296668078546</v>
      </c>
      <c r="N376" s="93">
        <v>3784.688664331266</v>
      </c>
      <c r="O376" s="93">
        <v>4.8600000000000003</v>
      </c>
    </row>
    <row r="377" spans="1:15">
      <c r="A377" s="81" t="s">
        <v>45</v>
      </c>
      <c r="B377" s="92" t="s">
        <v>49</v>
      </c>
      <c r="C377" s="92" t="s">
        <v>13</v>
      </c>
      <c r="D377" s="92">
        <v>2013</v>
      </c>
      <c r="E377" s="92">
        <v>15</v>
      </c>
      <c r="F377" s="92">
        <v>9174.3139104351794</v>
      </c>
      <c r="G377" s="81">
        <v>5545.1156617653523</v>
      </c>
      <c r="H377" s="92">
        <v>84</v>
      </c>
      <c r="I377" s="81"/>
      <c r="J377" s="93">
        <v>3560.2309854173395</v>
      </c>
      <c r="K377" s="93">
        <v>3585.8131267039544</v>
      </c>
      <c r="L377" s="93">
        <v>3629.1982486698271</v>
      </c>
      <c r="M377" s="93">
        <v>3672.5833706356993</v>
      </c>
      <c r="N377" s="93">
        <v>3698.1655119223151</v>
      </c>
      <c r="O377" s="93">
        <v>4.8600000000000003</v>
      </c>
    </row>
    <row r="378" spans="1:15">
      <c r="A378" s="81" t="s">
        <v>45</v>
      </c>
      <c r="B378" s="92" t="s">
        <v>49</v>
      </c>
      <c r="C378" s="92" t="s">
        <v>13</v>
      </c>
      <c r="D378" s="92">
        <v>2013</v>
      </c>
      <c r="E378" s="92">
        <v>16</v>
      </c>
      <c r="F378" s="92">
        <v>9090.4609103988769</v>
      </c>
      <c r="G378" s="81">
        <v>5494.433443091928</v>
      </c>
      <c r="H378" s="92">
        <v>76</v>
      </c>
      <c r="I378" s="81"/>
      <c r="J378" s="93">
        <v>3528.2836716198822</v>
      </c>
      <c r="K378" s="93">
        <v>3553.4119900542942</v>
      </c>
      <c r="L378" s="93">
        <v>3596.0274673069484</v>
      </c>
      <c r="M378" s="93">
        <v>3638.6429445596104</v>
      </c>
      <c r="N378" s="93">
        <v>3663.7712629940211</v>
      </c>
      <c r="O378" s="93">
        <v>4.8600000000000003</v>
      </c>
    </row>
    <row r="379" spans="1:15">
      <c r="A379" s="81" t="s">
        <v>45</v>
      </c>
      <c r="B379" s="92" t="s">
        <v>49</v>
      </c>
      <c r="C379" s="92" t="s">
        <v>13</v>
      </c>
      <c r="D379" s="92">
        <v>2013</v>
      </c>
      <c r="E379" s="92">
        <v>17</v>
      </c>
      <c r="F379" s="92">
        <v>8981.9574553399161</v>
      </c>
      <c r="G379" s="81">
        <v>5428.8520586007417</v>
      </c>
      <c r="H379" s="92">
        <v>72</v>
      </c>
      <c r="I379" s="81"/>
      <c r="J379" s="93">
        <v>3472.5639203211281</v>
      </c>
      <c r="K379" s="93">
        <v>3502.439303684047</v>
      </c>
      <c r="L379" s="93">
        <v>3553.1053967391749</v>
      </c>
      <c r="M379" s="93">
        <v>3603.7714897943088</v>
      </c>
      <c r="N379" s="93">
        <v>3633.6468731572286</v>
      </c>
      <c r="O379" s="93">
        <v>4.8600000000000003</v>
      </c>
    </row>
    <row r="380" spans="1:15">
      <c r="A380" s="81" t="s">
        <v>45</v>
      </c>
      <c r="B380" s="92" t="s">
        <v>49</v>
      </c>
      <c r="C380" s="92" t="s">
        <v>13</v>
      </c>
      <c r="D380" s="92">
        <v>2013</v>
      </c>
      <c r="E380" s="92">
        <v>18</v>
      </c>
      <c r="F380" s="92">
        <v>8805.6658267001494</v>
      </c>
      <c r="G380" s="81">
        <v>5322.2983173017237</v>
      </c>
      <c r="H380" s="92">
        <v>69</v>
      </c>
      <c r="I380" s="81"/>
      <c r="J380" s="93">
        <v>3413.2718902907895</v>
      </c>
      <c r="K380" s="93">
        <v>3439.2725744852573</v>
      </c>
      <c r="L380" s="93">
        <v>3483.3675093984261</v>
      </c>
      <c r="M380" s="93">
        <v>3527.4624443116022</v>
      </c>
      <c r="N380" s="93">
        <v>3553.46312850607</v>
      </c>
      <c r="O380" s="93">
        <v>4.8600000000000003</v>
      </c>
    </row>
    <row r="381" spans="1:15">
      <c r="A381" s="81" t="s">
        <v>45</v>
      </c>
      <c r="B381" s="92" t="s">
        <v>49</v>
      </c>
      <c r="C381" s="92" t="s">
        <v>13</v>
      </c>
      <c r="D381" s="92">
        <v>2013</v>
      </c>
      <c r="E381" s="92">
        <v>19</v>
      </c>
      <c r="F381" s="92">
        <v>8629.924713357339</v>
      </c>
      <c r="G381" s="81">
        <v>8629.924713357339</v>
      </c>
      <c r="H381" s="92">
        <v>72</v>
      </c>
      <c r="I381" s="81"/>
      <c r="J381" s="93">
        <v>0</v>
      </c>
      <c r="K381" s="93">
        <v>0</v>
      </c>
      <c r="L381" s="93">
        <v>0</v>
      </c>
      <c r="M381" s="93">
        <v>0</v>
      </c>
      <c r="N381" s="93">
        <v>0</v>
      </c>
      <c r="O381" s="93">
        <v>4.8600000000000003</v>
      </c>
    </row>
    <row r="382" spans="1:15">
      <c r="A382" s="81" t="s">
        <v>45</v>
      </c>
      <c r="B382" s="92" t="s">
        <v>49</v>
      </c>
      <c r="C382" s="92" t="s">
        <v>13</v>
      </c>
      <c r="D382" s="92">
        <v>2013</v>
      </c>
      <c r="E382" s="92">
        <v>20</v>
      </c>
      <c r="F382" s="92">
        <v>8466.9668916649098</v>
      </c>
      <c r="G382" s="81">
        <v>8466.9668916649098</v>
      </c>
      <c r="H382" s="92">
        <v>62</v>
      </c>
      <c r="I382" s="81"/>
      <c r="J382" s="93">
        <v>0</v>
      </c>
      <c r="K382" s="93">
        <v>0</v>
      </c>
      <c r="L382" s="93">
        <v>0</v>
      </c>
      <c r="M382" s="93">
        <v>0</v>
      </c>
      <c r="N382" s="93">
        <v>0</v>
      </c>
      <c r="O382" s="93">
        <v>4.8600000000000003</v>
      </c>
    </row>
    <row r="383" spans="1:15">
      <c r="A383" s="81" t="s">
        <v>45</v>
      </c>
      <c r="B383" s="92" t="s">
        <v>49</v>
      </c>
      <c r="C383" s="92" t="s">
        <v>13</v>
      </c>
      <c r="D383" s="92">
        <v>2013</v>
      </c>
      <c r="E383" s="92">
        <v>21</v>
      </c>
      <c r="F383" s="92">
        <v>8337.8415401239326</v>
      </c>
      <c r="G383" s="81">
        <v>8337.8415401239326</v>
      </c>
      <c r="H383" s="92">
        <v>68</v>
      </c>
      <c r="I383" s="81"/>
      <c r="J383" s="93">
        <v>0</v>
      </c>
      <c r="K383" s="93">
        <v>0</v>
      </c>
      <c r="L383" s="93">
        <v>0</v>
      </c>
      <c r="M383" s="93">
        <v>0</v>
      </c>
      <c r="N383" s="93">
        <v>0</v>
      </c>
      <c r="O383" s="93">
        <v>4.8600000000000003</v>
      </c>
    </row>
    <row r="384" spans="1:15">
      <c r="A384" s="81" t="s">
        <v>45</v>
      </c>
      <c r="B384" s="92" t="s">
        <v>49</v>
      </c>
      <c r="C384" s="92" t="s">
        <v>13</v>
      </c>
      <c r="D384" s="92">
        <v>2013</v>
      </c>
      <c r="E384" s="92">
        <v>22</v>
      </c>
      <c r="F384" s="92">
        <v>8139.3680412195863</v>
      </c>
      <c r="G384" s="81">
        <v>8139.3680412195863</v>
      </c>
      <c r="H384" s="92">
        <v>73</v>
      </c>
      <c r="I384" s="81"/>
      <c r="J384" s="93">
        <v>0</v>
      </c>
      <c r="K384" s="93">
        <v>0</v>
      </c>
      <c r="L384" s="93">
        <v>0</v>
      </c>
      <c r="M384" s="93">
        <v>0</v>
      </c>
      <c r="N384" s="93">
        <v>0</v>
      </c>
      <c r="O384" s="93">
        <v>4.8600000000000003</v>
      </c>
    </row>
    <row r="385" spans="1:15">
      <c r="A385" s="81" t="s">
        <v>45</v>
      </c>
      <c r="B385" s="92" t="s">
        <v>49</v>
      </c>
      <c r="C385" s="92" t="s">
        <v>13</v>
      </c>
      <c r="D385" s="92">
        <v>2013</v>
      </c>
      <c r="E385" s="92">
        <v>23</v>
      </c>
      <c r="F385" s="92">
        <v>7996.4449823231325</v>
      </c>
      <c r="G385" s="81">
        <v>7996.4449823231325</v>
      </c>
      <c r="H385" s="92">
        <v>69</v>
      </c>
      <c r="I385" s="81"/>
      <c r="J385" s="93">
        <v>0</v>
      </c>
      <c r="K385" s="93">
        <v>0</v>
      </c>
      <c r="L385" s="93">
        <v>0</v>
      </c>
      <c r="M385" s="93">
        <v>0</v>
      </c>
      <c r="N385" s="93">
        <v>0</v>
      </c>
      <c r="O385" s="93">
        <v>4.8600000000000003</v>
      </c>
    </row>
    <row r="386" spans="1:15">
      <c r="A386" s="81" t="s">
        <v>45</v>
      </c>
      <c r="B386" s="92" t="s">
        <v>49</v>
      </c>
      <c r="C386" s="92" t="s">
        <v>13</v>
      </c>
      <c r="D386" s="92">
        <v>2013</v>
      </c>
      <c r="E386" s="92">
        <v>24</v>
      </c>
      <c r="F386" s="92">
        <v>7895.183603122955</v>
      </c>
      <c r="G386" s="81">
        <v>7895.183603122955</v>
      </c>
      <c r="H386" s="92">
        <v>66</v>
      </c>
      <c r="I386" s="81"/>
      <c r="J386" s="93">
        <v>0</v>
      </c>
      <c r="K386" s="93">
        <v>0</v>
      </c>
      <c r="L386" s="93">
        <v>0</v>
      </c>
      <c r="M386" s="93">
        <v>0</v>
      </c>
      <c r="N386" s="93">
        <v>0</v>
      </c>
      <c r="O386" s="93">
        <v>4.8600000000000003</v>
      </c>
    </row>
    <row r="387" spans="1:15">
      <c r="A387" s="81" t="s">
        <v>45</v>
      </c>
      <c r="B387" s="92" t="s">
        <v>49</v>
      </c>
      <c r="C387" s="92" t="s">
        <v>14</v>
      </c>
      <c r="D387" s="92">
        <v>2013</v>
      </c>
      <c r="E387" s="92">
        <v>1</v>
      </c>
      <c r="F387" s="92">
        <v>7508.8759740723399</v>
      </c>
      <c r="G387" s="81">
        <v>7508.8759740723399</v>
      </c>
      <c r="H387" s="92">
        <v>73</v>
      </c>
      <c r="I387" s="81"/>
      <c r="J387" s="93">
        <v>0</v>
      </c>
      <c r="K387" s="93">
        <v>0</v>
      </c>
      <c r="L387" s="93">
        <v>0</v>
      </c>
      <c r="M387" s="93">
        <v>0</v>
      </c>
      <c r="N387" s="93">
        <v>0</v>
      </c>
      <c r="O387" s="93">
        <v>4.8600000000000003</v>
      </c>
    </row>
    <row r="388" spans="1:15">
      <c r="A388" s="81" t="s">
        <v>45</v>
      </c>
      <c r="B388" s="92" t="s">
        <v>49</v>
      </c>
      <c r="C388" s="92" t="s">
        <v>14</v>
      </c>
      <c r="D388" s="92">
        <v>2013</v>
      </c>
      <c r="E388" s="92">
        <v>2</v>
      </c>
      <c r="F388" s="92">
        <v>7457.0380028948275</v>
      </c>
      <c r="G388" s="81">
        <v>7457.0380028948275</v>
      </c>
      <c r="H388" s="92">
        <v>68</v>
      </c>
      <c r="I388" s="81"/>
      <c r="J388" s="93">
        <v>0</v>
      </c>
      <c r="K388" s="93">
        <v>0</v>
      </c>
      <c r="L388" s="93">
        <v>0</v>
      </c>
      <c r="M388" s="93">
        <v>0</v>
      </c>
      <c r="N388" s="93">
        <v>0</v>
      </c>
      <c r="O388" s="93">
        <v>4.8600000000000003</v>
      </c>
    </row>
    <row r="389" spans="1:15">
      <c r="A389" s="81" t="s">
        <v>45</v>
      </c>
      <c r="B389" s="92" t="s">
        <v>49</v>
      </c>
      <c r="C389" s="92" t="s">
        <v>14</v>
      </c>
      <c r="D389" s="92">
        <v>2013</v>
      </c>
      <c r="E389" s="92">
        <v>3</v>
      </c>
      <c r="F389" s="92">
        <v>7400.7253013297868</v>
      </c>
      <c r="G389" s="81">
        <v>7400.7253013297868</v>
      </c>
      <c r="H389" s="92">
        <v>91</v>
      </c>
      <c r="I389" s="81"/>
      <c r="J389" s="93">
        <v>0</v>
      </c>
      <c r="K389" s="93">
        <v>0</v>
      </c>
      <c r="L389" s="93">
        <v>0</v>
      </c>
      <c r="M389" s="93">
        <v>0</v>
      </c>
      <c r="N389" s="93">
        <v>0</v>
      </c>
      <c r="O389" s="93">
        <v>4.8600000000000003</v>
      </c>
    </row>
    <row r="390" spans="1:15">
      <c r="A390" s="81" t="s">
        <v>45</v>
      </c>
      <c r="B390" s="92" t="s">
        <v>49</v>
      </c>
      <c r="C390" s="92" t="s">
        <v>14</v>
      </c>
      <c r="D390" s="92">
        <v>2013</v>
      </c>
      <c r="E390" s="92">
        <v>4</v>
      </c>
      <c r="F390" s="92">
        <v>7396.9274794455387</v>
      </c>
      <c r="G390" s="81">
        <v>7396.9274794455387</v>
      </c>
      <c r="H390" s="92">
        <v>74</v>
      </c>
      <c r="I390" s="81"/>
      <c r="J390" s="93">
        <v>0</v>
      </c>
      <c r="K390" s="93">
        <v>0</v>
      </c>
      <c r="L390" s="93">
        <v>0</v>
      </c>
      <c r="M390" s="93">
        <v>0</v>
      </c>
      <c r="N390" s="93">
        <v>0</v>
      </c>
      <c r="O390" s="93">
        <v>4.8600000000000003</v>
      </c>
    </row>
    <row r="391" spans="1:15">
      <c r="A391" s="81" t="s">
        <v>45</v>
      </c>
      <c r="B391" s="92" t="s">
        <v>49</v>
      </c>
      <c r="C391" s="92" t="s">
        <v>14</v>
      </c>
      <c r="D391" s="92">
        <v>2013</v>
      </c>
      <c r="E391" s="92">
        <v>5</v>
      </c>
      <c r="F391" s="92">
        <v>7438.1101345058696</v>
      </c>
      <c r="G391" s="81">
        <v>7438.1101345058696</v>
      </c>
      <c r="H391" s="92">
        <v>64</v>
      </c>
      <c r="I391" s="81"/>
      <c r="J391" s="93">
        <v>0</v>
      </c>
      <c r="K391" s="93">
        <v>0</v>
      </c>
      <c r="L391" s="93">
        <v>0</v>
      </c>
      <c r="M391" s="93">
        <v>0</v>
      </c>
      <c r="N391" s="93">
        <v>0</v>
      </c>
      <c r="O391" s="93">
        <v>4.8600000000000003</v>
      </c>
    </row>
    <row r="392" spans="1:15">
      <c r="A392" s="81" t="s">
        <v>45</v>
      </c>
      <c r="B392" s="92" t="s">
        <v>49</v>
      </c>
      <c r="C392" s="92" t="s">
        <v>14</v>
      </c>
      <c r="D392" s="92">
        <v>2013</v>
      </c>
      <c r="E392" s="92">
        <v>6</v>
      </c>
      <c r="F392" s="92">
        <v>7481.7254257561553</v>
      </c>
      <c r="G392" s="81">
        <v>7481.7254257561553</v>
      </c>
      <c r="H392" s="92">
        <v>68</v>
      </c>
      <c r="I392" s="81"/>
      <c r="J392" s="93">
        <v>0</v>
      </c>
      <c r="K392" s="93">
        <v>0</v>
      </c>
      <c r="L392" s="93">
        <v>0</v>
      </c>
      <c r="M392" s="93">
        <v>0</v>
      </c>
      <c r="N392" s="93">
        <v>0</v>
      </c>
      <c r="O392" s="93">
        <v>4.8600000000000003</v>
      </c>
    </row>
    <row r="393" spans="1:15">
      <c r="A393" s="81" t="s">
        <v>45</v>
      </c>
      <c r="B393" s="92" t="s">
        <v>49</v>
      </c>
      <c r="C393" s="92" t="s">
        <v>14</v>
      </c>
      <c r="D393" s="92">
        <v>2013</v>
      </c>
      <c r="E393" s="92">
        <v>7</v>
      </c>
      <c r="F393" s="92">
        <v>7705.6791040656062</v>
      </c>
      <c r="G393" s="81">
        <v>7705.6791040656062</v>
      </c>
      <c r="H393" s="92">
        <v>71</v>
      </c>
      <c r="I393" s="81"/>
      <c r="J393" s="93">
        <v>0</v>
      </c>
      <c r="K393" s="93">
        <v>0</v>
      </c>
      <c r="L393" s="93">
        <v>0</v>
      </c>
      <c r="M393" s="93">
        <v>0</v>
      </c>
      <c r="N393" s="93">
        <v>0</v>
      </c>
      <c r="O393" s="93">
        <v>4.8600000000000003</v>
      </c>
    </row>
    <row r="394" spans="1:15">
      <c r="A394" s="81" t="s">
        <v>45</v>
      </c>
      <c r="B394" s="92" t="s">
        <v>49</v>
      </c>
      <c r="C394" s="92" t="s">
        <v>14</v>
      </c>
      <c r="D394" s="92">
        <v>2013</v>
      </c>
      <c r="E394" s="92">
        <v>8</v>
      </c>
      <c r="F394" s="92">
        <v>7959.3337879613773</v>
      </c>
      <c r="G394" s="81">
        <v>7959.3337879613773</v>
      </c>
      <c r="H394" s="92">
        <v>71</v>
      </c>
      <c r="I394" s="81"/>
      <c r="J394" s="93">
        <v>0</v>
      </c>
      <c r="K394" s="93">
        <v>0</v>
      </c>
      <c r="L394" s="93">
        <v>0</v>
      </c>
      <c r="M394" s="93">
        <v>0</v>
      </c>
      <c r="N394" s="93">
        <v>0</v>
      </c>
      <c r="O394" s="93">
        <v>4.8600000000000003</v>
      </c>
    </row>
    <row r="395" spans="1:15">
      <c r="A395" s="81" t="s">
        <v>45</v>
      </c>
      <c r="B395" s="92" t="s">
        <v>49</v>
      </c>
      <c r="C395" s="92" t="s">
        <v>14</v>
      </c>
      <c r="D395" s="92">
        <v>2013</v>
      </c>
      <c r="E395" s="92">
        <v>9</v>
      </c>
      <c r="F395" s="92">
        <v>8698.6255676328019</v>
      </c>
      <c r="G395" s="81">
        <v>8698.6255676328019</v>
      </c>
      <c r="H395" s="92">
        <v>63</v>
      </c>
      <c r="I395" s="81"/>
      <c r="J395" s="93">
        <v>0</v>
      </c>
      <c r="K395" s="93">
        <v>0</v>
      </c>
      <c r="L395" s="93">
        <v>0</v>
      </c>
      <c r="M395" s="93">
        <v>0</v>
      </c>
      <c r="N395" s="93">
        <v>0</v>
      </c>
      <c r="O395" s="93">
        <v>4.8600000000000003</v>
      </c>
    </row>
    <row r="396" spans="1:15">
      <c r="A396" s="81" t="s">
        <v>45</v>
      </c>
      <c r="B396" s="92" t="s">
        <v>49</v>
      </c>
      <c r="C396" s="92" t="s">
        <v>14</v>
      </c>
      <c r="D396" s="92">
        <v>2013</v>
      </c>
      <c r="E396" s="92">
        <v>10</v>
      </c>
      <c r="F396" s="92">
        <v>9048.907246039551</v>
      </c>
      <c r="G396" s="81">
        <v>9048.907246039551</v>
      </c>
      <c r="H396" s="92">
        <v>63</v>
      </c>
      <c r="I396" s="81"/>
      <c r="J396" s="93">
        <v>0</v>
      </c>
      <c r="K396" s="93">
        <v>0</v>
      </c>
      <c r="L396" s="93">
        <v>0</v>
      </c>
      <c r="M396" s="93">
        <v>0</v>
      </c>
      <c r="N396" s="93">
        <v>0</v>
      </c>
      <c r="O396" s="93">
        <v>4.8600000000000003</v>
      </c>
    </row>
    <row r="397" spans="1:15">
      <c r="A397" s="81" t="s">
        <v>45</v>
      </c>
      <c r="B397" s="92" t="s">
        <v>49</v>
      </c>
      <c r="C397" s="92" t="s">
        <v>14</v>
      </c>
      <c r="D397" s="92">
        <v>2013</v>
      </c>
      <c r="E397" s="92">
        <v>11</v>
      </c>
      <c r="F397" s="92">
        <v>9265.8511250303836</v>
      </c>
      <c r="G397" s="81">
        <v>5603.4906698230079</v>
      </c>
      <c r="H397" s="92">
        <v>69</v>
      </c>
      <c r="I397" s="81"/>
      <c r="J397" s="93">
        <v>3574.9713344434103</v>
      </c>
      <c r="K397" s="93">
        <v>3607.3867258750333</v>
      </c>
      <c r="L397" s="93">
        <v>3662.3604552073762</v>
      </c>
      <c r="M397" s="93">
        <v>3717.334184539719</v>
      </c>
      <c r="N397" s="93">
        <v>3749.7495759713352</v>
      </c>
      <c r="O397" s="93">
        <v>4.8600000000000003</v>
      </c>
    </row>
    <row r="398" spans="1:15">
      <c r="A398" s="81" t="s">
        <v>45</v>
      </c>
      <c r="B398" s="92" t="s">
        <v>49</v>
      </c>
      <c r="C398" s="92" t="s">
        <v>14</v>
      </c>
      <c r="D398" s="92">
        <v>2013</v>
      </c>
      <c r="E398" s="92">
        <v>12</v>
      </c>
      <c r="F398" s="92">
        <v>9438.8203889235374</v>
      </c>
      <c r="G398" s="81">
        <v>5708.0932199085782</v>
      </c>
      <c r="H398" s="92">
        <v>71</v>
      </c>
      <c r="I398" s="81"/>
      <c r="J398" s="93">
        <v>3648.0582608791292</v>
      </c>
      <c r="K398" s="93">
        <v>3678.7227760158066</v>
      </c>
      <c r="L398" s="93">
        <v>3730.7271690149587</v>
      </c>
      <c r="M398" s="93">
        <v>3782.7315620141044</v>
      </c>
      <c r="N398" s="93">
        <v>3813.3960771507818</v>
      </c>
      <c r="O398" s="93">
        <v>4.8600000000000003</v>
      </c>
    </row>
    <row r="399" spans="1:15">
      <c r="A399" s="81" t="s">
        <v>45</v>
      </c>
      <c r="B399" s="92" t="s">
        <v>49</v>
      </c>
      <c r="C399" s="92" t="s">
        <v>14</v>
      </c>
      <c r="D399" s="92">
        <v>2013</v>
      </c>
      <c r="E399" s="92">
        <v>13</v>
      </c>
      <c r="F399" s="92">
        <v>9428.4508730062062</v>
      </c>
      <c r="G399" s="81">
        <v>5701.8222918622196</v>
      </c>
      <c r="H399" s="92">
        <v>69</v>
      </c>
      <c r="I399" s="81"/>
      <c r="J399" s="93">
        <v>3645.9448707470683</v>
      </c>
      <c r="K399" s="93">
        <v>3675.8730131955517</v>
      </c>
      <c r="L399" s="93">
        <v>3726.628581143987</v>
      </c>
      <c r="M399" s="93">
        <v>3777.3841490924219</v>
      </c>
      <c r="N399" s="93">
        <v>3807.3122915409053</v>
      </c>
      <c r="O399" s="93">
        <v>4.8600000000000003</v>
      </c>
    </row>
    <row r="400" spans="1:15">
      <c r="A400" s="81" t="s">
        <v>45</v>
      </c>
      <c r="B400" s="92" t="s">
        <v>49</v>
      </c>
      <c r="C400" s="92" t="s">
        <v>14</v>
      </c>
      <c r="D400" s="92">
        <v>2013</v>
      </c>
      <c r="E400" s="92">
        <v>14</v>
      </c>
      <c r="F400" s="92">
        <v>9379.1182312681722</v>
      </c>
      <c r="G400" s="81">
        <v>5671.9885513923291</v>
      </c>
      <c r="H400" s="92">
        <v>71</v>
      </c>
      <c r="I400" s="81"/>
      <c r="J400" s="93">
        <v>3632.8661665348577</v>
      </c>
      <c r="K400" s="93">
        <v>3660.4128546465022</v>
      </c>
      <c r="L400" s="93">
        <v>3707.1296798758431</v>
      </c>
      <c r="M400" s="93">
        <v>3753.8465051051908</v>
      </c>
      <c r="N400" s="93">
        <v>3781.3931932168293</v>
      </c>
      <c r="O400" s="93">
        <v>4.8600000000000003</v>
      </c>
    </row>
    <row r="401" spans="1:15">
      <c r="A401" s="81" t="s">
        <v>45</v>
      </c>
      <c r="B401" s="92" t="s">
        <v>49</v>
      </c>
      <c r="C401" s="92" t="s">
        <v>14</v>
      </c>
      <c r="D401" s="92">
        <v>2013</v>
      </c>
      <c r="E401" s="92">
        <v>15</v>
      </c>
      <c r="F401" s="92">
        <v>9041.4402604610805</v>
      </c>
      <c r="G401" s="81">
        <v>5467.7789938147353</v>
      </c>
      <c r="H401" s="92">
        <v>62</v>
      </c>
      <c r="I401" s="81"/>
      <c r="J401" s="93">
        <v>3496.9287701495509</v>
      </c>
      <c r="K401" s="93">
        <v>3525.3912822760562</v>
      </c>
      <c r="L401" s="93">
        <v>3573.6612666463452</v>
      </c>
      <c r="M401" s="93">
        <v>3621.9312510166342</v>
      </c>
      <c r="N401" s="93">
        <v>3650.3937631431395</v>
      </c>
      <c r="O401" s="93">
        <v>4.8600000000000003</v>
      </c>
    </row>
    <row r="402" spans="1:15">
      <c r="A402" s="81" t="s">
        <v>45</v>
      </c>
      <c r="B402" s="92" t="s">
        <v>49</v>
      </c>
      <c r="C402" s="92" t="s">
        <v>14</v>
      </c>
      <c r="D402" s="92">
        <v>2013</v>
      </c>
      <c r="E402" s="92">
        <v>16</v>
      </c>
      <c r="F402" s="92">
        <v>8984.7558241566858</v>
      </c>
      <c r="G402" s="81">
        <v>5433.499281603752</v>
      </c>
      <c r="H402" s="92">
        <v>70</v>
      </c>
      <c r="I402" s="81"/>
      <c r="J402" s="93">
        <v>3475.8852675436951</v>
      </c>
      <c r="K402" s="93">
        <v>3503.8428595272953</v>
      </c>
      <c r="L402" s="93">
        <v>3551.2565425529333</v>
      </c>
      <c r="M402" s="93">
        <v>3598.6702255785658</v>
      </c>
      <c r="N402" s="93">
        <v>3626.627817562166</v>
      </c>
      <c r="O402" s="93">
        <v>4.8600000000000003</v>
      </c>
    </row>
    <row r="403" spans="1:15">
      <c r="A403" s="81" t="s">
        <v>45</v>
      </c>
      <c r="B403" s="92" t="s">
        <v>49</v>
      </c>
      <c r="C403" s="92" t="s">
        <v>14</v>
      </c>
      <c r="D403" s="92">
        <v>2013</v>
      </c>
      <c r="E403" s="92">
        <v>17</v>
      </c>
      <c r="F403" s="92">
        <v>8897.9496806055595</v>
      </c>
      <c r="G403" s="81">
        <v>5381.0035735561596</v>
      </c>
      <c r="H403" s="92">
        <v>70</v>
      </c>
      <c r="I403" s="81"/>
      <c r="J403" s="93">
        <v>3427.3362216394316</v>
      </c>
      <c r="K403" s="93">
        <v>3460.5753649825992</v>
      </c>
      <c r="L403" s="93">
        <v>3516.9461070493994</v>
      </c>
      <c r="M403" s="93">
        <v>3573.3168491162</v>
      </c>
      <c r="N403" s="93">
        <v>3606.5559924593681</v>
      </c>
      <c r="O403" s="93">
        <v>4.8600000000000003</v>
      </c>
    </row>
    <row r="404" spans="1:15">
      <c r="A404" s="81" t="s">
        <v>45</v>
      </c>
      <c r="B404" s="92" t="s">
        <v>49</v>
      </c>
      <c r="C404" s="92" t="s">
        <v>14</v>
      </c>
      <c r="D404" s="92">
        <v>2013</v>
      </c>
      <c r="E404" s="92">
        <v>18</v>
      </c>
      <c r="F404" s="92">
        <v>8668.6259066701423</v>
      </c>
      <c r="G404" s="81">
        <v>5242.3208329988001</v>
      </c>
      <c r="H404" s="92">
        <v>88</v>
      </c>
      <c r="I404" s="81"/>
      <c r="J404" s="93">
        <v>3348.3171763130495</v>
      </c>
      <c r="K404" s="93">
        <v>3377.245356362213</v>
      </c>
      <c r="L404" s="93">
        <v>3426.3050736713421</v>
      </c>
      <c r="M404" s="93">
        <v>3475.3647909804713</v>
      </c>
      <c r="N404" s="93">
        <v>3504.2929710296416</v>
      </c>
      <c r="O404" s="93">
        <v>4.8600000000000003</v>
      </c>
    </row>
    <row r="405" spans="1:15">
      <c r="A405" s="81" t="s">
        <v>45</v>
      </c>
      <c r="B405" s="92" t="s">
        <v>49</v>
      </c>
      <c r="C405" s="92" t="s">
        <v>14</v>
      </c>
      <c r="D405" s="92">
        <v>2013</v>
      </c>
      <c r="E405" s="92">
        <v>19</v>
      </c>
      <c r="F405" s="92">
        <v>8499.1622025884099</v>
      </c>
      <c r="G405" s="81">
        <v>8499.1622025884099</v>
      </c>
      <c r="H405" s="92">
        <v>87</v>
      </c>
      <c r="I405" s="81"/>
      <c r="J405" s="93">
        <v>0</v>
      </c>
      <c r="K405" s="93">
        <v>0</v>
      </c>
      <c r="L405" s="93">
        <v>0</v>
      </c>
      <c r="M405" s="93">
        <v>0</v>
      </c>
      <c r="N405" s="93">
        <v>0</v>
      </c>
      <c r="O405" s="93">
        <v>4.8600000000000003</v>
      </c>
    </row>
    <row r="406" spans="1:15">
      <c r="A406" s="81" t="s">
        <v>45</v>
      </c>
      <c r="B406" s="92" t="s">
        <v>49</v>
      </c>
      <c r="C406" s="92" t="s">
        <v>14</v>
      </c>
      <c r="D406" s="92">
        <v>2013</v>
      </c>
      <c r="E406" s="92">
        <v>20</v>
      </c>
      <c r="F406" s="92">
        <v>8306.5501800918209</v>
      </c>
      <c r="G406" s="81">
        <v>8306.5501800918209</v>
      </c>
      <c r="H406" s="92">
        <v>91</v>
      </c>
      <c r="I406" s="81"/>
      <c r="J406" s="93">
        <v>0</v>
      </c>
      <c r="K406" s="93">
        <v>0</v>
      </c>
      <c r="L406" s="93">
        <v>0</v>
      </c>
      <c r="M406" s="93">
        <v>0</v>
      </c>
      <c r="N406" s="93">
        <v>0</v>
      </c>
      <c r="O406" s="93">
        <v>4.8600000000000003</v>
      </c>
    </row>
    <row r="407" spans="1:15">
      <c r="A407" s="81" t="s">
        <v>45</v>
      </c>
      <c r="B407" s="92" t="s">
        <v>49</v>
      </c>
      <c r="C407" s="92" t="s">
        <v>14</v>
      </c>
      <c r="D407" s="92">
        <v>2013</v>
      </c>
      <c r="E407" s="92">
        <v>21</v>
      </c>
      <c r="F407" s="92">
        <v>8170.7170681093012</v>
      </c>
      <c r="G407" s="81">
        <v>8170.7170681093012</v>
      </c>
      <c r="H407" s="92">
        <v>90</v>
      </c>
      <c r="I407" s="81"/>
      <c r="J407" s="93">
        <v>0</v>
      </c>
      <c r="K407" s="93">
        <v>0</v>
      </c>
      <c r="L407" s="93">
        <v>0</v>
      </c>
      <c r="M407" s="93">
        <v>0</v>
      </c>
      <c r="N407" s="93">
        <v>0</v>
      </c>
      <c r="O407" s="93">
        <v>4.8600000000000003</v>
      </c>
    </row>
    <row r="408" spans="1:15">
      <c r="A408" s="81" t="s">
        <v>45</v>
      </c>
      <c r="B408" s="92" t="s">
        <v>49</v>
      </c>
      <c r="C408" s="92" t="s">
        <v>14</v>
      </c>
      <c r="D408" s="92">
        <v>2013</v>
      </c>
      <c r="E408" s="92">
        <v>22</v>
      </c>
      <c r="F408" s="92">
        <v>7958.6052547611853</v>
      </c>
      <c r="G408" s="81">
        <v>7958.6052547611853</v>
      </c>
      <c r="H408" s="92">
        <v>74</v>
      </c>
      <c r="I408" s="81"/>
      <c r="J408" s="93">
        <v>0</v>
      </c>
      <c r="K408" s="93">
        <v>0</v>
      </c>
      <c r="L408" s="93">
        <v>0</v>
      </c>
      <c r="M408" s="93">
        <v>0</v>
      </c>
      <c r="N408" s="93">
        <v>0</v>
      </c>
      <c r="O408" s="93">
        <v>4.8600000000000003</v>
      </c>
    </row>
    <row r="409" spans="1:15">
      <c r="A409" s="81" t="s">
        <v>45</v>
      </c>
      <c r="B409" s="92" t="s">
        <v>49</v>
      </c>
      <c r="C409" s="92" t="s">
        <v>14</v>
      </c>
      <c r="D409" s="92">
        <v>2013</v>
      </c>
      <c r="E409" s="92">
        <v>23</v>
      </c>
      <c r="F409" s="92">
        <v>7804.6683221112644</v>
      </c>
      <c r="G409" s="81">
        <v>7804.6683221112644</v>
      </c>
      <c r="H409" s="92">
        <v>87</v>
      </c>
      <c r="I409" s="81"/>
      <c r="J409" s="93">
        <v>0</v>
      </c>
      <c r="K409" s="93">
        <v>0</v>
      </c>
      <c r="L409" s="93">
        <v>0</v>
      </c>
      <c r="M409" s="93">
        <v>0</v>
      </c>
      <c r="N409" s="93">
        <v>0</v>
      </c>
      <c r="O409" s="93">
        <v>4.8600000000000003</v>
      </c>
    </row>
    <row r="410" spans="1:15">
      <c r="A410" s="81" t="s">
        <v>45</v>
      </c>
      <c r="B410" s="92" t="s">
        <v>49</v>
      </c>
      <c r="C410" s="92" t="s">
        <v>14</v>
      </c>
      <c r="D410" s="92">
        <v>2013</v>
      </c>
      <c r="E410" s="92">
        <v>24</v>
      </c>
      <c r="F410" s="92">
        <v>7704.9221518345084</v>
      </c>
      <c r="G410" s="81">
        <v>7704.9221518345084</v>
      </c>
      <c r="H410" s="92">
        <v>89</v>
      </c>
      <c r="I410" s="81"/>
      <c r="J410" s="93">
        <v>0</v>
      </c>
      <c r="K410" s="93">
        <v>0</v>
      </c>
      <c r="L410" s="93">
        <v>0</v>
      </c>
      <c r="M410" s="93">
        <v>0</v>
      </c>
      <c r="N410" s="93">
        <v>0</v>
      </c>
      <c r="O410" s="93">
        <v>4.8600000000000003</v>
      </c>
    </row>
    <row r="411" spans="1:15">
      <c r="A411" s="81" t="s">
        <v>45</v>
      </c>
      <c r="B411" s="92" t="s">
        <v>49</v>
      </c>
      <c r="C411" s="92" t="s">
        <v>15</v>
      </c>
      <c r="D411" s="92">
        <v>2013</v>
      </c>
      <c r="E411" s="92">
        <v>1</v>
      </c>
      <c r="F411" s="92">
        <v>7727.0130832880059</v>
      </c>
      <c r="G411" s="81">
        <v>7727.0130832880059</v>
      </c>
      <c r="H411" s="92">
        <v>91</v>
      </c>
      <c r="I411" s="81"/>
      <c r="J411" s="93">
        <v>0</v>
      </c>
      <c r="K411" s="93">
        <v>0</v>
      </c>
      <c r="L411" s="93">
        <v>0</v>
      </c>
      <c r="M411" s="93">
        <v>0</v>
      </c>
      <c r="N411" s="93">
        <v>0</v>
      </c>
      <c r="O411" s="93">
        <v>4.8600000000000003</v>
      </c>
    </row>
    <row r="412" spans="1:15">
      <c r="A412" s="81" t="s">
        <v>45</v>
      </c>
      <c r="B412" s="92" t="s">
        <v>49</v>
      </c>
      <c r="C412" s="92" t="s">
        <v>15</v>
      </c>
      <c r="D412" s="92">
        <v>2013</v>
      </c>
      <c r="E412" s="92">
        <v>2</v>
      </c>
      <c r="F412" s="92">
        <v>7668.9518018291401</v>
      </c>
      <c r="G412" s="81">
        <v>7668.9518018291401</v>
      </c>
      <c r="H412" s="92">
        <v>73</v>
      </c>
      <c r="I412" s="81"/>
      <c r="J412" s="93">
        <v>0</v>
      </c>
      <c r="K412" s="93">
        <v>0</v>
      </c>
      <c r="L412" s="93">
        <v>0</v>
      </c>
      <c r="M412" s="93">
        <v>0</v>
      </c>
      <c r="N412" s="93">
        <v>0</v>
      </c>
      <c r="O412" s="93">
        <v>4.8600000000000003</v>
      </c>
    </row>
    <row r="413" spans="1:15">
      <c r="A413" s="81" t="s">
        <v>45</v>
      </c>
      <c r="B413" s="92" t="s">
        <v>49</v>
      </c>
      <c r="C413" s="92" t="s">
        <v>15</v>
      </c>
      <c r="D413" s="92">
        <v>2013</v>
      </c>
      <c r="E413" s="92">
        <v>3</v>
      </c>
      <c r="F413" s="92">
        <v>7622.1790846434624</v>
      </c>
      <c r="G413" s="81">
        <v>7622.1790846434624</v>
      </c>
      <c r="H413" s="92">
        <v>76</v>
      </c>
      <c r="I413" s="81"/>
      <c r="J413" s="93">
        <v>0</v>
      </c>
      <c r="K413" s="93">
        <v>0</v>
      </c>
      <c r="L413" s="93">
        <v>0</v>
      </c>
      <c r="M413" s="93">
        <v>0</v>
      </c>
      <c r="N413" s="93">
        <v>0</v>
      </c>
      <c r="O413" s="93">
        <v>4.8600000000000003</v>
      </c>
    </row>
    <row r="414" spans="1:15">
      <c r="A414" s="81" t="s">
        <v>45</v>
      </c>
      <c r="B414" s="92" t="s">
        <v>49</v>
      </c>
      <c r="C414" s="92" t="s">
        <v>15</v>
      </c>
      <c r="D414" s="92">
        <v>2013</v>
      </c>
      <c r="E414" s="92">
        <v>4</v>
      </c>
      <c r="F414" s="92">
        <v>7642.2765857283284</v>
      </c>
      <c r="G414" s="81">
        <v>7642.2765857283284</v>
      </c>
      <c r="H414" s="92">
        <v>62</v>
      </c>
      <c r="I414" s="81"/>
      <c r="J414" s="93">
        <v>0</v>
      </c>
      <c r="K414" s="93">
        <v>0</v>
      </c>
      <c r="L414" s="93">
        <v>0</v>
      </c>
      <c r="M414" s="93">
        <v>0</v>
      </c>
      <c r="N414" s="93">
        <v>0</v>
      </c>
      <c r="O414" s="93">
        <v>4.8600000000000003</v>
      </c>
    </row>
    <row r="415" spans="1:15">
      <c r="A415" s="81" t="s">
        <v>45</v>
      </c>
      <c r="B415" s="92" t="s">
        <v>49</v>
      </c>
      <c r="C415" s="92" t="s">
        <v>15</v>
      </c>
      <c r="D415" s="92">
        <v>2013</v>
      </c>
      <c r="E415" s="92">
        <v>5</v>
      </c>
      <c r="F415" s="92">
        <v>7680.7520895996968</v>
      </c>
      <c r="G415" s="81">
        <v>7680.7520895996968</v>
      </c>
      <c r="H415" s="92">
        <v>71</v>
      </c>
      <c r="I415" s="81"/>
      <c r="J415" s="93">
        <v>0</v>
      </c>
      <c r="K415" s="93">
        <v>0</v>
      </c>
      <c r="L415" s="93">
        <v>0</v>
      </c>
      <c r="M415" s="93">
        <v>0</v>
      </c>
      <c r="N415" s="93">
        <v>0</v>
      </c>
      <c r="O415" s="93">
        <v>4.8600000000000003</v>
      </c>
    </row>
    <row r="416" spans="1:15">
      <c r="A416" s="81" t="s">
        <v>45</v>
      </c>
      <c r="B416" s="92" t="s">
        <v>49</v>
      </c>
      <c r="C416" s="92" t="s">
        <v>15</v>
      </c>
      <c r="D416" s="92">
        <v>2013</v>
      </c>
      <c r="E416" s="92">
        <v>6</v>
      </c>
      <c r="F416" s="92">
        <v>7721.4410047406691</v>
      </c>
      <c r="G416" s="81">
        <v>7721.4410047406691</v>
      </c>
      <c r="H416" s="92">
        <v>60</v>
      </c>
      <c r="I416" s="81"/>
      <c r="J416" s="93">
        <v>0</v>
      </c>
      <c r="K416" s="93">
        <v>0</v>
      </c>
      <c r="L416" s="93">
        <v>0</v>
      </c>
      <c r="M416" s="93">
        <v>0</v>
      </c>
      <c r="N416" s="93">
        <v>0</v>
      </c>
      <c r="O416" s="93">
        <v>4.8600000000000003</v>
      </c>
    </row>
    <row r="417" spans="1:15">
      <c r="A417" s="81" t="s">
        <v>45</v>
      </c>
      <c r="B417" s="92" t="s">
        <v>49</v>
      </c>
      <c r="C417" s="92" t="s">
        <v>15</v>
      </c>
      <c r="D417" s="92">
        <v>2013</v>
      </c>
      <c r="E417" s="92">
        <v>7</v>
      </c>
      <c r="F417" s="92">
        <v>7818.3280474443272</v>
      </c>
      <c r="G417" s="81">
        <v>7818.3280474443272</v>
      </c>
      <c r="H417" s="92">
        <v>73</v>
      </c>
      <c r="I417" s="81"/>
      <c r="J417" s="93">
        <v>0</v>
      </c>
      <c r="K417" s="93">
        <v>0</v>
      </c>
      <c r="L417" s="93">
        <v>0</v>
      </c>
      <c r="M417" s="93">
        <v>0</v>
      </c>
      <c r="N417" s="93">
        <v>0</v>
      </c>
      <c r="O417" s="93">
        <v>4.8600000000000003</v>
      </c>
    </row>
    <row r="418" spans="1:15">
      <c r="A418" s="81" t="s">
        <v>45</v>
      </c>
      <c r="B418" s="92" t="s">
        <v>49</v>
      </c>
      <c r="C418" s="92" t="s">
        <v>15</v>
      </c>
      <c r="D418" s="92">
        <v>2013</v>
      </c>
      <c r="E418" s="92">
        <v>8</v>
      </c>
      <c r="F418" s="92">
        <v>7968.7369037113749</v>
      </c>
      <c r="G418" s="81">
        <v>7968.7369037113749</v>
      </c>
      <c r="H418" s="92">
        <v>68</v>
      </c>
      <c r="I418" s="81"/>
      <c r="J418" s="93">
        <v>0</v>
      </c>
      <c r="K418" s="93">
        <v>0</v>
      </c>
      <c r="L418" s="93">
        <v>0</v>
      </c>
      <c r="M418" s="93">
        <v>0</v>
      </c>
      <c r="N418" s="93">
        <v>0</v>
      </c>
      <c r="O418" s="93">
        <v>4.8600000000000003</v>
      </c>
    </row>
    <row r="419" spans="1:15">
      <c r="A419" s="81" t="s">
        <v>45</v>
      </c>
      <c r="B419" s="92" t="s">
        <v>49</v>
      </c>
      <c r="C419" s="92" t="s">
        <v>15</v>
      </c>
      <c r="D419" s="92">
        <v>2013</v>
      </c>
      <c r="E419" s="92">
        <v>9</v>
      </c>
      <c r="F419" s="92">
        <v>8876.7958703607583</v>
      </c>
      <c r="G419" s="81">
        <v>8876.7958703607583</v>
      </c>
      <c r="H419" s="92">
        <v>67</v>
      </c>
      <c r="I419" s="81"/>
      <c r="J419" s="93">
        <v>0</v>
      </c>
      <c r="K419" s="93">
        <v>0</v>
      </c>
      <c r="L419" s="93">
        <v>0</v>
      </c>
      <c r="M419" s="93">
        <v>0</v>
      </c>
      <c r="N419" s="93">
        <v>0</v>
      </c>
      <c r="O419" s="93">
        <v>4.8600000000000003</v>
      </c>
    </row>
    <row r="420" spans="1:15">
      <c r="A420" s="81" t="s">
        <v>45</v>
      </c>
      <c r="B420" s="92" t="s">
        <v>49</v>
      </c>
      <c r="C420" s="92" t="s">
        <v>15</v>
      </c>
      <c r="D420" s="92">
        <v>2013</v>
      </c>
      <c r="E420" s="92">
        <v>10</v>
      </c>
      <c r="F420" s="92">
        <v>9197.1574375979199</v>
      </c>
      <c r="G420" s="81">
        <v>9197.1574375979199</v>
      </c>
      <c r="H420" s="92">
        <v>58</v>
      </c>
      <c r="I420" s="81"/>
      <c r="J420" s="93">
        <v>0</v>
      </c>
      <c r="K420" s="93">
        <v>0</v>
      </c>
      <c r="L420" s="93">
        <v>0</v>
      </c>
      <c r="M420" s="93">
        <v>0</v>
      </c>
      <c r="N420" s="93">
        <v>0</v>
      </c>
      <c r="O420" s="93">
        <v>4.8600000000000003</v>
      </c>
    </row>
    <row r="421" spans="1:15">
      <c r="A421" s="81" t="s">
        <v>45</v>
      </c>
      <c r="B421" s="92" t="s">
        <v>49</v>
      </c>
      <c r="C421" s="92" t="s">
        <v>15</v>
      </c>
      <c r="D421" s="92">
        <v>2013</v>
      </c>
      <c r="E421" s="92">
        <v>11</v>
      </c>
      <c r="F421" s="92">
        <v>9502.8876762236905</v>
      </c>
      <c r="G421" s="81">
        <v>5620.507706563415</v>
      </c>
      <c r="H421" s="92">
        <v>70</v>
      </c>
      <c r="I421" s="81"/>
      <c r="J421" s="93">
        <v>3795.2661918410954</v>
      </c>
      <c r="K421" s="93">
        <v>3827.5794498577629</v>
      </c>
      <c r="L421" s="93">
        <v>3882.3799696602755</v>
      </c>
      <c r="M421" s="93">
        <v>3937.1804894627803</v>
      </c>
      <c r="N421" s="93">
        <v>3969.4937474794556</v>
      </c>
      <c r="O421" s="93">
        <v>4.8600000000000003</v>
      </c>
    </row>
    <row r="422" spans="1:15">
      <c r="A422" s="81" t="s">
        <v>45</v>
      </c>
      <c r="B422" s="92" t="s">
        <v>49</v>
      </c>
      <c r="C422" s="92" t="s">
        <v>15</v>
      </c>
      <c r="D422" s="92">
        <v>2013</v>
      </c>
      <c r="E422" s="92">
        <v>12</v>
      </c>
      <c r="F422" s="92">
        <v>9725.3952201123811</v>
      </c>
      <c r="G422" s="81">
        <v>5752.1103738583161</v>
      </c>
      <c r="H422" s="92">
        <v>66</v>
      </c>
      <c r="I422" s="81"/>
      <c r="J422" s="93">
        <v>3890.8764087627451</v>
      </c>
      <c r="K422" s="93">
        <v>3921.4443070914658</v>
      </c>
      <c r="L422" s="93">
        <v>3973.2848462540651</v>
      </c>
      <c r="M422" s="93">
        <v>4025.1253854166639</v>
      </c>
      <c r="N422" s="93">
        <v>4055.693283745386</v>
      </c>
      <c r="O422" s="93">
        <v>4.8600000000000003</v>
      </c>
    </row>
    <row r="423" spans="1:15">
      <c r="A423" s="81" t="s">
        <v>45</v>
      </c>
      <c r="B423" s="92" t="s">
        <v>49</v>
      </c>
      <c r="C423" s="92" t="s">
        <v>15</v>
      </c>
      <c r="D423" s="92">
        <v>2013</v>
      </c>
      <c r="E423" s="92">
        <v>13</v>
      </c>
      <c r="F423" s="92">
        <v>9746.3224960598473</v>
      </c>
      <c r="G423" s="81">
        <v>5764.487865811041</v>
      </c>
      <c r="H423" s="92">
        <v>62</v>
      </c>
      <c r="I423" s="81"/>
      <c r="J423" s="93">
        <v>3901.405135596623</v>
      </c>
      <c r="K423" s="93">
        <v>3931.2389813774935</v>
      </c>
      <c r="L423" s="93">
        <v>3981.8346302488058</v>
      </c>
      <c r="M423" s="93">
        <v>4032.4302791201189</v>
      </c>
      <c r="N423" s="93">
        <v>4062.2641249009939</v>
      </c>
      <c r="O423" s="93">
        <v>4.8600000000000003</v>
      </c>
    </row>
    <row r="424" spans="1:15">
      <c r="A424" s="81" t="s">
        <v>45</v>
      </c>
      <c r="B424" s="92" t="s">
        <v>49</v>
      </c>
      <c r="C424" s="92" t="s">
        <v>15</v>
      </c>
      <c r="D424" s="92">
        <v>2013</v>
      </c>
      <c r="E424" s="92">
        <v>14</v>
      </c>
      <c r="F424" s="92">
        <v>9725.0652981518851</v>
      </c>
      <c r="G424" s="81">
        <v>5751.9152406541034</v>
      </c>
      <c r="H424" s="92">
        <v>72</v>
      </c>
      <c r="I424" s="81"/>
      <c r="J424" s="93">
        <v>3899.1205313427781</v>
      </c>
      <c r="K424" s="93">
        <v>3926.5804261996395</v>
      </c>
      <c r="L424" s="93">
        <v>3973.1500574977813</v>
      </c>
      <c r="M424" s="93">
        <v>4019.7196887959235</v>
      </c>
      <c r="N424" s="93">
        <v>4047.179583652779</v>
      </c>
      <c r="O424" s="93">
        <v>4.8600000000000003</v>
      </c>
    </row>
    <row r="425" spans="1:15">
      <c r="A425" s="81" t="s">
        <v>45</v>
      </c>
      <c r="B425" s="92" t="s">
        <v>49</v>
      </c>
      <c r="C425" s="92" t="s">
        <v>15</v>
      </c>
      <c r="D425" s="92">
        <v>2013</v>
      </c>
      <c r="E425" s="92">
        <v>15</v>
      </c>
      <c r="F425" s="92">
        <v>9496.6313563147269</v>
      </c>
      <c r="G425" s="81">
        <v>5616.8073898322136</v>
      </c>
      <c r="H425" s="92">
        <v>73</v>
      </c>
      <c r="I425" s="81"/>
      <c r="J425" s="93">
        <v>3803.3332363676354</v>
      </c>
      <c r="K425" s="93">
        <v>3831.706069689315</v>
      </c>
      <c r="L425" s="93">
        <v>3879.8239664825132</v>
      </c>
      <c r="M425" s="93">
        <v>3927.9418632757115</v>
      </c>
      <c r="N425" s="93">
        <v>3956.314696597391</v>
      </c>
      <c r="O425" s="93">
        <v>4.8600000000000003</v>
      </c>
    </row>
    <row r="426" spans="1:15">
      <c r="A426" s="81" t="s">
        <v>45</v>
      </c>
      <c r="B426" s="92" t="s">
        <v>49</v>
      </c>
      <c r="C426" s="92" t="s">
        <v>15</v>
      </c>
      <c r="D426" s="92">
        <v>2013</v>
      </c>
      <c r="E426" s="92">
        <v>16</v>
      </c>
      <c r="F426" s="92">
        <v>9397.7889262824283</v>
      </c>
      <c r="G426" s="81">
        <v>5558.3467767364737</v>
      </c>
      <c r="H426" s="92">
        <v>83</v>
      </c>
      <c r="I426" s="81"/>
      <c r="J426" s="93">
        <v>3764.3083520239775</v>
      </c>
      <c r="K426" s="93">
        <v>3792.1778560895641</v>
      </c>
      <c r="L426" s="93">
        <v>3839.4421495459546</v>
      </c>
      <c r="M426" s="93">
        <v>3886.7064430023456</v>
      </c>
      <c r="N426" s="93">
        <v>3914.575947067925</v>
      </c>
      <c r="O426" s="93">
        <v>4.8600000000000003</v>
      </c>
    </row>
    <row r="427" spans="1:15">
      <c r="A427" s="81" t="s">
        <v>45</v>
      </c>
      <c r="B427" s="92" t="s">
        <v>49</v>
      </c>
      <c r="C427" s="92" t="s">
        <v>15</v>
      </c>
      <c r="D427" s="92">
        <v>2013</v>
      </c>
      <c r="E427" s="92">
        <v>17</v>
      </c>
      <c r="F427" s="92">
        <v>9299.3816315299155</v>
      </c>
      <c r="G427" s="81">
        <v>5500.1435255371125</v>
      </c>
      <c r="H427" s="92">
        <v>94</v>
      </c>
      <c r="I427" s="81"/>
      <c r="J427" s="93">
        <v>3709.9105606443268</v>
      </c>
      <c r="K427" s="93">
        <v>3743.0449751204433</v>
      </c>
      <c r="L427" s="93">
        <v>3799.2381059928025</v>
      </c>
      <c r="M427" s="93">
        <v>3855.4312368651626</v>
      </c>
      <c r="N427" s="93">
        <v>3888.5656513412782</v>
      </c>
      <c r="O427" s="93">
        <v>4.8600000000000003</v>
      </c>
    </row>
    <row r="428" spans="1:15">
      <c r="A428" s="81" t="s">
        <v>45</v>
      </c>
      <c r="B428" s="92" t="s">
        <v>49</v>
      </c>
      <c r="C428" s="92" t="s">
        <v>15</v>
      </c>
      <c r="D428" s="92">
        <v>2013</v>
      </c>
      <c r="E428" s="92">
        <v>18</v>
      </c>
      <c r="F428" s="92">
        <v>9091.7620685291458</v>
      </c>
      <c r="G428" s="81">
        <v>5377.3463933770836</v>
      </c>
      <c r="H428" s="92">
        <v>87</v>
      </c>
      <c r="I428" s="81"/>
      <c r="J428" s="93">
        <v>3636.6734996539722</v>
      </c>
      <c r="K428" s="93">
        <v>3665.5105336861916</v>
      </c>
      <c r="L428" s="93">
        <v>3714.4156751520622</v>
      </c>
      <c r="M428" s="93">
        <v>3763.3208166179265</v>
      </c>
      <c r="N428" s="93">
        <v>3792.1578506501451</v>
      </c>
      <c r="O428" s="93">
        <v>4.8600000000000003</v>
      </c>
    </row>
    <row r="429" spans="1:15">
      <c r="A429" s="81" t="s">
        <v>45</v>
      </c>
      <c r="B429" s="92" t="s">
        <v>49</v>
      </c>
      <c r="C429" s="92" t="s">
        <v>15</v>
      </c>
      <c r="D429" s="92">
        <v>2013</v>
      </c>
      <c r="E429" s="92">
        <v>19</v>
      </c>
      <c r="F429" s="92">
        <v>8883.6470992730447</v>
      </c>
      <c r="G429" s="81">
        <v>8883.6470992730447</v>
      </c>
      <c r="H429" s="92">
        <v>86</v>
      </c>
      <c r="I429" s="81"/>
      <c r="J429" s="93">
        <v>0</v>
      </c>
      <c r="K429" s="93">
        <v>0</v>
      </c>
      <c r="L429" s="93">
        <v>0</v>
      </c>
      <c r="M429" s="93">
        <v>0</v>
      </c>
      <c r="N429" s="93">
        <v>0</v>
      </c>
      <c r="O429" s="93">
        <v>4.8600000000000003</v>
      </c>
    </row>
    <row r="430" spans="1:15">
      <c r="A430" s="81" t="s">
        <v>45</v>
      </c>
      <c r="B430" s="92" t="s">
        <v>49</v>
      </c>
      <c r="C430" s="92" t="s">
        <v>15</v>
      </c>
      <c r="D430" s="92">
        <v>2013</v>
      </c>
      <c r="E430" s="92">
        <v>20</v>
      </c>
      <c r="F430" s="92">
        <v>8556.0818976190585</v>
      </c>
      <c r="G430" s="81">
        <v>8556.0818976190585</v>
      </c>
      <c r="H430" s="92">
        <v>87</v>
      </c>
      <c r="I430" s="81"/>
      <c r="J430" s="93">
        <v>0</v>
      </c>
      <c r="K430" s="93">
        <v>0</v>
      </c>
      <c r="L430" s="93">
        <v>0</v>
      </c>
      <c r="M430" s="93">
        <v>0</v>
      </c>
      <c r="N430" s="93">
        <v>0</v>
      </c>
      <c r="O430" s="93">
        <v>4.8600000000000003</v>
      </c>
    </row>
    <row r="431" spans="1:15">
      <c r="A431" s="81" t="s">
        <v>45</v>
      </c>
      <c r="B431" s="92" t="s">
        <v>49</v>
      </c>
      <c r="C431" s="92" t="s">
        <v>15</v>
      </c>
      <c r="D431" s="92">
        <v>2013</v>
      </c>
      <c r="E431" s="92">
        <v>21</v>
      </c>
      <c r="F431" s="92">
        <v>8372.179616169833</v>
      </c>
      <c r="G431" s="81">
        <v>8372.179616169833</v>
      </c>
      <c r="H431" s="92">
        <v>76</v>
      </c>
      <c r="I431" s="81"/>
      <c r="J431" s="93">
        <v>0</v>
      </c>
      <c r="K431" s="93">
        <v>0</v>
      </c>
      <c r="L431" s="93">
        <v>0</v>
      </c>
      <c r="M431" s="93">
        <v>0</v>
      </c>
      <c r="N431" s="93">
        <v>0</v>
      </c>
      <c r="O431" s="93">
        <v>4.8600000000000003</v>
      </c>
    </row>
    <row r="432" spans="1:15">
      <c r="A432" s="81" t="s">
        <v>45</v>
      </c>
      <c r="B432" s="92" t="s">
        <v>49</v>
      </c>
      <c r="C432" s="92" t="s">
        <v>15</v>
      </c>
      <c r="D432" s="92">
        <v>2013</v>
      </c>
      <c r="E432" s="92">
        <v>22</v>
      </c>
      <c r="F432" s="92">
        <v>8156.6205751278467</v>
      </c>
      <c r="G432" s="81">
        <v>8156.6205751278467</v>
      </c>
      <c r="H432" s="92">
        <v>76</v>
      </c>
      <c r="I432" s="81"/>
      <c r="J432" s="93">
        <v>0</v>
      </c>
      <c r="K432" s="93">
        <v>0</v>
      </c>
      <c r="L432" s="93">
        <v>0</v>
      </c>
      <c r="M432" s="93">
        <v>0</v>
      </c>
      <c r="N432" s="93">
        <v>0</v>
      </c>
      <c r="O432" s="93">
        <v>4.8600000000000003</v>
      </c>
    </row>
    <row r="433" spans="1:15">
      <c r="A433" s="81" t="s">
        <v>45</v>
      </c>
      <c r="B433" s="92" t="s">
        <v>49</v>
      </c>
      <c r="C433" s="92" t="s">
        <v>15</v>
      </c>
      <c r="D433" s="92">
        <v>2013</v>
      </c>
      <c r="E433" s="92">
        <v>23</v>
      </c>
      <c r="F433" s="92">
        <v>8001.6431329858233</v>
      </c>
      <c r="G433" s="81">
        <v>8001.6431329858233</v>
      </c>
      <c r="H433" s="92">
        <v>89</v>
      </c>
      <c r="I433" s="81"/>
      <c r="J433" s="93">
        <v>0</v>
      </c>
      <c r="K433" s="93">
        <v>0</v>
      </c>
      <c r="L433" s="93">
        <v>0</v>
      </c>
      <c r="M433" s="93">
        <v>0</v>
      </c>
      <c r="N433" s="93">
        <v>0</v>
      </c>
      <c r="O433" s="93">
        <v>4.8600000000000003</v>
      </c>
    </row>
    <row r="434" spans="1:15">
      <c r="A434" s="81" t="s">
        <v>45</v>
      </c>
      <c r="B434" s="92" t="s">
        <v>49</v>
      </c>
      <c r="C434" s="92" t="s">
        <v>15</v>
      </c>
      <c r="D434" s="92">
        <v>2013</v>
      </c>
      <c r="E434" s="92">
        <v>24</v>
      </c>
      <c r="F434" s="92">
        <v>7881.9033071263038</v>
      </c>
      <c r="G434" s="81">
        <v>7881.9033071263038</v>
      </c>
      <c r="H434" s="92">
        <v>91</v>
      </c>
      <c r="I434" s="81"/>
      <c r="J434" s="93">
        <v>0</v>
      </c>
      <c r="K434" s="93">
        <v>0</v>
      </c>
      <c r="L434" s="93">
        <v>0</v>
      </c>
      <c r="M434" s="93">
        <v>0</v>
      </c>
      <c r="N434" s="93">
        <v>0</v>
      </c>
      <c r="O434" s="93">
        <v>4.8600000000000003</v>
      </c>
    </row>
    <row r="435" spans="1:15">
      <c r="A435" s="81" t="s">
        <v>45</v>
      </c>
      <c r="B435" s="92" t="s">
        <v>49</v>
      </c>
      <c r="C435" s="92" t="s">
        <v>16</v>
      </c>
      <c r="D435" s="92">
        <v>2013</v>
      </c>
      <c r="E435" s="92">
        <v>1</v>
      </c>
      <c r="F435" s="92">
        <v>7934.3285082413149</v>
      </c>
      <c r="G435" s="81">
        <v>7934.3285082413149</v>
      </c>
      <c r="H435" s="92">
        <v>85</v>
      </c>
      <c r="I435" s="81"/>
      <c r="J435" s="93">
        <v>0</v>
      </c>
      <c r="K435" s="93">
        <v>0</v>
      </c>
      <c r="L435" s="93">
        <v>0</v>
      </c>
      <c r="M435" s="93">
        <v>0</v>
      </c>
      <c r="N435" s="93">
        <v>0</v>
      </c>
      <c r="O435" s="93">
        <v>4.8600000000000003</v>
      </c>
    </row>
    <row r="436" spans="1:15">
      <c r="A436" s="81" t="s">
        <v>45</v>
      </c>
      <c r="B436" s="92" t="s">
        <v>49</v>
      </c>
      <c r="C436" s="92" t="s">
        <v>16</v>
      </c>
      <c r="D436" s="92">
        <v>2013</v>
      </c>
      <c r="E436" s="92">
        <v>2</v>
      </c>
      <c r="F436" s="92">
        <v>7869.9435254750597</v>
      </c>
      <c r="G436" s="81">
        <v>7869.9435254750597</v>
      </c>
      <c r="H436" s="92">
        <v>64</v>
      </c>
      <c r="I436" s="81"/>
      <c r="J436" s="93">
        <v>0</v>
      </c>
      <c r="K436" s="93">
        <v>0</v>
      </c>
      <c r="L436" s="93">
        <v>0</v>
      </c>
      <c r="M436" s="93">
        <v>0</v>
      </c>
      <c r="N436" s="93">
        <v>0</v>
      </c>
      <c r="O436" s="93">
        <v>4.8600000000000003</v>
      </c>
    </row>
    <row r="437" spans="1:15">
      <c r="A437" s="81" t="s">
        <v>45</v>
      </c>
      <c r="B437" s="92" t="s">
        <v>49</v>
      </c>
      <c r="C437" s="92" t="s">
        <v>16</v>
      </c>
      <c r="D437" s="92">
        <v>2013</v>
      </c>
      <c r="E437" s="92">
        <v>3</v>
      </c>
      <c r="F437" s="92">
        <v>7816.6353129673253</v>
      </c>
      <c r="G437" s="81">
        <v>7816.6353129673253</v>
      </c>
      <c r="H437" s="92">
        <v>64</v>
      </c>
      <c r="I437" s="81"/>
      <c r="J437" s="93">
        <v>0</v>
      </c>
      <c r="K437" s="93">
        <v>0</v>
      </c>
      <c r="L437" s="93">
        <v>0</v>
      </c>
      <c r="M437" s="93">
        <v>0</v>
      </c>
      <c r="N437" s="93">
        <v>0</v>
      </c>
      <c r="O437" s="93">
        <v>4.8600000000000003</v>
      </c>
    </row>
    <row r="438" spans="1:15">
      <c r="A438" s="81" t="s">
        <v>45</v>
      </c>
      <c r="B438" s="92" t="s">
        <v>49</v>
      </c>
      <c r="C438" s="92" t="s">
        <v>16</v>
      </c>
      <c r="D438" s="92">
        <v>2013</v>
      </c>
      <c r="E438" s="92">
        <v>4</v>
      </c>
      <c r="F438" s="92">
        <v>7809.5503133665798</v>
      </c>
      <c r="G438" s="81">
        <v>7809.5503133665798</v>
      </c>
      <c r="H438" s="92">
        <v>72</v>
      </c>
      <c r="I438" s="81"/>
      <c r="J438" s="93">
        <v>0</v>
      </c>
      <c r="K438" s="93">
        <v>0</v>
      </c>
      <c r="L438" s="93">
        <v>0</v>
      </c>
      <c r="M438" s="93">
        <v>0</v>
      </c>
      <c r="N438" s="93">
        <v>0</v>
      </c>
      <c r="O438" s="93">
        <v>4.8600000000000003</v>
      </c>
    </row>
    <row r="439" spans="1:15">
      <c r="A439" s="81" t="s">
        <v>45</v>
      </c>
      <c r="B439" s="92" t="s">
        <v>49</v>
      </c>
      <c r="C439" s="92" t="s">
        <v>16</v>
      </c>
      <c r="D439" s="92">
        <v>2013</v>
      </c>
      <c r="E439" s="92">
        <v>5</v>
      </c>
      <c r="F439" s="92">
        <v>7827.3153757919245</v>
      </c>
      <c r="G439" s="81">
        <v>7827.3153757919245</v>
      </c>
      <c r="H439" s="92">
        <v>75</v>
      </c>
      <c r="I439" s="81"/>
      <c r="J439" s="93">
        <v>0</v>
      </c>
      <c r="K439" s="93">
        <v>0</v>
      </c>
      <c r="L439" s="93">
        <v>0</v>
      </c>
      <c r="M439" s="93">
        <v>0</v>
      </c>
      <c r="N439" s="93">
        <v>0</v>
      </c>
      <c r="O439" s="93">
        <v>4.8600000000000003</v>
      </c>
    </row>
    <row r="440" spans="1:15">
      <c r="A440" s="81" t="s">
        <v>45</v>
      </c>
      <c r="B440" s="92" t="s">
        <v>49</v>
      </c>
      <c r="C440" s="92" t="s">
        <v>16</v>
      </c>
      <c r="D440" s="92">
        <v>2013</v>
      </c>
      <c r="E440" s="92">
        <v>6</v>
      </c>
      <c r="F440" s="92">
        <v>7873.8473784525922</v>
      </c>
      <c r="G440" s="81">
        <v>7873.8473784525922</v>
      </c>
      <c r="H440" s="92">
        <v>68</v>
      </c>
      <c r="I440" s="81"/>
      <c r="J440" s="93">
        <v>0</v>
      </c>
      <c r="K440" s="93">
        <v>0</v>
      </c>
      <c r="L440" s="93">
        <v>0</v>
      </c>
      <c r="M440" s="93">
        <v>0</v>
      </c>
      <c r="N440" s="93">
        <v>0</v>
      </c>
      <c r="O440" s="93">
        <v>4.8600000000000003</v>
      </c>
    </row>
    <row r="441" spans="1:15">
      <c r="A441" s="81" t="s">
        <v>45</v>
      </c>
      <c r="B441" s="92" t="s">
        <v>49</v>
      </c>
      <c r="C441" s="92" t="s">
        <v>16</v>
      </c>
      <c r="D441" s="92">
        <v>2013</v>
      </c>
      <c r="E441" s="92">
        <v>7</v>
      </c>
      <c r="F441" s="92">
        <v>7976.8611590137916</v>
      </c>
      <c r="G441" s="81">
        <v>7976.8611590137916</v>
      </c>
      <c r="H441" s="92">
        <v>63</v>
      </c>
      <c r="I441" s="81"/>
      <c r="J441" s="93">
        <v>0</v>
      </c>
      <c r="K441" s="93">
        <v>0</v>
      </c>
      <c r="L441" s="93">
        <v>0</v>
      </c>
      <c r="M441" s="93">
        <v>0</v>
      </c>
      <c r="N441" s="93">
        <v>0</v>
      </c>
      <c r="O441" s="93">
        <v>4.8600000000000003</v>
      </c>
    </row>
    <row r="442" spans="1:15">
      <c r="A442" s="81" t="s">
        <v>45</v>
      </c>
      <c r="B442" s="92" t="s">
        <v>49</v>
      </c>
      <c r="C442" s="92" t="s">
        <v>16</v>
      </c>
      <c r="D442" s="92">
        <v>2013</v>
      </c>
      <c r="E442" s="92">
        <v>8</v>
      </c>
      <c r="F442" s="92">
        <v>8119.6533282405917</v>
      </c>
      <c r="G442" s="81">
        <v>8119.6533282405917</v>
      </c>
      <c r="H442" s="92">
        <v>61</v>
      </c>
      <c r="I442" s="81"/>
      <c r="J442" s="93">
        <v>0</v>
      </c>
      <c r="K442" s="93">
        <v>0</v>
      </c>
      <c r="L442" s="93">
        <v>0</v>
      </c>
      <c r="M442" s="93">
        <v>0</v>
      </c>
      <c r="N442" s="93">
        <v>0</v>
      </c>
      <c r="O442" s="93">
        <v>4.8600000000000003</v>
      </c>
    </row>
    <row r="443" spans="1:15">
      <c r="A443" s="81" t="s">
        <v>45</v>
      </c>
      <c r="B443" s="92" t="s">
        <v>49</v>
      </c>
      <c r="C443" s="92" t="s">
        <v>16</v>
      </c>
      <c r="D443" s="92">
        <v>2013</v>
      </c>
      <c r="E443" s="92">
        <v>9</v>
      </c>
      <c r="F443" s="92">
        <v>8942.3302550197895</v>
      </c>
      <c r="G443" s="81">
        <v>8942.3302550197895</v>
      </c>
      <c r="H443" s="92">
        <v>62</v>
      </c>
      <c r="I443" s="81"/>
      <c r="J443" s="93">
        <v>0</v>
      </c>
      <c r="K443" s="93">
        <v>0</v>
      </c>
      <c r="L443" s="93">
        <v>0</v>
      </c>
      <c r="M443" s="93">
        <v>0</v>
      </c>
      <c r="N443" s="93">
        <v>0</v>
      </c>
      <c r="O443" s="93">
        <v>4.8600000000000003</v>
      </c>
    </row>
    <row r="444" spans="1:15">
      <c r="A444" s="81" t="s">
        <v>45</v>
      </c>
      <c r="B444" s="92" t="s">
        <v>49</v>
      </c>
      <c r="C444" s="92" t="s">
        <v>16</v>
      </c>
      <c r="D444" s="92">
        <v>2013</v>
      </c>
      <c r="E444" s="92">
        <v>10</v>
      </c>
      <c r="F444" s="92">
        <v>9256.8835017436704</v>
      </c>
      <c r="G444" s="81">
        <v>9256.8835017436704</v>
      </c>
      <c r="H444" s="92">
        <v>67</v>
      </c>
      <c r="I444" s="81"/>
      <c r="J444" s="93">
        <v>0</v>
      </c>
      <c r="K444" s="93">
        <v>0</v>
      </c>
      <c r="L444" s="93">
        <v>0</v>
      </c>
      <c r="M444" s="93">
        <v>0</v>
      </c>
      <c r="N444" s="93">
        <v>0</v>
      </c>
      <c r="O444" s="93">
        <v>4.8600000000000003</v>
      </c>
    </row>
    <row r="445" spans="1:15">
      <c r="A445" s="81" t="s">
        <v>45</v>
      </c>
      <c r="B445" s="92" t="s">
        <v>49</v>
      </c>
      <c r="C445" s="92" t="s">
        <v>16</v>
      </c>
      <c r="D445" s="92">
        <v>2013</v>
      </c>
      <c r="E445" s="92">
        <v>11</v>
      </c>
      <c r="F445" s="92">
        <v>9581.6752040820684</v>
      </c>
      <c r="G445" s="81">
        <v>5594.8382419768404</v>
      </c>
      <c r="H445" s="92">
        <v>63</v>
      </c>
      <c r="I445" s="81"/>
      <c r="J445" s="93">
        <v>3902.6558698484077</v>
      </c>
      <c r="K445" s="93">
        <v>3933.8813019478644</v>
      </c>
      <c r="L445" s="93">
        <v>3986.8369621052275</v>
      </c>
      <c r="M445" s="93">
        <v>4039.7926222625924</v>
      </c>
      <c r="N445" s="93">
        <v>4071.0180543620486</v>
      </c>
      <c r="O445" s="93">
        <v>4.8600000000000003</v>
      </c>
    </row>
    <row r="446" spans="1:15">
      <c r="A446" s="81" t="s">
        <v>45</v>
      </c>
      <c r="B446" s="92" t="s">
        <v>49</v>
      </c>
      <c r="C446" s="92" t="s">
        <v>16</v>
      </c>
      <c r="D446" s="92">
        <v>2013</v>
      </c>
      <c r="E446" s="92">
        <v>12</v>
      </c>
      <c r="F446" s="92">
        <v>9862.5918668016729</v>
      </c>
      <c r="G446" s="81">
        <v>5758.8683571619777</v>
      </c>
      <c r="H446" s="92">
        <v>78</v>
      </c>
      <c r="I446" s="81"/>
      <c r="J446" s="93">
        <v>4024.089352416057</v>
      </c>
      <c r="K446" s="93">
        <v>4053.6281823661107</v>
      </c>
      <c r="L446" s="93">
        <v>4103.7235096396953</v>
      </c>
      <c r="M446" s="93">
        <v>4153.8188369132731</v>
      </c>
      <c r="N446" s="93">
        <v>4183.3576668633268</v>
      </c>
      <c r="O446" s="93">
        <v>4.8600000000000003</v>
      </c>
    </row>
    <row r="447" spans="1:15">
      <c r="A447" s="81" t="s">
        <v>45</v>
      </c>
      <c r="B447" s="92" t="s">
        <v>49</v>
      </c>
      <c r="C447" s="92" t="s">
        <v>16</v>
      </c>
      <c r="D447" s="92">
        <v>2013</v>
      </c>
      <c r="E447" s="92">
        <v>13</v>
      </c>
      <c r="F447" s="92">
        <v>9868.5036756175523</v>
      </c>
      <c r="G447" s="81">
        <v>5762.3203228504253</v>
      </c>
      <c r="H447" s="92">
        <v>77</v>
      </c>
      <c r="I447" s="81"/>
      <c r="J447" s="93">
        <v>4028.4615172666809</v>
      </c>
      <c r="K447" s="93">
        <v>4057.2910065498595</v>
      </c>
      <c r="L447" s="93">
        <v>4106.183352767127</v>
      </c>
      <c r="M447" s="93">
        <v>4155.0756989844031</v>
      </c>
      <c r="N447" s="93">
        <v>4183.9051882675785</v>
      </c>
      <c r="O447" s="93">
        <v>4.8600000000000003</v>
      </c>
    </row>
    <row r="448" spans="1:15">
      <c r="A448" s="81" t="s">
        <v>45</v>
      </c>
      <c r="B448" s="92" t="s">
        <v>49</v>
      </c>
      <c r="C448" s="92" t="s">
        <v>16</v>
      </c>
      <c r="D448" s="92">
        <v>2013</v>
      </c>
      <c r="E448" s="92">
        <v>14</v>
      </c>
      <c r="F448" s="92">
        <v>9867.1770416442068</v>
      </c>
      <c r="G448" s="81">
        <v>5761.5456876922626</v>
      </c>
      <c r="H448" s="92">
        <v>82</v>
      </c>
      <c r="I448" s="81"/>
      <c r="J448" s="93">
        <v>4034.0940319921738</v>
      </c>
      <c r="K448" s="93">
        <v>4060.6294894155217</v>
      </c>
      <c r="L448" s="93">
        <v>4105.6313539519442</v>
      </c>
      <c r="M448" s="93">
        <v>4150.6332184883731</v>
      </c>
      <c r="N448" s="93">
        <v>4177.168675911721</v>
      </c>
      <c r="O448" s="93">
        <v>4.8600000000000003</v>
      </c>
    </row>
    <row r="449" spans="1:15">
      <c r="A449" s="81" t="s">
        <v>45</v>
      </c>
      <c r="B449" s="92" t="s">
        <v>49</v>
      </c>
      <c r="C449" s="92" t="s">
        <v>16</v>
      </c>
      <c r="D449" s="92">
        <v>2013</v>
      </c>
      <c r="E449" s="92">
        <v>15</v>
      </c>
      <c r="F449" s="92">
        <v>9600.424926218755</v>
      </c>
      <c r="G449" s="81">
        <v>5605.7863966786499</v>
      </c>
      <c r="H449" s="92">
        <v>90</v>
      </c>
      <c r="I449" s="81"/>
      <c r="J449" s="93">
        <v>3920.7228600583207</v>
      </c>
      <c r="K449" s="93">
        <v>3948.1405218706404</v>
      </c>
      <c r="L449" s="93">
        <v>3994.6385295401055</v>
      </c>
      <c r="M449" s="93">
        <v>4041.1365372095711</v>
      </c>
      <c r="N449" s="93">
        <v>4068.5541990218903</v>
      </c>
      <c r="O449" s="93">
        <v>4.8600000000000003</v>
      </c>
    </row>
    <row r="450" spans="1:15">
      <c r="A450" s="81" t="s">
        <v>45</v>
      </c>
      <c r="B450" s="92" t="s">
        <v>49</v>
      </c>
      <c r="C450" s="92" t="s">
        <v>16</v>
      </c>
      <c r="D450" s="92">
        <v>2013</v>
      </c>
      <c r="E450" s="92">
        <v>16</v>
      </c>
      <c r="F450" s="92">
        <v>9484.3366524239646</v>
      </c>
      <c r="G450" s="81">
        <v>5538.0012651814486</v>
      </c>
      <c r="H450" s="92">
        <v>73</v>
      </c>
      <c r="I450" s="81"/>
      <c r="J450" s="93">
        <v>3873.7309692142776</v>
      </c>
      <c r="K450" s="93">
        <v>3900.6622463512508</v>
      </c>
      <c r="L450" s="93">
        <v>3946.3353872425159</v>
      </c>
      <c r="M450" s="93">
        <v>3992.0085281337811</v>
      </c>
      <c r="N450" s="93">
        <v>4018.9398052707461</v>
      </c>
      <c r="O450" s="93">
        <v>4.8600000000000003</v>
      </c>
    </row>
    <row r="451" spans="1:15">
      <c r="A451" s="81" t="s">
        <v>45</v>
      </c>
      <c r="B451" s="92" t="s">
        <v>49</v>
      </c>
      <c r="C451" s="92" t="s">
        <v>16</v>
      </c>
      <c r="D451" s="92">
        <v>2013</v>
      </c>
      <c r="E451" s="92">
        <v>17</v>
      </c>
      <c r="F451" s="92">
        <v>9277.0353552456618</v>
      </c>
      <c r="G451" s="81">
        <v>5416.9559155571515</v>
      </c>
      <c r="H451" s="92">
        <v>94</v>
      </c>
      <c r="I451" s="81"/>
      <c r="J451" s="93">
        <v>3773.7591063921705</v>
      </c>
      <c r="K451" s="93">
        <v>3805.778050716674</v>
      </c>
      <c r="L451" s="93">
        <v>3860.0794396885103</v>
      </c>
      <c r="M451" s="93">
        <v>3914.3808286603467</v>
      </c>
      <c r="N451" s="93">
        <v>3946.3997729848566</v>
      </c>
      <c r="O451" s="93">
        <v>4.8600000000000003</v>
      </c>
    </row>
    <row r="452" spans="1:15">
      <c r="A452" s="81" t="s">
        <v>45</v>
      </c>
      <c r="B452" s="92" t="s">
        <v>49</v>
      </c>
      <c r="C452" s="92" t="s">
        <v>16</v>
      </c>
      <c r="D452" s="92">
        <v>2013</v>
      </c>
      <c r="E452" s="92">
        <v>18</v>
      </c>
      <c r="F452" s="92">
        <v>9176.5002732157609</v>
      </c>
      <c r="G452" s="81">
        <v>5358.2524519538838</v>
      </c>
      <c r="H452" s="92">
        <v>86</v>
      </c>
      <c r="I452" s="81"/>
      <c r="J452" s="93">
        <v>3743.1228363090418</v>
      </c>
      <c r="K452" s="93">
        <v>3770.9890715137467</v>
      </c>
      <c r="L452" s="93">
        <v>3818.2478212618776</v>
      </c>
      <c r="M452" s="93">
        <v>3865.5065710100093</v>
      </c>
      <c r="N452" s="93">
        <v>3893.3728062147065</v>
      </c>
      <c r="O452" s="93">
        <v>4.8600000000000003</v>
      </c>
    </row>
    <row r="453" spans="1:15">
      <c r="A453" s="81" t="s">
        <v>45</v>
      </c>
      <c r="B453" s="92" t="s">
        <v>49</v>
      </c>
      <c r="C453" s="92" t="s">
        <v>16</v>
      </c>
      <c r="D453" s="92">
        <v>2013</v>
      </c>
      <c r="E453" s="92">
        <v>19</v>
      </c>
      <c r="F453" s="92">
        <v>8994.3302373176302</v>
      </c>
      <c r="G453" s="81">
        <v>8994.3302373176302</v>
      </c>
      <c r="H453" s="92">
        <v>86</v>
      </c>
      <c r="I453" s="81"/>
      <c r="J453" s="93">
        <v>0</v>
      </c>
      <c r="K453" s="93">
        <v>0</v>
      </c>
      <c r="L453" s="93">
        <v>0</v>
      </c>
      <c r="M453" s="93">
        <v>0</v>
      </c>
      <c r="N453" s="93">
        <v>0</v>
      </c>
      <c r="O453" s="93">
        <v>4.8600000000000003</v>
      </c>
    </row>
    <row r="454" spans="1:15">
      <c r="A454" s="81" t="s">
        <v>45</v>
      </c>
      <c r="B454" s="92" t="s">
        <v>49</v>
      </c>
      <c r="C454" s="92" t="s">
        <v>16</v>
      </c>
      <c r="D454" s="92">
        <v>2013</v>
      </c>
      <c r="E454" s="92">
        <v>20</v>
      </c>
      <c r="F454" s="92">
        <v>8726.7185466203628</v>
      </c>
      <c r="G454" s="81">
        <v>8726.7185466203628</v>
      </c>
      <c r="H454" s="92">
        <v>79</v>
      </c>
      <c r="I454" s="81"/>
      <c r="J454" s="93">
        <v>0</v>
      </c>
      <c r="K454" s="93">
        <v>0</v>
      </c>
      <c r="L454" s="93">
        <v>0</v>
      </c>
      <c r="M454" s="93">
        <v>0</v>
      </c>
      <c r="N454" s="93">
        <v>0</v>
      </c>
      <c r="O454" s="93">
        <v>4.8600000000000003</v>
      </c>
    </row>
    <row r="455" spans="1:15">
      <c r="A455" s="81" t="s">
        <v>45</v>
      </c>
      <c r="B455" s="92" t="s">
        <v>49</v>
      </c>
      <c r="C455" s="92" t="s">
        <v>16</v>
      </c>
      <c r="D455" s="92">
        <v>2013</v>
      </c>
      <c r="E455" s="92">
        <v>21</v>
      </c>
      <c r="F455" s="92">
        <v>8523.203238738628</v>
      </c>
      <c r="G455" s="81">
        <v>8523.203238738628</v>
      </c>
      <c r="H455" s="92">
        <v>73</v>
      </c>
      <c r="I455" s="81"/>
      <c r="J455" s="93">
        <v>0</v>
      </c>
      <c r="K455" s="93">
        <v>0</v>
      </c>
      <c r="L455" s="93">
        <v>0</v>
      </c>
      <c r="M455" s="93">
        <v>0</v>
      </c>
      <c r="N455" s="93">
        <v>0</v>
      </c>
      <c r="O455" s="93">
        <v>4.8600000000000003</v>
      </c>
    </row>
    <row r="456" spans="1:15">
      <c r="A456" s="81" t="s">
        <v>45</v>
      </c>
      <c r="B456" s="92" t="s">
        <v>49</v>
      </c>
      <c r="C456" s="92" t="s">
        <v>16</v>
      </c>
      <c r="D456" s="92">
        <v>2013</v>
      </c>
      <c r="E456" s="92">
        <v>22</v>
      </c>
      <c r="F456" s="92">
        <v>8305.8259926152095</v>
      </c>
      <c r="G456" s="81">
        <v>8305.8259926152095</v>
      </c>
      <c r="H456" s="92">
        <v>77</v>
      </c>
      <c r="I456" s="81"/>
      <c r="J456" s="93">
        <v>0</v>
      </c>
      <c r="K456" s="93">
        <v>0</v>
      </c>
      <c r="L456" s="93">
        <v>0</v>
      </c>
      <c r="M456" s="93">
        <v>0</v>
      </c>
      <c r="N456" s="93">
        <v>0</v>
      </c>
      <c r="O456" s="93">
        <v>4.8600000000000003</v>
      </c>
    </row>
    <row r="457" spans="1:15">
      <c r="A457" s="81" t="s">
        <v>45</v>
      </c>
      <c r="B457" s="92" t="s">
        <v>49</v>
      </c>
      <c r="C457" s="92" t="s">
        <v>16</v>
      </c>
      <c r="D457" s="92">
        <v>2013</v>
      </c>
      <c r="E457" s="92">
        <v>23</v>
      </c>
      <c r="F457" s="92">
        <v>8147.5435360967067</v>
      </c>
      <c r="G457" s="81">
        <v>8147.5435360967067</v>
      </c>
      <c r="H457" s="92">
        <v>71</v>
      </c>
      <c r="I457" s="81"/>
      <c r="J457" s="93">
        <v>0</v>
      </c>
      <c r="K457" s="93">
        <v>0</v>
      </c>
      <c r="L457" s="93">
        <v>0</v>
      </c>
      <c r="M457" s="93">
        <v>0</v>
      </c>
      <c r="N457" s="93">
        <v>0</v>
      </c>
      <c r="O457" s="93">
        <v>4.8600000000000003</v>
      </c>
    </row>
    <row r="458" spans="1:15">
      <c r="A458" s="81" t="s">
        <v>45</v>
      </c>
      <c r="B458" s="92" t="s">
        <v>49</v>
      </c>
      <c r="C458" s="92" t="s">
        <v>16</v>
      </c>
      <c r="D458" s="92">
        <v>2013</v>
      </c>
      <c r="E458" s="92">
        <v>24</v>
      </c>
      <c r="F458" s="92">
        <v>8029.1792216882641</v>
      </c>
      <c r="G458" s="81">
        <v>8029.1792216882641</v>
      </c>
      <c r="H458" s="92">
        <v>81</v>
      </c>
      <c r="I458" s="81"/>
      <c r="J458" s="93">
        <v>0</v>
      </c>
      <c r="K458" s="93">
        <v>0</v>
      </c>
      <c r="L458" s="93">
        <v>0</v>
      </c>
      <c r="M458" s="93">
        <v>0</v>
      </c>
      <c r="N458" s="93">
        <v>0</v>
      </c>
      <c r="O458" s="93">
        <v>4.8600000000000003</v>
      </c>
    </row>
    <row r="459" spans="1:15">
      <c r="A459" s="81" t="s">
        <v>45</v>
      </c>
      <c r="B459" s="92" t="s">
        <v>49</v>
      </c>
      <c r="C459" s="92" t="s">
        <v>17</v>
      </c>
      <c r="D459" s="92">
        <v>2013</v>
      </c>
      <c r="E459" s="92">
        <v>1</v>
      </c>
      <c r="F459" s="92">
        <v>7859.5389339825742</v>
      </c>
      <c r="G459" s="81">
        <v>7859.5389339825742</v>
      </c>
      <c r="H459" s="92">
        <v>88</v>
      </c>
      <c r="I459" s="81"/>
      <c r="J459" s="93">
        <v>0</v>
      </c>
      <c r="K459" s="93">
        <v>0</v>
      </c>
      <c r="L459" s="93">
        <v>0</v>
      </c>
      <c r="M459" s="93">
        <v>0</v>
      </c>
      <c r="N459" s="93">
        <v>0</v>
      </c>
      <c r="O459" s="93">
        <v>4.8600000000000003</v>
      </c>
    </row>
    <row r="460" spans="1:15">
      <c r="A460" s="81" t="s">
        <v>45</v>
      </c>
      <c r="B460" s="92" t="s">
        <v>49</v>
      </c>
      <c r="C460" s="92" t="s">
        <v>17</v>
      </c>
      <c r="D460" s="92">
        <v>2013</v>
      </c>
      <c r="E460" s="92">
        <v>2</v>
      </c>
      <c r="F460" s="92">
        <v>7792.7586151373052</v>
      </c>
      <c r="G460" s="81">
        <v>7792.7586151373052</v>
      </c>
      <c r="H460" s="92">
        <v>68</v>
      </c>
      <c r="I460" s="81"/>
      <c r="J460" s="93">
        <v>0</v>
      </c>
      <c r="K460" s="93">
        <v>0</v>
      </c>
      <c r="L460" s="93">
        <v>0</v>
      </c>
      <c r="M460" s="93">
        <v>0</v>
      </c>
      <c r="N460" s="93">
        <v>0</v>
      </c>
      <c r="O460" s="93">
        <v>4.8600000000000003</v>
      </c>
    </row>
    <row r="461" spans="1:15">
      <c r="A461" s="81" t="s">
        <v>45</v>
      </c>
      <c r="B461" s="92" t="s">
        <v>49</v>
      </c>
      <c r="C461" s="92" t="s">
        <v>17</v>
      </c>
      <c r="D461" s="92">
        <v>2013</v>
      </c>
      <c r="E461" s="92">
        <v>3</v>
      </c>
      <c r="F461" s="92">
        <v>7700.2740118918118</v>
      </c>
      <c r="G461" s="81">
        <v>7700.2740118918118</v>
      </c>
      <c r="H461" s="92">
        <v>82</v>
      </c>
      <c r="I461" s="81"/>
      <c r="J461" s="93">
        <v>0</v>
      </c>
      <c r="K461" s="93">
        <v>0</v>
      </c>
      <c r="L461" s="93">
        <v>0</v>
      </c>
      <c r="M461" s="93">
        <v>0</v>
      </c>
      <c r="N461" s="93">
        <v>0</v>
      </c>
      <c r="O461" s="93">
        <v>4.8600000000000003</v>
      </c>
    </row>
    <row r="462" spans="1:15">
      <c r="A462" s="81" t="s">
        <v>45</v>
      </c>
      <c r="B462" s="92" t="s">
        <v>49</v>
      </c>
      <c r="C462" s="92" t="s">
        <v>17</v>
      </c>
      <c r="D462" s="92">
        <v>2013</v>
      </c>
      <c r="E462" s="92">
        <v>4</v>
      </c>
      <c r="F462" s="92">
        <v>7709.5407001920021</v>
      </c>
      <c r="G462" s="81">
        <v>7709.5407001920021</v>
      </c>
      <c r="H462" s="92">
        <v>76</v>
      </c>
      <c r="I462" s="81"/>
      <c r="J462" s="93">
        <v>0</v>
      </c>
      <c r="K462" s="93">
        <v>0</v>
      </c>
      <c r="L462" s="93">
        <v>0</v>
      </c>
      <c r="M462" s="93">
        <v>0</v>
      </c>
      <c r="N462" s="93">
        <v>0</v>
      </c>
      <c r="O462" s="93">
        <v>4.8600000000000003</v>
      </c>
    </row>
    <row r="463" spans="1:15">
      <c r="A463" s="81" t="s">
        <v>45</v>
      </c>
      <c r="B463" s="92" t="s">
        <v>49</v>
      </c>
      <c r="C463" s="92" t="s">
        <v>17</v>
      </c>
      <c r="D463" s="92">
        <v>2013</v>
      </c>
      <c r="E463" s="92">
        <v>5</v>
      </c>
      <c r="F463" s="92">
        <v>7722.0387322458491</v>
      </c>
      <c r="G463" s="81">
        <v>7722.0387322458491</v>
      </c>
      <c r="H463" s="92">
        <v>77</v>
      </c>
      <c r="I463" s="81"/>
      <c r="J463" s="93">
        <v>0</v>
      </c>
      <c r="K463" s="93">
        <v>0</v>
      </c>
      <c r="L463" s="93">
        <v>0</v>
      </c>
      <c r="M463" s="93">
        <v>0</v>
      </c>
      <c r="N463" s="93">
        <v>0</v>
      </c>
      <c r="O463" s="93">
        <v>4.8600000000000003</v>
      </c>
    </row>
    <row r="464" spans="1:15">
      <c r="A464" s="81" t="s">
        <v>45</v>
      </c>
      <c r="B464" s="92" t="s">
        <v>49</v>
      </c>
      <c r="C464" s="92" t="s">
        <v>17</v>
      </c>
      <c r="D464" s="92">
        <v>2013</v>
      </c>
      <c r="E464" s="92">
        <v>6</v>
      </c>
      <c r="F464" s="92">
        <v>7748.6818340655927</v>
      </c>
      <c r="G464" s="81">
        <v>7748.6818340655927</v>
      </c>
      <c r="H464" s="92">
        <v>74</v>
      </c>
      <c r="I464" s="81"/>
      <c r="J464" s="93">
        <v>0</v>
      </c>
      <c r="K464" s="93">
        <v>0</v>
      </c>
      <c r="L464" s="93">
        <v>0</v>
      </c>
      <c r="M464" s="93">
        <v>0</v>
      </c>
      <c r="N464" s="93">
        <v>0</v>
      </c>
      <c r="O464" s="93">
        <v>4.8600000000000003</v>
      </c>
    </row>
    <row r="465" spans="1:15">
      <c r="A465" s="81" t="s">
        <v>45</v>
      </c>
      <c r="B465" s="92" t="s">
        <v>49</v>
      </c>
      <c r="C465" s="92" t="s">
        <v>17</v>
      </c>
      <c r="D465" s="92">
        <v>2013</v>
      </c>
      <c r="E465" s="92">
        <v>7</v>
      </c>
      <c r="F465" s="92">
        <v>7894.8349822943164</v>
      </c>
      <c r="G465" s="81">
        <v>7894.8349822943164</v>
      </c>
      <c r="H465" s="92">
        <v>72</v>
      </c>
      <c r="I465" s="81"/>
      <c r="J465" s="93">
        <v>0</v>
      </c>
      <c r="K465" s="93">
        <v>0</v>
      </c>
      <c r="L465" s="93">
        <v>0</v>
      </c>
      <c r="M465" s="93">
        <v>0</v>
      </c>
      <c r="N465" s="93">
        <v>0</v>
      </c>
      <c r="O465" s="93">
        <v>4.8600000000000003</v>
      </c>
    </row>
    <row r="466" spans="1:15">
      <c r="A466" s="81" t="s">
        <v>45</v>
      </c>
      <c r="B466" s="92" t="s">
        <v>49</v>
      </c>
      <c r="C466" s="92" t="s">
        <v>17</v>
      </c>
      <c r="D466" s="92">
        <v>2013</v>
      </c>
      <c r="E466" s="92">
        <v>8</v>
      </c>
      <c r="F466" s="92">
        <v>8048.4470169143287</v>
      </c>
      <c r="G466" s="81">
        <v>8048.4470169143287</v>
      </c>
      <c r="H466" s="92">
        <v>71</v>
      </c>
      <c r="I466" s="81"/>
      <c r="J466" s="93">
        <v>0</v>
      </c>
      <c r="K466" s="93">
        <v>0</v>
      </c>
      <c r="L466" s="93">
        <v>0</v>
      </c>
      <c r="M466" s="93">
        <v>0</v>
      </c>
      <c r="N466" s="93">
        <v>0</v>
      </c>
      <c r="O466" s="93">
        <v>4.8600000000000003</v>
      </c>
    </row>
    <row r="467" spans="1:15">
      <c r="A467" s="81" t="s">
        <v>45</v>
      </c>
      <c r="B467" s="92" t="s">
        <v>49</v>
      </c>
      <c r="C467" s="92" t="s">
        <v>17</v>
      </c>
      <c r="D467" s="92">
        <v>2013</v>
      </c>
      <c r="E467" s="92">
        <v>9</v>
      </c>
      <c r="F467" s="92">
        <v>8999.756116689905</v>
      </c>
      <c r="G467" s="81">
        <v>8999.756116689905</v>
      </c>
      <c r="H467" s="92">
        <v>68</v>
      </c>
      <c r="I467" s="81"/>
      <c r="J467" s="93">
        <v>0</v>
      </c>
      <c r="K467" s="93">
        <v>0</v>
      </c>
      <c r="L467" s="93">
        <v>0</v>
      </c>
      <c r="M467" s="93">
        <v>0</v>
      </c>
      <c r="N467" s="93">
        <v>0</v>
      </c>
      <c r="O467" s="93">
        <v>4.8600000000000003</v>
      </c>
    </row>
    <row r="468" spans="1:15">
      <c r="A468" s="81" t="s">
        <v>45</v>
      </c>
      <c r="B468" s="92" t="s">
        <v>49</v>
      </c>
      <c r="C468" s="92" t="s">
        <v>17</v>
      </c>
      <c r="D468" s="92">
        <v>2013</v>
      </c>
      <c r="E468" s="92">
        <v>10</v>
      </c>
      <c r="F468" s="92">
        <v>9411.8945966320662</v>
      </c>
      <c r="G468" s="81">
        <v>9411.8945966320662</v>
      </c>
      <c r="H468" s="92">
        <v>62</v>
      </c>
      <c r="I468" s="81"/>
      <c r="J468" s="93">
        <v>0</v>
      </c>
      <c r="K468" s="93">
        <v>0</v>
      </c>
      <c r="L468" s="93">
        <v>0</v>
      </c>
      <c r="M468" s="93">
        <v>0</v>
      </c>
      <c r="N468" s="93">
        <v>0</v>
      </c>
      <c r="O468" s="93">
        <v>4.8600000000000003</v>
      </c>
    </row>
    <row r="469" spans="1:15">
      <c r="A469" s="81" t="s">
        <v>45</v>
      </c>
      <c r="B469" s="92" t="s">
        <v>49</v>
      </c>
      <c r="C469" s="92" t="s">
        <v>17</v>
      </c>
      <c r="D469" s="92">
        <v>2013</v>
      </c>
      <c r="E469" s="92">
        <v>11</v>
      </c>
      <c r="F469" s="92">
        <v>9772.5893734772908</v>
      </c>
      <c r="G469" s="81">
        <v>5605.9858509216901</v>
      </c>
      <c r="H469" s="92">
        <v>66</v>
      </c>
      <c r="I469" s="81"/>
      <c r="J469" s="93">
        <v>4056.7493823721961</v>
      </c>
      <c r="K469" s="93">
        <v>4097.49776069777</v>
      </c>
      <c r="L469" s="93">
        <v>4166.6035225556006</v>
      </c>
      <c r="M469" s="93">
        <v>4235.7092844134386</v>
      </c>
      <c r="N469" s="93">
        <v>4276.4576627390134</v>
      </c>
      <c r="O469" s="93">
        <v>4.8600000000000003</v>
      </c>
    </row>
    <row r="470" spans="1:15">
      <c r="A470" s="81" t="s">
        <v>45</v>
      </c>
      <c r="B470" s="92" t="s">
        <v>49</v>
      </c>
      <c r="C470" s="92" t="s">
        <v>17</v>
      </c>
      <c r="D470" s="92">
        <v>2013</v>
      </c>
      <c r="E470" s="92">
        <v>12</v>
      </c>
      <c r="F470" s="92">
        <v>10031.777304725443</v>
      </c>
      <c r="G470" s="81">
        <v>5754.6674152213463</v>
      </c>
      <c r="H470" s="92">
        <v>65</v>
      </c>
      <c r="I470" s="81"/>
      <c r="J470" s="93">
        <v>4173.1893815075555</v>
      </c>
      <c r="K470" s="93">
        <v>4211.7367878097602</v>
      </c>
      <c r="L470" s="93">
        <v>4277.1098895040968</v>
      </c>
      <c r="M470" s="93">
        <v>4342.4829911984407</v>
      </c>
      <c r="N470" s="93">
        <v>4381.0303975006454</v>
      </c>
      <c r="O470" s="93">
        <v>4.8600000000000003</v>
      </c>
    </row>
    <row r="471" spans="1:15">
      <c r="A471" s="81" t="s">
        <v>45</v>
      </c>
      <c r="B471" s="92" t="s">
        <v>49</v>
      </c>
      <c r="C471" s="92" t="s">
        <v>17</v>
      </c>
      <c r="D471" s="92">
        <v>2013</v>
      </c>
      <c r="E471" s="92">
        <v>13</v>
      </c>
      <c r="F471" s="92">
        <v>10057.459908820183</v>
      </c>
      <c r="G471" s="81">
        <v>5769.4000832653646</v>
      </c>
      <c r="H471" s="92">
        <v>77</v>
      </c>
      <c r="I471" s="81"/>
      <c r="J471" s="93">
        <v>4186.6348477660986</v>
      </c>
      <c r="K471" s="93">
        <v>4224.2565829114246</v>
      </c>
      <c r="L471" s="93">
        <v>4288.0598255548184</v>
      </c>
      <c r="M471" s="93">
        <v>4351.8630681982113</v>
      </c>
      <c r="N471" s="93">
        <v>4389.4848033435374</v>
      </c>
      <c r="O471" s="93">
        <v>4.8600000000000003</v>
      </c>
    </row>
    <row r="472" spans="1:15">
      <c r="A472" s="81" t="s">
        <v>45</v>
      </c>
      <c r="B472" s="92" t="s">
        <v>49</v>
      </c>
      <c r="C472" s="92" t="s">
        <v>17</v>
      </c>
      <c r="D472" s="92">
        <v>2013</v>
      </c>
      <c r="E472" s="92">
        <v>14</v>
      </c>
      <c r="F472" s="92">
        <v>9967.9287755050627</v>
      </c>
      <c r="G472" s="81">
        <v>5718.0410987219502</v>
      </c>
      <c r="H472" s="92">
        <v>83</v>
      </c>
      <c r="I472" s="81"/>
      <c r="J472" s="93">
        <v>4156.533328624515</v>
      </c>
      <c r="K472" s="93">
        <v>4191.1614117422978</v>
      </c>
      <c r="L472" s="93">
        <v>4249.8876767831125</v>
      </c>
      <c r="M472" s="93">
        <v>4308.6139418239254</v>
      </c>
      <c r="N472" s="93">
        <v>4343.2420249417164</v>
      </c>
      <c r="O472" s="93">
        <v>4.8600000000000003</v>
      </c>
    </row>
    <row r="473" spans="1:15">
      <c r="A473" s="81" t="s">
        <v>45</v>
      </c>
      <c r="B473" s="92" t="s">
        <v>49</v>
      </c>
      <c r="C473" s="92" t="s">
        <v>17</v>
      </c>
      <c r="D473" s="92">
        <v>2013</v>
      </c>
      <c r="E473" s="92">
        <v>15</v>
      </c>
      <c r="F473" s="92">
        <v>9663.6342173716221</v>
      </c>
      <c r="G473" s="81">
        <v>5543.4843950464383</v>
      </c>
      <c r="H473" s="92">
        <v>82</v>
      </c>
      <c r="I473" s="81"/>
      <c r="J473" s="93">
        <v>4023.6917923886017</v>
      </c>
      <c r="K473" s="93">
        <v>4059.4711293333348</v>
      </c>
      <c r="L473" s="93">
        <v>4120.1498223251838</v>
      </c>
      <c r="M473" s="93">
        <v>4180.8285153170418</v>
      </c>
      <c r="N473" s="93">
        <v>4216.6078522617663</v>
      </c>
      <c r="O473" s="93">
        <v>4.8600000000000003</v>
      </c>
    </row>
    <row r="474" spans="1:15">
      <c r="A474" s="81" t="s">
        <v>45</v>
      </c>
      <c r="B474" s="92" t="s">
        <v>49</v>
      </c>
      <c r="C474" s="92" t="s">
        <v>17</v>
      </c>
      <c r="D474" s="92">
        <v>2013</v>
      </c>
      <c r="E474" s="92">
        <v>16</v>
      </c>
      <c r="F474" s="92">
        <v>9591.8708463736875</v>
      </c>
      <c r="G474" s="81">
        <v>5502.3177781904478</v>
      </c>
      <c r="H474" s="92">
        <v>68</v>
      </c>
      <c r="I474" s="81"/>
      <c r="J474" s="93">
        <v>3994.8061873554752</v>
      </c>
      <c r="K474" s="93">
        <v>4029.9508049246629</v>
      </c>
      <c r="L474" s="93">
        <v>4089.5530681832397</v>
      </c>
      <c r="M474" s="93">
        <v>4149.1553314418225</v>
      </c>
      <c r="N474" s="93">
        <v>4184.2999490110105</v>
      </c>
      <c r="O474" s="93">
        <v>4.8600000000000003</v>
      </c>
    </row>
    <row r="475" spans="1:15">
      <c r="A475" s="81" t="s">
        <v>45</v>
      </c>
      <c r="B475" s="92" t="s">
        <v>49</v>
      </c>
      <c r="C475" s="92" t="s">
        <v>17</v>
      </c>
      <c r="D475" s="92">
        <v>2013</v>
      </c>
      <c r="E475" s="92">
        <v>17</v>
      </c>
      <c r="F475" s="92">
        <v>9523.8053634789594</v>
      </c>
      <c r="G475" s="81">
        <v>5463.2724321248916</v>
      </c>
      <c r="H475" s="92">
        <v>84</v>
      </c>
      <c r="I475" s="81"/>
      <c r="J475" s="93">
        <v>3947.8871371454948</v>
      </c>
      <c r="K475" s="93">
        <v>3989.6710283264069</v>
      </c>
      <c r="L475" s="93">
        <v>4060.5329313540678</v>
      </c>
      <c r="M475" s="93">
        <v>4131.3948343817356</v>
      </c>
      <c r="N475" s="93">
        <v>4173.1787255626487</v>
      </c>
      <c r="O475" s="93">
        <v>4.8600000000000003</v>
      </c>
    </row>
    <row r="476" spans="1:15">
      <c r="A476" s="81" t="s">
        <v>45</v>
      </c>
      <c r="B476" s="92" t="s">
        <v>49</v>
      </c>
      <c r="C476" s="92" t="s">
        <v>17</v>
      </c>
      <c r="D476" s="92">
        <v>2013</v>
      </c>
      <c r="E476" s="92">
        <v>18</v>
      </c>
      <c r="F476" s="92">
        <v>9259.9352039259265</v>
      </c>
      <c r="G476" s="81">
        <v>5311.9049363259346</v>
      </c>
      <c r="H476" s="92">
        <v>75</v>
      </c>
      <c r="I476" s="81"/>
      <c r="J476" s="93">
        <v>3849.9941123656668</v>
      </c>
      <c r="K476" s="93">
        <v>3886.3588259431722</v>
      </c>
      <c r="L476" s="93">
        <v>3948.0302675999915</v>
      </c>
      <c r="M476" s="93">
        <v>4009.7017092568112</v>
      </c>
      <c r="N476" s="93">
        <v>4046.0664228343226</v>
      </c>
      <c r="O476" s="93">
        <v>4.8600000000000003</v>
      </c>
    </row>
    <row r="477" spans="1:15">
      <c r="A477" s="81" t="s">
        <v>45</v>
      </c>
      <c r="B477" s="92" t="s">
        <v>49</v>
      </c>
      <c r="C477" s="92" t="s">
        <v>17</v>
      </c>
      <c r="D477" s="92">
        <v>2013</v>
      </c>
      <c r="E477" s="92">
        <v>19</v>
      </c>
      <c r="F477" s="92">
        <v>9067.5926606702978</v>
      </c>
      <c r="G477" s="81">
        <v>9067.5926606702978</v>
      </c>
      <c r="H477" s="92">
        <v>91</v>
      </c>
      <c r="I477" s="81"/>
      <c r="J477" s="93">
        <v>0</v>
      </c>
      <c r="K477" s="93">
        <v>0</v>
      </c>
      <c r="L477" s="93">
        <v>0</v>
      </c>
      <c r="M477" s="93">
        <v>0</v>
      </c>
      <c r="N477" s="93">
        <v>0</v>
      </c>
      <c r="O477" s="93">
        <v>4.8600000000000003</v>
      </c>
    </row>
    <row r="478" spans="1:15">
      <c r="A478" s="81" t="s">
        <v>45</v>
      </c>
      <c r="B478" s="92" t="s">
        <v>49</v>
      </c>
      <c r="C478" s="92" t="s">
        <v>17</v>
      </c>
      <c r="D478" s="92">
        <v>2013</v>
      </c>
      <c r="E478" s="92">
        <v>20</v>
      </c>
      <c r="F478" s="92">
        <v>8900.4718590065113</v>
      </c>
      <c r="G478" s="81">
        <v>8900.4718590065113</v>
      </c>
      <c r="H478" s="92">
        <v>83</v>
      </c>
      <c r="I478" s="81"/>
      <c r="J478" s="93">
        <v>0</v>
      </c>
      <c r="K478" s="93">
        <v>0</v>
      </c>
      <c r="L478" s="93">
        <v>0</v>
      </c>
      <c r="M478" s="93">
        <v>0</v>
      </c>
      <c r="N478" s="93">
        <v>0</v>
      </c>
      <c r="O478" s="93">
        <v>4.8600000000000003</v>
      </c>
    </row>
    <row r="479" spans="1:15">
      <c r="A479" s="81" t="s">
        <v>45</v>
      </c>
      <c r="B479" s="92" t="s">
        <v>49</v>
      </c>
      <c r="C479" s="92" t="s">
        <v>17</v>
      </c>
      <c r="D479" s="92">
        <v>2013</v>
      </c>
      <c r="E479" s="92">
        <v>21</v>
      </c>
      <c r="F479" s="92">
        <v>8688.7202365462163</v>
      </c>
      <c r="G479" s="81">
        <v>8688.7202365462163</v>
      </c>
      <c r="H479" s="92">
        <v>75</v>
      </c>
      <c r="I479" s="81"/>
      <c r="J479" s="93">
        <v>0</v>
      </c>
      <c r="K479" s="93">
        <v>0</v>
      </c>
      <c r="L479" s="93">
        <v>0</v>
      </c>
      <c r="M479" s="93">
        <v>0</v>
      </c>
      <c r="N479" s="93">
        <v>0</v>
      </c>
      <c r="O479" s="93">
        <v>4.8600000000000003</v>
      </c>
    </row>
    <row r="480" spans="1:15">
      <c r="A480" s="81" t="s">
        <v>45</v>
      </c>
      <c r="B480" s="92" t="s">
        <v>49</v>
      </c>
      <c r="C480" s="92" t="s">
        <v>17</v>
      </c>
      <c r="D480" s="92">
        <v>2013</v>
      </c>
      <c r="E480" s="92">
        <v>22</v>
      </c>
      <c r="F480" s="92">
        <v>8469.3888378303254</v>
      </c>
      <c r="G480" s="81">
        <v>8469.3888378303254</v>
      </c>
      <c r="H480" s="92">
        <v>78</v>
      </c>
      <c r="I480" s="81"/>
      <c r="J480" s="93">
        <v>0</v>
      </c>
      <c r="K480" s="93">
        <v>0</v>
      </c>
      <c r="L480" s="93">
        <v>0</v>
      </c>
      <c r="M480" s="93">
        <v>0</v>
      </c>
      <c r="N480" s="93">
        <v>0</v>
      </c>
      <c r="O480" s="93">
        <v>4.8600000000000003</v>
      </c>
    </row>
    <row r="481" spans="1:15">
      <c r="A481" s="81" t="s">
        <v>45</v>
      </c>
      <c r="B481" s="92" t="s">
        <v>49</v>
      </c>
      <c r="C481" s="92" t="s">
        <v>17</v>
      </c>
      <c r="D481" s="92">
        <v>2013</v>
      </c>
      <c r="E481" s="92">
        <v>23</v>
      </c>
      <c r="F481" s="92">
        <v>8286.9396981551618</v>
      </c>
      <c r="G481" s="81">
        <v>8286.9396981551618</v>
      </c>
      <c r="H481" s="92">
        <v>67</v>
      </c>
      <c r="I481" s="81"/>
      <c r="J481" s="93">
        <v>0</v>
      </c>
      <c r="K481" s="93">
        <v>0</v>
      </c>
      <c r="L481" s="93">
        <v>0</v>
      </c>
      <c r="M481" s="93">
        <v>0</v>
      </c>
      <c r="N481" s="93">
        <v>0</v>
      </c>
      <c r="O481" s="93">
        <v>4.8600000000000003</v>
      </c>
    </row>
    <row r="482" spans="1:15">
      <c r="A482" s="81" t="s">
        <v>45</v>
      </c>
      <c r="B482" s="92" t="s">
        <v>49</v>
      </c>
      <c r="C482" s="92" t="s">
        <v>17</v>
      </c>
      <c r="D482" s="92">
        <v>2013</v>
      </c>
      <c r="E482" s="81">
        <v>24</v>
      </c>
      <c r="F482" s="81">
        <v>8121.8419452451626</v>
      </c>
      <c r="G482" s="81">
        <v>8121.8419452451626</v>
      </c>
      <c r="H482" s="92">
        <v>66</v>
      </c>
      <c r="I482" s="81"/>
      <c r="J482" s="93">
        <v>0</v>
      </c>
      <c r="K482" s="93">
        <v>0</v>
      </c>
      <c r="L482" s="93">
        <v>0</v>
      </c>
      <c r="M482" s="93">
        <v>0</v>
      </c>
      <c r="N482" s="93">
        <v>0</v>
      </c>
      <c r="O482" s="93">
        <v>4.8600000000000003</v>
      </c>
    </row>
    <row r="483" spans="1:15">
      <c r="A483" s="81" t="s">
        <v>45</v>
      </c>
      <c r="B483" s="92" t="s">
        <v>50</v>
      </c>
      <c r="C483" s="92" t="s">
        <v>13</v>
      </c>
      <c r="D483" s="92">
        <v>2014</v>
      </c>
      <c r="E483" s="81">
        <v>1</v>
      </c>
      <c r="F483" s="81">
        <v>10450.458802636282</v>
      </c>
      <c r="G483" s="81">
        <v>10450.458802636282</v>
      </c>
      <c r="H483" s="92">
        <v>62</v>
      </c>
      <c r="I483" s="81"/>
      <c r="J483" s="93">
        <v>0</v>
      </c>
      <c r="K483" s="93">
        <v>0</v>
      </c>
      <c r="L483" s="93">
        <v>0</v>
      </c>
      <c r="M483" s="93">
        <v>0</v>
      </c>
      <c r="N483" s="93">
        <v>0</v>
      </c>
      <c r="O483" s="93">
        <v>6.7068000000000003</v>
      </c>
    </row>
    <row r="484" spans="1:15">
      <c r="A484" s="81" t="s">
        <v>45</v>
      </c>
      <c r="B484" s="92" t="s">
        <v>50</v>
      </c>
      <c r="C484" s="92" t="s">
        <v>13</v>
      </c>
      <c r="D484" s="92">
        <v>2014</v>
      </c>
      <c r="E484" s="81">
        <v>2</v>
      </c>
      <c r="F484" s="81">
        <v>10389.914537515462</v>
      </c>
      <c r="G484" s="81">
        <v>10389.914537515462</v>
      </c>
      <c r="H484" s="92">
        <v>56</v>
      </c>
      <c r="I484" s="81"/>
      <c r="J484" s="93">
        <v>0</v>
      </c>
      <c r="K484" s="93">
        <v>0</v>
      </c>
      <c r="L484" s="93">
        <v>0</v>
      </c>
      <c r="M484" s="93">
        <v>0</v>
      </c>
      <c r="N484" s="93">
        <v>0</v>
      </c>
      <c r="O484" s="93">
        <v>6.7068000000000003</v>
      </c>
    </row>
    <row r="485" spans="1:15">
      <c r="A485" s="81" t="s">
        <v>45</v>
      </c>
      <c r="B485" s="92" t="s">
        <v>50</v>
      </c>
      <c r="C485" s="92" t="s">
        <v>13</v>
      </c>
      <c r="D485" s="92">
        <v>2014</v>
      </c>
      <c r="E485" s="81">
        <v>3</v>
      </c>
      <c r="F485" s="81">
        <v>10341.003972999648</v>
      </c>
      <c r="G485" s="81">
        <v>10341.003972999648</v>
      </c>
      <c r="H485" s="92">
        <v>70</v>
      </c>
      <c r="I485" s="81"/>
      <c r="J485" s="93">
        <v>0</v>
      </c>
      <c r="K485" s="93">
        <v>0</v>
      </c>
      <c r="L485" s="93">
        <v>0</v>
      </c>
      <c r="M485" s="93">
        <v>0</v>
      </c>
      <c r="N485" s="93">
        <v>0</v>
      </c>
      <c r="O485" s="93">
        <v>6.7068000000000003</v>
      </c>
    </row>
    <row r="486" spans="1:15">
      <c r="A486" s="81" t="s">
        <v>45</v>
      </c>
      <c r="B486" s="92" t="s">
        <v>50</v>
      </c>
      <c r="C486" s="92" t="s">
        <v>13</v>
      </c>
      <c r="D486" s="92">
        <v>2014</v>
      </c>
      <c r="E486" s="81">
        <v>4</v>
      </c>
      <c r="F486" s="81">
        <v>10298.529840606489</v>
      </c>
      <c r="G486" s="81">
        <v>10298.529840606489</v>
      </c>
      <c r="H486" s="92">
        <v>56</v>
      </c>
      <c r="I486" s="81"/>
      <c r="J486" s="93">
        <v>0</v>
      </c>
      <c r="K486" s="93">
        <v>0</v>
      </c>
      <c r="L486" s="93">
        <v>0</v>
      </c>
      <c r="M486" s="93">
        <v>0</v>
      </c>
      <c r="N486" s="93">
        <v>0</v>
      </c>
      <c r="O486" s="93">
        <v>6.7068000000000003</v>
      </c>
    </row>
    <row r="487" spans="1:15">
      <c r="A487" s="81" t="s">
        <v>45</v>
      </c>
      <c r="B487" s="92" t="s">
        <v>50</v>
      </c>
      <c r="C487" s="92" t="s">
        <v>13</v>
      </c>
      <c r="D487" s="92">
        <v>2014</v>
      </c>
      <c r="E487" s="81">
        <v>5</v>
      </c>
      <c r="F487" s="81">
        <v>10346.912795952761</v>
      </c>
      <c r="G487" s="81">
        <v>10346.912795952761</v>
      </c>
      <c r="H487" s="92">
        <v>76</v>
      </c>
      <c r="I487" s="81"/>
      <c r="J487" s="93">
        <v>0</v>
      </c>
      <c r="K487" s="93">
        <v>0</v>
      </c>
      <c r="L487" s="93">
        <v>0</v>
      </c>
      <c r="M487" s="93">
        <v>0</v>
      </c>
      <c r="N487" s="93">
        <v>0</v>
      </c>
      <c r="O487" s="93">
        <v>6.7068000000000003</v>
      </c>
    </row>
    <row r="488" spans="1:15">
      <c r="A488" s="81" t="s">
        <v>45</v>
      </c>
      <c r="B488" s="92" t="s">
        <v>50</v>
      </c>
      <c r="C488" s="92" t="s">
        <v>13</v>
      </c>
      <c r="D488" s="92">
        <v>2014</v>
      </c>
      <c r="E488" s="81">
        <v>6</v>
      </c>
      <c r="F488" s="81">
        <v>10453.796665255157</v>
      </c>
      <c r="G488" s="81">
        <v>10453.796665255157</v>
      </c>
      <c r="H488" s="92">
        <v>63</v>
      </c>
      <c r="I488" s="81"/>
      <c r="J488" s="93">
        <v>0</v>
      </c>
      <c r="K488" s="93">
        <v>0</v>
      </c>
      <c r="L488" s="93">
        <v>0</v>
      </c>
      <c r="M488" s="93">
        <v>0</v>
      </c>
      <c r="N488" s="93">
        <v>0</v>
      </c>
      <c r="O488" s="93">
        <v>6.7068000000000003</v>
      </c>
    </row>
    <row r="489" spans="1:15">
      <c r="A489" s="81" t="s">
        <v>45</v>
      </c>
      <c r="B489" s="92" t="s">
        <v>50</v>
      </c>
      <c r="C489" s="92" t="s">
        <v>13</v>
      </c>
      <c r="D489" s="92">
        <v>2014</v>
      </c>
      <c r="E489" s="81">
        <v>7</v>
      </c>
      <c r="F489" s="81">
        <v>10565.196476489196</v>
      </c>
      <c r="G489" s="81">
        <v>10565.196476489196</v>
      </c>
      <c r="H489" s="92">
        <v>60</v>
      </c>
      <c r="I489" s="81"/>
      <c r="J489" s="93">
        <v>0</v>
      </c>
      <c r="K489" s="93">
        <v>0</v>
      </c>
      <c r="L489" s="93">
        <v>0</v>
      </c>
      <c r="M489" s="93">
        <v>0</v>
      </c>
      <c r="N489" s="93">
        <v>0</v>
      </c>
      <c r="O489" s="93">
        <v>6.7068000000000003</v>
      </c>
    </row>
    <row r="490" spans="1:15">
      <c r="A490" s="81" t="s">
        <v>45</v>
      </c>
      <c r="B490" s="92" t="s">
        <v>50</v>
      </c>
      <c r="C490" s="92" t="s">
        <v>13</v>
      </c>
      <c r="D490" s="92">
        <v>2014</v>
      </c>
      <c r="E490" s="81">
        <v>8</v>
      </c>
      <c r="F490" s="81">
        <v>10794.462139960822</v>
      </c>
      <c r="G490" s="81">
        <v>10794.462139960822</v>
      </c>
      <c r="H490" s="92">
        <v>70</v>
      </c>
      <c r="I490" s="81"/>
      <c r="J490" s="93">
        <v>0</v>
      </c>
      <c r="K490" s="93">
        <v>0</v>
      </c>
      <c r="L490" s="93">
        <v>0</v>
      </c>
      <c r="M490" s="93">
        <v>0</v>
      </c>
      <c r="N490" s="93">
        <v>0</v>
      </c>
      <c r="O490" s="93">
        <v>6.7068000000000003</v>
      </c>
    </row>
    <row r="491" spans="1:15">
      <c r="A491" s="81" t="s">
        <v>45</v>
      </c>
      <c r="B491" s="92" t="s">
        <v>50</v>
      </c>
      <c r="C491" s="92" t="s">
        <v>13</v>
      </c>
      <c r="D491" s="92">
        <v>2014</v>
      </c>
      <c r="E491" s="81">
        <v>9</v>
      </c>
      <c r="F491" s="81">
        <v>11609.455190353263</v>
      </c>
      <c r="G491" s="81">
        <v>11609.455190353263</v>
      </c>
      <c r="H491" s="92">
        <v>71</v>
      </c>
      <c r="I491" s="81"/>
      <c r="J491" s="93">
        <v>0</v>
      </c>
      <c r="K491" s="93">
        <v>0</v>
      </c>
      <c r="L491" s="93">
        <v>0</v>
      </c>
      <c r="M491" s="93">
        <v>0</v>
      </c>
      <c r="N491" s="93">
        <v>0</v>
      </c>
      <c r="O491" s="93">
        <v>6.7068000000000003</v>
      </c>
    </row>
    <row r="492" spans="1:15">
      <c r="A492" s="81" t="s">
        <v>45</v>
      </c>
      <c r="B492" s="92" t="s">
        <v>50</v>
      </c>
      <c r="C492" s="92" t="s">
        <v>13</v>
      </c>
      <c r="D492" s="92">
        <v>2014</v>
      </c>
      <c r="E492" s="81">
        <v>10</v>
      </c>
      <c r="F492" s="81">
        <v>11987.749141282629</v>
      </c>
      <c r="G492" s="81">
        <v>11987.749141282629</v>
      </c>
      <c r="H492" s="92">
        <v>76</v>
      </c>
      <c r="I492" s="81"/>
      <c r="J492" s="93">
        <v>0</v>
      </c>
      <c r="K492" s="93">
        <v>0</v>
      </c>
      <c r="L492" s="93">
        <v>0</v>
      </c>
      <c r="M492" s="93">
        <v>0</v>
      </c>
      <c r="N492" s="93">
        <v>0</v>
      </c>
      <c r="O492" s="93">
        <v>6.7068000000000003</v>
      </c>
    </row>
    <row r="493" spans="1:15">
      <c r="A493" s="81" t="s">
        <v>45</v>
      </c>
      <c r="B493" s="92" t="s">
        <v>50</v>
      </c>
      <c r="C493" s="92" t="s">
        <v>13</v>
      </c>
      <c r="D493" s="92">
        <v>2014</v>
      </c>
      <c r="E493" s="81">
        <v>11</v>
      </c>
      <c r="F493" s="81">
        <v>12192.548360424795</v>
      </c>
      <c r="G493" s="81">
        <v>7834.3872637095719</v>
      </c>
      <c r="H493" s="92">
        <v>61</v>
      </c>
      <c r="I493" s="81"/>
      <c r="J493" s="93">
        <v>4290.9458945493225</v>
      </c>
      <c r="K493" s="93">
        <v>4315.8781409126641</v>
      </c>
      <c r="L493" s="93">
        <v>4358.1610967152228</v>
      </c>
      <c r="M493" s="93">
        <v>4400.4440525177806</v>
      </c>
      <c r="N493" s="93">
        <v>4425.3762988811222</v>
      </c>
      <c r="O493" s="93">
        <v>6.7068000000000003</v>
      </c>
    </row>
    <row r="494" spans="1:15">
      <c r="A494" s="81" t="s">
        <v>45</v>
      </c>
      <c r="B494" s="92" t="s">
        <v>50</v>
      </c>
      <c r="C494" s="92" t="s">
        <v>13</v>
      </c>
      <c r="D494" s="92">
        <v>2014</v>
      </c>
      <c r="E494" s="81">
        <v>12</v>
      </c>
      <c r="F494" s="81">
        <v>12369.787013264468</v>
      </c>
      <c r="G494" s="81">
        <v>7948.2729095480763</v>
      </c>
      <c r="H494" s="92">
        <v>73</v>
      </c>
      <c r="I494" s="81"/>
      <c r="J494" s="93">
        <v>4357.9294455277341</v>
      </c>
      <c r="K494" s="93">
        <v>4381.5150081951788</v>
      </c>
      <c r="L494" s="93">
        <v>4421.5141037163912</v>
      </c>
      <c r="M494" s="93">
        <v>4461.5131992376109</v>
      </c>
      <c r="N494" s="93">
        <v>4485.0987619050484</v>
      </c>
      <c r="O494" s="93">
        <v>6.7068000000000003</v>
      </c>
    </row>
    <row r="495" spans="1:15">
      <c r="A495" s="81" t="s">
        <v>45</v>
      </c>
      <c r="B495" s="92" t="s">
        <v>50</v>
      </c>
      <c r="C495" s="92" t="s">
        <v>13</v>
      </c>
      <c r="D495" s="92">
        <v>2014</v>
      </c>
      <c r="E495" s="81">
        <v>13</v>
      </c>
      <c r="F495" s="81">
        <v>12394.644091077451</v>
      </c>
      <c r="G495" s="81">
        <v>7964.244958054619</v>
      </c>
      <c r="H495" s="92">
        <v>76</v>
      </c>
      <c r="I495" s="81"/>
      <c r="J495" s="93">
        <v>4368.3413864931244</v>
      </c>
      <c r="K495" s="93">
        <v>4391.3605692877227</v>
      </c>
      <c r="L495" s="93">
        <v>4430.3991330228318</v>
      </c>
      <c r="M495" s="93">
        <v>4469.4376967579419</v>
      </c>
      <c r="N495" s="93">
        <v>4492.4568795525329</v>
      </c>
      <c r="O495" s="93">
        <v>6.7068000000000003</v>
      </c>
    </row>
    <row r="496" spans="1:15">
      <c r="A496" s="81" t="s">
        <v>45</v>
      </c>
      <c r="B496" s="92" t="s">
        <v>50</v>
      </c>
      <c r="C496" s="92" t="s">
        <v>13</v>
      </c>
      <c r="D496" s="92">
        <v>2014</v>
      </c>
      <c r="E496" s="81">
        <v>14</v>
      </c>
      <c r="F496" s="81">
        <v>12476.897671927842</v>
      </c>
      <c r="G496" s="81">
        <v>8017.0974370573231</v>
      </c>
      <c r="H496" s="92">
        <v>87</v>
      </c>
      <c r="I496" s="81"/>
      <c r="J496" s="93">
        <v>4402.6805726159128</v>
      </c>
      <c r="K496" s="93">
        <v>4423.8680636243816</v>
      </c>
      <c r="L496" s="93">
        <v>4459.8002348705186</v>
      </c>
      <c r="M496" s="93">
        <v>4495.7324061166464</v>
      </c>
      <c r="N496" s="93">
        <v>4516.9198971251244</v>
      </c>
      <c r="O496" s="93">
        <v>6.7068000000000003</v>
      </c>
    </row>
    <row r="497" spans="1:15">
      <c r="A497" s="81" t="s">
        <v>45</v>
      </c>
      <c r="B497" s="92" t="s">
        <v>50</v>
      </c>
      <c r="C497" s="92" t="s">
        <v>13</v>
      </c>
      <c r="D497" s="92">
        <v>2014</v>
      </c>
      <c r="E497" s="81">
        <v>15</v>
      </c>
      <c r="F497" s="81">
        <v>12258.221611247636</v>
      </c>
      <c r="G497" s="81">
        <v>7876.5859628332837</v>
      </c>
      <c r="H497" s="92">
        <v>98</v>
      </c>
      <c r="I497" s="81"/>
      <c r="J497" s="93">
        <v>4322.6169717228113</v>
      </c>
      <c r="K497" s="93">
        <v>4344.5088673044093</v>
      </c>
      <c r="L497" s="93">
        <v>4381.6356484143525</v>
      </c>
      <c r="M497" s="93">
        <v>4418.7624295242886</v>
      </c>
      <c r="N497" s="93">
        <v>4440.6543251058947</v>
      </c>
      <c r="O497" s="93">
        <v>6.7068000000000003</v>
      </c>
    </row>
    <row r="498" spans="1:15">
      <c r="A498" s="81" t="s">
        <v>45</v>
      </c>
      <c r="B498" s="92" t="s">
        <v>50</v>
      </c>
      <c r="C498" s="92" t="s">
        <v>13</v>
      </c>
      <c r="D498" s="92">
        <v>2014</v>
      </c>
      <c r="E498" s="81">
        <v>16</v>
      </c>
      <c r="F498" s="81">
        <v>12123.169182119529</v>
      </c>
      <c r="G498" s="81">
        <v>7789.8073010296066</v>
      </c>
      <c r="H498" s="92">
        <v>79</v>
      </c>
      <c r="I498" s="81"/>
      <c r="J498" s="93">
        <v>4275.3901857237361</v>
      </c>
      <c r="K498" s="93">
        <v>4296.8937227867218</v>
      </c>
      <c r="L498" s="93">
        <v>4333.3618810899225</v>
      </c>
      <c r="M498" s="93">
        <v>4369.8300393931213</v>
      </c>
      <c r="N498" s="93">
        <v>4391.3335764561079</v>
      </c>
      <c r="O498" s="93">
        <v>6.7068000000000003</v>
      </c>
    </row>
    <row r="499" spans="1:15">
      <c r="A499" s="81" t="s">
        <v>45</v>
      </c>
      <c r="B499" s="92" t="s">
        <v>50</v>
      </c>
      <c r="C499" s="92" t="s">
        <v>13</v>
      </c>
      <c r="D499" s="92">
        <v>2014</v>
      </c>
      <c r="E499" s="81">
        <v>17</v>
      </c>
      <c r="F499" s="81">
        <v>11906.570156511752</v>
      </c>
      <c r="G499" s="81">
        <v>7650.6304368179035</v>
      </c>
      <c r="H499" s="92">
        <v>88</v>
      </c>
      <c r="I499" s="81"/>
      <c r="J499" s="93">
        <v>4187.0164199599758</v>
      </c>
      <c r="K499" s="93">
        <v>4212.5822537857484</v>
      </c>
      <c r="L499" s="93">
        <v>4255.9397196938489</v>
      </c>
      <c r="M499" s="93">
        <v>4299.2971856019421</v>
      </c>
      <c r="N499" s="93">
        <v>4324.863019427723</v>
      </c>
      <c r="O499" s="93">
        <v>6.7068000000000003</v>
      </c>
    </row>
    <row r="500" spans="1:15">
      <c r="A500" s="81" t="s">
        <v>45</v>
      </c>
      <c r="B500" s="92" t="s">
        <v>50</v>
      </c>
      <c r="C500" s="92" t="s">
        <v>13</v>
      </c>
      <c r="D500" s="92">
        <v>2014</v>
      </c>
      <c r="E500" s="81">
        <v>18</v>
      </c>
      <c r="F500" s="81">
        <v>11693.001792085461</v>
      </c>
      <c r="G500" s="81">
        <v>7513.4009401834255</v>
      </c>
      <c r="H500" s="92">
        <v>87</v>
      </c>
      <c r="I500" s="81"/>
      <c r="J500" s="93">
        <v>4119.6165856500638</v>
      </c>
      <c r="K500" s="93">
        <v>4141.8666489679936</v>
      </c>
      <c r="L500" s="93">
        <v>4179.6008519020352</v>
      </c>
      <c r="M500" s="93">
        <v>4217.335054836085</v>
      </c>
      <c r="N500" s="93">
        <v>4239.5851181540065</v>
      </c>
      <c r="O500" s="93">
        <v>6.7068000000000003</v>
      </c>
    </row>
    <row r="501" spans="1:15">
      <c r="A501" s="81" t="s">
        <v>45</v>
      </c>
      <c r="B501" s="92" t="s">
        <v>50</v>
      </c>
      <c r="C501" s="92" t="s">
        <v>13</v>
      </c>
      <c r="D501" s="92">
        <v>2014</v>
      </c>
      <c r="E501" s="81">
        <v>19</v>
      </c>
      <c r="F501" s="81">
        <v>11472.330518632189</v>
      </c>
      <c r="G501" s="81">
        <v>11472.330518632189</v>
      </c>
      <c r="H501" s="92">
        <v>87</v>
      </c>
      <c r="I501" s="81"/>
      <c r="J501" s="93">
        <v>0</v>
      </c>
      <c r="K501" s="93">
        <v>0</v>
      </c>
      <c r="L501" s="93">
        <v>0</v>
      </c>
      <c r="M501" s="93">
        <v>0</v>
      </c>
      <c r="N501" s="93">
        <v>0</v>
      </c>
      <c r="O501" s="93">
        <v>6.7068000000000003</v>
      </c>
    </row>
    <row r="502" spans="1:15">
      <c r="A502" s="81" t="s">
        <v>45</v>
      </c>
      <c r="B502" s="92" t="s">
        <v>50</v>
      </c>
      <c r="C502" s="92" t="s">
        <v>13</v>
      </c>
      <c r="D502" s="92">
        <v>2014</v>
      </c>
      <c r="E502" s="81">
        <v>20</v>
      </c>
      <c r="F502" s="81">
        <v>11288.437485054879</v>
      </c>
      <c r="G502" s="81">
        <v>11288.437485054879</v>
      </c>
      <c r="H502" s="92">
        <v>96</v>
      </c>
      <c r="I502" s="81"/>
      <c r="J502" s="93">
        <v>0</v>
      </c>
      <c r="K502" s="93">
        <v>0</v>
      </c>
      <c r="L502" s="93">
        <v>0</v>
      </c>
      <c r="M502" s="93">
        <v>0</v>
      </c>
      <c r="N502" s="93">
        <v>0</v>
      </c>
      <c r="O502" s="93">
        <v>6.7068000000000003</v>
      </c>
    </row>
    <row r="503" spans="1:15">
      <c r="A503" s="81" t="s">
        <v>45</v>
      </c>
      <c r="B503" s="92" t="s">
        <v>50</v>
      </c>
      <c r="C503" s="92" t="s">
        <v>13</v>
      </c>
      <c r="D503" s="92">
        <v>2014</v>
      </c>
      <c r="E503" s="81">
        <v>21</v>
      </c>
      <c r="F503" s="81">
        <v>11110.155092074996</v>
      </c>
      <c r="G503" s="81">
        <v>11110.155092074996</v>
      </c>
      <c r="H503" s="92">
        <v>96</v>
      </c>
      <c r="I503" s="81"/>
      <c r="J503" s="93">
        <v>0</v>
      </c>
      <c r="K503" s="93">
        <v>0</v>
      </c>
      <c r="L503" s="93">
        <v>0</v>
      </c>
      <c r="M503" s="93">
        <v>0</v>
      </c>
      <c r="N503" s="93">
        <v>0</v>
      </c>
      <c r="O503" s="93">
        <v>6.7068000000000003</v>
      </c>
    </row>
    <row r="504" spans="1:15">
      <c r="A504" s="81" t="s">
        <v>45</v>
      </c>
      <c r="B504" s="92" t="s">
        <v>50</v>
      </c>
      <c r="C504" s="92" t="s">
        <v>13</v>
      </c>
      <c r="D504" s="92">
        <v>2014</v>
      </c>
      <c r="E504" s="81">
        <v>22</v>
      </c>
      <c r="F504" s="81">
        <v>10861.604142572216</v>
      </c>
      <c r="G504" s="81">
        <v>10861.604142572216</v>
      </c>
      <c r="H504" s="92">
        <v>88</v>
      </c>
      <c r="I504" s="81"/>
      <c r="J504" s="93">
        <v>0</v>
      </c>
      <c r="K504" s="93">
        <v>0</v>
      </c>
      <c r="L504" s="93">
        <v>0</v>
      </c>
      <c r="M504" s="93">
        <v>0</v>
      </c>
      <c r="N504" s="93">
        <v>0</v>
      </c>
      <c r="O504" s="93">
        <v>6.7068000000000003</v>
      </c>
    </row>
    <row r="505" spans="1:15">
      <c r="A505" s="81" t="s">
        <v>45</v>
      </c>
      <c r="B505" s="92" t="s">
        <v>50</v>
      </c>
      <c r="C505" s="92" t="s">
        <v>13</v>
      </c>
      <c r="D505" s="92">
        <v>2014</v>
      </c>
      <c r="E505" s="81">
        <v>23</v>
      </c>
      <c r="F505" s="81">
        <v>10687.104814695509</v>
      </c>
      <c r="G505" s="81">
        <v>10687.104814695509</v>
      </c>
      <c r="H505" s="92">
        <v>66</v>
      </c>
      <c r="I505" s="81"/>
      <c r="J505" s="93">
        <v>0</v>
      </c>
      <c r="K505" s="93">
        <v>0</v>
      </c>
      <c r="L505" s="93">
        <v>0</v>
      </c>
      <c r="M505" s="93">
        <v>0</v>
      </c>
      <c r="N505" s="93">
        <v>0</v>
      </c>
      <c r="O505" s="93">
        <v>6.7068000000000003</v>
      </c>
    </row>
    <row r="506" spans="1:15">
      <c r="A506" s="81" t="s">
        <v>45</v>
      </c>
      <c r="B506" s="92" t="s">
        <v>50</v>
      </c>
      <c r="C506" s="92" t="s">
        <v>13</v>
      </c>
      <c r="D506" s="92">
        <v>2014</v>
      </c>
      <c r="E506" s="81">
        <v>24</v>
      </c>
      <c r="F506" s="81">
        <v>10567.5705816466</v>
      </c>
      <c r="G506" s="81">
        <v>10567.5705816466</v>
      </c>
      <c r="H506" s="92">
        <v>80</v>
      </c>
      <c r="I506" s="81"/>
      <c r="J506" s="93">
        <v>0</v>
      </c>
      <c r="K506" s="93">
        <v>0</v>
      </c>
      <c r="L506" s="93">
        <v>0</v>
      </c>
      <c r="M506" s="93">
        <v>0</v>
      </c>
      <c r="N506" s="93">
        <v>0</v>
      </c>
      <c r="O506" s="93">
        <v>6.7068000000000003</v>
      </c>
    </row>
    <row r="507" spans="1:15">
      <c r="A507" s="81" t="s">
        <v>45</v>
      </c>
      <c r="B507" s="92" t="s">
        <v>50</v>
      </c>
      <c r="C507" s="92" t="s">
        <v>14</v>
      </c>
      <c r="D507" s="92">
        <v>2014</v>
      </c>
      <c r="E507" s="81">
        <v>1</v>
      </c>
      <c r="F507" s="81">
        <v>10019.505484489509</v>
      </c>
      <c r="G507" s="81">
        <v>10019.505484489509</v>
      </c>
      <c r="H507" s="92">
        <v>70</v>
      </c>
      <c r="I507" s="81"/>
      <c r="J507" s="93">
        <v>0</v>
      </c>
      <c r="K507" s="93">
        <v>0</v>
      </c>
      <c r="L507" s="93">
        <v>0</v>
      </c>
      <c r="M507" s="93">
        <v>0</v>
      </c>
      <c r="N507" s="93">
        <v>0</v>
      </c>
      <c r="O507" s="93">
        <v>6.7068000000000003</v>
      </c>
    </row>
    <row r="508" spans="1:15">
      <c r="A508" s="81" t="s">
        <v>45</v>
      </c>
      <c r="B508" s="92" t="s">
        <v>50</v>
      </c>
      <c r="C508" s="92" t="s">
        <v>14</v>
      </c>
      <c r="D508" s="92">
        <v>2014</v>
      </c>
      <c r="E508" s="81">
        <v>2</v>
      </c>
      <c r="F508" s="81">
        <v>9973.2087916501478</v>
      </c>
      <c r="G508" s="81">
        <v>9973.2087916501478</v>
      </c>
      <c r="H508" s="92">
        <v>77</v>
      </c>
      <c r="I508" s="81"/>
      <c r="J508" s="93">
        <v>0</v>
      </c>
      <c r="K508" s="93">
        <v>0</v>
      </c>
      <c r="L508" s="93">
        <v>0</v>
      </c>
      <c r="M508" s="93">
        <v>0</v>
      </c>
      <c r="N508" s="93">
        <v>0</v>
      </c>
      <c r="O508" s="93">
        <v>6.7068000000000003</v>
      </c>
    </row>
    <row r="509" spans="1:15">
      <c r="A509" s="81" t="s">
        <v>45</v>
      </c>
      <c r="B509" s="92" t="s">
        <v>50</v>
      </c>
      <c r="C509" s="92" t="s">
        <v>14</v>
      </c>
      <c r="D509" s="92">
        <v>2014</v>
      </c>
      <c r="E509" s="81">
        <v>3</v>
      </c>
      <c r="F509" s="81">
        <v>9926.9270143917402</v>
      </c>
      <c r="G509" s="81">
        <v>9926.9270143917402</v>
      </c>
      <c r="H509" s="92">
        <v>77</v>
      </c>
      <c r="I509" s="81"/>
      <c r="J509" s="93">
        <v>0</v>
      </c>
      <c r="K509" s="93">
        <v>0</v>
      </c>
      <c r="L509" s="93">
        <v>0</v>
      </c>
      <c r="M509" s="93">
        <v>0</v>
      </c>
      <c r="N509" s="93">
        <v>0</v>
      </c>
      <c r="O509" s="93">
        <v>6.7068000000000003</v>
      </c>
    </row>
    <row r="510" spans="1:15">
      <c r="A510" s="81" t="s">
        <v>45</v>
      </c>
      <c r="B510" s="92" t="s">
        <v>50</v>
      </c>
      <c r="C510" s="92" t="s">
        <v>14</v>
      </c>
      <c r="D510" s="92">
        <v>2014</v>
      </c>
      <c r="E510" s="81">
        <v>4</v>
      </c>
      <c r="F510" s="81">
        <v>9909.8636159761299</v>
      </c>
      <c r="G510" s="81">
        <v>9909.8636159761299</v>
      </c>
      <c r="H510" s="92">
        <v>63</v>
      </c>
      <c r="I510" s="81"/>
      <c r="J510" s="93">
        <v>0</v>
      </c>
      <c r="K510" s="93">
        <v>0</v>
      </c>
      <c r="L510" s="93">
        <v>0</v>
      </c>
      <c r="M510" s="93">
        <v>0</v>
      </c>
      <c r="N510" s="93">
        <v>0</v>
      </c>
      <c r="O510" s="93">
        <v>6.7068000000000003</v>
      </c>
    </row>
    <row r="511" spans="1:15">
      <c r="A511" s="81" t="s">
        <v>45</v>
      </c>
      <c r="B511" s="92" t="s">
        <v>50</v>
      </c>
      <c r="C511" s="92" t="s">
        <v>14</v>
      </c>
      <c r="D511" s="92">
        <v>2014</v>
      </c>
      <c r="E511" s="81">
        <v>5</v>
      </c>
      <c r="F511" s="81">
        <v>9963.66192747473</v>
      </c>
      <c r="G511" s="81">
        <v>9963.66192747473</v>
      </c>
      <c r="H511" s="92">
        <v>74</v>
      </c>
      <c r="I511" s="81"/>
      <c r="J511" s="93">
        <v>0</v>
      </c>
      <c r="K511" s="93">
        <v>0</v>
      </c>
      <c r="L511" s="93">
        <v>0</v>
      </c>
      <c r="M511" s="93">
        <v>0</v>
      </c>
      <c r="N511" s="93">
        <v>0</v>
      </c>
      <c r="O511" s="93">
        <v>6.7068000000000003</v>
      </c>
    </row>
    <row r="512" spans="1:15">
      <c r="A512" s="81" t="s">
        <v>45</v>
      </c>
      <c r="B512" s="92" t="s">
        <v>50</v>
      </c>
      <c r="C512" s="92" t="s">
        <v>14</v>
      </c>
      <c r="D512" s="92">
        <v>2014</v>
      </c>
      <c r="E512" s="81">
        <v>6</v>
      </c>
      <c r="F512" s="81">
        <v>10048.265680500272</v>
      </c>
      <c r="G512" s="81">
        <v>10048.265680500272</v>
      </c>
      <c r="H512" s="92">
        <v>73</v>
      </c>
      <c r="I512" s="81"/>
      <c r="J512" s="93">
        <v>0</v>
      </c>
      <c r="K512" s="93">
        <v>0</v>
      </c>
      <c r="L512" s="93">
        <v>0</v>
      </c>
      <c r="M512" s="93">
        <v>0</v>
      </c>
      <c r="N512" s="93">
        <v>0</v>
      </c>
      <c r="O512" s="93">
        <v>6.7068000000000003</v>
      </c>
    </row>
    <row r="513" spans="1:15">
      <c r="A513" s="81" t="s">
        <v>45</v>
      </c>
      <c r="B513" s="92" t="s">
        <v>50</v>
      </c>
      <c r="C513" s="92" t="s">
        <v>14</v>
      </c>
      <c r="D513" s="92">
        <v>2014</v>
      </c>
      <c r="E513" s="81">
        <v>7</v>
      </c>
      <c r="F513" s="81">
        <v>10256.479833765068</v>
      </c>
      <c r="G513" s="81">
        <v>10256.479833765068</v>
      </c>
      <c r="H513" s="92">
        <v>67</v>
      </c>
      <c r="I513" s="81"/>
      <c r="J513" s="93">
        <v>0</v>
      </c>
      <c r="K513" s="93">
        <v>0</v>
      </c>
      <c r="L513" s="93">
        <v>0</v>
      </c>
      <c r="M513" s="93">
        <v>0</v>
      </c>
      <c r="N513" s="93">
        <v>0</v>
      </c>
      <c r="O513" s="93">
        <v>6.7068000000000003</v>
      </c>
    </row>
    <row r="514" spans="1:15">
      <c r="A514" s="81" t="s">
        <v>45</v>
      </c>
      <c r="B514" s="92" t="s">
        <v>50</v>
      </c>
      <c r="C514" s="92" t="s">
        <v>14</v>
      </c>
      <c r="D514" s="92">
        <v>2014</v>
      </c>
      <c r="E514" s="81">
        <v>8</v>
      </c>
      <c r="F514" s="81">
        <v>10654.25696355643</v>
      </c>
      <c r="G514" s="81">
        <v>10654.25696355643</v>
      </c>
      <c r="H514" s="92">
        <v>67</v>
      </c>
      <c r="I514" s="81"/>
      <c r="J514" s="93">
        <v>0</v>
      </c>
      <c r="K514" s="93">
        <v>0</v>
      </c>
      <c r="L514" s="93">
        <v>0</v>
      </c>
      <c r="M514" s="93">
        <v>0</v>
      </c>
      <c r="N514" s="93">
        <v>0</v>
      </c>
      <c r="O514" s="93">
        <v>6.7068000000000003</v>
      </c>
    </row>
    <row r="515" spans="1:15">
      <c r="A515" s="81" t="s">
        <v>45</v>
      </c>
      <c r="B515" s="92" t="s">
        <v>50</v>
      </c>
      <c r="C515" s="92" t="s">
        <v>14</v>
      </c>
      <c r="D515" s="92">
        <v>2014</v>
      </c>
      <c r="E515" s="81">
        <v>9</v>
      </c>
      <c r="F515" s="81">
        <v>11446.19130878366</v>
      </c>
      <c r="G515" s="81">
        <v>11446.19130878366</v>
      </c>
      <c r="H515" s="92">
        <v>68</v>
      </c>
      <c r="I515" s="81"/>
      <c r="J515" s="93">
        <v>0</v>
      </c>
      <c r="K515" s="93">
        <v>0</v>
      </c>
      <c r="L515" s="93">
        <v>0</v>
      </c>
      <c r="M515" s="93">
        <v>0</v>
      </c>
      <c r="N515" s="93">
        <v>0</v>
      </c>
      <c r="O515" s="93">
        <v>6.7068000000000003</v>
      </c>
    </row>
    <row r="516" spans="1:15">
      <c r="A516" s="81" t="s">
        <v>45</v>
      </c>
      <c r="B516" s="92" t="s">
        <v>50</v>
      </c>
      <c r="C516" s="92" t="s">
        <v>14</v>
      </c>
      <c r="D516" s="92">
        <v>2014</v>
      </c>
      <c r="E516" s="81">
        <v>10</v>
      </c>
      <c r="F516" s="81">
        <v>11812.320161039688</v>
      </c>
      <c r="G516" s="81">
        <v>11812.320161039688</v>
      </c>
      <c r="H516" s="92">
        <v>54</v>
      </c>
      <c r="I516" s="81"/>
      <c r="J516" s="93">
        <v>0</v>
      </c>
      <c r="K516" s="93">
        <v>0</v>
      </c>
      <c r="L516" s="93">
        <v>0</v>
      </c>
      <c r="M516" s="93">
        <v>0</v>
      </c>
      <c r="N516" s="93">
        <v>0</v>
      </c>
      <c r="O516" s="93">
        <v>6.7068000000000003</v>
      </c>
    </row>
    <row r="517" spans="1:15">
      <c r="A517" s="81" t="s">
        <v>45</v>
      </c>
      <c r="B517" s="92" t="s">
        <v>50</v>
      </c>
      <c r="C517" s="92" t="s">
        <v>14</v>
      </c>
      <c r="D517" s="92">
        <v>2014</v>
      </c>
      <c r="E517" s="81">
        <v>11</v>
      </c>
      <c r="F517" s="81">
        <v>12086.263812323177</v>
      </c>
      <c r="G517" s="81">
        <v>7912.9770830421421</v>
      </c>
      <c r="H517" s="92">
        <v>77</v>
      </c>
      <c r="I517" s="81"/>
      <c r="J517" s="93">
        <v>4108.4113667598012</v>
      </c>
      <c r="K517" s="93">
        <v>4132.4756925249521</v>
      </c>
      <c r="L517" s="93">
        <v>4173.2867292810352</v>
      </c>
      <c r="M517" s="93">
        <v>4214.0977660371182</v>
      </c>
      <c r="N517" s="93">
        <v>4238.1620918022691</v>
      </c>
      <c r="O517" s="93">
        <v>6.7068000000000003</v>
      </c>
    </row>
    <row r="518" spans="1:15">
      <c r="A518" s="81" t="s">
        <v>45</v>
      </c>
      <c r="B518" s="92" t="s">
        <v>50</v>
      </c>
      <c r="C518" s="92" t="s">
        <v>14</v>
      </c>
      <c r="D518" s="92">
        <v>2014</v>
      </c>
      <c r="E518" s="81">
        <v>12</v>
      </c>
      <c r="F518" s="81">
        <v>12319.991243919216</v>
      </c>
      <c r="G518" s="81">
        <v>8066.0003695280793</v>
      </c>
      <c r="H518" s="92">
        <v>75</v>
      </c>
      <c r="I518" s="81"/>
      <c r="J518" s="93">
        <v>4192.6196723735238</v>
      </c>
      <c r="K518" s="93">
        <v>4215.3841940741495</v>
      </c>
      <c r="L518" s="93">
        <v>4253.9908743911365</v>
      </c>
      <c r="M518" s="93">
        <v>4292.5975547081152</v>
      </c>
      <c r="N518" s="93">
        <v>4315.3620764087409</v>
      </c>
      <c r="O518" s="93">
        <v>6.7068000000000003</v>
      </c>
    </row>
    <row r="519" spans="1:15">
      <c r="A519" s="81" t="s">
        <v>45</v>
      </c>
      <c r="B519" s="92" t="s">
        <v>50</v>
      </c>
      <c r="C519" s="92" t="s">
        <v>14</v>
      </c>
      <c r="D519" s="92">
        <v>2014</v>
      </c>
      <c r="E519" s="81">
        <v>13</v>
      </c>
      <c r="F519" s="81">
        <v>12350.587394301856</v>
      </c>
      <c r="G519" s="81">
        <v>8086.0319227497039</v>
      </c>
      <c r="H519" s="92">
        <v>92</v>
      </c>
      <c r="I519" s="81"/>
      <c r="J519" s="93">
        <v>4204.6580276163468</v>
      </c>
      <c r="K519" s="93">
        <v>4226.8758857886078</v>
      </c>
      <c r="L519" s="93">
        <v>4264.5554715521521</v>
      </c>
      <c r="M519" s="93">
        <v>4302.2350573156882</v>
      </c>
      <c r="N519" s="93">
        <v>4324.4529154879492</v>
      </c>
      <c r="O519" s="93">
        <v>6.7068000000000003</v>
      </c>
    </row>
    <row r="520" spans="1:15">
      <c r="A520" s="81" t="s">
        <v>45</v>
      </c>
      <c r="B520" s="92" t="s">
        <v>50</v>
      </c>
      <c r="C520" s="92" t="s">
        <v>14</v>
      </c>
      <c r="D520" s="92">
        <v>2014</v>
      </c>
      <c r="E520" s="81">
        <v>14</v>
      </c>
      <c r="F520" s="81">
        <v>12309.02350671535</v>
      </c>
      <c r="G520" s="81">
        <v>8058.8197010854028</v>
      </c>
      <c r="H520" s="92">
        <v>95</v>
      </c>
      <c r="I520" s="81"/>
      <c r="J520" s="93">
        <v>4195.0725454916301</v>
      </c>
      <c r="K520" s="93">
        <v>4215.5224752068934</v>
      </c>
      <c r="L520" s="93">
        <v>4250.2038056299471</v>
      </c>
      <c r="M520" s="93">
        <v>4284.8851360529998</v>
      </c>
      <c r="N520" s="93">
        <v>4305.3350657682631</v>
      </c>
      <c r="O520" s="93">
        <v>6.7068000000000003</v>
      </c>
    </row>
    <row r="521" spans="1:15">
      <c r="A521" s="81" t="s">
        <v>45</v>
      </c>
      <c r="B521" s="92" t="s">
        <v>50</v>
      </c>
      <c r="C521" s="92" t="s">
        <v>14</v>
      </c>
      <c r="D521" s="92">
        <v>2014</v>
      </c>
      <c r="E521" s="81">
        <v>15</v>
      </c>
      <c r="F521" s="81">
        <v>11959.90409281111</v>
      </c>
      <c r="G521" s="81">
        <v>7830.248327469295</v>
      </c>
      <c r="H521" s="92">
        <v>88</v>
      </c>
      <c r="I521" s="81"/>
      <c r="J521" s="93">
        <v>4072.6915976757427</v>
      </c>
      <c r="K521" s="93">
        <v>4093.8214108187281</v>
      </c>
      <c r="L521" s="93">
        <v>4129.6557653418149</v>
      </c>
      <c r="M521" s="93">
        <v>4165.4901198649031</v>
      </c>
      <c r="N521" s="93">
        <v>4186.6199330078871</v>
      </c>
      <c r="O521" s="93">
        <v>6.7068000000000003</v>
      </c>
    </row>
    <row r="522" spans="1:15">
      <c r="A522" s="81" t="s">
        <v>45</v>
      </c>
      <c r="B522" s="92" t="s">
        <v>50</v>
      </c>
      <c r="C522" s="92" t="s">
        <v>14</v>
      </c>
      <c r="D522" s="92">
        <v>2014</v>
      </c>
      <c r="E522" s="81">
        <v>16</v>
      </c>
      <c r="F522" s="81">
        <v>11856.819913325025</v>
      </c>
      <c r="G522" s="81">
        <v>7762.7582608478888</v>
      </c>
      <c r="H522" s="92">
        <v>96</v>
      </c>
      <c r="I522" s="81"/>
      <c r="J522" s="93">
        <v>4038.1080194943856</v>
      </c>
      <c r="K522" s="93">
        <v>4058.8629933321013</v>
      </c>
      <c r="L522" s="93">
        <v>4094.0616524771367</v>
      </c>
      <c r="M522" s="93">
        <v>4129.2603116221717</v>
      </c>
      <c r="N522" s="93">
        <v>4150.0152854598864</v>
      </c>
      <c r="O522" s="93">
        <v>6.7068000000000003</v>
      </c>
    </row>
    <row r="523" spans="1:15">
      <c r="A523" s="81" t="s">
        <v>45</v>
      </c>
      <c r="B523" s="92" t="s">
        <v>50</v>
      </c>
      <c r="C523" s="92" t="s">
        <v>14</v>
      </c>
      <c r="D523" s="92">
        <v>2014</v>
      </c>
      <c r="E523" s="81">
        <v>17</v>
      </c>
      <c r="F523" s="81">
        <v>11651.059103990494</v>
      </c>
      <c r="G523" s="81">
        <v>7628.0449537304103</v>
      </c>
      <c r="H523" s="92">
        <v>89</v>
      </c>
      <c r="I523" s="81"/>
      <c r="J523" s="93">
        <v>3956.4901510410086</v>
      </c>
      <c r="K523" s="93">
        <v>3981.166008349463</v>
      </c>
      <c r="L523" s="93">
        <v>4023.0141502600832</v>
      </c>
      <c r="M523" s="93">
        <v>4064.8622921707115</v>
      </c>
      <c r="N523" s="93">
        <v>4089.5381494791659</v>
      </c>
      <c r="O523" s="93">
        <v>6.7068000000000003</v>
      </c>
    </row>
    <row r="524" spans="1:15">
      <c r="A524" s="81" t="s">
        <v>45</v>
      </c>
      <c r="B524" s="92" t="s">
        <v>50</v>
      </c>
      <c r="C524" s="92" t="s">
        <v>14</v>
      </c>
      <c r="D524" s="92">
        <v>2014</v>
      </c>
      <c r="E524" s="81">
        <v>18</v>
      </c>
      <c r="F524" s="81">
        <v>11372.796117083837</v>
      </c>
      <c r="G524" s="81">
        <v>7445.8638700934498</v>
      </c>
      <c r="H524" s="92">
        <v>88</v>
      </c>
      <c r="I524" s="81"/>
      <c r="J524" s="93">
        <v>3869.0361030635777</v>
      </c>
      <c r="K524" s="93">
        <v>3890.5116157059124</v>
      </c>
      <c r="L524" s="93">
        <v>3926.9322469903877</v>
      </c>
      <c r="M524" s="93">
        <v>3963.3528782748713</v>
      </c>
      <c r="N524" s="93">
        <v>3984.8283909172051</v>
      </c>
      <c r="O524" s="93">
        <v>6.7068000000000003</v>
      </c>
    </row>
    <row r="525" spans="1:15">
      <c r="A525" s="81" t="s">
        <v>45</v>
      </c>
      <c r="B525" s="92" t="s">
        <v>50</v>
      </c>
      <c r="C525" s="92" t="s">
        <v>14</v>
      </c>
      <c r="D525" s="92">
        <v>2014</v>
      </c>
      <c r="E525" s="81">
        <v>19</v>
      </c>
      <c r="F525" s="81">
        <v>11167.030943542237</v>
      </c>
      <c r="G525" s="81">
        <v>11167.030943542237</v>
      </c>
      <c r="H525" s="92">
        <v>95</v>
      </c>
      <c r="I525" s="81"/>
      <c r="J525" s="93">
        <v>0</v>
      </c>
      <c r="K525" s="93">
        <v>0</v>
      </c>
      <c r="L525" s="93">
        <v>0</v>
      </c>
      <c r="M525" s="93">
        <v>0</v>
      </c>
      <c r="N525" s="93">
        <v>0</v>
      </c>
      <c r="O525" s="93">
        <v>6.7068000000000003</v>
      </c>
    </row>
    <row r="526" spans="1:15">
      <c r="A526" s="81" t="s">
        <v>45</v>
      </c>
      <c r="B526" s="92" t="s">
        <v>50</v>
      </c>
      <c r="C526" s="92" t="s">
        <v>14</v>
      </c>
      <c r="D526" s="92">
        <v>2014</v>
      </c>
      <c r="E526" s="81">
        <v>20</v>
      </c>
      <c r="F526" s="81">
        <v>10953.926187243247</v>
      </c>
      <c r="G526" s="81">
        <v>10953.926187243247</v>
      </c>
      <c r="H526" s="92">
        <v>88</v>
      </c>
      <c r="I526" s="81"/>
      <c r="J526" s="93">
        <v>0</v>
      </c>
      <c r="K526" s="93">
        <v>0</v>
      </c>
      <c r="L526" s="93">
        <v>0</v>
      </c>
      <c r="M526" s="93">
        <v>0</v>
      </c>
      <c r="N526" s="93">
        <v>0</v>
      </c>
      <c r="O526" s="93">
        <v>6.7068000000000003</v>
      </c>
    </row>
    <row r="527" spans="1:15">
      <c r="A527" s="81" t="s">
        <v>45</v>
      </c>
      <c r="B527" s="92" t="s">
        <v>50</v>
      </c>
      <c r="C527" s="92" t="s">
        <v>14</v>
      </c>
      <c r="D527" s="92">
        <v>2014</v>
      </c>
      <c r="E527" s="81">
        <v>21</v>
      </c>
      <c r="F527" s="81">
        <v>10766.361539753085</v>
      </c>
      <c r="G527" s="81">
        <v>10766.361539753085</v>
      </c>
      <c r="H527" s="92">
        <v>87</v>
      </c>
      <c r="I527" s="81"/>
      <c r="J527" s="93">
        <v>0</v>
      </c>
      <c r="K527" s="93">
        <v>0</v>
      </c>
      <c r="L527" s="93">
        <v>0</v>
      </c>
      <c r="M527" s="93">
        <v>0</v>
      </c>
      <c r="N527" s="93">
        <v>0</v>
      </c>
      <c r="O527" s="93">
        <v>6.7068000000000003</v>
      </c>
    </row>
    <row r="528" spans="1:15">
      <c r="A528" s="81" t="s">
        <v>45</v>
      </c>
      <c r="B528" s="92" t="s">
        <v>50</v>
      </c>
      <c r="C528" s="92" t="s">
        <v>14</v>
      </c>
      <c r="D528" s="92">
        <v>2014</v>
      </c>
      <c r="E528" s="81">
        <v>22</v>
      </c>
      <c r="F528" s="81">
        <v>10506.230424599406</v>
      </c>
      <c r="G528" s="81">
        <v>10506.230424599406</v>
      </c>
      <c r="H528" s="92">
        <v>79</v>
      </c>
      <c r="I528" s="81"/>
      <c r="J528" s="93">
        <v>0</v>
      </c>
      <c r="K528" s="93">
        <v>0</v>
      </c>
      <c r="L528" s="93">
        <v>0</v>
      </c>
      <c r="M528" s="93">
        <v>0</v>
      </c>
      <c r="N528" s="93">
        <v>0</v>
      </c>
      <c r="O528" s="93">
        <v>6.7068000000000003</v>
      </c>
    </row>
    <row r="529" spans="1:15">
      <c r="A529" s="81" t="s">
        <v>45</v>
      </c>
      <c r="B529" s="92" t="s">
        <v>50</v>
      </c>
      <c r="C529" s="92" t="s">
        <v>14</v>
      </c>
      <c r="D529" s="92">
        <v>2014</v>
      </c>
      <c r="E529" s="81">
        <v>23</v>
      </c>
      <c r="F529" s="81">
        <v>10323.027520485875</v>
      </c>
      <c r="G529" s="81">
        <v>10323.027520485875</v>
      </c>
      <c r="H529" s="92">
        <v>89</v>
      </c>
      <c r="I529" s="81"/>
      <c r="J529" s="93">
        <v>0</v>
      </c>
      <c r="K529" s="93">
        <v>0</v>
      </c>
      <c r="L529" s="93">
        <v>0</v>
      </c>
      <c r="M529" s="93">
        <v>0</v>
      </c>
      <c r="N529" s="93">
        <v>0</v>
      </c>
      <c r="O529" s="93">
        <v>6.7068000000000003</v>
      </c>
    </row>
    <row r="530" spans="1:15">
      <c r="A530" s="81" t="s">
        <v>45</v>
      </c>
      <c r="B530" s="92" t="s">
        <v>50</v>
      </c>
      <c r="C530" s="92" t="s">
        <v>14</v>
      </c>
      <c r="D530" s="92">
        <v>2014</v>
      </c>
      <c r="E530" s="81">
        <v>24</v>
      </c>
      <c r="F530" s="81">
        <v>10211.357552964795</v>
      </c>
      <c r="G530" s="81">
        <v>10211.357552964795</v>
      </c>
      <c r="H530" s="92">
        <v>72</v>
      </c>
      <c r="I530" s="81"/>
      <c r="J530" s="93">
        <v>0</v>
      </c>
      <c r="K530" s="93">
        <v>0</v>
      </c>
      <c r="L530" s="93">
        <v>0</v>
      </c>
      <c r="M530" s="93">
        <v>0</v>
      </c>
      <c r="N530" s="93">
        <v>0</v>
      </c>
      <c r="O530" s="93">
        <v>6.7068000000000003</v>
      </c>
    </row>
    <row r="531" spans="1:15">
      <c r="A531" s="81" t="s">
        <v>45</v>
      </c>
      <c r="B531" s="92" t="s">
        <v>50</v>
      </c>
      <c r="C531" s="92" t="s">
        <v>15</v>
      </c>
      <c r="D531" s="92">
        <v>2014</v>
      </c>
      <c r="E531" s="81">
        <v>1</v>
      </c>
      <c r="F531" s="81">
        <v>10549.030268360661</v>
      </c>
      <c r="G531" s="81">
        <v>10549.030268360661</v>
      </c>
      <c r="H531" s="92">
        <v>75</v>
      </c>
      <c r="I531" s="81"/>
      <c r="J531" s="93">
        <v>0</v>
      </c>
      <c r="K531" s="93">
        <v>0</v>
      </c>
      <c r="L531" s="93">
        <v>0</v>
      </c>
      <c r="M531" s="93">
        <v>0</v>
      </c>
      <c r="N531" s="93">
        <v>0</v>
      </c>
      <c r="O531" s="93">
        <v>6.7068000000000003</v>
      </c>
    </row>
    <row r="532" spans="1:15">
      <c r="A532" s="81" t="s">
        <v>45</v>
      </c>
      <c r="B532" s="92" t="s">
        <v>50</v>
      </c>
      <c r="C532" s="92" t="s">
        <v>15</v>
      </c>
      <c r="D532" s="92">
        <v>2014</v>
      </c>
      <c r="E532" s="81">
        <v>2</v>
      </c>
      <c r="F532" s="81">
        <v>10477.318935742636</v>
      </c>
      <c r="G532" s="81">
        <v>10477.318935742636</v>
      </c>
      <c r="H532" s="92">
        <v>79</v>
      </c>
      <c r="I532" s="81"/>
      <c r="J532" s="93">
        <v>0</v>
      </c>
      <c r="K532" s="93">
        <v>0</v>
      </c>
      <c r="L532" s="93">
        <v>0</v>
      </c>
      <c r="M532" s="93">
        <v>0</v>
      </c>
      <c r="N532" s="93">
        <v>0</v>
      </c>
      <c r="O532" s="93">
        <v>6.7068000000000003</v>
      </c>
    </row>
    <row r="533" spans="1:15">
      <c r="A533" s="81" t="s">
        <v>45</v>
      </c>
      <c r="B533" s="92" t="s">
        <v>50</v>
      </c>
      <c r="C533" s="92" t="s">
        <v>15</v>
      </c>
      <c r="D533" s="92">
        <v>2014</v>
      </c>
      <c r="E533" s="81">
        <v>3</v>
      </c>
      <c r="F533" s="81">
        <v>10423.249169660197</v>
      </c>
      <c r="G533" s="81">
        <v>10423.249169660197</v>
      </c>
      <c r="H533" s="92">
        <v>71</v>
      </c>
      <c r="I533" s="81"/>
      <c r="J533" s="93">
        <v>0</v>
      </c>
      <c r="K533" s="93">
        <v>0</v>
      </c>
      <c r="L533" s="93">
        <v>0</v>
      </c>
      <c r="M533" s="93">
        <v>0</v>
      </c>
      <c r="N533" s="93">
        <v>0</v>
      </c>
      <c r="O533" s="93">
        <v>6.7068000000000003</v>
      </c>
    </row>
    <row r="534" spans="1:15">
      <c r="A534" s="81" t="s">
        <v>45</v>
      </c>
      <c r="B534" s="92" t="s">
        <v>50</v>
      </c>
      <c r="C534" s="92" t="s">
        <v>15</v>
      </c>
      <c r="D534" s="92">
        <v>2014</v>
      </c>
      <c r="E534" s="81">
        <v>4</v>
      </c>
      <c r="F534" s="81">
        <v>10447.042919752173</v>
      </c>
      <c r="G534" s="81">
        <v>10447.042919752173</v>
      </c>
      <c r="H534" s="92">
        <v>68</v>
      </c>
      <c r="I534" s="81"/>
      <c r="J534" s="93">
        <v>0</v>
      </c>
      <c r="K534" s="93">
        <v>0</v>
      </c>
      <c r="L534" s="93">
        <v>0</v>
      </c>
      <c r="M534" s="93">
        <v>0</v>
      </c>
      <c r="N534" s="93">
        <v>0</v>
      </c>
      <c r="O534" s="93">
        <v>6.7068000000000003</v>
      </c>
    </row>
    <row r="535" spans="1:15">
      <c r="A535" s="81" t="s">
        <v>45</v>
      </c>
      <c r="B535" s="92" t="s">
        <v>50</v>
      </c>
      <c r="C535" s="92" t="s">
        <v>15</v>
      </c>
      <c r="D535" s="92">
        <v>2014</v>
      </c>
      <c r="E535" s="81">
        <v>5</v>
      </c>
      <c r="F535" s="81">
        <v>10499.127864266442</v>
      </c>
      <c r="G535" s="81">
        <v>10499.127864266442</v>
      </c>
      <c r="H535" s="92">
        <v>72</v>
      </c>
      <c r="I535" s="81"/>
      <c r="J535" s="93">
        <v>0</v>
      </c>
      <c r="K535" s="93">
        <v>0</v>
      </c>
      <c r="L535" s="93">
        <v>0</v>
      </c>
      <c r="M535" s="93">
        <v>0</v>
      </c>
      <c r="N535" s="93">
        <v>0</v>
      </c>
      <c r="O535" s="93">
        <v>6.7068000000000003</v>
      </c>
    </row>
    <row r="536" spans="1:15">
      <c r="A536" s="81" t="s">
        <v>45</v>
      </c>
      <c r="B536" s="92" t="s">
        <v>50</v>
      </c>
      <c r="C536" s="92" t="s">
        <v>15</v>
      </c>
      <c r="D536" s="92">
        <v>2014</v>
      </c>
      <c r="E536" s="81">
        <v>6</v>
      </c>
      <c r="F536" s="81">
        <v>10563.416784194374</v>
      </c>
      <c r="G536" s="81">
        <v>10563.416784194374</v>
      </c>
      <c r="H536" s="92">
        <v>61</v>
      </c>
      <c r="I536" s="81"/>
      <c r="J536" s="93">
        <v>0</v>
      </c>
      <c r="K536" s="93">
        <v>0</v>
      </c>
      <c r="L536" s="93">
        <v>0</v>
      </c>
      <c r="M536" s="93">
        <v>0</v>
      </c>
      <c r="N536" s="93">
        <v>0</v>
      </c>
      <c r="O536" s="93">
        <v>6.7068000000000003</v>
      </c>
    </row>
    <row r="537" spans="1:15">
      <c r="A537" s="81" t="s">
        <v>45</v>
      </c>
      <c r="B537" s="92" t="s">
        <v>50</v>
      </c>
      <c r="C537" s="92" t="s">
        <v>15</v>
      </c>
      <c r="D537" s="92">
        <v>2014</v>
      </c>
      <c r="E537" s="81">
        <v>7</v>
      </c>
      <c r="F537" s="81">
        <v>10663.506928858</v>
      </c>
      <c r="G537" s="81">
        <v>10663.506928858</v>
      </c>
      <c r="H537" s="92">
        <v>69</v>
      </c>
      <c r="I537" s="81"/>
      <c r="J537" s="93">
        <v>0</v>
      </c>
      <c r="K537" s="93">
        <v>0</v>
      </c>
      <c r="L537" s="93">
        <v>0</v>
      </c>
      <c r="M537" s="93">
        <v>0</v>
      </c>
      <c r="N537" s="93">
        <v>0</v>
      </c>
      <c r="O537" s="93">
        <v>6.7068000000000003</v>
      </c>
    </row>
    <row r="538" spans="1:15">
      <c r="A538" s="81" t="s">
        <v>45</v>
      </c>
      <c r="B538" s="92" t="s">
        <v>50</v>
      </c>
      <c r="C538" s="92" t="s">
        <v>15</v>
      </c>
      <c r="D538" s="92">
        <v>2014</v>
      </c>
      <c r="E538" s="81">
        <v>8</v>
      </c>
      <c r="F538" s="81">
        <v>10886.982372511615</v>
      </c>
      <c r="G538" s="81">
        <v>10886.982372511615</v>
      </c>
      <c r="H538" s="92">
        <v>71</v>
      </c>
      <c r="I538" s="81"/>
      <c r="J538" s="93">
        <v>0</v>
      </c>
      <c r="K538" s="93">
        <v>0</v>
      </c>
      <c r="L538" s="93">
        <v>0</v>
      </c>
      <c r="M538" s="93">
        <v>0</v>
      </c>
      <c r="N538" s="93">
        <v>0</v>
      </c>
      <c r="O538" s="93">
        <v>6.7068000000000003</v>
      </c>
    </row>
    <row r="539" spans="1:15">
      <c r="A539" s="81" t="s">
        <v>45</v>
      </c>
      <c r="B539" s="92" t="s">
        <v>50</v>
      </c>
      <c r="C539" s="92" t="s">
        <v>15</v>
      </c>
      <c r="D539" s="92">
        <v>2014</v>
      </c>
      <c r="E539" s="81">
        <v>9</v>
      </c>
      <c r="F539" s="81">
        <v>12064.007642914643</v>
      </c>
      <c r="G539" s="81">
        <v>12064.007642914643</v>
      </c>
      <c r="H539" s="92">
        <v>65</v>
      </c>
      <c r="I539" s="81"/>
      <c r="J539" s="93">
        <v>0</v>
      </c>
      <c r="K539" s="93">
        <v>0</v>
      </c>
      <c r="L539" s="93">
        <v>0</v>
      </c>
      <c r="M539" s="93">
        <v>0</v>
      </c>
      <c r="N539" s="93">
        <v>0</v>
      </c>
      <c r="O539" s="93">
        <v>6.7068000000000003</v>
      </c>
    </row>
    <row r="540" spans="1:15">
      <c r="A540" s="81" t="s">
        <v>45</v>
      </c>
      <c r="B540" s="92" t="s">
        <v>50</v>
      </c>
      <c r="C540" s="92" t="s">
        <v>15</v>
      </c>
      <c r="D540" s="92">
        <v>2014</v>
      </c>
      <c r="E540" s="81">
        <v>10</v>
      </c>
      <c r="F540" s="81">
        <v>12467.019984386832</v>
      </c>
      <c r="G540" s="81">
        <v>12467.019984386832</v>
      </c>
      <c r="H540" s="92">
        <v>71</v>
      </c>
      <c r="I540" s="81"/>
      <c r="J540" s="93">
        <v>0</v>
      </c>
      <c r="K540" s="93">
        <v>0</v>
      </c>
      <c r="L540" s="93">
        <v>0</v>
      </c>
      <c r="M540" s="93">
        <v>0</v>
      </c>
      <c r="N540" s="93">
        <v>0</v>
      </c>
      <c r="O540" s="93">
        <v>6.7068000000000003</v>
      </c>
    </row>
    <row r="541" spans="1:15">
      <c r="A541" s="81" t="s">
        <v>45</v>
      </c>
      <c r="B541" s="92" t="s">
        <v>50</v>
      </c>
      <c r="C541" s="92" t="s">
        <v>15</v>
      </c>
      <c r="D541" s="92">
        <v>2014</v>
      </c>
      <c r="E541" s="81">
        <v>11</v>
      </c>
      <c r="F541" s="81">
        <v>12880.448079782442</v>
      </c>
      <c r="G541" s="81">
        <v>7817.0176201171162</v>
      </c>
      <c r="H541" s="92">
        <v>55</v>
      </c>
      <c r="I541" s="81"/>
      <c r="J541" s="93">
        <v>4962.2482919053991</v>
      </c>
      <c r="K541" s="93">
        <v>4999.7799611242381</v>
      </c>
      <c r="L541" s="93">
        <v>5063.4304596653255</v>
      </c>
      <c r="M541" s="93">
        <v>5127.0809582064139</v>
      </c>
      <c r="N541" s="93">
        <v>5164.6126274252438</v>
      </c>
      <c r="O541" s="93">
        <v>6.7068000000000003</v>
      </c>
    </row>
    <row r="542" spans="1:15">
      <c r="A542" s="81" t="s">
        <v>45</v>
      </c>
      <c r="B542" s="92" t="s">
        <v>50</v>
      </c>
      <c r="C542" s="92" t="s">
        <v>15</v>
      </c>
      <c r="D542" s="92">
        <v>2014</v>
      </c>
      <c r="E542" s="81">
        <v>12</v>
      </c>
      <c r="F542" s="81">
        <v>13185.851772823336</v>
      </c>
      <c r="G542" s="81">
        <v>8002.3641263071277</v>
      </c>
      <c r="H542" s="92">
        <v>73</v>
      </c>
      <c r="I542" s="81"/>
      <c r="J542" s="93">
        <v>5087.7707053408658</v>
      </c>
      <c r="K542" s="93">
        <v>5123.275149002865</v>
      </c>
      <c r="L542" s="93">
        <v>5183.4876465162088</v>
      </c>
      <c r="M542" s="93">
        <v>5243.7001440295435</v>
      </c>
      <c r="N542" s="93">
        <v>5279.2045876915499</v>
      </c>
      <c r="O542" s="93">
        <v>6.7068000000000003</v>
      </c>
    </row>
    <row r="543" spans="1:15">
      <c r="A543" s="81" t="s">
        <v>45</v>
      </c>
      <c r="B543" s="92" t="s">
        <v>50</v>
      </c>
      <c r="C543" s="92" t="s">
        <v>15</v>
      </c>
      <c r="D543" s="92">
        <v>2014</v>
      </c>
      <c r="E543" s="81">
        <v>13</v>
      </c>
      <c r="F543" s="81">
        <v>13229.700107747025</v>
      </c>
      <c r="G543" s="81">
        <v>8028.9752507484645</v>
      </c>
      <c r="H543" s="92">
        <v>58</v>
      </c>
      <c r="I543" s="81"/>
      <c r="J543" s="93">
        <v>5107.3064469092233</v>
      </c>
      <c r="K543" s="93">
        <v>5141.9582926251769</v>
      </c>
      <c r="L543" s="93">
        <v>5200.7248569985604</v>
      </c>
      <c r="M543" s="93">
        <v>5259.4914213719439</v>
      </c>
      <c r="N543" s="93">
        <v>5294.1432670878903</v>
      </c>
      <c r="O543" s="93">
        <v>6.7068000000000003</v>
      </c>
    </row>
    <row r="544" spans="1:15">
      <c r="A544" s="81" t="s">
        <v>45</v>
      </c>
      <c r="B544" s="92" t="s">
        <v>50</v>
      </c>
      <c r="C544" s="92" t="s">
        <v>15</v>
      </c>
      <c r="D544" s="92">
        <v>2014</v>
      </c>
      <c r="E544" s="81">
        <v>14</v>
      </c>
      <c r="F544" s="81">
        <v>13209.203560638027</v>
      </c>
      <c r="G544" s="81">
        <v>8016.53609731916</v>
      </c>
      <c r="H544" s="92">
        <v>70</v>
      </c>
      <c r="I544" s="81"/>
      <c r="J544" s="93">
        <v>5106.6825809946104</v>
      </c>
      <c r="K544" s="93">
        <v>5138.5770959339525</v>
      </c>
      <c r="L544" s="93">
        <v>5192.6674633188668</v>
      </c>
      <c r="M544" s="93">
        <v>5246.7578307037684</v>
      </c>
      <c r="N544" s="93">
        <v>5278.6523456431123</v>
      </c>
      <c r="O544" s="93">
        <v>6.7068000000000003</v>
      </c>
    </row>
    <row r="545" spans="1:15">
      <c r="A545" s="81" t="s">
        <v>45</v>
      </c>
      <c r="B545" s="92" t="s">
        <v>50</v>
      </c>
      <c r="C545" s="92" t="s">
        <v>15</v>
      </c>
      <c r="D545" s="92">
        <v>2014</v>
      </c>
      <c r="E545" s="81">
        <v>15</v>
      </c>
      <c r="F545" s="81">
        <v>12932.923449505928</v>
      </c>
      <c r="G545" s="81">
        <v>7848.8644073724845</v>
      </c>
      <c r="H545" s="92">
        <v>84</v>
      </c>
      <c r="I545" s="81"/>
      <c r="J545" s="93">
        <v>4995.2154851173837</v>
      </c>
      <c r="K545" s="93">
        <v>5028.1703729990413</v>
      </c>
      <c r="L545" s="93">
        <v>5084.0590421334437</v>
      </c>
      <c r="M545" s="93">
        <v>5139.9477112678469</v>
      </c>
      <c r="N545" s="93">
        <v>5172.9025991495046</v>
      </c>
      <c r="O545" s="93">
        <v>6.7068000000000003</v>
      </c>
    </row>
    <row r="546" spans="1:15">
      <c r="A546" s="81" t="s">
        <v>45</v>
      </c>
      <c r="B546" s="92" t="s">
        <v>50</v>
      </c>
      <c r="C546" s="92" t="s">
        <v>15</v>
      </c>
      <c r="D546" s="92">
        <v>2014</v>
      </c>
      <c r="E546" s="81">
        <v>16</v>
      </c>
      <c r="F546" s="81">
        <v>12788.234343599343</v>
      </c>
      <c r="G546" s="81">
        <v>7761.0540079744951</v>
      </c>
      <c r="H546" s="92">
        <v>89</v>
      </c>
      <c r="I546" s="81"/>
      <c r="J546" s="93">
        <v>4939.9128482580636</v>
      </c>
      <c r="K546" s="93">
        <v>4972.2831220120361</v>
      </c>
      <c r="L546" s="93">
        <v>5027.1803356248474</v>
      </c>
      <c r="M546" s="93">
        <v>5082.077549237667</v>
      </c>
      <c r="N546" s="93">
        <v>5114.4478229916322</v>
      </c>
      <c r="O546" s="93">
        <v>6.7068000000000003</v>
      </c>
    </row>
    <row r="547" spans="1:15">
      <c r="A547" s="81" t="s">
        <v>45</v>
      </c>
      <c r="B547" s="92" t="s">
        <v>50</v>
      </c>
      <c r="C547" s="92" t="s">
        <v>15</v>
      </c>
      <c r="D547" s="92">
        <v>2014</v>
      </c>
      <c r="E547" s="81">
        <v>17</v>
      </c>
      <c r="F547" s="81">
        <v>12623.776166429558</v>
      </c>
      <c r="G547" s="81">
        <v>7661.2459531036066</v>
      </c>
      <c r="H547" s="92">
        <v>91</v>
      </c>
      <c r="I547" s="81"/>
      <c r="J547" s="93">
        <v>4858.7767669102559</v>
      </c>
      <c r="K547" s="93">
        <v>4897.2622047833356</v>
      </c>
      <c r="L547" s="93">
        <v>4962.5302133259511</v>
      </c>
      <c r="M547" s="93">
        <v>5027.7982218685756</v>
      </c>
      <c r="N547" s="93">
        <v>5066.2836597416554</v>
      </c>
      <c r="O547" s="93">
        <v>6.7068000000000003</v>
      </c>
    </row>
    <row r="548" spans="1:15">
      <c r="A548" s="81" t="s">
        <v>45</v>
      </c>
      <c r="B548" s="92" t="s">
        <v>50</v>
      </c>
      <c r="C548" s="92" t="s">
        <v>15</v>
      </c>
      <c r="D548" s="92">
        <v>2014</v>
      </c>
      <c r="E548" s="81">
        <v>18</v>
      </c>
      <c r="F548" s="81">
        <v>12349.9957765299</v>
      </c>
      <c r="G548" s="81">
        <v>7495.0913194579498</v>
      </c>
      <c r="H548" s="92">
        <v>78</v>
      </c>
      <c r="I548" s="81"/>
      <c r="J548" s="93">
        <v>4764.607353213175</v>
      </c>
      <c r="K548" s="93">
        <v>4798.1014076347756</v>
      </c>
      <c r="L548" s="93">
        <v>4854.9044570719507</v>
      </c>
      <c r="M548" s="93">
        <v>4911.7075065091258</v>
      </c>
      <c r="N548" s="93">
        <v>4945.2015609307264</v>
      </c>
      <c r="O548" s="93">
        <v>6.7068000000000003</v>
      </c>
    </row>
    <row r="549" spans="1:15">
      <c r="A549" s="81" t="s">
        <v>45</v>
      </c>
      <c r="B549" s="92" t="s">
        <v>50</v>
      </c>
      <c r="C549" s="92" t="s">
        <v>15</v>
      </c>
      <c r="D549" s="92">
        <v>2014</v>
      </c>
      <c r="E549" s="81">
        <v>19</v>
      </c>
      <c r="F549" s="81">
        <v>12072.162031653539</v>
      </c>
      <c r="G549" s="81">
        <v>12072.162031653539</v>
      </c>
      <c r="H549" s="92">
        <v>95</v>
      </c>
      <c r="I549" s="81"/>
      <c r="J549" s="93">
        <v>0</v>
      </c>
      <c r="K549" s="93">
        <v>0</v>
      </c>
      <c r="L549" s="93">
        <v>0</v>
      </c>
      <c r="M549" s="93">
        <v>0</v>
      </c>
      <c r="N549" s="93">
        <v>0</v>
      </c>
      <c r="O549" s="93">
        <v>6.7068000000000003</v>
      </c>
    </row>
    <row r="550" spans="1:15">
      <c r="A550" s="81" t="s">
        <v>45</v>
      </c>
      <c r="B550" s="92" t="s">
        <v>50</v>
      </c>
      <c r="C550" s="92" t="s">
        <v>15</v>
      </c>
      <c r="D550" s="92">
        <v>2014</v>
      </c>
      <c r="E550" s="81">
        <v>20</v>
      </c>
      <c r="F550" s="81">
        <v>11637.688664953146</v>
      </c>
      <c r="G550" s="81">
        <v>11637.688664953146</v>
      </c>
      <c r="H550" s="92">
        <v>77</v>
      </c>
      <c r="I550" s="81"/>
      <c r="J550" s="93">
        <v>0</v>
      </c>
      <c r="K550" s="93">
        <v>0</v>
      </c>
      <c r="L550" s="93">
        <v>0</v>
      </c>
      <c r="M550" s="93">
        <v>0</v>
      </c>
      <c r="N550" s="93">
        <v>0</v>
      </c>
      <c r="O550" s="93">
        <v>6.7068000000000003</v>
      </c>
    </row>
    <row r="551" spans="1:15">
      <c r="A551" s="81" t="s">
        <v>45</v>
      </c>
      <c r="B551" s="92" t="s">
        <v>50</v>
      </c>
      <c r="C551" s="92" t="s">
        <v>15</v>
      </c>
      <c r="D551" s="92">
        <v>2014</v>
      </c>
      <c r="E551" s="81">
        <v>21</v>
      </c>
      <c r="F551" s="81">
        <v>11383.865198901778</v>
      </c>
      <c r="G551" s="81">
        <v>11383.865198901778</v>
      </c>
      <c r="H551" s="92">
        <v>82</v>
      </c>
      <c r="I551" s="81"/>
      <c r="J551" s="93">
        <v>0</v>
      </c>
      <c r="K551" s="93">
        <v>0</v>
      </c>
      <c r="L551" s="93">
        <v>0</v>
      </c>
      <c r="M551" s="93">
        <v>0</v>
      </c>
      <c r="N551" s="93">
        <v>0</v>
      </c>
      <c r="O551" s="93">
        <v>6.7068000000000003</v>
      </c>
    </row>
    <row r="552" spans="1:15">
      <c r="A552" s="81" t="s">
        <v>45</v>
      </c>
      <c r="B552" s="92" t="s">
        <v>50</v>
      </c>
      <c r="C552" s="92" t="s">
        <v>15</v>
      </c>
      <c r="D552" s="92">
        <v>2014</v>
      </c>
      <c r="E552" s="81">
        <v>22</v>
      </c>
      <c r="F552" s="81">
        <v>11097.254784686078</v>
      </c>
      <c r="G552" s="81">
        <v>11097.254784686078</v>
      </c>
      <c r="H552" s="92">
        <v>77</v>
      </c>
      <c r="I552" s="81"/>
      <c r="J552" s="93">
        <v>0</v>
      </c>
      <c r="K552" s="93">
        <v>0</v>
      </c>
      <c r="L552" s="93">
        <v>0</v>
      </c>
      <c r="M552" s="93">
        <v>0</v>
      </c>
      <c r="N552" s="93">
        <v>0</v>
      </c>
      <c r="O552" s="93">
        <v>6.7068000000000003</v>
      </c>
    </row>
    <row r="553" spans="1:15">
      <c r="A553" s="81" t="s">
        <v>45</v>
      </c>
      <c r="B553" s="92" t="s">
        <v>50</v>
      </c>
      <c r="C553" s="92" t="s">
        <v>15</v>
      </c>
      <c r="D553" s="92">
        <v>2014</v>
      </c>
      <c r="E553" s="81">
        <v>23</v>
      </c>
      <c r="F553" s="81">
        <v>10893.129268844537</v>
      </c>
      <c r="G553" s="81">
        <v>10893.129268844537</v>
      </c>
      <c r="H553" s="92">
        <v>73</v>
      </c>
      <c r="I553" s="81"/>
      <c r="J553" s="93">
        <v>0</v>
      </c>
      <c r="K553" s="93">
        <v>0</v>
      </c>
      <c r="L553" s="93">
        <v>0</v>
      </c>
      <c r="M553" s="93">
        <v>0</v>
      </c>
      <c r="N553" s="93">
        <v>0</v>
      </c>
      <c r="O553" s="93">
        <v>6.7068000000000003</v>
      </c>
    </row>
    <row r="554" spans="1:15">
      <c r="A554" s="81" t="s">
        <v>45</v>
      </c>
      <c r="B554" s="92" t="s">
        <v>50</v>
      </c>
      <c r="C554" s="92" t="s">
        <v>15</v>
      </c>
      <c r="D554" s="92">
        <v>2014</v>
      </c>
      <c r="E554" s="81">
        <v>24</v>
      </c>
      <c r="F554" s="81">
        <v>10736.548224978675</v>
      </c>
      <c r="G554" s="81">
        <v>10736.548224978675</v>
      </c>
      <c r="H554" s="92">
        <v>76</v>
      </c>
      <c r="I554" s="81"/>
      <c r="J554" s="93">
        <v>0</v>
      </c>
      <c r="K554" s="93">
        <v>0</v>
      </c>
      <c r="L554" s="93">
        <v>0</v>
      </c>
      <c r="M554" s="93">
        <v>0</v>
      </c>
      <c r="N554" s="93">
        <v>0</v>
      </c>
      <c r="O554" s="93">
        <v>6.7068000000000003</v>
      </c>
    </row>
    <row r="555" spans="1:15">
      <c r="A555" s="81" t="s">
        <v>45</v>
      </c>
      <c r="B555" s="92" t="s">
        <v>50</v>
      </c>
      <c r="C555" s="92" t="s">
        <v>16</v>
      </c>
      <c r="D555" s="92">
        <v>2014</v>
      </c>
      <c r="E555" s="81">
        <v>1</v>
      </c>
      <c r="F555" s="81">
        <v>10797.042959270646</v>
      </c>
      <c r="G555" s="81">
        <v>10797.042959270646</v>
      </c>
      <c r="H555" s="92">
        <v>78</v>
      </c>
      <c r="I555" s="81"/>
      <c r="J555" s="93">
        <v>0</v>
      </c>
      <c r="K555" s="93">
        <v>0</v>
      </c>
      <c r="L555" s="93">
        <v>0</v>
      </c>
      <c r="M555" s="93">
        <v>0</v>
      </c>
      <c r="N555" s="93">
        <v>0</v>
      </c>
      <c r="O555" s="93">
        <v>6.7068000000000003</v>
      </c>
    </row>
    <row r="556" spans="1:15">
      <c r="A556" s="81" t="s">
        <v>45</v>
      </c>
      <c r="B556" s="92" t="s">
        <v>50</v>
      </c>
      <c r="C556" s="92" t="s">
        <v>16</v>
      </c>
      <c r="D556" s="92">
        <v>2014</v>
      </c>
      <c r="E556" s="81">
        <v>2</v>
      </c>
      <c r="F556" s="81">
        <v>10719.409330780167</v>
      </c>
      <c r="G556" s="81">
        <v>10719.409330780167</v>
      </c>
      <c r="H556" s="92">
        <v>77</v>
      </c>
      <c r="I556" s="81"/>
      <c r="J556" s="93">
        <v>0</v>
      </c>
      <c r="K556" s="93">
        <v>0</v>
      </c>
      <c r="L556" s="93">
        <v>0</v>
      </c>
      <c r="M556" s="93">
        <v>0</v>
      </c>
      <c r="N556" s="93">
        <v>0</v>
      </c>
      <c r="O556" s="93">
        <v>6.7068000000000003</v>
      </c>
    </row>
    <row r="557" spans="1:15">
      <c r="A557" s="81" t="s">
        <v>45</v>
      </c>
      <c r="B557" s="92" t="s">
        <v>50</v>
      </c>
      <c r="C557" s="92" t="s">
        <v>16</v>
      </c>
      <c r="D557" s="92">
        <v>2014</v>
      </c>
      <c r="E557" s="81">
        <v>3</v>
      </c>
      <c r="F557" s="81">
        <v>10659.812775697845</v>
      </c>
      <c r="G557" s="81">
        <v>10659.812775697845</v>
      </c>
      <c r="H557" s="92">
        <v>64</v>
      </c>
      <c r="I557" s="81"/>
      <c r="J557" s="93">
        <v>0</v>
      </c>
      <c r="K557" s="93">
        <v>0</v>
      </c>
      <c r="L557" s="93">
        <v>0</v>
      </c>
      <c r="M557" s="93">
        <v>0</v>
      </c>
      <c r="N557" s="93">
        <v>0</v>
      </c>
      <c r="O557" s="93">
        <v>6.7068000000000003</v>
      </c>
    </row>
    <row r="558" spans="1:15">
      <c r="A558" s="81" t="s">
        <v>45</v>
      </c>
      <c r="B558" s="92" t="s">
        <v>50</v>
      </c>
      <c r="C558" s="92" t="s">
        <v>16</v>
      </c>
      <c r="D558" s="92">
        <v>2014</v>
      </c>
      <c r="E558" s="81">
        <v>4</v>
      </c>
      <c r="F558" s="81">
        <v>10644.781074375351</v>
      </c>
      <c r="G558" s="81">
        <v>10644.781074375351</v>
      </c>
      <c r="H558" s="92">
        <v>75</v>
      </c>
      <c r="I558" s="81"/>
      <c r="J558" s="93">
        <v>0</v>
      </c>
      <c r="K558" s="93">
        <v>0</v>
      </c>
      <c r="L558" s="93">
        <v>0</v>
      </c>
      <c r="M558" s="93">
        <v>0</v>
      </c>
      <c r="N558" s="93">
        <v>0</v>
      </c>
      <c r="O558" s="93">
        <v>6.7068000000000003</v>
      </c>
    </row>
    <row r="559" spans="1:15">
      <c r="A559" s="81" t="s">
        <v>45</v>
      </c>
      <c r="B559" s="92" t="s">
        <v>50</v>
      </c>
      <c r="C559" s="92" t="s">
        <v>16</v>
      </c>
      <c r="D559" s="92">
        <v>2014</v>
      </c>
      <c r="E559" s="81">
        <v>5</v>
      </c>
      <c r="F559" s="81">
        <v>10667.94852608468</v>
      </c>
      <c r="G559" s="81">
        <v>10667.94852608468</v>
      </c>
      <c r="H559" s="92">
        <v>72</v>
      </c>
      <c r="I559" s="81"/>
      <c r="J559" s="93">
        <v>0</v>
      </c>
      <c r="K559" s="93">
        <v>0</v>
      </c>
      <c r="L559" s="93">
        <v>0</v>
      </c>
      <c r="M559" s="93">
        <v>0</v>
      </c>
      <c r="N559" s="93">
        <v>0</v>
      </c>
      <c r="O559" s="93">
        <v>6.7068000000000003</v>
      </c>
    </row>
    <row r="560" spans="1:15">
      <c r="A560" s="81" t="s">
        <v>45</v>
      </c>
      <c r="B560" s="92" t="s">
        <v>50</v>
      </c>
      <c r="C560" s="92" t="s">
        <v>16</v>
      </c>
      <c r="D560" s="92">
        <v>2014</v>
      </c>
      <c r="E560" s="81">
        <v>6</v>
      </c>
      <c r="F560" s="81">
        <v>10743.013645800913</v>
      </c>
      <c r="G560" s="81">
        <v>10743.013645800913</v>
      </c>
      <c r="H560" s="92">
        <v>77</v>
      </c>
      <c r="I560" s="81"/>
      <c r="J560" s="93">
        <v>0</v>
      </c>
      <c r="K560" s="93">
        <v>0</v>
      </c>
      <c r="L560" s="93">
        <v>0</v>
      </c>
      <c r="M560" s="93">
        <v>0</v>
      </c>
      <c r="N560" s="93">
        <v>0</v>
      </c>
      <c r="O560" s="93">
        <v>6.7068000000000003</v>
      </c>
    </row>
    <row r="561" spans="1:15">
      <c r="A561" s="81" t="s">
        <v>45</v>
      </c>
      <c r="B561" s="92" t="s">
        <v>50</v>
      </c>
      <c r="C561" s="92" t="s">
        <v>16</v>
      </c>
      <c r="D561" s="92">
        <v>2014</v>
      </c>
      <c r="E561" s="81">
        <v>7</v>
      </c>
      <c r="F561" s="81">
        <v>10840.354030618812</v>
      </c>
      <c r="G561" s="81">
        <v>10840.354030618812</v>
      </c>
      <c r="H561" s="92">
        <v>55</v>
      </c>
      <c r="I561" s="81"/>
      <c r="J561" s="93">
        <v>0</v>
      </c>
      <c r="K561" s="93">
        <v>0</v>
      </c>
      <c r="L561" s="93">
        <v>0</v>
      </c>
      <c r="M561" s="93">
        <v>0</v>
      </c>
      <c r="N561" s="93">
        <v>0</v>
      </c>
      <c r="O561" s="93">
        <v>6.7068000000000003</v>
      </c>
    </row>
    <row r="562" spans="1:15">
      <c r="A562" s="81" t="s">
        <v>45</v>
      </c>
      <c r="B562" s="92" t="s">
        <v>50</v>
      </c>
      <c r="C562" s="92" t="s">
        <v>16</v>
      </c>
      <c r="D562" s="92">
        <v>2014</v>
      </c>
      <c r="E562" s="81">
        <v>8</v>
      </c>
      <c r="F562" s="81">
        <v>11058.622186825225</v>
      </c>
      <c r="G562" s="81">
        <v>11058.622186825225</v>
      </c>
      <c r="H562" s="92">
        <v>75</v>
      </c>
      <c r="I562" s="81"/>
      <c r="J562" s="93">
        <v>0</v>
      </c>
      <c r="K562" s="93">
        <v>0</v>
      </c>
      <c r="L562" s="93">
        <v>0</v>
      </c>
      <c r="M562" s="93">
        <v>0</v>
      </c>
      <c r="N562" s="93">
        <v>0</v>
      </c>
      <c r="O562" s="93">
        <v>6.7068000000000003</v>
      </c>
    </row>
    <row r="563" spans="1:15">
      <c r="A563" s="81" t="s">
        <v>45</v>
      </c>
      <c r="B563" s="92" t="s">
        <v>50</v>
      </c>
      <c r="C563" s="92" t="s">
        <v>16</v>
      </c>
      <c r="D563" s="92">
        <v>2014</v>
      </c>
      <c r="E563" s="81">
        <v>9</v>
      </c>
      <c r="F563" s="81">
        <v>12092.454874349707</v>
      </c>
      <c r="G563" s="81">
        <v>12092.454874349707</v>
      </c>
      <c r="H563" s="92">
        <v>68</v>
      </c>
      <c r="I563" s="81"/>
      <c r="J563" s="93">
        <v>0</v>
      </c>
      <c r="K563" s="93">
        <v>0</v>
      </c>
      <c r="L563" s="93">
        <v>0</v>
      </c>
      <c r="M563" s="93">
        <v>0</v>
      </c>
      <c r="N563" s="93">
        <v>0</v>
      </c>
      <c r="O563" s="93">
        <v>6.7068000000000003</v>
      </c>
    </row>
    <row r="564" spans="1:15">
      <c r="A564" s="81" t="s">
        <v>45</v>
      </c>
      <c r="B564" s="92" t="s">
        <v>50</v>
      </c>
      <c r="C564" s="92" t="s">
        <v>16</v>
      </c>
      <c r="D564" s="92">
        <v>2014</v>
      </c>
      <c r="E564" s="81">
        <v>10</v>
      </c>
      <c r="F564" s="81">
        <v>12474.422859741861</v>
      </c>
      <c r="G564" s="81">
        <v>12474.422859741861</v>
      </c>
      <c r="H564" s="92">
        <v>74</v>
      </c>
      <c r="I564" s="81"/>
      <c r="J564" s="93">
        <v>0</v>
      </c>
      <c r="K564" s="93">
        <v>0</v>
      </c>
      <c r="L564" s="93">
        <v>0</v>
      </c>
      <c r="M564" s="93">
        <v>0</v>
      </c>
      <c r="N564" s="93">
        <v>0</v>
      </c>
      <c r="O564" s="93">
        <v>6.7068000000000003</v>
      </c>
    </row>
    <row r="565" spans="1:15">
      <c r="A565" s="81" t="s">
        <v>45</v>
      </c>
      <c r="B565" s="92" t="s">
        <v>50</v>
      </c>
      <c r="C565" s="92" t="s">
        <v>16</v>
      </c>
      <c r="D565" s="92">
        <v>2014</v>
      </c>
      <c r="E565" s="81">
        <v>11</v>
      </c>
      <c r="F565" s="81">
        <v>12911.32923042493</v>
      </c>
      <c r="G565" s="81">
        <v>7803.7306733284813</v>
      </c>
      <c r="H565" s="92">
        <v>59</v>
      </c>
      <c r="I565" s="81"/>
      <c r="J565" s="93">
        <v>5012.655934871631</v>
      </c>
      <c r="K565" s="93">
        <v>5047.8731591217138</v>
      </c>
      <c r="L565" s="93">
        <v>5107.5985570964485</v>
      </c>
      <c r="M565" s="93">
        <v>5167.3239550711833</v>
      </c>
      <c r="N565" s="93">
        <v>5202.5411793212661</v>
      </c>
      <c r="O565" s="93">
        <v>6.7068000000000003</v>
      </c>
    </row>
    <row r="566" spans="1:15">
      <c r="A566" s="81" t="s">
        <v>45</v>
      </c>
      <c r="B566" s="92" t="s">
        <v>50</v>
      </c>
      <c r="C566" s="92" t="s">
        <v>16</v>
      </c>
      <c r="D566" s="92">
        <v>2014</v>
      </c>
      <c r="E566" s="81">
        <v>12</v>
      </c>
      <c r="F566" s="81">
        <v>13296.785268277279</v>
      </c>
      <c r="G566" s="81">
        <v>8036.703983212009</v>
      </c>
      <c r="H566" s="92">
        <v>53</v>
      </c>
      <c r="I566" s="81"/>
      <c r="J566" s="93">
        <v>5170.2668682790345</v>
      </c>
      <c r="K566" s="93">
        <v>5203.5818787846592</v>
      </c>
      <c r="L566" s="93">
        <v>5260.0812850652701</v>
      </c>
      <c r="M566" s="93">
        <v>5316.580691345891</v>
      </c>
      <c r="N566" s="93">
        <v>5349.8957018515157</v>
      </c>
      <c r="O566" s="93">
        <v>6.7068000000000003</v>
      </c>
    </row>
    <row r="567" spans="1:15">
      <c r="A567" s="81" t="s">
        <v>45</v>
      </c>
      <c r="B567" s="92" t="s">
        <v>50</v>
      </c>
      <c r="C567" s="92" t="s">
        <v>16</v>
      </c>
      <c r="D567" s="92">
        <v>2014</v>
      </c>
      <c r="E567" s="81">
        <v>13</v>
      </c>
      <c r="F567" s="81">
        <v>13324.901823264798</v>
      </c>
      <c r="G567" s="81">
        <v>8053.6978975231232</v>
      </c>
      <c r="H567" s="92">
        <v>65</v>
      </c>
      <c r="I567" s="81"/>
      <c r="J567" s="93">
        <v>5183.5462977790212</v>
      </c>
      <c r="K567" s="93">
        <v>5216.0612870309606</v>
      </c>
      <c r="L567" s="93">
        <v>5271.2039257416745</v>
      </c>
      <c r="M567" s="93">
        <v>5326.3465644523976</v>
      </c>
      <c r="N567" s="93">
        <v>5358.8615537043397</v>
      </c>
      <c r="O567" s="93">
        <v>6.7068000000000003</v>
      </c>
    </row>
    <row r="568" spans="1:15">
      <c r="A568" s="81" t="s">
        <v>45</v>
      </c>
      <c r="B568" s="92" t="s">
        <v>50</v>
      </c>
      <c r="C568" s="92" t="s">
        <v>16</v>
      </c>
      <c r="D568" s="92">
        <v>2014</v>
      </c>
      <c r="E568" s="81">
        <v>14</v>
      </c>
      <c r="F568" s="81">
        <v>13334.855583053568</v>
      </c>
      <c r="G568" s="81">
        <v>8059.7140449849612</v>
      </c>
      <c r="H568" s="92">
        <v>68</v>
      </c>
      <c r="I568" s="81"/>
      <c r="J568" s="93">
        <v>5194.4590385700203</v>
      </c>
      <c r="K568" s="93">
        <v>5224.3867318579796</v>
      </c>
      <c r="L568" s="93">
        <v>5275.1415380686067</v>
      </c>
      <c r="M568" s="93">
        <v>5325.8963442792437</v>
      </c>
      <c r="N568" s="93">
        <v>5355.824037567203</v>
      </c>
      <c r="O568" s="93">
        <v>6.7068000000000003</v>
      </c>
    </row>
    <row r="569" spans="1:15">
      <c r="A569" s="81" t="s">
        <v>45</v>
      </c>
      <c r="B569" s="92" t="s">
        <v>50</v>
      </c>
      <c r="C569" s="92" t="s">
        <v>16</v>
      </c>
      <c r="D569" s="92">
        <v>2014</v>
      </c>
      <c r="E569" s="81">
        <v>15</v>
      </c>
      <c r="F569" s="81">
        <v>13018.682635237366</v>
      </c>
      <c r="G569" s="81">
        <v>7868.6160962829917</v>
      </c>
      <c r="H569" s="92">
        <v>76</v>
      </c>
      <c r="I569" s="81"/>
      <c r="J569" s="93">
        <v>5066.7016490965161</v>
      </c>
      <c r="K569" s="93">
        <v>5097.6243258870918</v>
      </c>
      <c r="L569" s="93">
        <v>5150.0665389543747</v>
      </c>
      <c r="M569" s="93">
        <v>5202.5087520216475</v>
      </c>
      <c r="N569" s="93">
        <v>5233.4314288122241</v>
      </c>
      <c r="O569" s="93">
        <v>6.7068000000000003</v>
      </c>
    </row>
    <row r="570" spans="1:15">
      <c r="A570" s="81" t="s">
        <v>45</v>
      </c>
      <c r="B570" s="92" t="s">
        <v>50</v>
      </c>
      <c r="C570" s="92" t="s">
        <v>16</v>
      </c>
      <c r="D570" s="92">
        <v>2014</v>
      </c>
      <c r="E570" s="81">
        <v>16</v>
      </c>
      <c r="F570" s="81">
        <v>12847.432080784532</v>
      </c>
      <c r="G570" s="81">
        <v>7765.1106259508633</v>
      </c>
      <c r="H570" s="92">
        <v>65</v>
      </c>
      <c r="I570" s="81"/>
      <c r="J570" s="93">
        <v>5000.4354439979224</v>
      </c>
      <c r="K570" s="93">
        <v>5030.809557741255</v>
      </c>
      <c r="L570" s="93">
        <v>5082.3214548336691</v>
      </c>
      <c r="M570" s="93">
        <v>5133.8333519260841</v>
      </c>
      <c r="N570" s="93">
        <v>5164.2074656694249</v>
      </c>
      <c r="O570" s="93">
        <v>6.7068000000000003</v>
      </c>
    </row>
    <row r="571" spans="1:15">
      <c r="A571" s="81" t="s">
        <v>45</v>
      </c>
      <c r="B571" s="92" t="s">
        <v>50</v>
      </c>
      <c r="C571" s="92" t="s">
        <v>16</v>
      </c>
      <c r="D571" s="92">
        <v>2014</v>
      </c>
      <c r="E571" s="81">
        <v>17</v>
      </c>
      <c r="F571" s="81">
        <v>12523.148143463386</v>
      </c>
      <c r="G571" s="81">
        <v>7569.1103177426685</v>
      </c>
      <c r="H571" s="92">
        <v>71</v>
      </c>
      <c r="I571" s="81"/>
      <c r="J571" s="93">
        <v>4856.6824864781265</v>
      </c>
      <c r="K571" s="93">
        <v>4892.794663851214</v>
      </c>
      <c r="L571" s="93">
        <v>4954.0378257207176</v>
      </c>
      <c r="M571" s="93">
        <v>5015.2809875902194</v>
      </c>
      <c r="N571" s="93">
        <v>5051.3931649633168</v>
      </c>
      <c r="O571" s="93">
        <v>6.7068000000000003</v>
      </c>
    </row>
    <row r="572" spans="1:15">
      <c r="A572" s="81" t="s">
        <v>45</v>
      </c>
      <c r="B572" s="92" t="s">
        <v>50</v>
      </c>
      <c r="C572" s="92" t="s">
        <v>16</v>
      </c>
      <c r="D572" s="92">
        <v>2014</v>
      </c>
      <c r="E572" s="81">
        <v>18</v>
      </c>
      <c r="F572" s="81">
        <v>12401.389206317324</v>
      </c>
      <c r="G572" s="81">
        <v>7495.5180534915526</v>
      </c>
      <c r="H572" s="92">
        <v>82</v>
      </c>
      <c r="I572" s="81"/>
      <c r="J572" s="93">
        <v>4821.1423512053034</v>
      </c>
      <c r="K572" s="93">
        <v>4852.5709460469652</v>
      </c>
      <c r="L572" s="93">
        <v>4905.8711528257718</v>
      </c>
      <c r="M572" s="93">
        <v>4959.1713596045693</v>
      </c>
      <c r="N572" s="93">
        <v>4990.5999544462311</v>
      </c>
      <c r="O572" s="93">
        <v>6.7068000000000003</v>
      </c>
    </row>
    <row r="573" spans="1:15">
      <c r="A573" s="81" t="s">
        <v>45</v>
      </c>
      <c r="B573" s="92" t="s">
        <v>50</v>
      </c>
      <c r="C573" s="92" t="s">
        <v>16</v>
      </c>
      <c r="D573" s="92">
        <v>2014</v>
      </c>
      <c r="E573" s="81">
        <v>19</v>
      </c>
      <c r="F573" s="81">
        <v>12162.481107040654</v>
      </c>
      <c r="G573" s="81">
        <v>12162.481107040654</v>
      </c>
      <c r="H573" s="92">
        <v>70</v>
      </c>
      <c r="I573" s="81"/>
      <c r="J573" s="93">
        <v>0</v>
      </c>
      <c r="K573" s="93">
        <v>0</v>
      </c>
      <c r="L573" s="93">
        <v>0</v>
      </c>
      <c r="M573" s="93">
        <v>0</v>
      </c>
      <c r="N573" s="93">
        <v>0</v>
      </c>
      <c r="O573" s="93">
        <v>6.7068000000000003</v>
      </c>
    </row>
    <row r="574" spans="1:15">
      <c r="A574" s="81" t="s">
        <v>45</v>
      </c>
      <c r="B574" s="92" t="s">
        <v>50</v>
      </c>
      <c r="C574" s="92" t="s">
        <v>16</v>
      </c>
      <c r="D574" s="92">
        <v>2014</v>
      </c>
      <c r="E574" s="81">
        <v>20</v>
      </c>
      <c r="F574" s="81">
        <v>11816.599122654583</v>
      </c>
      <c r="G574" s="81">
        <v>11816.599122654583</v>
      </c>
      <c r="H574" s="92">
        <v>85</v>
      </c>
      <c r="I574" s="81"/>
      <c r="J574" s="93">
        <v>0</v>
      </c>
      <c r="K574" s="93">
        <v>0</v>
      </c>
      <c r="L574" s="93">
        <v>0</v>
      </c>
      <c r="M574" s="93">
        <v>0</v>
      </c>
      <c r="N574" s="93">
        <v>0</v>
      </c>
      <c r="O574" s="93">
        <v>6.7068000000000003</v>
      </c>
    </row>
    <row r="575" spans="1:15">
      <c r="A575" s="81" t="s">
        <v>45</v>
      </c>
      <c r="B575" s="92" t="s">
        <v>50</v>
      </c>
      <c r="C575" s="92" t="s">
        <v>16</v>
      </c>
      <c r="D575" s="92">
        <v>2014</v>
      </c>
      <c r="E575" s="81">
        <v>21</v>
      </c>
      <c r="F575" s="81">
        <v>11535.696907575846</v>
      </c>
      <c r="G575" s="81">
        <v>11535.696907575846</v>
      </c>
      <c r="H575" s="92">
        <v>75</v>
      </c>
      <c r="I575" s="81"/>
      <c r="J575" s="93">
        <v>0</v>
      </c>
      <c r="K575" s="93">
        <v>0</v>
      </c>
      <c r="L575" s="93">
        <v>0</v>
      </c>
      <c r="M575" s="93">
        <v>0</v>
      </c>
      <c r="N575" s="93">
        <v>0</v>
      </c>
      <c r="O575" s="93">
        <v>6.7068000000000003</v>
      </c>
    </row>
    <row r="576" spans="1:15">
      <c r="A576" s="81" t="s">
        <v>45</v>
      </c>
      <c r="B576" s="92" t="s">
        <v>50</v>
      </c>
      <c r="C576" s="92" t="s">
        <v>16</v>
      </c>
      <c r="D576" s="92">
        <v>2014</v>
      </c>
      <c r="E576" s="81">
        <v>22</v>
      </c>
      <c r="F576" s="81">
        <v>11250.197724488527</v>
      </c>
      <c r="G576" s="81">
        <v>11250.197724488527</v>
      </c>
      <c r="H576" s="92">
        <v>85</v>
      </c>
      <c r="I576" s="81"/>
      <c r="J576" s="93">
        <v>0</v>
      </c>
      <c r="K576" s="93">
        <v>0</v>
      </c>
      <c r="L576" s="93">
        <v>0</v>
      </c>
      <c r="M576" s="93">
        <v>0</v>
      </c>
      <c r="N576" s="93">
        <v>0</v>
      </c>
      <c r="O576" s="93">
        <v>6.7068000000000003</v>
      </c>
    </row>
    <row r="577" spans="1:15">
      <c r="A577" s="81" t="s">
        <v>45</v>
      </c>
      <c r="B577" s="92" t="s">
        <v>50</v>
      </c>
      <c r="C577" s="92" t="s">
        <v>16</v>
      </c>
      <c r="D577" s="92">
        <v>2014</v>
      </c>
      <c r="E577" s="81">
        <v>23</v>
      </c>
      <c r="F577" s="81">
        <v>11044.759073578938</v>
      </c>
      <c r="G577" s="81">
        <v>11044.759073578938</v>
      </c>
      <c r="H577" s="92">
        <v>92</v>
      </c>
      <c r="I577" s="81"/>
      <c r="J577" s="93">
        <v>0</v>
      </c>
      <c r="K577" s="93">
        <v>0</v>
      </c>
      <c r="L577" s="93">
        <v>0</v>
      </c>
      <c r="M577" s="93">
        <v>0</v>
      </c>
      <c r="N577" s="93">
        <v>0</v>
      </c>
      <c r="O577" s="93">
        <v>6.7068000000000003</v>
      </c>
    </row>
    <row r="578" spans="1:15">
      <c r="A578" s="81" t="s">
        <v>45</v>
      </c>
      <c r="B578" s="92" t="s">
        <v>50</v>
      </c>
      <c r="C578" s="92" t="s">
        <v>16</v>
      </c>
      <c r="D578" s="92">
        <v>2014</v>
      </c>
      <c r="E578" s="81">
        <v>24</v>
      </c>
      <c r="F578" s="81">
        <v>10892.962874122326</v>
      </c>
      <c r="G578" s="81">
        <v>10892.962874122326</v>
      </c>
      <c r="H578" s="92">
        <v>99</v>
      </c>
      <c r="I578" s="81"/>
      <c r="J578" s="93">
        <v>0</v>
      </c>
      <c r="K578" s="93">
        <v>0</v>
      </c>
      <c r="L578" s="93">
        <v>0</v>
      </c>
      <c r="M578" s="93">
        <v>0</v>
      </c>
      <c r="N578" s="93">
        <v>0</v>
      </c>
      <c r="O578" s="93">
        <v>6.7068000000000003</v>
      </c>
    </row>
    <row r="579" spans="1:15">
      <c r="A579" s="81" t="s">
        <v>45</v>
      </c>
      <c r="B579" s="92" t="s">
        <v>50</v>
      </c>
      <c r="C579" s="92" t="s">
        <v>17</v>
      </c>
      <c r="D579" s="92">
        <v>2014</v>
      </c>
      <c r="E579" s="81">
        <v>1</v>
      </c>
      <c r="F579" s="81">
        <v>10655.75075126798</v>
      </c>
      <c r="G579" s="81">
        <v>10655.75075126798</v>
      </c>
      <c r="H579" s="92">
        <v>88</v>
      </c>
      <c r="I579" s="81"/>
      <c r="J579" s="93">
        <v>0</v>
      </c>
      <c r="K579" s="93">
        <v>0</v>
      </c>
      <c r="L579" s="93">
        <v>0</v>
      </c>
      <c r="M579" s="93">
        <v>0</v>
      </c>
      <c r="N579" s="93">
        <v>0</v>
      </c>
      <c r="O579" s="93">
        <v>6.7068000000000003</v>
      </c>
    </row>
    <row r="580" spans="1:15">
      <c r="A580" s="81" t="s">
        <v>45</v>
      </c>
      <c r="B580" s="92" t="s">
        <v>50</v>
      </c>
      <c r="C580" s="92" t="s">
        <v>17</v>
      </c>
      <c r="D580" s="92">
        <v>2014</v>
      </c>
      <c r="E580" s="81">
        <v>2</v>
      </c>
      <c r="F580" s="81">
        <v>10577.615970920184</v>
      </c>
      <c r="G580" s="81">
        <v>10577.615970920184</v>
      </c>
      <c r="H580" s="92">
        <v>92</v>
      </c>
      <c r="I580" s="81"/>
      <c r="J580" s="93">
        <v>0</v>
      </c>
      <c r="K580" s="93">
        <v>0</v>
      </c>
      <c r="L580" s="93">
        <v>0</v>
      </c>
      <c r="M580" s="93">
        <v>0</v>
      </c>
      <c r="N580" s="93">
        <v>0</v>
      </c>
      <c r="O580" s="93">
        <v>6.7068000000000003</v>
      </c>
    </row>
    <row r="581" spans="1:15">
      <c r="A581" s="81" t="s">
        <v>45</v>
      </c>
      <c r="B581" s="92" t="s">
        <v>50</v>
      </c>
      <c r="C581" s="92" t="s">
        <v>17</v>
      </c>
      <c r="D581" s="92">
        <v>2014</v>
      </c>
      <c r="E581" s="81">
        <v>3</v>
      </c>
      <c r="F581" s="81">
        <v>10467.448191164374</v>
      </c>
      <c r="G581" s="81">
        <v>10467.448191164374</v>
      </c>
      <c r="H581" s="92">
        <v>103</v>
      </c>
      <c r="I581" s="81"/>
      <c r="J581" s="93">
        <v>0</v>
      </c>
      <c r="K581" s="93">
        <v>0</v>
      </c>
      <c r="L581" s="93">
        <v>0</v>
      </c>
      <c r="M581" s="93">
        <v>0</v>
      </c>
      <c r="N581" s="93">
        <v>0</v>
      </c>
      <c r="O581" s="93">
        <v>6.7068000000000003</v>
      </c>
    </row>
    <row r="582" spans="1:15">
      <c r="A582" s="81" t="s">
        <v>45</v>
      </c>
      <c r="B582" s="92" t="s">
        <v>50</v>
      </c>
      <c r="C582" s="92" t="s">
        <v>17</v>
      </c>
      <c r="D582" s="92">
        <v>2014</v>
      </c>
      <c r="E582" s="81">
        <v>4</v>
      </c>
      <c r="F582" s="81">
        <v>10473.668218676779</v>
      </c>
      <c r="G582" s="81">
        <v>10473.668218676779</v>
      </c>
      <c r="H582" s="92">
        <v>79</v>
      </c>
      <c r="I582" s="81"/>
      <c r="J582" s="93">
        <v>0</v>
      </c>
      <c r="K582" s="93">
        <v>0</v>
      </c>
      <c r="L582" s="93">
        <v>0</v>
      </c>
      <c r="M582" s="93">
        <v>0</v>
      </c>
      <c r="N582" s="93">
        <v>0</v>
      </c>
      <c r="O582" s="93">
        <v>6.7068000000000003</v>
      </c>
    </row>
    <row r="583" spans="1:15">
      <c r="A583" s="81" t="s">
        <v>45</v>
      </c>
      <c r="B583" s="92" t="s">
        <v>50</v>
      </c>
      <c r="C583" s="92" t="s">
        <v>17</v>
      </c>
      <c r="D583" s="92">
        <v>2014</v>
      </c>
      <c r="E583" s="81">
        <v>5</v>
      </c>
      <c r="F583" s="81">
        <v>10489.230084864075</v>
      </c>
      <c r="G583" s="81">
        <v>10489.230084864075</v>
      </c>
      <c r="H583" s="92">
        <v>84</v>
      </c>
      <c r="I583" s="81"/>
      <c r="J583" s="93">
        <v>0</v>
      </c>
      <c r="K583" s="93">
        <v>0</v>
      </c>
      <c r="L583" s="93">
        <v>0</v>
      </c>
      <c r="M583" s="93">
        <v>0</v>
      </c>
      <c r="N583" s="93">
        <v>0</v>
      </c>
      <c r="O583" s="93">
        <v>6.7068000000000003</v>
      </c>
    </row>
    <row r="584" spans="1:15">
      <c r="A584" s="81" t="s">
        <v>45</v>
      </c>
      <c r="B584" s="92" t="s">
        <v>50</v>
      </c>
      <c r="C584" s="92" t="s">
        <v>17</v>
      </c>
      <c r="D584" s="92">
        <v>2014</v>
      </c>
      <c r="E584" s="81">
        <v>6</v>
      </c>
      <c r="F584" s="81">
        <v>10539.561260430937</v>
      </c>
      <c r="G584" s="81">
        <v>10539.561260430937</v>
      </c>
      <c r="H584" s="92">
        <v>95</v>
      </c>
      <c r="I584" s="81"/>
      <c r="J584" s="93">
        <v>0</v>
      </c>
      <c r="K584" s="93">
        <v>0</v>
      </c>
      <c r="L584" s="93">
        <v>0</v>
      </c>
      <c r="M584" s="93">
        <v>0</v>
      </c>
      <c r="N584" s="93">
        <v>0</v>
      </c>
      <c r="O584" s="93">
        <v>6.7068000000000003</v>
      </c>
    </row>
    <row r="585" spans="1:15">
      <c r="A585" s="81" t="s">
        <v>45</v>
      </c>
      <c r="B585" s="92" t="s">
        <v>50</v>
      </c>
      <c r="C585" s="92" t="s">
        <v>17</v>
      </c>
      <c r="D585" s="92">
        <v>2014</v>
      </c>
      <c r="E585" s="81">
        <v>7</v>
      </c>
      <c r="F585" s="81">
        <v>10685.229314540886</v>
      </c>
      <c r="G585" s="81">
        <v>10685.229314540886</v>
      </c>
      <c r="H585" s="92">
        <v>86</v>
      </c>
      <c r="I585" s="81"/>
      <c r="J585" s="93">
        <v>0</v>
      </c>
      <c r="K585" s="93">
        <v>0</v>
      </c>
      <c r="L585" s="93">
        <v>0</v>
      </c>
      <c r="M585" s="93">
        <v>0</v>
      </c>
      <c r="N585" s="93">
        <v>0</v>
      </c>
      <c r="O585" s="93">
        <v>6.7068000000000003</v>
      </c>
    </row>
    <row r="586" spans="1:15">
      <c r="A586" s="81" t="s">
        <v>45</v>
      </c>
      <c r="B586" s="92" t="s">
        <v>50</v>
      </c>
      <c r="C586" s="92" t="s">
        <v>17</v>
      </c>
      <c r="D586" s="92">
        <v>2014</v>
      </c>
      <c r="E586" s="81">
        <v>8</v>
      </c>
      <c r="F586" s="81">
        <v>10923.732625658293</v>
      </c>
      <c r="G586" s="81">
        <v>10923.732625658293</v>
      </c>
      <c r="H586" s="92">
        <v>87</v>
      </c>
      <c r="I586" s="81"/>
      <c r="J586" s="93">
        <v>0</v>
      </c>
      <c r="K586" s="93">
        <v>0</v>
      </c>
      <c r="L586" s="93">
        <v>0</v>
      </c>
      <c r="M586" s="93">
        <v>0</v>
      </c>
      <c r="N586" s="93">
        <v>0</v>
      </c>
      <c r="O586" s="93">
        <v>6.7068000000000003</v>
      </c>
    </row>
    <row r="587" spans="1:15">
      <c r="A587" s="81" t="s">
        <v>45</v>
      </c>
      <c r="B587" s="92" t="s">
        <v>50</v>
      </c>
      <c r="C587" s="92" t="s">
        <v>17</v>
      </c>
      <c r="D587" s="92">
        <v>2014</v>
      </c>
      <c r="E587" s="81">
        <v>9</v>
      </c>
      <c r="F587" s="81">
        <v>12109.712344060064</v>
      </c>
      <c r="G587" s="81">
        <v>12109.712344060064</v>
      </c>
      <c r="H587" s="92">
        <v>85</v>
      </c>
      <c r="I587" s="81"/>
      <c r="J587" s="93">
        <v>0</v>
      </c>
      <c r="K587" s="93">
        <v>0</v>
      </c>
      <c r="L587" s="93">
        <v>0</v>
      </c>
      <c r="M587" s="93">
        <v>0</v>
      </c>
      <c r="N587" s="93">
        <v>0</v>
      </c>
      <c r="O587" s="93">
        <v>6.7068000000000003</v>
      </c>
    </row>
    <row r="588" spans="1:15">
      <c r="A588" s="81" t="s">
        <v>45</v>
      </c>
      <c r="B588" s="92" t="s">
        <v>50</v>
      </c>
      <c r="C588" s="92" t="s">
        <v>17</v>
      </c>
      <c r="D588" s="92">
        <v>2014</v>
      </c>
      <c r="E588" s="81">
        <v>10</v>
      </c>
      <c r="F588" s="81">
        <v>12613.319077521743</v>
      </c>
      <c r="G588" s="81">
        <v>12613.319077521743</v>
      </c>
      <c r="H588" s="92">
        <v>78</v>
      </c>
      <c r="I588" s="81"/>
      <c r="J588" s="93">
        <v>0</v>
      </c>
      <c r="K588" s="93">
        <v>0</v>
      </c>
      <c r="L588" s="93">
        <v>0</v>
      </c>
      <c r="M588" s="93">
        <v>0</v>
      </c>
      <c r="N588" s="93">
        <v>0</v>
      </c>
      <c r="O588" s="93">
        <v>6.7068000000000003</v>
      </c>
    </row>
    <row r="589" spans="1:15">
      <c r="A589" s="81" t="s">
        <v>45</v>
      </c>
      <c r="B589" s="92" t="s">
        <v>50</v>
      </c>
      <c r="C589" s="92" t="s">
        <v>17</v>
      </c>
      <c r="D589" s="92">
        <v>2014</v>
      </c>
      <c r="E589" s="81">
        <v>11</v>
      </c>
      <c r="F589" s="81">
        <v>13096.945146388258</v>
      </c>
      <c r="G589" s="81">
        <v>7845.5988275387126</v>
      </c>
      <c r="H589" s="92">
        <v>88</v>
      </c>
      <c r="I589" s="81"/>
      <c r="J589" s="93">
        <v>5137.2989317730598</v>
      </c>
      <c r="K589" s="93">
        <v>5179.6027181199061</v>
      </c>
      <c r="L589" s="93">
        <v>5251.3463188495452</v>
      </c>
      <c r="M589" s="93">
        <v>5323.0899195791753</v>
      </c>
      <c r="N589" s="93">
        <v>5365.3937059260325</v>
      </c>
      <c r="O589" s="93">
        <v>6.7068000000000003</v>
      </c>
    </row>
    <row r="590" spans="1:15">
      <c r="A590" s="81" t="s">
        <v>45</v>
      </c>
      <c r="B590" s="92" t="s">
        <v>50</v>
      </c>
      <c r="C590" s="92" t="s">
        <v>17</v>
      </c>
      <c r="D590" s="92">
        <v>2014</v>
      </c>
      <c r="E590" s="81">
        <v>12</v>
      </c>
      <c r="F590" s="81">
        <v>13451.863295634848</v>
      </c>
      <c r="G590" s="81">
        <v>8058.2091259310182</v>
      </c>
      <c r="H590" s="92">
        <v>82</v>
      </c>
      <c r="I590" s="81"/>
      <c r="J590" s="93">
        <v>5285.7669077319197</v>
      </c>
      <c r="K590" s="93">
        <v>5325.7857086619697</v>
      </c>
      <c r="L590" s="93">
        <v>5393.6541697038301</v>
      </c>
      <c r="M590" s="93">
        <v>5461.5226307456924</v>
      </c>
      <c r="N590" s="93">
        <v>5501.5414316757497</v>
      </c>
      <c r="O590" s="93">
        <v>6.7068000000000003</v>
      </c>
    </row>
    <row r="591" spans="1:15">
      <c r="A591" s="81" t="s">
        <v>45</v>
      </c>
      <c r="B591" s="92" t="s">
        <v>50</v>
      </c>
      <c r="C591" s="92" t="s">
        <v>17</v>
      </c>
      <c r="D591" s="92">
        <v>2014</v>
      </c>
      <c r="E591" s="81">
        <v>13</v>
      </c>
      <c r="F591" s="81">
        <v>13512.253112812565</v>
      </c>
      <c r="G591" s="81">
        <v>8094.3850641783756</v>
      </c>
      <c r="H591" s="92">
        <v>66</v>
      </c>
      <c r="I591" s="81"/>
      <c r="J591" s="93">
        <v>5312.5715738560675</v>
      </c>
      <c r="K591" s="93">
        <v>5351.6293697975307</v>
      </c>
      <c r="L591" s="93">
        <v>5417.8680486341891</v>
      </c>
      <c r="M591" s="93">
        <v>5484.1067274708485</v>
      </c>
      <c r="N591" s="93">
        <v>5523.1645234123016</v>
      </c>
      <c r="O591" s="93">
        <v>6.7068000000000003</v>
      </c>
    </row>
    <row r="592" spans="1:15">
      <c r="A592" s="81" t="s">
        <v>45</v>
      </c>
      <c r="B592" s="92" t="s">
        <v>50</v>
      </c>
      <c r="C592" s="92" t="s">
        <v>17</v>
      </c>
      <c r="D592" s="92">
        <v>2014</v>
      </c>
      <c r="E592" s="81">
        <v>14</v>
      </c>
      <c r="F592" s="81">
        <v>13403.430792177689</v>
      </c>
      <c r="G592" s="81">
        <v>8029.1961012835845</v>
      </c>
      <c r="H592" s="92">
        <v>72</v>
      </c>
      <c r="I592" s="81"/>
      <c r="J592" s="93">
        <v>5277.3169100809182</v>
      </c>
      <c r="K592" s="93">
        <v>5313.2667831804465</v>
      </c>
      <c r="L592" s="93">
        <v>5374.2346908941045</v>
      </c>
      <c r="M592" s="93">
        <v>5435.2025986077724</v>
      </c>
      <c r="N592" s="93">
        <v>5471.1524717072916</v>
      </c>
      <c r="O592" s="93">
        <v>6.7068000000000003</v>
      </c>
    </row>
    <row r="593" spans="1:15">
      <c r="A593" s="81" t="s">
        <v>45</v>
      </c>
      <c r="B593" s="92" t="s">
        <v>50</v>
      </c>
      <c r="C593" s="92" t="s">
        <v>17</v>
      </c>
      <c r="D593" s="92">
        <v>2014</v>
      </c>
      <c r="E593" s="81">
        <v>15</v>
      </c>
      <c r="F593" s="81">
        <v>13048.435516292198</v>
      </c>
      <c r="G593" s="81">
        <v>7816.5396009212036</v>
      </c>
      <c r="H593" s="92">
        <v>69</v>
      </c>
      <c r="I593" s="81"/>
      <c r="J593" s="93">
        <v>5131.7559820153119</v>
      </c>
      <c r="K593" s="93">
        <v>5168.9010534988447</v>
      </c>
      <c r="L593" s="93">
        <v>5231.8959153709948</v>
      </c>
      <c r="M593" s="93">
        <v>5294.8907772431367</v>
      </c>
      <c r="N593" s="93">
        <v>5332.0358487266785</v>
      </c>
      <c r="O593" s="93">
        <v>6.7068000000000003</v>
      </c>
    </row>
    <row r="594" spans="1:15">
      <c r="A594" s="81" t="s">
        <v>45</v>
      </c>
      <c r="B594" s="92" t="s">
        <v>50</v>
      </c>
      <c r="C594" s="92" t="s">
        <v>17</v>
      </c>
      <c r="D594" s="92">
        <v>2014</v>
      </c>
      <c r="E594" s="81">
        <v>16</v>
      </c>
      <c r="F594" s="81">
        <v>12935.591143545022</v>
      </c>
      <c r="G594" s="81">
        <v>7748.9412664528227</v>
      </c>
      <c r="H594" s="92">
        <v>65</v>
      </c>
      <c r="I594" s="81"/>
      <c r="J594" s="93">
        <v>5088.2864091881838</v>
      </c>
      <c r="K594" s="93">
        <v>5124.7725333968483</v>
      </c>
      <c r="L594" s="93">
        <v>5186.6498770921989</v>
      </c>
      <c r="M594" s="93">
        <v>5248.5272207875505</v>
      </c>
      <c r="N594" s="93">
        <v>5285.0133449962159</v>
      </c>
      <c r="O594" s="93">
        <v>6.7068000000000003</v>
      </c>
    </row>
    <row r="595" spans="1:15">
      <c r="A595" s="81" t="s">
        <v>45</v>
      </c>
      <c r="B595" s="92" t="s">
        <v>50</v>
      </c>
      <c r="C595" s="92" t="s">
        <v>17</v>
      </c>
      <c r="D595" s="92">
        <v>2014</v>
      </c>
      <c r="E595" s="81">
        <v>17</v>
      </c>
      <c r="F595" s="81">
        <v>12793.900593131435</v>
      </c>
      <c r="G595" s="81">
        <v>7664.0629071275789</v>
      </c>
      <c r="H595" s="92">
        <v>71</v>
      </c>
      <c r="I595" s="81"/>
      <c r="J595" s="93">
        <v>5012.8920845618468</v>
      </c>
      <c r="K595" s="93">
        <v>5056.2709103677289</v>
      </c>
      <c r="L595" s="93">
        <v>5129.8376860038561</v>
      </c>
      <c r="M595" s="93">
        <v>5203.4044616399924</v>
      </c>
      <c r="N595" s="93">
        <v>5246.7832874458663</v>
      </c>
      <c r="O595" s="93">
        <v>6.7068000000000003</v>
      </c>
    </row>
    <row r="596" spans="1:15">
      <c r="A596" s="81" t="s">
        <v>45</v>
      </c>
      <c r="B596" s="92" t="s">
        <v>50</v>
      </c>
      <c r="C596" s="92" t="s">
        <v>17</v>
      </c>
      <c r="D596" s="92">
        <v>2014</v>
      </c>
      <c r="E596" s="81">
        <v>18</v>
      </c>
      <c r="F596" s="81">
        <v>12450.984118017246</v>
      </c>
      <c r="G596" s="81">
        <v>7458.6420960125906</v>
      </c>
      <c r="H596" s="92">
        <v>71</v>
      </c>
      <c r="I596" s="81"/>
      <c r="J596" s="93">
        <v>4890.5637246657234</v>
      </c>
      <c r="K596" s="93">
        <v>4928.316517217515</v>
      </c>
      <c r="L596" s="93">
        <v>4992.3420220046555</v>
      </c>
      <c r="M596" s="93">
        <v>5056.3675267917952</v>
      </c>
      <c r="N596" s="93">
        <v>5094.1203193435858</v>
      </c>
      <c r="O596" s="93">
        <v>6.7068000000000003</v>
      </c>
    </row>
    <row r="597" spans="1:15">
      <c r="A597" s="81" t="s">
        <v>45</v>
      </c>
      <c r="B597" s="92" t="s">
        <v>50</v>
      </c>
      <c r="C597" s="92" t="s">
        <v>17</v>
      </c>
      <c r="D597" s="92">
        <v>2014</v>
      </c>
      <c r="E597" s="81">
        <v>19</v>
      </c>
      <c r="F597" s="81">
        <v>12201.159596152922</v>
      </c>
      <c r="G597" s="81">
        <v>12201.159596152922</v>
      </c>
      <c r="H597" s="92">
        <v>70</v>
      </c>
      <c r="I597" s="81"/>
      <c r="J597" s="93">
        <v>0</v>
      </c>
      <c r="K597" s="93">
        <v>0</v>
      </c>
      <c r="L597" s="93">
        <v>0</v>
      </c>
      <c r="M597" s="93">
        <v>0</v>
      </c>
      <c r="N597" s="93">
        <v>0</v>
      </c>
      <c r="O597" s="93">
        <v>6.7068000000000003</v>
      </c>
    </row>
    <row r="598" spans="1:15">
      <c r="A598" s="81" t="s">
        <v>45</v>
      </c>
      <c r="B598" s="92" t="s">
        <v>50</v>
      </c>
      <c r="C598" s="92" t="s">
        <v>17</v>
      </c>
      <c r="D598" s="92">
        <v>2014</v>
      </c>
      <c r="E598" s="81">
        <v>20</v>
      </c>
      <c r="F598" s="81">
        <v>11999.810575827081</v>
      </c>
      <c r="G598" s="81">
        <v>11999.810575827081</v>
      </c>
      <c r="H598" s="92">
        <v>61</v>
      </c>
      <c r="I598" s="81"/>
      <c r="J598" s="93">
        <v>0</v>
      </c>
      <c r="K598" s="93">
        <v>0</v>
      </c>
      <c r="L598" s="93">
        <v>0</v>
      </c>
      <c r="M598" s="93">
        <v>0</v>
      </c>
      <c r="N598" s="93">
        <v>0</v>
      </c>
      <c r="O598" s="93">
        <v>6.7068000000000003</v>
      </c>
    </row>
    <row r="599" spans="1:15">
      <c r="A599" s="81" t="s">
        <v>45</v>
      </c>
      <c r="B599" s="92" t="s">
        <v>50</v>
      </c>
      <c r="C599" s="92" t="s">
        <v>17</v>
      </c>
      <c r="D599" s="92">
        <v>2014</v>
      </c>
      <c r="E599" s="81">
        <v>21</v>
      </c>
      <c r="F599" s="81">
        <v>11707.529474079469</v>
      </c>
      <c r="G599" s="81">
        <v>11707.529474079469</v>
      </c>
      <c r="H599" s="92">
        <v>82</v>
      </c>
      <c r="I599" s="81"/>
      <c r="J599" s="93">
        <v>0</v>
      </c>
      <c r="K599" s="93">
        <v>0</v>
      </c>
      <c r="L599" s="93">
        <v>0</v>
      </c>
      <c r="M599" s="93">
        <v>0</v>
      </c>
      <c r="N599" s="93">
        <v>0</v>
      </c>
      <c r="O599" s="93">
        <v>6.7068000000000003</v>
      </c>
    </row>
    <row r="600" spans="1:15">
      <c r="A600" s="81" t="s">
        <v>45</v>
      </c>
      <c r="B600" s="92" t="s">
        <v>50</v>
      </c>
      <c r="C600" s="92" t="s">
        <v>17</v>
      </c>
      <c r="D600" s="92">
        <v>2014</v>
      </c>
      <c r="E600" s="81">
        <v>22</v>
      </c>
      <c r="F600" s="81">
        <v>11422.953914555277</v>
      </c>
      <c r="G600" s="81">
        <v>11422.953914555277</v>
      </c>
      <c r="H600" s="92">
        <v>65</v>
      </c>
      <c r="I600" s="81"/>
      <c r="J600" s="93">
        <v>0</v>
      </c>
      <c r="K600" s="93">
        <v>0</v>
      </c>
      <c r="L600" s="93">
        <v>0</v>
      </c>
      <c r="M600" s="93">
        <v>0</v>
      </c>
      <c r="N600" s="93">
        <v>0</v>
      </c>
      <c r="O600" s="93">
        <v>6.7068000000000003</v>
      </c>
    </row>
    <row r="601" spans="1:15">
      <c r="A601" s="81" t="s">
        <v>45</v>
      </c>
      <c r="B601" s="92" t="s">
        <v>50</v>
      </c>
      <c r="C601" s="92" t="s">
        <v>17</v>
      </c>
      <c r="D601" s="92">
        <v>2014</v>
      </c>
      <c r="E601" s="81">
        <v>23</v>
      </c>
      <c r="F601" s="81">
        <v>11187.413025660966</v>
      </c>
      <c r="G601" s="81">
        <v>11187.413025660966</v>
      </c>
      <c r="H601" s="92">
        <v>77</v>
      </c>
      <c r="I601" s="81"/>
      <c r="J601" s="93">
        <v>0</v>
      </c>
      <c r="K601" s="93">
        <v>0</v>
      </c>
      <c r="L601" s="93">
        <v>0</v>
      </c>
      <c r="M601" s="93">
        <v>0</v>
      </c>
      <c r="N601" s="93">
        <v>0</v>
      </c>
      <c r="O601" s="93">
        <v>6.7068000000000003</v>
      </c>
    </row>
    <row r="602" spans="1:15">
      <c r="A602" s="81" t="s">
        <v>45</v>
      </c>
      <c r="B602" s="92" t="s">
        <v>50</v>
      </c>
      <c r="C602" s="92" t="s">
        <v>17</v>
      </c>
      <c r="D602" s="92">
        <v>2014</v>
      </c>
      <c r="E602" s="81">
        <v>24</v>
      </c>
      <c r="F602" s="81">
        <v>10974.011319678972</v>
      </c>
      <c r="G602" s="81">
        <v>10974.011319678972</v>
      </c>
      <c r="H602" s="92">
        <v>87</v>
      </c>
      <c r="I602" s="81"/>
      <c r="J602" s="93">
        <v>0</v>
      </c>
      <c r="K602" s="93">
        <v>0</v>
      </c>
      <c r="L602" s="93">
        <v>0</v>
      </c>
      <c r="M602" s="93">
        <v>0</v>
      </c>
      <c r="N602" s="93">
        <v>0</v>
      </c>
      <c r="O602" s="93">
        <v>6.7068000000000003</v>
      </c>
    </row>
    <row r="603" spans="1:15">
      <c r="A603" s="81" t="s">
        <v>45</v>
      </c>
      <c r="B603" s="92" t="s">
        <v>49</v>
      </c>
      <c r="C603" s="92" t="s">
        <v>13</v>
      </c>
      <c r="D603" s="92">
        <v>2014</v>
      </c>
      <c r="E603" s="81">
        <v>1</v>
      </c>
      <c r="F603" s="81">
        <v>10717.036971315438</v>
      </c>
      <c r="G603" s="81">
        <v>10717.036971315438</v>
      </c>
      <c r="H603" s="92">
        <v>81</v>
      </c>
      <c r="I603" s="81"/>
      <c r="J603" s="93">
        <v>0</v>
      </c>
      <c r="K603" s="93">
        <v>0</v>
      </c>
      <c r="L603" s="93">
        <v>0</v>
      </c>
      <c r="M603" s="93">
        <v>0</v>
      </c>
      <c r="N603" s="93">
        <v>0</v>
      </c>
      <c r="O603" s="93">
        <v>6.7068000000000003</v>
      </c>
    </row>
    <row r="604" spans="1:15">
      <c r="A604" s="81" t="s">
        <v>45</v>
      </c>
      <c r="B604" s="92" t="s">
        <v>49</v>
      </c>
      <c r="C604" s="92" t="s">
        <v>13</v>
      </c>
      <c r="D604" s="92">
        <v>2014</v>
      </c>
      <c r="E604" s="81">
        <v>2</v>
      </c>
      <c r="F604" s="81">
        <v>10636.861822672478</v>
      </c>
      <c r="G604" s="81">
        <v>10636.861822672478</v>
      </c>
      <c r="H604" s="92">
        <v>80</v>
      </c>
      <c r="I604" s="81"/>
      <c r="J604" s="93">
        <v>0</v>
      </c>
      <c r="K604" s="93">
        <v>0</v>
      </c>
      <c r="L604" s="93">
        <v>0</v>
      </c>
      <c r="M604" s="93">
        <v>0</v>
      </c>
      <c r="N604" s="93">
        <v>0</v>
      </c>
      <c r="O604" s="93">
        <v>6.7068000000000003</v>
      </c>
    </row>
    <row r="605" spans="1:15">
      <c r="A605" s="81" t="s">
        <v>45</v>
      </c>
      <c r="B605" s="92" t="s">
        <v>49</v>
      </c>
      <c r="C605" s="92" t="s">
        <v>13</v>
      </c>
      <c r="D605" s="92">
        <v>2014</v>
      </c>
      <c r="E605" s="81">
        <v>3</v>
      </c>
      <c r="F605" s="81">
        <v>10563.50589634447</v>
      </c>
      <c r="G605" s="81">
        <v>10563.50589634447</v>
      </c>
      <c r="H605" s="92">
        <v>93</v>
      </c>
      <c r="I605" s="81"/>
      <c r="J605" s="93">
        <v>0</v>
      </c>
      <c r="K605" s="93">
        <v>0</v>
      </c>
      <c r="L605" s="93">
        <v>0</v>
      </c>
      <c r="M605" s="93">
        <v>0</v>
      </c>
      <c r="N605" s="93">
        <v>0</v>
      </c>
      <c r="O605" s="93">
        <v>6.7068000000000003</v>
      </c>
    </row>
    <row r="606" spans="1:15">
      <c r="A606" s="81" t="s">
        <v>45</v>
      </c>
      <c r="B606" s="92" t="s">
        <v>49</v>
      </c>
      <c r="C606" s="92" t="s">
        <v>13</v>
      </c>
      <c r="D606" s="92">
        <v>2014</v>
      </c>
      <c r="E606" s="81">
        <v>4</v>
      </c>
      <c r="F606" s="81">
        <v>10530.226967229935</v>
      </c>
      <c r="G606" s="81">
        <v>10530.226967229935</v>
      </c>
      <c r="H606" s="92">
        <v>90</v>
      </c>
      <c r="I606" s="81"/>
      <c r="J606" s="93">
        <v>0</v>
      </c>
      <c r="K606" s="93">
        <v>0</v>
      </c>
      <c r="L606" s="93">
        <v>0</v>
      </c>
      <c r="M606" s="93">
        <v>0</v>
      </c>
      <c r="N606" s="93">
        <v>0</v>
      </c>
      <c r="O606" s="93">
        <v>6.7068000000000003</v>
      </c>
    </row>
    <row r="607" spans="1:15">
      <c r="A607" s="81" t="s">
        <v>45</v>
      </c>
      <c r="B607" s="92" t="s">
        <v>49</v>
      </c>
      <c r="C607" s="92" t="s">
        <v>13</v>
      </c>
      <c r="D607" s="92">
        <v>2014</v>
      </c>
      <c r="E607" s="81">
        <v>5</v>
      </c>
      <c r="F607" s="81">
        <v>10580.969507842054</v>
      </c>
      <c r="G607" s="81">
        <v>10580.969507842054</v>
      </c>
      <c r="H607" s="92">
        <v>85</v>
      </c>
      <c r="I607" s="81"/>
      <c r="J607" s="93">
        <v>0</v>
      </c>
      <c r="K607" s="93">
        <v>0</v>
      </c>
      <c r="L607" s="93">
        <v>0</v>
      </c>
      <c r="M607" s="93">
        <v>0</v>
      </c>
      <c r="N607" s="93">
        <v>0</v>
      </c>
      <c r="O607" s="93">
        <v>6.7068000000000003</v>
      </c>
    </row>
    <row r="608" spans="1:15">
      <c r="A608" s="81" t="s">
        <v>45</v>
      </c>
      <c r="B608" s="92" t="s">
        <v>49</v>
      </c>
      <c r="C608" s="92" t="s">
        <v>13</v>
      </c>
      <c r="D608" s="92">
        <v>2014</v>
      </c>
      <c r="E608" s="81">
        <v>6</v>
      </c>
      <c r="F608" s="81">
        <v>10668.864204066547</v>
      </c>
      <c r="G608" s="81">
        <v>10668.864204066547</v>
      </c>
      <c r="H608" s="92">
        <v>79</v>
      </c>
      <c r="I608" s="81"/>
      <c r="J608" s="93">
        <v>0</v>
      </c>
      <c r="K608" s="93">
        <v>0</v>
      </c>
      <c r="L608" s="93">
        <v>0</v>
      </c>
      <c r="M608" s="93">
        <v>0</v>
      </c>
      <c r="N608" s="93">
        <v>0</v>
      </c>
      <c r="O608" s="93">
        <v>6.7068000000000003</v>
      </c>
    </row>
    <row r="609" spans="1:15">
      <c r="A609" s="81" t="s">
        <v>45</v>
      </c>
      <c r="B609" s="92" t="s">
        <v>49</v>
      </c>
      <c r="C609" s="92" t="s">
        <v>13</v>
      </c>
      <c r="D609" s="92">
        <v>2014</v>
      </c>
      <c r="E609" s="81">
        <v>7</v>
      </c>
      <c r="F609" s="81">
        <v>10858.696621924566</v>
      </c>
      <c r="G609" s="81">
        <v>10858.696621924566</v>
      </c>
      <c r="H609" s="92">
        <v>86</v>
      </c>
      <c r="I609" s="81"/>
      <c r="J609" s="93">
        <v>0</v>
      </c>
      <c r="K609" s="93">
        <v>0</v>
      </c>
      <c r="L609" s="93">
        <v>0</v>
      </c>
      <c r="M609" s="93">
        <v>0</v>
      </c>
      <c r="N609" s="93">
        <v>0</v>
      </c>
      <c r="O609" s="93">
        <v>6.7068000000000003</v>
      </c>
    </row>
    <row r="610" spans="1:15">
      <c r="A610" s="81" t="s">
        <v>45</v>
      </c>
      <c r="B610" s="92" t="s">
        <v>49</v>
      </c>
      <c r="C610" s="92" t="s">
        <v>13</v>
      </c>
      <c r="D610" s="92">
        <v>2014</v>
      </c>
      <c r="E610" s="81">
        <v>8</v>
      </c>
      <c r="F610" s="81">
        <v>11050.836100717717</v>
      </c>
      <c r="G610" s="81">
        <v>11050.836100717717</v>
      </c>
      <c r="H610" s="92">
        <v>93</v>
      </c>
      <c r="I610" s="81"/>
      <c r="J610" s="93">
        <v>0</v>
      </c>
      <c r="K610" s="93">
        <v>0</v>
      </c>
      <c r="L610" s="93">
        <v>0</v>
      </c>
      <c r="M610" s="93">
        <v>0</v>
      </c>
      <c r="N610" s="93">
        <v>0</v>
      </c>
      <c r="O610" s="93">
        <v>6.7068000000000003</v>
      </c>
    </row>
    <row r="611" spans="1:15">
      <c r="A611" s="81" t="s">
        <v>45</v>
      </c>
      <c r="B611" s="92" t="s">
        <v>49</v>
      </c>
      <c r="C611" s="92" t="s">
        <v>13</v>
      </c>
      <c r="D611" s="92">
        <v>2014</v>
      </c>
      <c r="E611" s="81">
        <v>9</v>
      </c>
      <c r="F611" s="81">
        <v>12043.386726114069</v>
      </c>
      <c r="G611" s="81">
        <v>12043.386726114069</v>
      </c>
      <c r="H611" s="92">
        <v>93</v>
      </c>
      <c r="I611" s="81"/>
      <c r="J611" s="93">
        <v>0</v>
      </c>
      <c r="K611" s="93">
        <v>0</v>
      </c>
      <c r="L611" s="93">
        <v>0</v>
      </c>
      <c r="M611" s="93">
        <v>0</v>
      </c>
      <c r="N611" s="93">
        <v>0</v>
      </c>
      <c r="O611" s="93">
        <v>6.7068000000000003</v>
      </c>
    </row>
    <row r="612" spans="1:15">
      <c r="A612" s="81" t="s">
        <v>45</v>
      </c>
      <c r="B612" s="92" t="s">
        <v>49</v>
      </c>
      <c r="C612" s="92" t="s">
        <v>13</v>
      </c>
      <c r="D612" s="92">
        <v>2014</v>
      </c>
      <c r="E612" s="81">
        <v>10</v>
      </c>
      <c r="F612" s="81">
        <v>12512.882793445327</v>
      </c>
      <c r="G612" s="81">
        <v>12512.882793445327</v>
      </c>
      <c r="H612" s="92">
        <v>83</v>
      </c>
      <c r="I612" s="81"/>
      <c r="J612" s="93">
        <v>0</v>
      </c>
      <c r="K612" s="93">
        <v>0</v>
      </c>
      <c r="L612" s="93">
        <v>0</v>
      </c>
      <c r="M612" s="93">
        <v>0</v>
      </c>
      <c r="N612" s="93">
        <v>0</v>
      </c>
      <c r="O612" s="93">
        <v>6.7068000000000003</v>
      </c>
    </row>
    <row r="613" spans="1:15">
      <c r="A613" s="81" t="s">
        <v>45</v>
      </c>
      <c r="B613" s="92" t="s">
        <v>49</v>
      </c>
      <c r="C613" s="92" t="s">
        <v>13</v>
      </c>
      <c r="D613" s="92">
        <v>2014</v>
      </c>
      <c r="E613" s="81">
        <v>11</v>
      </c>
      <c r="F613" s="81">
        <v>12737.467825039368</v>
      </c>
      <c r="G613" s="81">
        <v>7698.7481589789777</v>
      </c>
      <c r="H613" s="92">
        <v>83</v>
      </c>
      <c r="I613" s="81"/>
      <c r="J613" s="93">
        <v>4930.3269445178366</v>
      </c>
      <c r="K613" s="93">
        <v>4970.5332364043397</v>
      </c>
      <c r="L613" s="93">
        <v>5038.7196660603904</v>
      </c>
      <c r="M613" s="93">
        <v>5106.9060957164429</v>
      </c>
      <c r="N613" s="93">
        <v>5147.1123876029369</v>
      </c>
      <c r="O613" s="93">
        <v>6.7068000000000003</v>
      </c>
    </row>
    <row r="614" spans="1:15">
      <c r="A614" s="81" t="s">
        <v>45</v>
      </c>
      <c r="B614" s="92" t="s">
        <v>49</v>
      </c>
      <c r="C614" s="92" t="s">
        <v>13</v>
      </c>
      <c r="D614" s="92">
        <v>2014</v>
      </c>
      <c r="E614" s="81">
        <v>12</v>
      </c>
      <c r="F614" s="81">
        <v>12918.572152105246</v>
      </c>
      <c r="G614" s="81">
        <v>7808.2107793155465</v>
      </c>
      <c r="H614" s="92">
        <v>81</v>
      </c>
      <c r="I614" s="81"/>
      <c r="J614" s="93">
        <v>5007.8233467578721</v>
      </c>
      <c r="K614" s="93">
        <v>5045.8579467331365</v>
      </c>
      <c r="L614" s="93">
        <v>5110.3613727896991</v>
      </c>
      <c r="M614" s="93">
        <v>5174.8647988462617</v>
      </c>
      <c r="N614" s="93">
        <v>5212.899398821517</v>
      </c>
      <c r="O614" s="93">
        <v>6.7068000000000003</v>
      </c>
    </row>
    <row r="615" spans="1:15">
      <c r="A615" s="81" t="s">
        <v>45</v>
      </c>
      <c r="B615" s="92" t="s">
        <v>49</v>
      </c>
      <c r="C615" s="92" t="s">
        <v>13</v>
      </c>
      <c r="D615" s="92">
        <v>2014</v>
      </c>
      <c r="E615" s="81">
        <v>13</v>
      </c>
      <c r="F615" s="81">
        <v>12908.502276980458</v>
      </c>
      <c r="G615" s="81">
        <v>7802.1243708046095</v>
      </c>
      <c r="H615" s="92">
        <v>80</v>
      </c>
      <c r="I615" s="81"/>
      <c r="J615" s="93">
        <v>5006.3022116543862</v>
      </c>
      <c r="K615" s="93">
        <v>5043.4234549206549</v>
      </c>
      <c r="L615" s="93">
        <v>5106.3779061758487</v>
      </c>
      <c r="M615" s="93">
        <v>5169.3323574310334</v>
      </c>
      <c r="N615" s="93">
        <v>5206.453600697303</v>
      </c>
      <c r="O615" s="93">
        <v>6.7068000000000003</v>
      </c>
    </row>
    <row r="616" spans="1:15">
      <c r="A616" s="81" t="s">
        <v>45</v>
      </c>
      <c r="B616" s="92" t="s">
        <v>49</v>
      </c>
      <c r="C616" s="92" t="s">
        <v>13</v>
      </c>
      <c r="D616" s="92">
        <v>2014</v>
      </c>
      <c r="E616" s="81">
        <v>14</v>
      </c>
      <c r="F616" s="81">
        <v>12970.13295715485</v>
      </c>
      <c r="G616" s="81">
        <v>7839.3750309865727</v>
      </c>
      <c r="H616" s="92">
        <v>90</v>
      </c>
      <c r="I616" s="81"/>
      <c r="J616" s="93">
        <v>5038.6454955594027</v>
      </c>
      <c r="K616" s="93">
        <v>5072.8129121417187</v>
      </c>
      <c r="L616" s="93">
        <v>5130.7579261682777</v>
      </c>
      <c r="M616" s="93">
        <v>5188.7029401948384</v>
      </c>
      <c r="N616" s="93">
        <v>5222.8703567771463</v>
      </c>
      <c r="O616" s="93">
        <v>6.7068000000000003</v>
      </c>
    </row>
    <row r="617" spans="1:15">
      <c r="A617" s="81" t="s">
        <v>45</v>
      </c>
      <c r="B617" s="92" t="s">
        <v>49</v>
      </c>
      <c r="C617" s="92" t="s">
        <v>13</v>
      </c>
      <c r="D617" s="92">
        <v>2014</v>
      </c>
      <c r="E617" s="81">
        <v>15</v>
      </c>
      <c r="F617" s="81">
        <v>12660.553196400546</v>
      </c>
      <c r="G617" s="81">
        <v>7652.259613236185</v>
      </c>
      <c r="H617" s="92">
        <v>84</v>
      </c>
      <c r="I617" s="81"/>
      <c r="J617" s="93">
        <v>4913.1187598759279</v>
      </c>
      <c r="K617" s="93">
        <v>4948.4221148514571</v>
      </c>
      <c r="L617" s="93">
        <v>5008.2935831643608</v>
      </c>
      <c r="M617" s="93">
        <v>5068.1650514772646</v>
      </c>
      <c r="N617" s="93">
        <v>5103.4684064527937</v>
      </c>
      <c r="O617" s="93">
        <v>6.7068000000000003</v>
      </c>
    </row>
    <row r="618" spans="1:15">
      <c r="A618" s="81" t="s">
        <v>45</v>
      </c>
      <c r="B618" s="92" t="s">
        <v>49</v>
      </c>
      <c r="C618" s="92" t="s">
        <v>13</v>
      </c>
      <c r="D618" s="92">
        <v>2014</v>
      </c>
      <c r="E618" s="81">
        <v>16</v>
      </c>
      <c r="F618" s="81">
        <v>12544.836056350448</v>
      </c>
      <c r="G618" s="81">
        <v>7582.3181514668604</v>
      </c>
      <c r="H618" s="92">
        <v>76</v>
      </c>
      <c r="I618" s="81"/>
      <c r="J618" s="93">
        <v>4869.0314668354367</v>
      </c>
      <c r="K618" s="93">
        <v>4903.7085462749246</v>
      </c>
      <c r="L618" s="93">
        <v>4962.517904883588</v>
      </c>
      <c r="M618" s="93">
        <v>5021.3272634922623</v>
      </c>
      <c r="N618" s="93">
        <v>5056.0043429317484</v>
      </c>
      <c r="O618" s="93">
        <v>6.7068000000000003</v>
      </c>
    </row>
    <row r="619" spans="1:15">
      <c r="A619" s="81" t="s">
        <v>45</v>
      </c>
      <c r="B619" s="92" t="s">
        <v>49</v>
      </c>
      <c r="C619" s="92" t="s">
        <v>13</v>
      </c>
      <c r="D619" s="92">
        <v>2014</v>
      </c>
      <c r="E619" s="81">
        <v>17</v>
      </c>
      <c r="F619" s="81">
        <v>12395.101288369084</v>
      </c>
      <c r="G619" s="81">
        <v>7491.8158408690224</v>
      </c>
      <c r="H619" s="92">
        <v>72</v>
      </c>
      <c r="I619" s="81"/>
      <c r="J619" s="93">
        <v>4792.1382100431565</v>
      </c>
      <c r="K619" s="93">
        <v>4833.3662390839845</v>
      </c>
      <c r="L619" s="93">
        <v>4903.2854475000613</v>
      </c>
      <c r="M619" s="93">
        <v>4973.2046559161463</v>
      </c>
      <c r="N619" s="93">
        <v>5014.4326849569752</v>
      </c>
      <c r="O619" s="93">
        <v>6.7068000000000003</v>
      </c>
    </row>
    <row r="620" spans="1:15">
      <c r="A620" s="81" t="s">
        <v>45</v>
      </c>
      <c r="B620" s="92" t="s">
        <v>49</v>
      </c>
      <c r="C620" s="92" t="s">
        <v>13</v>
      </c>
      <c r="D620" s="92">
        <v>2014</v>
      </c>
      <c r="E620" s="81">
        <v>18</v>
      </c>
      <c r="F620" s="81">
        <v>12151.818840846205</v>
      </c>
      <c r="G620" s="81">
        <v>7344.771677876377</v>
      </c>
      <c r="H620" s="92">
        <v>69</v>
      </c>
      <c r="I620" s="81"/>
      <c r="J620" s="93">
        <v>4710.3152086012888</v>
      </c>
      <c r="K620" s="93">
        <v>4746.1961527896547</v>
      </c>
      <c r="L620" s="93">
        <v>4807.0471629698277</v>
      </c>
      <c r="M620" s="93">
        <v>4867.8981731500107</v>
      </c>
      <c r="N620" s="93">
        <v>4903.7791173383766</v>
      </c>
      <c r="O620" s="93">
        <v>6.7068000000000003</v>
      </c>
    </row>
    <row r="621" spans="1:15">
      <c r="A621" s="81" t="s">
        <v>45</v>
      </c>
      <c r="B621" s="92" t="s">
        <v>49</v>
      </c>
      <c r="C621" s="92" t="s">
        <v>13</v>
      </c>
      <c r="D621" s="92">
        <v>2014</v>
      </c>
      <c r="E621" s="81">
        <v>19</v>
      </c>
      <c r="F621" s="81">
        <v>11909.296104433128</v>
      </c>
      <c r="G621" s="81">
        <v>11909.296104433128</v>
      </c>
      <c r="H621" s="92">
        <v>72</v>
      </c>
      <c r="I621" s="81"/>
      <c r="J621" s="93">
        <v>0</v>
      </c>
      <c r="K621" s="93">
        <v>0</v>
      </c>
      <c r="L621" s="93">
        <v>0</v>
      </c>
      <c r="M621" s="93">
        <v>0</v>
      </c>
      <c r="N621" s="93">
        <v>0</v>
      </c>
      <c r="O621" s="93">
        <v>6.7068000000000003</v>
      </c>
    </row>
    <row r="622" spans="1:15">
      <c r="A622" s="81" t="s">
        <v>45</v>
      </c>
      <c r="B622" s="92" t="s">
        <v>49</v>
      </c>
      <c r="C622" s="92" t="s">
        <v>13</v>
      </c>
      <c r="D622" s="92">
        <v>2014</v>
      </c>
      <c r="E622" s="81">
        <v>20</v>
      </c>
      <c r="F622" s="81">
        <v>11684.414310497574</v>
      </c>
      <c r="G622" s="81">
        <v>11684.414310497574</v>
      </c>
      <c r="H622" s="92">
        <v>62</v>
      </c>
      <c r="I622" s="81"/>
      <c r="J622" s="93">
        <v>0</v>
      </c>
      <c r="K622" s="93">
        <v>0</v>
      </c>
      <c r="L622" s="93">
        <v>0</v>
      </c>
      <c r="M622" s="93">
        <v>0</v>
      </c>
      <c r="N622" s="93">
        <v>0</v>
      </c>
      <c r="O622" s="93">
        <v>6.7068000000000003</v>
      </c>
    </row>
    <row r="623" spans="1:15">
      <c r="A623" s="81" t="s">
        <v>45</v>
      </c>
      <c r="B623" s="92" t="s">
        <v>49</v>
      </c>
      <c r="C623" s="92" t="s">
        <v>13</v>
      </c>
      <c r="D623" s="92">
        <v>2014</v>
      </c>
      <c r="E623" s="81">
        <v>21</v>
      </c>
      <c r="F623" s="81">
        <v>11506.221325371027</v>
      </c>
      <c r="G623" s="81">
        <v>11506.221325371027</v>
      </c>
      <c r="H623" s="92">
        <v>68</v>
      </c>
      <c r="I623" s="81"/>
      <c r="J623" s="93">
        <v>0</v>
      </c>
      <c r="K623" s="93">
        <v>0</v>
      </c>
      <c r="L623" s="93">
        <v>0</v>
      </c>
      <c r="M623" s="93">
        <v>0</v>
      </c>
      <c r="N623" s="93">
        <v>0</v>
      </c>
      <c r="O623" s="93">
        <v>6.7068000000000003</v>
      </c>
    </row>
    <row r="624" spans="1:15">
      <c r="A624" s="81" t="s">
        <v>45</v>
      </c>
      <c r="B624" s="92" t="s">
        <v>49</v>
      </c>
      <c r="C624" s="92" t="s">
        <v>13</v>
      </c>
      <c r="D624" s="92">
        <v>2014</v>
      </c>
      <c r="E624" s="81">
        <v>22</v>
      </c>
      <c r="F624" s="81">
        <v>11232.327896883029</v>
      </c>
      <c r="G624" s="81">
        <v>11232.327896883029</v>
      </c>
      <c r="H624" s="92">
        <v>73</v>
      </c>
      <c r="I624" s="81"/>
      <c r="J624" s="93">
        <v>0</v>
      </c>
      <c r="K624" s="93">
        <v>0</v>
      </c>
      <c r="L624" s="93">
        <v>0</v>
      </c>
      <c r="M624" s="93">
        <v>0</v>
      </c>
      <c r="N624" s="93">
        <v>0</v>
      </c>
      <c r="O624" s="93">
        <v>6.7068000000000003</v>
      </c>
    </row>
    <row r="625" spans="1:15">
      <c r="A625" s="81" t="s">
        <v>45</v>
      </c>
      <c r="B625" s="92" t="s">
        <v>49</v>
      </c>
      <c r="C625" s="92" t="s">
        <v>13</v>
      </c>
      <c r="D625" s="92">
        <v>2014</v>
      </c>
      <c r="E625" s="81">
        <v>23</v>
      </c>
      <c r="F625" s="81">
        <v>11035.094075605923</v>
      </c>
      <c r="G625" s="81">
        <v>11035.094075605923</v>
      </c>
      <c r="H625" s="92">
        <v>69</v>
      </c>
      <c r="I625" s="81"/>
      <c r="J625" s="93">
        <v>0</v>
      </c>
      <c r="K625" s="93">
        <v>0</v>
      </c>
      <c r="L625" s="93">
        <v>0</v>
      </c>
      <c r="M625" s="93">
        <v>0</v>
      </c>
      <c r="N625" s="93">
        <v>0</v>
      </c>
      <c r="O625" s="93">
        <v>6.7068000000000003</v>
      </c>
    </row>
    <row r="626" spans="1:15">
      <c r="A626" s="81" t="s">
        <v>45</v>
      </c>
      <c r="B626" s="92" t="s">
        <v>49</v>
      </c>
      <c r="C626" s="92" t="s">
        <v>13</v>
      </c>
      <c r="D626" s="92">
        <v>2014</v>
      </c>
      <c r="E626" s="81">
        <v>24</v>
      </c>
      <c r="F626" s="81">
        <v>10895.353372309677</v>
      </c>
      <c r="G626" s="81">
        <v>10895.353372309677</v>
      </c>
      <c r="H626" s="92">
        <v>66</v>
      </c>
      <c r="I626" s="81"/>
      <c r="J626" s="93">
        <v>0</v>
      </c>
      <c r="K626" s="93">
        <v>0</v>
      </c>
      <c r="L626" s="93">
        <v>0</v>
      </c>
      <c r="M626" s="93">
        <v>0</v>
      </c>
      <c r="N626" s="93">
        <v>0</v>
      </c>
      <c r="O626" s="93">
        <v>6.7068000000000003</v>
      </c>
    </row>
    <row r="627" spans="1:15">
      <c r="A627" s="81" t="s">
        <v>45</v>
      </c>
      <c r="B627" s="92" t="s">
        <v>49</v>
      </c>
      <c r="C627" s="92" t="s">
        <v>14</v>
      </c>
      <c r="D627" s="92">
        <v>2014</v>
      </c>
      <c r="E627" s="81">
        <v>1</v>
      </c>
      <c r="F627" s="81">
        <v>10362.248844219828</v>
      </c>
      <c r="G627" s="81">
        <v>10362.248844219828</v>
      </c>
      <c r="H627" s="92">
        <v>73</v>
      </c>
      <c r="I627" s="81"/>
      <c r="J627" s="93">
        <v>0</v>
      </c>
      <c r="K627" s="93">
        <v>0</v>
      </c>
      <c r="L627" s="93">
        <v>0</v>
      </c>
      <c r="M627" s="93">
        <v>0</v>
      </c>
      <c r="N627" s="93">
        <v>0</v>
      </c>
      <c r="O627" s="93">
        <v>6.7068000000000003</v>
      </c>
    </row>
    <row r="628" spans="1:15">
      <c r="A628" s="81" t="s">
        <v>45</v>
      </c>
      <c r="B628" s="92" t="s">
        <v>49</v>
      </c>
      <c r="C628" s="92" t="s">
        <v>14</v>
      </c>
      <c r="D628" s="92">
        <v>2014</v>
      </c>
      <c r="E628" s="81">
        <v>2</v>
      </c>
      <c r="F628" s="81">
        <v>10290.712443994862</v>
      </c>
      <c r="G628" s="81">
        <v>10290.712443994862</v>
      </c>
      <c r="H628" s="92">
        <v>68</v>
      </c>
      <c r="I628" s="81"/>
      <c r="J628" s="93">
        <v>0</v>
      </c>
      <c r="K628" s="93">
        <v>0</v>
      </c>
      <c r="L628" s="93">
        <v>0</v>
      </c>
      <c r="M628" s="93">
        <v>0</v>
      </c>
      <c r="N628" s="93">
        <v>0</v>
      </c>
      <c r="O628" s="93">
        <v>6.7068000000000003</v>
      </c>
    </row>
    <row r="629" spans="1:15">
      <c r="A629" s="81" t="s">
        <v>45</v>
      </c>
      <c r="B629" s="92" t="s">
        <v>49</v>
      </c>
      <c r="C629" s="92" t="s">
        <v>14</v>
      </c>
      <c r="D629" s="92">
        <v>2014</v>
      </c>
      <c r="E629" s="81">
        <v>3</v>
      </c>
      <c r="F629" s="81">
        <v>10213.000915835106</v>
      </c>
      <c r="G629" s="81">
        <v>10213.000915835106</v>
      </c>
      <c r="H629" s="92">
        <v>91</v>
      </c>
      <c r="I629" s="81"/>
      <c r="J629" s="93">
        <v>0</v>
      </c>
      <c r="K629" s="93">
        <v>0</v>
      </c>
      <c r="L629" s="93">
        <v>0</v>
      </c>
      <c r="M629" s="93">
        <v>0</v>
      </c>
      <c r="N629" s="93">
        <v>0</v>
      </c>
      <c r="O629" s="93">
        <v>6.7068000000000003</v>
      </c>
    </row>
    <row r="630" spans="1:15">
      <c r="A630" s="81" t="s">
        <v>45</v>
      </c>
      <c r="B630" s="92" t="s">
        <v>49</v>
      </c>
      <c r="C630" s="92" t="s">
        <v>14</v>
      </c>
      <c r="D630" s="92">
        <v>2014</v>
      </c>
      <c r="E630" s="81">
        <v>4</v>
      </c>
      <c r="F630" s="81">
        <v>10207.759921634843</v>
      </c>
      <c r="G630" s="81">
        <v>10207.759921634843</v>
      </c>
      <c r="H630" s="92">
        <v>74</v>
      </c>
      <c r="I630" s="81"/>
      <c r="J630" s="93">
        <v>0</v>
      </c>
      <c r="K630" s="93">
        <v>0</v>
      </c>
      <c r="L630" s="93">
        <v>0</v>
      </c>
      <c r="M630" s="93">
        <v>0</v>
      </c>
      <c r="N630" s="93">
        <v>0</v>
      </c>
      <c r="O630" s="93">
        <v>6.7068000000000003</v>
      </c>
    </row>
    <row r="631" spans="1:15">
      <c r="A631" s="81" t="s">
        <v>45</v>
      </c>
      <c r="B631" s="92" t="s">
        <v>49</v>
      </c>
      <c r="C631" s="92" t="s">
        <v>14</v>
      </c>
      <c r="D631" s="92">
        <v>2014</v>
      </c>
      <c r="E631" s="81">
        <v>5</v>
      </c>
      <c r="F631" s="81">
        <v>10264.591985618099</v>
      </c>
      <c r="G631" s="81">
        <v>10264.591985618099</v>
      </c>
      <c r="H631" s="92">
        <v>64</v>
      </c>
      <c r="I631" s="81"/>
      <c r="J631" s="93">
        <v>0</v>
      </c>
      <c r="K631" s="93">
        <v>0</v>
      </c>
      <c r="L631" s="93">
        <v>0</v>
      </c>
      <c r="M631" s="93">
        <v>0</v>
      </c>
      <c r="N631" s="93">
        <v>0</v>
      </c>
      <c r="O631" s="93">
        <v>6.7068000000000003</v>
      </c>
    </row>
    <row r="632" spans="1:15">
      <c r="A632" s="81" t="s">
        <v>45</v>
      </c>
      <c r="B632" s="92" t="s">
        <v>49</v>
      </c>
      <c r="C632" s="92" t="s">
        <v>14</v>
      </c>
      <c r="D632" s="92">
        <v>2014</v>
      </c>
      <c r="E632" s="81">
        <v>6</v>
      </c>
      <c r="F632" s="81">
        <v>10324.781087543493</v>
      </c>
      <c r="G632" s="81">
        <v>10324.781087543493</v>
      </c>
      <c r="H632" s="92">
        <v>68</v>
      </c>
      <c r="I632" s="81"/>
      <c r="J632" s="93">
        <v>0</v>
      </c>
      <c r="K632" s="93">
        <v>0</v>
      </c>
      <c r="L632" s="93">
        <v>0</v>
      </c>
      <c r="M632" s="93">
        <v>0</v>
      </c>
      <c r="N632" s="93">
        <v>0</v>
      </c>
      <c r="O632" s="93">
        <v>6.7068000000000003</v>
      </c>
    </row>
    <row r="633" spans="1:15">
      <c r="A633" s="81" t="s">
        <v>45</v>
      </c>
      <c r="B633" s="92" t="s">
        <v>49</v>
      </c>
      <c r="C633" s="92" t="s">
        <v>14</v>
      </c>
      <c r="D633" s="92">
        <v>2014</v>
      </c>
      <c r="E633" s="81">
        <v>7</v>
      </c>
      <c r="F633" s="81">
        <v>10633.837163610537</v>
      </c>
      <c r="G633" s="81">
        <v>10633.837163610537</v>
      </c>
      <c r="H633" s="92">
        <v>71</v>
      </c>
      <c r="I633" s="81"/>
      <c r="J633" s="93">
        <v>0</v>
      </c>
      <c r="K633" s="93">
        <v>0</v>
      </c>
      <c r="L633" s="93">
        <v>0</v>
      </c>
      <c r="M633" s="93">
        <v>0</v>
      </c>
      <c r="N633" s="93">
        <v>0</v>
      </c>
      <c r="O633" s="93">
        <v>6.7068000000000003</v>
      </c>
    </row>
    <row r="634" spans="1:15">
      <c r="A634" s="81" t="s">
        <v>45</v>
      </c>
      <c r="B634" s="92" t="s">
        <v>49</v>
      </c>
      <c r="C634" s="92" t="s">
        <v>14</v>
      </c>
      <c r="D634" s="92">
        <v>2014</v>
      </c>
      <c r="E634" s="81">
        <v>8</v>
      </c>
      <c r="F634" s="81">
        <v>10983.880627386699</v>
      </c>
      <c r="G634" s="81">
        <v>10983.880627386699</v>
      </c>
      <c r="H634" s="92">
        <v>71</v>
      </c>
      <c r="I634" s="81"/>
      <c r="J634" s="93">
        <v>0</v>
      </c>
      <c r="K634" s="93">
        <v>0</v>
      </c>
      <c r="L634" s="93">
        <v>0</v>
      </c>
      <c r="M634" s="93">
        <v>0</v>
      </c>
      <c r="N634" s="93">
        <v>0</v>
      </c>
      <c r="O634" s="93">
        <v>6.7068000000000003</v>
      </c>
    </row>
    <row r="635" spans="1:15">
      <c r="A635" s="81" t="s">
        <v>45</v>
      </c>
      <c r="B635" s="92" t="s">
        <v>49</v>
      </c>
      <c r="C635" s="92" t="s">
        <v>14</v>
      </c>
      <c r="D635" s="92">
        <v>2014</v>
      </c>
      <c r="E635" s="81">
        <v>9</v>
      </c>
      <c r="F635" s="81">
        <v>12004.103283333267</v>
      </c>
      <c r="G635" s="81">
        <v>12004.103283333267</v>
      </c>
      <c r="H635" s="92">
        <v>63</v>
      </c>
      <c r="I635" s="81"/>
      <c r="J635" s="93">
        <v>0</v>
      </c>
      <c r="K635" s="93">
        <v>0</v>
      </c>
      <c r="L635" s="93">
        <v>0</v>
      </c>
      <c r="M635" s="93">
        <v>0</v>
      </c>
      <c r="N635" s="93">
        <v>0</v>
      </c>
      <c r="O635" s="93">
        <v>6.7068000000000003</v>
      </c>
    </row>
    <row r="636" spans="1:15">
      <c r="A636" s="81" t="s">
        <v>45</v>
      </c>
      <c r="B636" s="92" t="s">
        <v>49</v>
      </c>
      <c r="C636" s="92" t="s">
        <v>14</v>
      </c>
      <c r="D636" s="92">
        <v>2014</v>
      </c>
      <c r="E636" s="81">
        <v>10</v>
      </c>
      <c r="F636" s="81">
        <v>12487.491999534579</v>
      </c>
      <c r="G636" s="81">
        <v>12487.491999534579</v>
      </c>
      <c r="H636" s="92">
        <v>63</v>
      </c>
      <c r="I636" s="81"/>
      <c r="J636" s="93">
        <v>0</v>
      </c>
      <c r="K636" s="93">
        <v>0</v>
      </c>
      <c r="L636" s="93">
        <v>0</v>
      </c>
      <c r="M636" s="93">
        <v>0</v>
      </c>
      <c r="N636" s="93">
        <v>0</v>
      </c>
      <c r="O636" s="93">
        <v>6.7068000000000003</v>
      </c>
    </row>
    <row r="637" spans="1:15">
      <c r="A637" s="81" t="s">
        <v>45</v>
      </c>
      <c r="B637" s="92" t="s">
        <v>49</v>
      </c>
      <c r="C637" s="92" t="s">
        <v>14</v>
      </c>
      <c r="D637" s="92">
        <v>2014</v>
      </c>
      <c r="E637" s="81">
        <v>11</v>
      </c>
      <c r="F637" s="81">
        <v>12786.874552541929</v>
      </c>
      <c r="G637" s="81">
        <v>7732.8171243557499</v>
      </c>
      <c r="H637" s="92">
        <v>69</v>
      </c>
      <c r="I637" s="81"/>
      <c r="J637" s="93">
        <v>4933.4604415319063</v>
      </c>
      <c r="K637" s="93">
        <v>4978.1936817075457</v>
      </c>
      <c r="L637" s="93">
        <v>5054.0574281861791</v>
      </c>
      <c r="M637" s="93">
        <v>5129.9211746648116</v>
      </c>
      <c r="N637" s="93">
        <v>5174.6544148404419</v>
      </c>
      <c r="O637" s="93">
        <v>6.7068000000000003</v>
      </c>
    </row>
    <row r="638" spans="1:15">
      <c r="A638" s="81" t="s">
        <v>45</v>
      </c>
      <c r="B638" s="92" t="s">
        <v>49</v>
      </c>
      <c r="C638" s="92" t="s">
        <v>14</v>
      </c>
      <c r="D638" s="92">
        <v>2014</v>
      </c>
      <c r="E638" s="81">
        <v>12</v>
      </c>
      <c r="F638" s="81">
        <v>13025.57213671448</v>
      </c>
      <c r="G638" s="81">
        <v>7877.1686434738376</v>
      </c>
      <c r="H638" s="92">
        <v>71</v>
      </c>
      <c r="I638" s="81"/>
      <c r="J638" s="93">
        <v>5034.3204000131982</v>
      </c>
      <c r="K638" s="93">
        <v>5076.6374309018129</v>
      </c>
      <c r="L638" s="93">
        <v>5148.4034932406421</v>
      </c>
      <c r="M638" s="93">
        <v>5220.1695555794631</v>
      </c>
      <c r="N638" s="93">
        <v>5262.4865864680787</v>
      </c>
      <c r="O638" s="93">
        <v>6.7068000000000003</v>
      </c>
    </row>
    <row r="639" spans="1:15">
      <c r="A639" s="81" t="s">
        <v>45</v>
      </c>
      <c r="B639" s="92" t="s">
        <v>49</v>
      </c>
      <c r="C639" s="92" t="s">
        <v>14</v>
      </c>
      <c r="D639" s="92">
        <v>2014</v>
      </c>
      <c r="E639" s="81">
        <v>13</v>
      </c>
      <c r="F639" s="81">
        <v>13011.262204748564</v>
      </c>
      <c r="G639" s="81">
        <v>7868.5147627698616</v>
      </c>
      <c r="H639" s="92">
        <v>69</v>
      </c>
      <c r="I639" s="81"/>
      <c r="J639" s="93">
        <v>5031.4039216309538</v>
      </c>
      <c r="K639" s="93">
        <v>5072.7047582098621</v>
      </c>
      <c r="L639" s="93">
        <v>5142.7474419787022</v>
      </c>
      <c r="M639" s="93">
        <v>5212.7901257475414</v>
      </c>
      <c r="N639" s="93">
        <v>5254.0909623264488</v>
      </c>
      <c r="O639" s="93">
        <v>6.7068000000000003</v>
      </c>
    </row>
    <row r="640" spans="1:15">
      <c r="A640" s="81" t="s">
        <v>45</v>
      </c>
      <c r="B640" s="92" t="s">
        <v>49</v>
      </c>
      <c r="C640" s="92" t="s">
        <v>14</v>
      </c>
      <c r="D640" s="92">
        <v>2014</v>
      </c>
      <c r="E640" s="81">
        <v>14</v>
      </c>
      <c r="F640" s="81">
        <v>12943.183159150076</v>
      </c>
      <c r="G640" s="81">
        <v>7827.3442009214132</v>
      </c>
      <c r="H640" s="92">
        <v>71</v>
      </c>
      <c r="I640" s="81"/>
      <c r="J640" s="93">
        <v>5013.3553098181037</v>
      </c>
      <c r="K640" s="93">
        <v>5051.3697394121727</v>
      </c>
      <c r="L640" s="93">
        <v>5115.8389582286627</v>
      </c>
      <c r="M640" s="93">
        <v>5180.3081770451627</v>
      </c>
      <c r="N640" s="93">
        <v>5218.3226066392226</v>
      </c>
      <c r="O640" s="93">
        <v>6.7068000000000003</v>
      </c>
    </row>
    <row r="641" spans="1:15">
      <c r="A641" s="81" t="s">
        <v>45</v>
      </c>
      <c r="B641" s="92" t="s">
        <v>49</v>
      </c>
      <c r="C641" s="92" t="s">
        <v>14</v>
      </c>
      <c r="D641" s="92">
        <v>2014</v>
      </c>
      <c r="E641" s="81">
        <v>15</v>
      </c>
      <c r="F641" s="81">
        <v>12477.18755943629</v>
      </c>
      <c r="G641" s="81">
        <v>7545.5350114643343</v>
      </c>
      <c r="H641" s="92">
        <v>62</v>
      </c>
      <c r="I641" s="81"/>
      <c r="J641" s="93">
        <v>4825.7617028063796</v>
      </c>
      <c r="K641" s="93">
        <v>4865.0399695409578</v>
      </c>
      <c r="L641" s="93">
        <v>4931.6525479719558</v>
      </c>
      <c r="M641" s="93">
        <v>4998.2651264029537</v>
      </c>
      <c r="N641" s="93">
        <v>5037.5433931375319</v>
      </c>
      <c r="O641" s="93">
        <v>6.7068000000000003</v>
      </c>
    </row>
    <row r="642" spans="1:15">
      <c r="A642" s="81" t="s">
        <v>45</v>
      </c>
      <c r="B642" s="92" t="s">
        <v>49</v>
      </c>
      <c r="C642" s="92" t="s">
        <v>14</v>
      </c>
      <c r="D642" s="92">
        <v>2014</v>
      </c>
      <c r="E642" s="81">
        <v>16</v>
      </c>
      <c r="F642" s="81">
        <v>12398.963037336225</v>
      </c>
      <c r="G642" s="81">
        <v>7498.2290086131779</v>
      </c>
      <c r="H642" s="92">
        <v>70</v>
      </c>
      <c r="I642" s="81"/>
      <c r="J642" s="93">
        <v>4796.7216692102984</v>
      </c>
      <c r="K642" s="93">
        <v>4835.3031461476667</v>
      </c>
      <c r="L642" s="93">
        <v>4900.7340287230472</v>
      </c>
      <c r="M642" s="93">
        <v>4966.1649112984205</v>
      </c>
      <c r="N642" s="93">
        <v>5004.7463882357879</v>
      </c>
      <c r="O642" s="93">
        <v>6.7068000000000003</v>
      </c>
    </row>
    <row r="643" spans="1:15">
      <c r="A643" s="81" t="s">
        <v>45</v>
      </c>
      <c r="B643" s="92" t="s">
        <v>49</v>
      </c>
      <c r="C643" s="92" t="s">
        <v>14</v>
      </c>
      <c r="D643" s="92">
        <v>2014</v>
      </c>
      <c r="E643" s="81">
        <v>17</v>
      </c>
      <c r="F643" s="81">
        <v>12279.17055923567</v>
      </c>
      <c r="G643" s="81">
        <v>7425.7849315075</v>
      </c>
      <c r="H643" s="92">
        <v>70</v>
      </c>
      <c r="I643" s="81"/>
      <c r="J643" s="93">
        <v>4729.7239858624152</v>
      </c>
      <c r="K643" s="93">
        <v>4775.5940036759866</v>
      </c>
      <c r="L643" s="93">
        <v>4853.3856277281702</v>
      </c>
      <c r="M643" s="93">
        <v>4931.1772517803556</v>
      </c>
      <c r="N643" s="93">
        <v>4977.0472695939279</v>
      </c>
      <c r="O643" s="93">
        <v>6.7068000000000003</v>
      </c>
    </row>
    <row r="644" spans="1:15">
      <c r="A644" s="81" t="s">
        <v>45</v>
      </c>
      <c r="B644" s="92" t="s">
        <v>49</v>
      </c>
      <c r="C644" s="92" t="s">
        <v>14</v>
      </c>
      <c r="D644" s="92">
        <v>2014</v>
      </c>
      <c r="E644" s="81">
        <v>18</v>
      </c>
      <c r="F644" s="81">
        <v>11962.703751204795</v>
      </c>
      <c r="G644" s="81">
        <v>7234.4027495383434</v>
      </c>
      <c r="H644" s="92">
        <v>88</v>
      </c>
      <c r="I644" s="81"/>
      <c r="J644" s="93">
        <v>4620.6777033120079</v>
      </c>
      <c r="K644" s="93">
        <v>4660.5985917798535</v>
      </c>
      <c r="L644" s="93">
        <v>4728.3010016664521</v>
      </c>
      <c r="M644" s="93">
        <v>4796.0034115530507</v>
      </c>
      <c r="N644" s="93">
        <v>4835.9243000209053</v>
      </c>
      <c r="O644" s="93">
        <v>6.7068000000000003</v>
      </c>
    </row>
    <row r="645" spans="1:15">
      <c r="A645" s="81" t="s">
        <v>45</v>
      </c>
      <c r="B645" s="92" t="s">
        <v>49</v>
      </c>
      <c r="C645" s="92" t="s">
        <v>14</v>
      </c>
      <c r="D645" s="92">
        <v>2014</v>
      </c>
      <c r="E645" s="81">
        <v>19</v>
      </c>
      <c r="F645" s="81">
        <v>11728.843839572004</v>
      </c>
      <c r="G645" s="81">
        <v>11728.843839572004</v>
      </c>
      <c r="H645" s="92">
        <v>87</v>
      </c>
      <c r="I645" s="81"/>
      <c r="J645" s="93">
        <v>0</v>
      </c>
      <c r="K645" s="93">
        <v>0</v>
      </c>
      <c r="L645" s="93">
        <v>0</v>
      </c>
      <c r="M645" s="93">
        <v>0</v>
      </c>
      <c r="N645" s="93">
        <v>0</v>
      </c>
      <c r="O645" s="93">
        <v>6.7068000000000003</v>
      </c>
    </row>
    <row r="646" spans="1:15">
      <c r="A646" s="81" t="s">
        <v>45</v>
      </c>
      <c r="B646" s="92" t="s">
        <v>49</v>
      </c>
      <c r="C646" s="92" t="s">
        <v>14</v>
      </c>
      <c r="D646" s="92">
        <v>2014</v>
      </c>
      <c r="E646" s="81">
        <v>20</v>
      </c>
      <c r="F646" s="81">
        <v>11463.039248526711</v>
      </c>
      <c r="G646" s="81">
        <v>11463.039248526711</v>
      </c>
      <c r="H646" s="92">
        <v>91</v>
      </c>
      <c r="I646" s="81"/>
      <c r="J646" s="93">
        <v>0</v>
      </c>
      <c r="K646" s="93">
        <v>0</v>
      </c>
      <c r="L646" s="93">
        <v>0</v>
      </c>
      <c r="M646" s="93">
        <v>0</v>
      </c>
      <c r="N646" s="93">
        <v>0</v>
      </c>
      <c r="O646" s="93">
        <v>6.7068000000000003</v>
      </c>
    </row>
    <row r="647" spans="1:15">
      <c r="A647" s="81" t="s">
        <v>45</v>
      </c>
      <c r="B647" s="92" t="s">
        <v>49</v>
      </c>
      <c r="C647" s="92" t="s">
        <v>14</v>
      </c>
      <c r="D647" s="92">
        <v>2014</v>
      </c>
      <c r="E647" s="81">
        <v>21</v>
      </c>
      <c r="F647" s="81">
        <v>11275.589553990834</v>
      </c>
      <c r="G647" s="81">
        <v>11275.589553990834</v>
      </c>
      <c r="H647" s="92">
        <v>90</v>
      </c>
      <c r="I647" s="81"/>
      <c r="J647" s="93">
        <v>0</v>
      </c>
      <c r="K647" s="93">
        <v>0</v>
      </c>
      <c r="L647" s="93">
        <v>0</v>
      </c>
      <c r="M647" s="93">
        <v>0</v>
      </c>
      <c r="N647" s="93">
        <v>0</v>
      </c>
      <c r="O647" s="93">
        <v>6.7068000000000003</v>
      </c>
    </row>
    <row r="648" spans="1:15">
      <c r="A648" s="81" t="s">
        <v>45</v>
      </c>
      <c r="B648" s="92" t="s">
        <v>49</v>
      </c>
      <c r="C648" s="92" t="s">
        <v>14</v>
      </c>
      <c r="D648" s="92">
        <v>2014</v>
      </c>
      <c r="E648" s="81">
        <v>22</v>
      </c>
      <c r="F648" s="81">
        <v>10982.875251570435</v>
      </c>
      <c r="G648" s="81">
        <v>10982.875251570435</v>
      </c>
      <c r="H648" s="92">
        <v>74</v>
      </c>
      <c r="I648" s="81"/>
      <c r="J648" s="93">
        <v>0</v>
      </c>
      <c r="K648" s="93">
        <v>0</v>
      </c>
      <c r="L648" s="93">
        <v>0</v>
      </c>
      <c r="M648" s="93">
        <v>0</v>
      </c>
      <c r="N648" s="93">
        <v>0</v>
      </c>
      <c r="O648" s="93">
        <v>6.7068000000000003</v>
      </c>
    </row>
    <row r="649" spans="1:15">
      <c r="A649" s="81" t="s">
        <v>45</v>
      </c>
      <c r="B649" s="92" t="s">
        <v>49</v>
      </c>
      <c r="C649" s="92" t="s">
        <v>14</v>
      </c>
      <c r="D649" s="92">
        <v>2014</v>
      </c>
      <c r="E649" s="81">
        <v>23</v>
      </c>
      <c r="F649" s="81">
        <v>10770.442284513543</v>
      </c>
      <c r="G649" s="81">
        <v>10770.442284513543</v>
      </c>
      <c r="H649" s="92">
        <v>87</v>
      </c>
      <c r="I649" s="81"/>
      <c r="J649" s="93">
        <v>0</v>
      </c>
      <c r="K649" s="93">
        <v>0</v>
      </c>
      <c r="L649" s="93">
        <v>0</v>
      </c>
      <c r="M649" s="93">
        <v>0</v>
      </c>
      <c r="N649" s="93">
        <v>0</v>
      </c>
      <c r="O649" s="93">
        <v>6.7068000000000003</v>
      </c>
    </row>
    <row r="650" spans="1:15">
      <c r="A650" s="81" t="s">
        <v>45</v>
      </c>
      <c r="B650" s="92" t="s">
        <v>49</v>
      </c>
      <c r="C650" s="92" t="s">
        <v>14</v>
      </c>
      <c r="D650" s="92">
        <v>2014</v>
      </c>
      <c r="E650" s="81">
        <v>24</v>
      </c>
      <c r="F650" s="81">
        <v>10632.792569531621</v>
      </c>
      <c r="G650" s="81">
        <v>10632.792569531621</v>
      </c>
      <c r="H650" s="92">
        <v>89</v>
      </c>
      <c r="I650" s="81"/>
      <c r="J650" s="93">
        <v>0</v>
      </c>
      <c r="K650" s="93">
        <v>0</v>
      </c>
      <c r="L650" s="93">
        <v>0</v>
      </c>
      <c r="M650" s="93">
        <v>0</v>
      </c>
      <c r="N650" s="93">
        <v>0</v>
      </c>
      <c r="O650" s="93">
        <v>6.7068000000000003</v>
      </c>
    </row>
    <row r="651" spans="1:15">
      <c r="A651" s="81" t="s">
        <v>45</v>
      </c>
      <c r="B651" s="92" t="s">
        <v>49</v>
      </c>
      <c r="C651" s="92" t="s">
        <v>15</v>
      </c>
      <c r="D651" s="92">
        <v>2014</v>
      </c>
      <c r="E651" s="81">
        <v>1</v>
      </c>
      <c r="F651" s="81">
        <v>10663.278054937447</v>
      </c>
      <c r="G651" s="81">
        <v>10663.278054937447</v>
      </c>
      <c r="H651" s="92">
        <v>91</v>
      </c>
      <c r="I651" s="81"/>
      <c r="J651" s="93">
        <v>0</v>
      </c>
      <c r="K651" s="93">
        <v>0</v>
      </c>
      <c r="L651" s="93">
        <v>0</v>
      </c>
      <c r="M651" s="93">
        <v>0</v>
      </c>
      <c r="N651" s="93">
        <v>0</v>
      </c>
      <c r="O651" s="93">
        <v>6.7068000000000003</v>
      </c>
    </row>
    <row r="652" spans="1:15">
      <c r="A652" s="81" t="s">
        <v>45</v>
      </c>
      <c r="B652" s="92" t="s">
        <v>49</v>
      </c>
      <c r="C652" s="92" t="s">
        <v>15</v>
      </c>
      <c r="D652" s="92">
        <v>2014</v>
      </c>
      <c r="E652" s="81">
        <v>2</v>
      </c>
      <c r="F652" s="81">
        <v>10583.153486524212</v>
      </c>
      <c r="G652" s="81">
        <v>10583.153486524212</v>
      </c>
      <c r="H652" s="92">
        <v>73</v>
      </c>
      <c r="I652" s="81"/>
      <c r="J652" s="93">
        <v>0</v>
      </c>
      <c r="K652" s="93">
        <v>0</v>
      </c>
      <c r="L652" s="93">
        <v>0</v>
      </c>
      <c r="M652" s="93">
        <v>0</v>
      </c>
      <c r="N652" s="93">
        <v>0</v>
      </c>
      <c r="O652" s="93">
        <v>6.7068000000000003</v>
      </c>
    </row>
    <row r="653" spans="1:15">
      <c r="A653" s="81" t="s">
        <v>45</v>
      </c>
      <c r="B653" s="92" t="s">
        <v>49</v>
      </c>
      <c r="C653" s="92" t="s">
        <v>15</v>
      </c>
      <c r="D653" s="92">
        <v>2014</v>
      </c>
      <c r="E653" s="81">
        <v>3</v>
      </c>
      <c r="F653" s="81">
        <v>10518.607136807977</v>
      </c>
      <c r="G653" s="81">
        <v>10518.607136807977</v>
      </c>
      <c r="H653" s="92">
        <v>76</v>
      </c>
      <c r="I653" s="81"/>
      <c r="J653" s="93">
        <v>0</v>
      </c>
      <c r="K653" s="93">
        <v>0</v>
      </c>
      <c r="L653" s="93">
        <v>0</v>
      </c>
      <c r="M653" s="93">
        <v>0</v>
      </c>
      <c r="N653" s="93">
        <v>0</v>
      </c>
      <c r="O653" s="93">
        <v>6.7068000000000003</v>
      </c>
    </row>
    <row r="654" spans="1:15">
      <c r="A654" s="81" t="s">
        <v>45</v>
      </c>
      <c r="B654" s="92" t="s">
        <v>49</v>
      </c>
      <c r="C654" s="92" t="s">
        <v>15</v>
      </c>
      <c r="D654" s="92">
        <v>2014</v>
      </c>
      <c r="E654" s="81">
        <v>4</v>
      </c>
      <c r="F654" s="81">
        <v>10546.341688305092</v>
      </c>
      <c r="G654" s="81">
        <v>10546.341688305092</v>
      </c>
      <c r="H654" s="92">
        <v>62</v>
      </c>
      <c r="I654" s="81"/>
      <c r="J654" s="93">
        <v>0</v>
      </c>
      <c r="K654" s="93">
        <v>0</v>
      </c>
      <c r="L654" s="93">
        <v>0</v>
      </c>
      <c r="M654" s="93">
        <v>0</v>
      </c>
      <c r="N654" s="93">
        <v>0</v>
      </c>
      <c r="O654" s="93">
        <v>6.7068000000000003</v>
      </c>
    </row>
    <row r="655" spans="1:15">
      <c r="A655" s="81" t="s">
        <v>45</v>
      </c>
      <c r="B655" s="92" t="s">
        <v>49</v>
      </c>
      <c r="C655" s="92" t="s">
        <v>15</v>
      </c>
      <c r="D655" s="92">
        <v>2014</v>
      </c>
      <c r="E655" s="81">
        <v>5</v>
      </c>
      <c r="F655" s="81">
        <v>10599.437883647581</v>
      </c>
      <c r="G655" s="81">
        <v>10599.437883647581</v>
      </c>
      <c r="H655" s="92">
        <v>71</v>
      </c>
      <c r="I655" s="81"/>
      <c r="J655" s="93">
        <v>0</v>
      </c>
      <c r="K655" s="93">
        <v>0</v>
      </c>
      <c r="L655" s="93">
        <v>0</v>
      </c>
      <c r="M655" s="93">
        <v>0</v>
      </c>
      <c r="N655" s="93">
        <v>0</v>
      </c>
      <c r="O655" s="93">
        <v>6.7068000000000003</v>
      </c>
    </row>
    <row r="656" spans="1:15">
      <c r="A656" s="81" t="s">
        <v>45</v>
      </c>
      <c r="B656" s="92" t="s">
        <v>49</v>
      </c>
      <c r="C656" s="92" t="s">
        <v>15</v>
      </c>
      <c r="D656" s="92">
        <v>2014</v>
      </c>
      <c r="E656" s="81">
        <v>6</v>
      </c>
      <c r="F656" s="81">
        <v>10655.588586542122</v>
      </c>
      <c r="G656" s="81">
        <v>10655.588586542122</v>
      </c>
      <c r="H656" s="92">
        <v>60</v>
      </c>
      <c r="I656" s="81"/>
      <c r="J656" s="93">
        <v>0</v>
      </c>
      <c r="K656" s="93">
        <v>0</v>
      </c>
      <c r="L656" s="93">
        <v>0</v>
      </c>
      <c r="M656" s="93">
        <v>0</v>
      </c>
      <c r="N656" s="93">
        <v>0</v>
      </c>
      <c r="O656" s="93">
        <v>6.7068000000000003</v>
      </c>
    </row>
    <row r="657" spans="1:15">
      <c r="A657" s="81" t="s">
        <v>45</v>
      </c>
      <c r="B657" s="92" t="s">
        <v>49</v>
      </c>
      <c r="C657" s="92" t="s">
        <v>15</v>
      </c>
      <c r="D657" s="92">
        <v>2014</v>
      </c>
      <c r="E657" s="81">
        <v>7</v>
      </c>
      <c r="F657" s="81">
        <v>10789.29270547317</v>
      </c>
      <c r="G657" s="81">
        <v>10789.29270547317</v>
      </c>
      <c r="H657" s="92">
        <v>73</v>
      </c>
      <c r="I657" s="81"/>
      <c r="J657" s="93">
        <v>0</v>
      </c>
      <c r="K657" s="93">
        <v>0</v>
      </c>
      <c r="L657" s="93">
        <v>0</v>
      </c>
      <c r="M657" s="93">
        <v>0</v>
      </c>
      <c r="N657" s="93">
        <v>0</v>
      </c>
      <c r="O657" s="93">
        <v>6.7068000000000003</v>
      </c>
    </row>
    <row r="658" spans="1:15">
      <c r="A658" s="81" t="s">
        <v>45</v>
      </c>
      <c r="B658" s="92" t="s">
        <v>49</v>
      </c>
      <c r="C658" s="92" t="s">
        <v>15</v>
      </c>
      <c r="D658" s="92">
        <v>2014</v>
      </c>
      <c r="E658" s="81">
        <v>8</v>
      </c>
      <c r="F658" s="81">
        <v>10996.856927121697</v>
      </c>
      <c r="G658" s="81">
        <v>10996.856927121697</v>
      </c>
      <c r="H658" s="92">
        <v>68</v>
      </c>
      <c r="I658" s="81"/>
      <c r="J658" s="93">
        <v>0</v>
      </c>
      <c r="K658" s="93">
        <v>0</v>
      </c>
      <c r="L658" s="93">
        <v>0</v>
      </c>
      <c r="M658" s="93">
        <v>0</v>
      </c>
      <c r="N658" s="93">
        <v>0</v>
      </c>
      <c r="O658" s="93">
        <v>6.7068000000000003</v>
      </c>
    </row>
    <row r="659" spans="1:15">
      <c r="A659" s="81" t="s">
        <v>45</v>
      </c>
      <c r="B659" s="92" t="s">
        <v>49</v>
      </c>
      <c r="C659" s="92" t="s">
        <v>15</v>
      </c>
      <c r="D659" s="92">
        <v>2014</v>
      </c>
      <c r="E659" s="81">
        <v>9</v>
      </c>
      <c r="F659" s="81">
        <v>12249.978301097846</v>
      </c>
      <c r="G659" s="81">
        <v>12249.978301097846</v>
      </c>
      <c r="H659" s="92">
        <v>67</v>
      </c>
      <c r="I659" s="81"/>
      <c r="J659" s="93">
        <v>0</v>
      </c>
      <c r="K659" s="93">
        <v>0</v>
      </c>
      <c r="L659" s="93">
        <v>0</v>
      </c>
      <c r="M659" s="93">
        <v>0</v>
      </c>
      <c r="N659" s="93">
        <v>0</v>
      </c>
      <c r="O659" s="93">
        <v>6.7068000000000003</v>
      </c>
    </row>
    <row r="660" spans="1:15">
      <c r="A660" s="81" t="s">
        <v>45</v>
      </c>
      <c r="B660" s="92" t="s">
        <v>49</v>
      </c>
      <c r="C660" s="92" t="s">
        <v>15</v>
      </c>
      <c r="D660" s="92">
        <v>2014</v>
      </c>
      <c r="E660" s="81">
        <v>10</v>
      </c>
      <c r="F660" s="81">
        <v>12692.077263885129</v>
      </c>
      <c r="G660" s="81">
        <v>12692.077263885129</v>
      </c>
      <c r="H660" s="92">
        <v>58</v>
      </c>
      <c r="I660" s="81"/>
      <c r="J660" s="93">
        <v>0</v>
      </c>
      <c r="K660" s="93">
        <v>0</v>
      </c>
      <c r="L660" s="93">
        <v>0</v>
      </c>
      <c r="M660" s="93">
        <v>0</v>
      </c>
      <c r="N660" s="93">
        <v>0</v>
      </c>
      <c r="O660" s="93">
        <v>6.7068000000000003</v>
      </c>
    </row>
    <row r="661" spans="1:15">
      <c r="A661" s="81" t="s">
        <v>45</v>
      </c>
      <c r="B661" s="92" t="s">
        <v>49</v>
      </c>
      <c r="C661" s="92" t="s">
        <v>15</v>
      </c>
      <c r="D661" s="92">
        <v>2014</v>
      </c>
      <c r="E661" s="81">
        <v>11</v>
      </c>
      <c r="F661" s="81">
        <v>13113.984993188691</v>
      </c>
      <c r="G661" s="81">
        <v>7756.3006350575115</v>
      </c>
      <c r="H661" s="92">
        <v>70</v>
      </c>
      <c r="I661" s="81"/>
      <c r="J661" s="93">
        <v>5237.4673447407113</v>
      </c>
      <c r="K661" s="93">
        <v>5282.0596408037127</v>
      </c>
      <c r="L661" s="93">
        <v>5357.6843581311796</v>
      </c>
      <c r="M661" s="93">
        <v>5433.3090754586365</v>
      </c>
      <c r="N661" s="93">
        <v>5477.9013715216479</v>
      </c>
      <c r="O661" s="93">
        <v>6.7068000000000003</v>
      </c>
    </row>
    <row r="662" spans="1:15">
      <c r="A662" s="81" t="s">
        <v>45</v>
      </c>
      <c r="B662" s="92" t="s">
        <v>49</v>
      </c>
      <c r="C662" s="92" t="s">
        <v>15</v>
      </c>
      <c r="D662" s="92">
        <v>2014</v>
      </c>
      <c r="E662" s="81">
        <v>12</v>
      </c>
      <c r="F662" s="81">
        <v>13421.045403755084</v>
      </c>
      <c r="G662" s="81">
        <v>7937.9123159244755</v>
      </c>
      <c r="H662" s="92">
        <v>66</v>
      </c>
      <c r="I662" s="81"/>
      <c r="J662" s="93">
        <v>5369.4094440925874</v>
      </c>
      <c r="K662" s="93">
        <v>5411.5931437862218</v>
      </c>
      <c r="L662" s="93">
        <v>5483.1330878306089</v>
      </c>
      <c r="M662" s="93">
        <v>5554.6730318749951</v>
      </c>
      <c r="N662" s="93">
        <v>5596.8567315686323</v>
      </c>
      <c r="O662" s="93">
        <v>6.7068000000000003</v>
      </c>
    </row>
    <row r="663" spans="1:15">
      <c r="A663" s="81" t="s">
        <v>45</v>
      </c>
      <c r="B663" s="92" t="s">
        <v>49</v>
      </c>
      <c r="C663" s="92" t="s">
        <v>15</v>
      </c>
      <c r="D663" s="92">
        <v>2014</v>
      </c>
      <c r="E663" s="81">
        <v>13</v>
      </c>
      <c r="F663" s="81">
        <v>13449.925044562588</v>
      </c>
      <c r="G663" s="81">
        <v>7954.9932548192364</v>
      </c>
      <c r="H663" s="92">
        <v>62</v>
      </c>
      <c r="I663" s="81"/>
      <c r="J663" s="93">
        <v>5383.9390871233409</v>
      </c>
      <c r="K663" s="93">
        <v>5425.1097943009408</v>
      </c>
      <c r="L663" s="93">
        <v>5494.9317897433511</v>
      </c>
      <c r="M663" s="93">
        <v>5564.7537851857642</v>
      </c>
      <c r="N663" s="93">
        <v>5605.9244923633714</v>
      </c>
      <c r="O663" s="93">
        <v>6.7068000000000003</v>
      </c>
    </row>
    <row r="664" spans="1:15">
      <c r="A664" s="81" t="s">
        <v>45</v>
      </c>
      <c r="B664" s="92" t="s">
        <v>49</v>
      </c>
      <c r="C664" s="92" t="s">
        <v>15</v>
      </c>
      <c r="D664" s="92">
        <v>2014</v>
      </c>
      <c r="E664" s="81">
        <v>14</v>
      </c>
      <c r="F664" s="81">
        <v>13420.590111449601</v>
      </c>
      <c r="G664" s="81">
        <v>7937.6430321026628</v>
      </c>
      <c r="H664" s="92">
        <v>72</v>
      </c>
      <c r="I664" s="81"/>
      <c r="J664" s="93">
        <v>5380.7863332530333</v>
      </c>
      <c r="K664" s="93">
        <v>5418.6809881555027</v>
      </c>
      <c r="L664" s="93">
        <v>5482.9470793469382</v>
      </c>
      <c r="M664" s="93">
        <v>5547.2131705383754</v>
      </c>
      <c r="N664" s="93">
        <v>5585.1078254408349</v>
      </c>
      <c r="O664" s="93">
        <v>6.7068000000000003</v>
      </c>
    </row>
    <row r="665" spans="1:15">
      <c r="A665" s="81" t="s">
        <v>45</v>
      </c>
      <c r="B665" s="92" t="s">
        <v>49</v>
      </c>
      <c r="C665" s="92" t="s">
        <v>15</v>
      </c>
      <c r="D665" s="92">
        <v>2014</v>
      </c>
      <c r="E665" s="81">
        <v>15</v>
      </c>
      <c r="F665" s="81">
        <v>13105.351271714322</v>
      </c>
      <c r="G665" s="81">
        <v>7751.1941979684543</v>
      </c>
      <c r="H665" s="92">
        <v>73</v>
      </c>
      <c r="I665" s="81"/>
      <c r="J665" s="93">
        <v>5248.5998661873373</v>
      </c>
      <c r="K665" s="93">
        <v>5287.7543761712532</v>
      </c>
      <c r="L665" s="93">
        <v>5354.1570737458678</v>
      </c>
      <c r="M665" s="93">
        <v>5420.5597713204825</v>
      </c>
      <c r="N665" s="93">
        <v>5459.7142813043984</v>
      </c>
      <c r="O665" s="93">
        <v>6.7068000000000003</v>
      </c>
    </row>
    <row r="666" spans="1:15">
      <c r="A666" s="81" t="s">
        <v>45</v>
      </c>
      <c r="B666" s="92" t="s">
        <v>49</v>
      </c>
      <c r="C666" s="92" t="s">
        <v>15</v>
      </c>
      <c r="D666" s="92">
        <v>2014</v>
      </c>
      <c r="E666" s="81">
        <v>16</v>
      </c>
      <c r="F666" s="81">
        <v>12968.94871826975</v>
      </c>
      <c r="G666" s="81">
        <v>7670.5185518963335</v>
      </c>
      <c r="H666" s="92">
        <v>83</v>
      </c>
      <c r="I666" s="81"/>
      <c r="J666" s="93">
        <v>5194.7455257930887</v>
      </c>
      <c r="K666" s="93">
        <v>5233.2054414035974</v>
      </c>
      <c r="L666" s="93">
        <v>5298.4301663734168</v>
      </c>
      <c r="M666" s="93">
        <v>5363.6548913432362</v>
      </c>
      <c r="N666" s="93">
        <v>5402.1148069537358</v>
      </c>
      <c r="O666" s="93">
        <v>6.7068000000000003</v>
      </c>
    </row>
    <row r="667" spans="1:15">
      <c r="A667" s="81" t="s">
        <v>45</v>
      </c>
      <c r="B667" s="92" t="s">
        <v>49</v>
      </c>
      <c r="C667" s="92" t="s">
        <v>15</v>
      </c>
      <c r="D667" s="92">
        <v>2014</v>
      </c>
      <c r="E667" s="81">
        <v>17</v>
      </c>
      <c r="F667" s="81">
        <v>12833.146651511282</v>
      </c>
      <c r="G667" s="81">
        <v>7590.1980652412158</v>
      </c>
      <c r="H667" s="92">
        <v>94</v>
      </c>
      <c r="I667" s="81"/>
      <c r="J667" s="93">
        <v>5119.6765736891703</v>
      </c>
      <c r="K667" s="93">
        <v>5165.4020656662115</v>
      </c>
      <c r="L667" s="93">
        <v>5242.9485862700667</v>
      </c>
      <c r="M667" s="93">
        <v>5320.4951068739229</v>
      </c>
      <c r="N667" s="93">
        <v>5366.2205988509631</v>
      </c>
      <c r="O667" s="93">
        <v>6.7068000000000003</v>
      </c>
    </row>
    <row r="668" spans="1:15">
      <c r="A668" s="81" t="s">
        <v>45</v>
      </c>
      <c r="B668" s="92" t="s">
        <v>49</v>
      </c>
      <c r="C668" s="92" t="s">
        <v>15</v>
      </c>
      <c r="D668" s="92">
        <v>2014</v>
      </c>
      <c r="E668" s="81">
        <v>18</v>
      </c>
      <c r="F668" s="81">
        <v>12546.631654570221</v>
      </c>
      <c r="G668" s="81">
        <v>7420.7380228603752</v>
      </c>
      <c r="H668" s="92">
        <v>87</v>
      </c>
      <c r="I668" s="81"/>
      <c r="J668" s="93">
        <v>5018.6094295224812</v>
      </c>
      <c r="K668" s="93">
        <v>5058.4045364869444</v>
      </c>
      <c r="L668" s="93">
        <v>5125.893631709846</v>
      </c>
      <c r="M668" s="93">
        <v>5193.3827269327376</v>
      </c>
      <c r="N668" s="93">
        <v>5233.1778338971999</v>
      </c>
      <c r="O668" s="93">
        <v>6.7068000000000003</v>
      </c>
    </row>
    <row r="669" spans="1:15">
      <c r="A669" s="81" t="s">
        <v>45</v>
      </c>
      <c r="B669" s="92" t="s">
        <v>49</v>
      </c>
      <c r="C669" s="92" t="s">
        <v>15</v>
      </c>
      <c r="D669" s="92">
        <v>2014</v>
      </c>
      <c r="E669" s="81">
        <v>19</v>
      </c>
      <c r="F669" s="81">
        <v>12259.4329969968</v>
      </c>
      <c r="G669" s="81">
        <v>12259.4329969968</v>
      </c>
      <c r="H669" s="92">
        <v>86</v>
      </c>
      <c r="I669" s="81"/>
      <c r="J669" s="93">
        <v>0</v>
      </c>
      <c r="K669" s="93">
        <v>0</v>
      </c>
      <c r="L669" s="93">
        <v>0</v>
      </c>
      <c r="M669" s="93">
        <v>0</v>
      </c>
      <c r="N669" s="93">
        <v>0</v>
      </c>
      <c r="O669" s="93">
        <v>6.7068000000000003</v>
      </c>
    </row>
    <row r="670" spans="1:15">
      <c r="A670" s="81" t="s">
        <v>45</v>
      </c>
      <c r="B670" s="92" t="s">
        <v>49</v>
      </c>
      <c r="C670" s="92" t="s">
        <v>15</v>
      </c>
      <c r="D670" s="92">
        <v>2014</v>
      </c>
      <c r="E670" s="81">
        <v>20</v>
      </c>
      <c r="F670" s="81">
        <v>11807.3930187143</v>
      </c>
      <c r="G670" s="81">
        <v>11807.3930187143</v>
      </c>
      <c r="H670" s="92">
        <v>87</v>
      </c>
      <c r="I670" s="81"/>
      <c r="J670" s="93">
        <v>0</v>
      </c>
      <c r="K670" s="93">
        <v>0</v>
      </c>
      <c r="L670" s="93">
        <v>0</v>
      </c>
      <c r="M670" s="93">
        <v>0</v>
      </c>
      <c r="N670" s="93">
        <v>0</v>
      </c>
      <c r="O670" s="93">
        <v>6.7068000000000003</v>
      </c>
    </row>
    <row r="671" spans="1:15">
      <c r="A671" s="81" t="s">
        <v>45</v>
      </c>
      <c r="B671" s="92" t="s">
        <v>49</v>
      </c>
      <c r="C671" s="92" t="s">
        <v>15</v>
      </c>
      <c r="D671" s="92">
        <v>2014</v>
      </c>
      <c r="E671" s="81">
        <v>21</v>
      </c>
      <c r="F671" s="81">
        <v>11553.607870314368</v>
      </c>
      <c r="G671" s="81">
        <v>11553.607870314368</v>
      </c>
      <c r="H671" s="92">
        <v>76</v>
      </c>
      <c r="I671" s="81"/>
      <c r="J671" s="93">
        <v>0</v>
      </c>
      <c r="K671" s="93">
        <v>0</v>
      </c>
      <c r="L671" s="93">
        <v>0</v>
      </c>
      <c r="M671" s="93">
        <v>0</v>
      </c>
      <c r="N671" s="93">
        <v>0</v>
      </c>
      <c r="O671" s="93">
        <v>6.7068000000000003</v>
      </c>
    </row>
    <row r="672" spans="1:15">
      <c r="A672" s="81" t="s">
        <v>45</v>
      </c>
      <c r="B672" s="92" t="s">
        <v>49</v>
      </c>
      <c r="C672" s="92" t="s">
        <v>15</v>
      </c>
      <c r="D672" s="92">
        <v>2014</v>
      </c>
      <c r="E672" s="81">
        <v>22</v>
      </c>
      <c r="F672" s="81">
        <v>11256.136393676428</v>
      </c>
      <c r="G672" s="81">
        <v>11256.136393676428</v>
      </c>
      <c r="H672" s="92">
        <v>76</v>
      </c>
      <c r="I672" s="81"/>
      <c r="J672" s="93">
        <v>0</v>
      </c>
      <c r="K672" s="93">
        <v>0</v>
      </c>
      <c r="L672" s="93">
        <v>0</v>
      </c>
      <c r="M672" s="93">
        <v>0</v>
      </c>
      <c r="N672" s="93">
        <v>0</v>
      </c>
      <c r="O672" s="93">
        <v>6.7068000000000003</v>
      </c>
    </row>
    <row r="673" spans="1:15">
      <c r="A673" s="81" t="s">
        <v>45</v>
      </c>
      <c r="B673" s="92" t="s">
        <v>49</v>
      </c>
      <c r="C673" s="92" t="s">
        <v>15</v>
      </c>
      <c r="D673" s="92">
        <v>2014</v>
      </c>
      <c r="E673" s="81">
        <v>23</v>
      </c>
      <c r="F673" s="81">
        <v>11042.267523520435</v>
      </c>
      <c r="G673" s="81">
        <v>11042.267523520435</v>
      </c>
      <c r="H673" s="92">
        <v>89</v>
      </c>
      <c r="I673" s="81"/>
      <c r="J673" s="93">
        <v>0</v>
      </c>
      <c r="K673" s="93">
        <v>0</v>
      </c>
      <c r="L673" s="93">
        <v>0</v>
      </c>
      <c r="M673" s="93">
        <v>0</v>
      </c>
      <c r="N673" s="93">
        <v>0</v>
      </c>
      <c r="O673" s="93">
        <v>6.7068000000000003</v>
      </c>
    </row>
    <row r="674" spans="1:15">
      <c r="A674" s="81" t="s">
        <v>45</v>
      </c>
      <c r="B674" s="92" t="s">
        <v>49</v>
      </c>
      <c r="C674" s="92" t="s">
        <v>15</v>
      </c>
      <c r="D674" s="92">
        <v>2014</v>
      </c>
      <c r="E674" s="81">
        <v>24</v>
      </c>
      <c r="F674" s="81">
        <v>10877.026563834299</v>
      </c>
      <c r="G674" s="81">
        <v>10877.026563834299</v>
      </c>
      <c r="H674" s="92">
        <v>91</v>
      </c>
      <c r="I674" s="81"/>
      <c r="J674" s="93">
        <v>0</v>
      </c>
      <c r="K674" s="93">
        <v>0</v>
      </c>
      <c r="L674" s="93">
        <v>0</v>
      </c>
      <c r="M674" s="93">
        <v>0</v>
      </c>
      <c r="N674" s="93">
        <v>0</v>
      </c>
      <c r="O674" s="93">
        <v>6.7068000000000003</v>
      </c>
    </row>
    <row r="675" spans="1:15">
      <c r="A675" s="81" t="s">
        <v>45</v>
      </c>
      <c r="B675" s="92" t="s">
        <v>49</v>
      </c>
      <c r="C675" s="92" t="s">
        <v>16</v>
      </c>
      <c r="D675" s="92">
        <v>2014</v>
      </c>
      <c r="E675" s="81">
        <v>1</v>
      </c>
      <c r="F675" s="81">
        <v>10949.373341373013</v>
      </c>
      <c r="G675" s="81">
        <v>10949.373341373013</v>
      </c>
      <c r="H675" s="92">
        <v>85</v>
      </c>
      <c r="I675" s="81"/>
      <c r="J675" s="93">
        <v>0</v>
      </c>
      <c r="K675" s="93">
        <v>0</v>
      </c>
      <c r="L675" s="93">
        <v>0</v>
      </c>
      <c r="M675" s="93">
        <v>0</v>
      </c>
      <c r="N675" s="93">
        <v>0</v>
      </c>
      <c r="O675" s="93">
        <v>6.7068000000000003</v>
      </c>
    </row>
    <row r="676" spans="1:15">
      <c r="A676" s="81" t="s">
        <v>45</v>
      </c>
      <c r="B676" s="92" t="s">
        <v>49</v>
      </c>
      <c r="C676" s="92" t="s">
        <v>16</v>
      </c>
      <c r="D676" s="92">
        <v>2014</v>
      </c>
      <c r="E676" s="81">
        <v>2</v>
      </c>
      <c r="F676" s="81">
        <v>10860.522065155581</v>
      </c>
      <c r="G676" s="81">
        <v>10860.522065155581</v>
      </c>
      <c r="H676" s="92">
        <v>64</v>
      </c>
      <c r="I676" s="81"/>
      <c r="J676" s="93">
        <v>0</v>
      </c>
      <c r="K676" s="93">
        <v>0</v>
      </c>
      <c r="L676" s="93">
        <v>0</v>
      </c>
      <c r="M676" s="93">
        <v>0</v>
      </c>
      <c r="N676" s="93">
        <v>0</v>
      </c>
      <c r="O676" s="93">
        <v>6.7068000000000003</v>
      </c>
    </row>
    <row r="677" spans="1:15">
      <c r="A677" s="81" t="s">
        <v>45</v>
      </c>
      <c r="B677" s="92" t="s">
        <v>49</v>
      </c>
      <c r="C677" s="92" t="s">
        <v>16</v>
      </c>
      <c r="D677" s="92">
        <v>2014</v>
      </c>
      <c r="E677" s="81">
        <v>3</v>
      </c>
      <c r="F677" s="81">
        <v>10786.956731894908</v>
      </c>
      <c r="G677" s="81">
        <v>10786.956731894908</v>
      </c>
      <c r="H677" s="92">
        <v>64</v>
      </c>
      <c r="I677" s="81"/>
      <c r="J677" s="93">
        <v>0</v>
      </c>
      <c r="K677" s="93">
        <v>0</v>
      </c>
      <c r="L677" s="93">
        <v>0</v>
      </c>
      <c r="M677" s="93">
        <v>0</v>
      </c>
      <c r="N677" s="93">
        <v>0</v>
      </c>
      <c r="O677" s="93">
        <v>6.7068000000000003</v>
      </c>
    </row>
    <row r="678" spans="1:15">
      <c r="A678" s="81" t="s">
        <v>45</v>
      </c>
      <c r="B678" s="92" t="s">
        <v>49</v>
      </c>
      <c r="C678" s="92" t="s">
        <v>16</v>
      </c>
      <c r="D678" s="92">
        <v>2014</v>
      </c>
      <c r="E678" s="81">
        <v>4</v>
      </c>
      <c r="F678" s="81">
        <v>10777.179432445879</v>
      </c>
      <c r="G678" s="81">
        <v>10777.179432445879</v>
      </c>
      <c r="H678" s="92">
        <v>72</v>
      </c>
      <c r="I678" s="81"/>
      <c r="J678" s="93">
        <v>0</v>
      </c>
      <c r="K678" s="93">
        <v>0</v>
      </c>
      <c r="L678" s="93">
        <v>0</v>
      </c>
      <c r="M678" s="93">
        <v>0</v>
      </c>
      <c r="N678" s="93">
        <v>0</v>
      </c>
      <c r="O678" s="93">
        <v>6.7068000000000003</v>
      </c>
    </row>
    <row r="679" spans="1:15">
      <c r="A679" s="81" t="s">
        <v>45</v>
      </c>
      <c r="B679" s="92" t="s">
        <v>49</v>
      </c>
      <c r="C679" s="92" t="s">
        <v>16</v>
      </c>
      <c r="D679" s="92">
        <v>2014</v>
      </c>
      <c r="E679" s="81">
        <v>5</v>
      </c>
      <c r="F679" s="81">
        <v>10801.695218592855</v>
      </c>
      <c r="G679" s="81">
        <v>10801.695218592855</v>
      </c>
      <c r="H679" s="92">
        <v>75</v>
      </c>
      <c r="I679" s="81"/>
      <c r="J679" s="93">
        <v>0</v>
      </c>
      <c r="K679" s="93">
        <v>0</v>
      </c>
      <c r="L679" s="93">
        <v>0</v>
      </c>
      <c r="M679" s="93">
        <v>0</v>
      </c>
      <c r="N679" s="93">
        <v>0</v>
      </c>
      <c r="O679" s="93">
        <v>6.7068000000000003</v>
      </c>
    </row>
    <row r="680" spans="1:15">
      <c r="A680" s="81" t="s">
        <v>45</v>
      </c>
      <c r="B680" s="92" t="s">
        <v>49</v>
      </c>
      <c r="C680" s="92" t="s">
        <v>16</v>
      </c>
      <c r="D680" s="92">
        <v>2014</v>
      </c>
      <c r="E680" s="81">
        <v>6</v>
      </c>
      <c r="F680" s="81">
        <v>10865.909382264577</v>
      </c>
      <c r="G680" s="81">
        <v>10865.909382264577</v>
      </c>
      <c r="H680" s="92">
        <v>68</v>
      </c>
      <c r="I680" s="81"/>
      <c r="J680" s="93">
        <v>0</v>
      </c>
      <c r="K680" s="93">
        <v>0</v>
      </c>
      <c r="L680" s="93">
        <v>0</v>
      </c>
      <c r="M680" s="93">
        <v>0</v>
      </c>
      <c r="N680" s="93">
        <v>0</v>
      </c>
      <c r="O680" s="93">
        <v>6.7068000000000003</v>
      </c>
    </row>
    <row r="681" spans="1:15">
      <c r="A681" s="81" t="s">
        <v>45</v>
      </c>
      <c r="B681" s="92" t="s">
        <v>49</v>
      </c>
      <c r="C681" s="92" t="s">
        <v>16</v>
      </c>
      <c r="D681" s="92">
        <v>2014</v>
      </c>
      <c r="E681" s="81">
        <v>7</v>
      </c>
      <c r="F681" s="81">
        <v>11008.068399439031</v>
      </c>
      <c r="G681" s="81">
        <v>11008.068399439031</v>
      </c>
      <c r="H681" s="92">
        <v>63</v>
      </c>
      <c r="I681" s="81"/>
      <c r="J681" s="93">
        <v>0</v>
      </c>
      <c r="K681" s="93">
        <v>0</v>
      </c>
      <c r="L681" s="93">
        <v>0</v>
      </c>
      <c r="M681" s="93">
        <v>0</v>
      </c>
      <c r="N681" s="93">
        <v>0</v>
      </c>
      <c r="O681" s="93">
        <v>6.7068000000000003</v>
      </c>
    </row>
    <row r="682" spans="1:15">
      <c r="A682" s="81" t="s">
        <v>45</v>
      </c>
      <c r="B682" s="92" t="s">
        <v>49</v>
      </c>
      <c r="C682" s="92" t="s">
        <v>16</v>
      </c>
      <c r="D682" s="92">
        <v>2014</v>
      </c>
      <c r="E682" s="81">
        <v>8</v>
      </c>
      <c r="F682" s="81">
        <v>11205.121592972017</v>
      </c>
      <c r="G682" s="81">
        <v>11205.121592972017</v>
      </c>
      <c r="H682" s="92">
        <v>61</v>
      </c>
      <c r="I682" s="81"/>
      <c r="J682" s="93">
        <v>0</v>
      </c>
      <c r="K682" s="93">
        <v>0</v>
      </c>
      <c r="L682" s="93">
        <v>0</v>
      </c>
      <c r="M682" s="93">
        <v>0</v>
      </c>
      <c r="N682" s="93">
        <v>0</v>
      </c>
      <c r="O682" s="93">
        <v>6.7068000000000003</v>
      </c>
    </row>
    <row r="683" spans="1:15">
      <c r="A683" s="81" t="s">
        <v>45</v>
      </c>
      <c r="B683" s="92" t="s">
        <v>49</v>
      </c>
      <c r="C683" s="92" t="s">
        <v>16</v>
      </c>
      <c r="D683" s="92">
        <v>2014</v>
      </c>
      <c r="E683" s="81">
        <v>9</v>
      </c>
      <c r="F683" s="81">
        <v>12340.415751927309</v>
      </c>
      <c r="G683" s="81">
        <v>12340.415751927309</v>
      </c>
      <c r="H683" s="92">
        <v>62</v>
      </c>
      <c r="I683" s="81"/>
      <c r="J683" s="93">
        <v>0</v>
      </c>
      <c r="K683" s="93">
        <v>0</v>
      </c>
      <c r="L683" s="93">
        <v>0</v>
      </c>
      <c r="M683" s="93">
        <v>0</v>
      </c>
      <c r="N683" s="93">
        <v>0</v>
      </c>
      <c r="O683" s="93">
        <v>6.7068000000000003</v>
      </c>
    </row>
    <row r="684" spans="1:15">
      <c r="A684" s="81" t="s">
        <v>45</v>
      </c>
      <c r="B684" s="92" t="s">
        <v>49</v>
      </c>
      <c r="C684" s="92" t="s">
        <v>16</v>
      </c>
      <c r="D684" s="92">
        <v>2014</v>
      </c>
      <c r="E684" s="81">
        <v>10</v>
      </c>
      <c r="F684" s="81">
        <v>12774.499232406264</v>
      </c>
      <c r="G684" s="81">
        <v>12774.499232406264</v>
      </c>
      <c r="H684" s="92">
        <v>67</v>
      </c>
      <c r="I684" s="81"/>
      <c r="J684" s="93">
        <v>0</v>
      </c>
      <c r="K684" s="93">
        <v>0</v>
      </c>
      <c r="L684" s="93">
        <v>0</v>
      </c>
      <c r="M684" s="93">
        <v>0</v>
      </c>
      <c r="N684" s="93">
        <v>0</v>
      </c>
      <c r="O684" s="93">
        <v>6.7068000000000003</v>
      </c>
    </row>
    <row r="685" spans="1:15">
      <c r="A685" s="81" t="s">
        <v>45</v>
      </c>
      <c r="B685" s="92" t="s">
        <v>49</v>
      </c>
      <c r="C685" s="92" t="s">
        <v>16</v>
      </c>
      <c r="D685" s="92">
        <v>2014</v>
      </c>
      <c r="E685" s="81">
        <v>11</v>
      </c>
      <c r="F685" s="81">
        <v>13222.711781633254</v>
      </c>
      <c r="G685" s="81">
        <v>7720.8767739280402</v>
      </c>
      <c r="H685" s="92">
        <v>63</v>
      </c>
      <c r="I685" s="81"/>
      <c r="J685" s="93">
        <v>5385.6651003908009</v>
      </c>
      <c r="K685" s="93">
        <v>5428.7561966880521</v>
      </c>
      <c r="L685" s="93">
        <v>5501.8350077052137</v>
      </c>
      <c r="M685" s="93">
        <v>5574.9138187223771</v>
      </c>
      <c r="N685" s="93">
        <v>5618.0049150196255</v>
      </c>
      <c r="O685" s="93">
        <v>6.7068000000000003</v>
      </c>
    </row>
    <row r="686" spans="1:15">
      <c r="A686" s="81" t="s">
        <v>45</v>
      </c>
      <c r="B686" s="92" t="s">
        <v>49</v>
      </c>
      <c r="C686" s="92" t="s">
        <v>16</v>
      </c>
      <c r="D686" s="92">
        <v>2014</v>
      </c>
      <c r="E686" s="81">
        <v>12</v>
      </c>
      <c r="F686" s="81">
        <v>13610.376776186307</v>
      </c>
      <c r="G686" s="81">
        <v>7947.2383328835294</v>
      </c>
      <c r="H686" s="92">
        <v>78</v>
      </c>
      <c r="I686" s="81"/>
      <c r="J686" s="93">
        <v>5553.2433063341568</v>
      </c>
      <c r="K686" s="93">
        <v>5594.0068916652317</v>
      </c>
      <c r="L686" s="93">
        <v>5663.1384433027779</v>
      </c>
      <c r="M686" s="93">
        <v>5732.269994940315</v>
      </c>
      <c r="N686" s="93">
        <v>5773.0335802713898</v>
      </c>
      <c r="O686" s="93">
        <v>6.7068000000000003</v>
      </c>
    </row>
    <row r="687" spans="1:15">
      <c r="A687" s="81" t="s">
        <v>45</v>
      </c>
      <c r="B687" s="92" t="s">
        <v>49</v>
      </c>
      <c r="C687" s="92" t="s">
        <v>16</v>
      </c>
      <c r="D687" s="92">
        <v>2014</v>
      </c>
      <c r="E687" s="81">
        <v>13</v>
      </c>
      <c r="F687" s="81">
        <v>13618.535072352221</v>
      </c>
      <c r="G687" s="81">
        <v>7952.0020455335862</v>
      </c>
      <c r="H687" s="92">
        <v>77</v>
      </c>
      <c r="I687" s="81"/>
      <c r="J687" s="93">
        <v>5559.2768938280196</v>
      </c>
      <c r="K687" s="93">
        <v>5599.0615890388044</v>
      </c>
      <c r="L687" s="93">
        <v>5666.5330268186344</v>
      </c>
      <c r="M687" s="93">
        <v>5734.0044645984754</v>
      </c>
      <c r="N687" s="93">
        <v>5773.7891598092583</v>
      </c>
      <c r="O687" s="93">
        <v>6.7068000000000003</v>
      </c>
    </row>
    <row r="688" spans="1:15">
      <c r="A688" s="81" t="s">
        <v>45</v>
      </c>
      <c r="B688" s="92" t="s">
        <v>49</v>
      </c>
      <c r="C688" s="92" t="s">
        <v>16</v>
      </c>
      <c r="D688" s="92">
        <v>2014</v>
      </c>
      <c r="E688" s="81">
        <v>14</v>
      </c>
      <c r="F688" s="81">
        <v>13616.704317469004</v>
      </c>
      <c r="G688" s="81">
        <v>7950.9330490153216</v>
      </c>
      <c r="H688" s="92">
        <v>82</v>
      </c>
      <c r="I688" s="81"/>
      <c r="J688" s="93">
        <v>5567.0497641491984</v>
      </c>
      <c r="K688" s="93">
        <v>5603.6686953934195</v>
      </c>
      <c r="L688" s="93">
        <v>5665.7712684536828</v>
      </c>
      <c r="M688" s="93">
        <v>5727.8738415139551</v>
      </c>
      <c r="N688" s="93">
        <v>5764.4927727581744</v>
      </c>
      <c r="O688" s="93">
        <v>6.7068000000000003</v>
      </c>
    </row>
    <row r="689" spans="1:15">
      <c r="A689" s="81" t="s">
        <v>45</v>
      </c>
      <c r="B689" s="92" t="s">
        <v>49</v>
      </c>
      <c r="C689" s="92" t="s">
        <v>16</v>
      </c>
      <c r="D689" s="92">
        <v>2014</v>
      </c>
      <c r="E689" s="81">
        <v>15</v>
      </c>
      <c r="F689" s="81">
        <v>13248.58639818188</v>
      </c>
      <c r="G689" s="81">
        <v>7735.9852274165351</v>
      </c>
      <c r="H689" s="92">
        <v>90</v>
      </c>
      <c r="I689" s="81"/>
      <c r="J689" s="93">
        <v>5410.5975468804827</v>
      </c>
      <c r="K689" s="93">
        <v>5448.4339201814846</v>
      </c>
      <c r="L689" s="93">
        <v>5512.6011707653452</v>
      </c>
      <c r="M689" s="93">
        <v>5576.7684213492075</v>
      </c>
      <c r="N689" s="93">
        <v>5614.6047946502085</v>
      </c>
      <c r="O689" s="93">
        <v>6.7068000000000003</v>
      </c>
    </row>
    <row r="690" spans="1:15">
      <c r="A690" s="81" t="s">
        <v>45</v>
      </c>
      <c r="B690" s="92" t="s">
        <v>49</v>
      </c>
      <c r="C690" s="92" t="s">
        <v>16</v>
      </c>
      <c r="D690" s="92">
        <v>2014</v>
      </c>
      <c r="E690" s="81">
        <v>16</v>
      </c>
      <c r="F690" s="81">
        <v>13088.384580345069</v>
      </c>
      <c r="G690" s="81">
        <v>7642.4417459503984</v>
      </c>
      <c r="H690" s="92">
        <v>73</v>
      </c>
      <c r="I690" s="81"/>
      <c r="J690" s="93">
        <v>5345.7487375157034</v>
      </c>
      <c r="K690" s="93">
        <v>5382.9138999647257</v>
      </c>
      <c r="L690" s="93">
        <v>5445.9428343946711</v>
      </c>
      <c r="M690" s="93">
        <v>5508.9717688246164</v>
      </c>
      <c r="N690" s="93">
        <v>5546.1369312736297</v>
      </c>
      <c r="O690" s="93">
        <v>6.7068000000000003</v>
      </c>
    </row>
    <row r="691" spans="1:15">
      <c r="A691" s="81" t="s">
        <v>45</v>
      </c>
      <c r="B691" s="92" t="s">
        <v>49</v>
      </c>
      <c r="C691" s="92" t="s">
        <v>16</v>
      </c>
      <c r="D691" s="92">
        <v>2014</v>
      </c>
      <c r="E691" s="81">
        <v>17</v>
      </c>
      <c r="F691" s="81">
        <v>12802.308790239013</v>
      </c>
      <c r="G691" s="81">
        <v>7475.3991634688682</v>
      </c>
      <c r="H691" s="92">
        <v>94</v>
      </c>
      <c r="I691" s="81"/>
      <c r="J691" s="93">
        <v>5207.7875668211955</v>
      </c>
      <c r="K691" s="93">
        <v>5251.9737099890099</v>
      </c>
      <c r="L691" s="93">
        <v>5326.9096267701443</v>
      </c>
      <c r="M691" s="93">
        <v>5401.8455435512788</v>
      </c>
      <c r="N691" s="93">
        <v>5446.0316867191023</v>
      </c>
      <c r="O691" s="93">
        <v>6.7068000000000003</v>
      </c>
    </row>
    <row r="692" spans="1:15">
      <c r="A692" s="81" t="s">
        <v>45</v>
      </c>
      <c r="B692" s="92" t="s">
        <v>49</v>
      </c>
      <c r="C692" s="92" t="s">
        <v>16</v>
      </c>
      <c r="D692" s="92">
        <v>2014</v>
      </c>
      <c r="E692" s="81">
        <v>18</v>
      </c>
      <c r="F692" s="81">
        <v>12663.570377037749</v>
      </c>
      <c r="G692" s="81">
        <v>7394.3883836963587</v>
      </c>
      <c r="H692" s="92">
        <v>86</v>
      </c>
      <c r="I692" s="81"/>
      <c r="J692" s="93">
        <v>5165.5095141064776</v>
      </c>
      <c r="K692" s="93">
        <v>5203.9649186889701</v>
      </c>
      <c r="L692" s="93">
        <v>5269.1819933413908</v>
      </c>
      <c r="M692" s="93">
        <v>5334.3990679938115</v>
      </c>
      <c r="N692" s="93">
        <v>5372.8544725762949</v>
      </c>
      <c r="O692" s="93">
        <v>6.7068000000000003</v>
      </c>
    </row>
    <row r="693" spans="1:15">
      <c r="A693" s="81" t="s">
        <v>45</v>
      </c>
      <c r="B693" s="92" t="s">
        <v>49</v>
      </c>
      <c r="C693" s="92" t="s">
        <v>16</v>
      </c>
      <c r="D693" s="92">
        <v>2014</v>
      </c>
      <c r="E693" s="81">
        <v>19</v>
      </c>
      <c r="F693" s="81">
        <v>12412.175727498328</v>
      </c>
      <c r="G693" s="81">
        <v>12412.175727498328</v>
      </c>
      <c r="H693" s="92">
        <v>86</v>
      </c>
      <c r="I693" s="81"/>
      <c r="J693" s="93">
        <v>0</v>
      </c>
      <c r="K693" s="93">
        <v>0</v>
      </c>
      <c r="L693" s="93">
        <v>0</v>
      </c>
      <c r="M693" s="93">
        <v>0</v>
      </c>
      <c r="N693" s="93">
        <v>0</v>
      </c>
      <c r="O693" s="93">
        <v>6.7068000000000003</v>
      </c>
    </row>
    <row r="694" spans="1:15">
      <c r="A694" s="81" t="s">
        <v>45</v>
      </c>
      <c r="B694" s="92" t="s">
        <v>49</v>
      </c>
      <c r="C694" s="92" t="s">
        <v>16</v>
      </c>
      <c r="D694" s="92">
        <v>2014</v>
      </c>
      <c r="E694" s="81">
        <v>20</v>
      </c>
      <c r="F694" s="81">
        <v>12042.8715943361</v>
      </c>
      <c r="G694" s="81">
        <v>12042.8715943361</v>
      </c>
      <c r="H694" s="92">
        <v>79</v>
      </c>
      <c r="I694" s="81"/>
      <c r="J694" s="93">
        <v>0</v>
      </c>
      <c r="K694" s="93">
        <v>0</v>
      </c>
      <c r="L694" s="93">
        <v>0</v>
      </c>
      <c r="M694" s="93">
        <v>0</v>
      </c>
      <c r="N694" s="93">
        <v>0</v>
      </c>
      <c r="O694" s="93">
        <v>6.7068000000000003</v>
      </c>
    </row>
    <row r="695" spans="1:15">
      <c r="A695" s="81" t="s">
        <v>45</v>
      </c>
      <c r="B695" s="92" t="s">
        <v>49</v>
      </c>
      <c r="C695" s="92" t="s">
        <v>16</v>
      </c>
      <c r="D695" s="92">
        <v>2014</v>
      </c>
      <c r="E695" s="81">
        <v>21</v>
      </c>
      <c r="F695" s="81">
        <v>11762.020469459305</v>
      </c>
      <c r="G695" s="81">
        <v>11762.020469459305</v>
      </c>
      <c r="H695" s="92">
        <v>73</v>
      </c>
      <c r="I695" s="81"/>
      <c r="J695" s="93">
        <v>0</v>
      </c>
      <c r="K695" s="93">
        <v>0</v>
      </c>
      <c r="L695" s="93">
        <v>0</v>
      </c>
      <c r="M695" s="93">
        <v>0</v>
      </c>
      <c r="N695" s="93">
        <v>0</v>
      </c>
      <c r="O695" s="93">
        <v>6.7068000000000003</v>
      </c>
    </row>
    <row r="696" spans="1:15">
      <c r="A696" s="81" t="s">
        <v>45</v>
      </c>
      <c r="B696" s="92" t="s">
        <v>49</v>
      </c>
      <c r="C696" s="92" t="s">
        <v>16</v>
      </c>
      <c r="D696" s="92">
        <v>2014</v>
      </c>
      <c r="E696" s="81">
        <v>22</v>
      </c>
      <c r="F696" s="81">
        <v>11462.039869808988</v>
      </c>
      <c r="G696" s="81">
        <v>11462.039869808988</v>
      </c>
      <c r="H696" s="92">
        <v>77</v>
      </c>
      <c r="I696" s="81"/>
      <c r="J696" s="93">
        <v>0</v>
      </c>
      <c r="K696" s="93">
        <v>0</v>
      </c>
      <c r="L696" s="93">
        <v>0</v>
      </c>
      <c r="M696" s="93">
        <v>0</v>
      </c>
      <c r="N696" s="93">
        <v>0</v>
      </c>
      <c r="O696" s="93">
        <v>6.7068000000000003</v>
      </c>
    </row>
    <row r="697" spans="1:15">
      <c r="A697" s="81" t="s">
        <v>45</v>
      </c>
      <c r="B697" s="92" t="s">
        <v>49</v>
      </c>
      <c r="C697" s="92" t="s">
        <v>16</v>
      </c>
      <c r="D697" s="92">
        <v>2014</v>
      </c>
      <c r="E697" s="81">
        <v>23</v>
      </c>
      <c r="F697" s="81">
        <v>11243.610079813454</v>
      </c>
      <c r="G697" s="81">
        <v>11243.610079813454</v>
      </c>
      <c r="H697" s="92">
        <v>71</v>
      </c>
      <c r="I697" s="81"/>
      <c r="J697" s="93">
        <v>0</v>
      </c>
      <c r="K697" s="93">
        <v>0</v>
      </c>
      <c r="L697" s="93">
        <v>0</v>
      </c>
      <c r="M697" s="93">
        <v>0</v>
      </c>
      <c r="N697" s="93">
        <v>0</v>
      </c>
      <c r="O697" s="93">
        <v>6.7068000000000003</v>
      </c>
    </row>
    <row r="698" spans="1:15">
      <c r="A698" s="81" t="s">
        <v>45</v>
      </c>
      <c r="B698" s="92" t="s">
        <v>49</v>
      </c>
      <c r="C698" s="92" t="s">
        <v>16</v>
      </c>
      <c r="D698" s="92">
        <v>2014</v>
      </c>
      <c r="E698" s="81">
        <v>24</v>
      </c>
      <c r="F698" s="81">
        <v>11080.267325929804</v>
      </c>
      <c r="G698" s="81">
        <v>11080.267325929804</v>
      </c>
      <c r="H698" s="92">
        <v>81</v>
      </c>
      <c r="I698" s="81"/>
      <c r="J698" s="93">
        <v>0</v>
      </c>
      <c r="K698" s="93">
        <v>0</v>
      </c>
      <c r="L698" s="93">
        <v>0</v>
      </c>
      <c r="M698" s="93">
        <v>0</v>
      </c>
      <c r="N698" s="93">
        <v>0</v>
      </c>
      <c r="O698" s="93">
        <v>6.7068000000000003</v>
      </c>
    </row>
    <row r="699" spans="1:15">
      <c r="A699" s="81" t="s">
        <v>45</v>
      </c>
      <c r="B699" s="92" t="s">
        <v>49</v>
      </c>
      <c r="C699" s="92" t="s">
        <v>17</v>
      </c>
      <c r="D699" s="92">
        <v>2014</v>
      </c>
      <c r="E699" s="81">
        <v>1</v>
      </c>
      <c r="F699" s="81">
        <v>10846.163728895952</v>
      </c>
      <c r="G699" s="81">
        <v>10846.163728895952</v>
      </c>
      <c r="H699" s="92">
        <v>88</v>
      </c>
      <c r="I699" s="81"/>
      <c r="J699" s="93">
        <v>0</v>
      </c>
      <c r="K699" s="93">
        <v>0</v>
      </c>
      <c r="L699" s="93">
        <v>0</v>
      </c>
      <c r="M699" s="93">
        <v>0</v>
      </c>
      <c r="N699" s="93">
        <v>0</v>
      </c>
      <c r="O699" s="93">
        <v>6.7068000000000003</v>
      </c>
    </row>
    <row r="700" spans="1:15">
      <c r="A700" s="81" t="s">
        <v>45</v>
      </c>
      <c r="B700" s="92" t="s">
        <v>49</v>
      </c>
      <c r="C700" s="92" t="s">
        <v>17</v>
      </c>
      <c r="D700" s="92">
        <v>2014</v>
      </c>
      <c r="E700" s="81">
        <v>2</v>
      </c>
      <c r="F700" s="81">
        <v>10754.00688888948</v>
      </c>
      <c r="G700" s="81">
        <v>10754.00688888948</v>
      </c>
      <c r="H700" s="92">
        <v>68</v>
      </c>
      <c r="I700" s="81"/>
      <c r="J700" s="93">
        <v>0</v>
      </c>
      <c r="K700" s="93">
        <v>0</v>
      </c>
      <c r="L700" s="93">
        <v>0</v>
      </c>
      <c r="M700" s="93">
        <v>0</v>
      </c>
      <c r="N700" s="93">
        <v>0</v>
      </c>
      <c r="O700" s="93">
        <v>6.7068000000000003</v>
      </c>
    </row>
    <row r="701" spans="1:15">
      <c r="A701" s="81" t="s">
        <v>45</v>
      </c>
      <c r="B701" s="92" t="s">
        <v>49</v>
      </c>
      <c r="C701" s="92" t="s">
        <v>17</v>
      </c>
      <c r="D701" s="92">
        <v>2014</v>
      </c>
      <c r="E701" s="81">
        <v>3</v>
      </c>
      <c r="F701" s="81">
        <v>10626.3781364107</v>
      </c>
      <c r="G701" s="81">
        <v>10626.3781364107</v>
      </c>
      <c r="H701" s="92">
        <v>82</v>
      </c>
      <c r="I701" s="81"/>
      <c r="J701" s="93">
        <v>0</v>
      </c>
      <c r="K701" s="93">
        <v>0</v>
      </c>
      <c r="L701" s="93">
        <v>0</v>
      </c>
      <c r="M701" s="93">
        <v>0</v>
      </c>
      <c r="N701" s="93">
        <v>0</v>
      </c>
      <c r="O701" s="93">
        <v>6.7068000000000003</v>
      </c>
    </row>
    <row r="702" spans="1:15">
      <c r="A702" s="81" t="s">
        <v>45</v>
      </c>
      <c r="B702" s="92" t="s">
        <v>49</v>
      </c>
      <c r="C702" s="92" t="s">
        <v>17</v>
      </c>
      <c r="D702" s="92">
        <v>2014</v>
      </c>
      <c r="E702" s="81">
        <v>4</v>
      </c>
      <c r="F702" s="81">
        <v>10639.166166264962</v>
      </c>
      <c r="G702" s="81">
        <v>10639.166166264962</v>
      </c>
      <c r="H702" s="92">
        <v>76</v>
      </c>
      <c r="I702" s="81"/>
      <c r="J702" s="93">
        <v>0</v>
      </c>
      <c r="K702" s="93">
        <v>0</v>
      </c>
      <c r="L702" s="93">
        <v>0</v>
      </c>
      <c r="M702" s="93">
        <v>0</v>
      </c>
      <c r="N702" s="93">
        <v>0</v>
      </c>
      <c r="O702" s="93">
        <v>6.7068000000000003</v>
      </c>
    </row>
    <row r="703" spans="1:15">
      <c r="A703" s="81" t="s">
        <v>45</v>
      </c>
      <c r="B703" s="92" t="s">
        <v>49</v>
      </c>
      <c r="C703" s="92" t="s">
        <v>17</v>
      </c>
      <c r="D703" s="92">
        <v>2014</v>
      </c>
      <c r="E703" s="81">
        <v>5</v>
      </c>
      <c r="F703" s="81">
        <v>10656.413450499271</v>
      </c>
      <c r="G703" s="81">
        <v>10656.413450499271</v>
      </c>
      <c r="H703" s="92">
        <v>77</v>
      </c>
      <c r="I703" s="81"/>
      <c r="J703" s="93">
        <v>0</v>
      </c>
      <c r="K703" s="93">
        <v>0</v>
      </c>
      <c r="L703" s="93">
        <v>0</v>
      </c>
      <c r="M703" s="93">
        <v>0</v>
      </c>
      <c r="N703" s="93">
        <v>0</v>
      </c>
      <c r="O703" s="93">
        <v>6.7068000000000003</v>
      </c>
    </row>
    <row r="704" spans="1:15">
      <c r="A704" s="81" t="s">
        <v>45</v>
      </c>
      <c r="B704" s="92" t="s">
        <v>49</v>
      </c>
      <c r="C704" s="92" t="s">
        <v>17</v>
      </c>
      <c r="D704" s="92">
        <v>2014</v>
      </c>
      <c r="E704" s="81">
        <v>6</v>
      </c>
      <c r="F704" s="81">
        <v>10693.180931010516</v>
      </c>
      <c r="G704" s="81">
        <v>10693.180931010516</v>
      </c>
      <c r="H704" s="92">
        <v>74</v>
      </c>
      <c r="I704" s="81"/>
      <c r="J704" s="93">
        <v>0</v>
      </c>
      <c r="K704" s="93">
        <v>0</v>
      </c>
      <c r="L704" s="93">
        <v>0</v>
      </c>
      <c r="M704" s="93">
        <v>0</v>
      </c>
      <c r="N704" s="93">
        <v>0</v>
      </c>
      <c r="O704" s="93">
        <v>6.7068000000000003</v>
      </c>
    </row>
    <row r="705" spans="1:15">
      <c r="A705" s="81" t="s">
        <v>45</v>
      </c>
      <c r="B705" s="92" t="s">
        <v>49</v>
      </c>
      <c r="C705" s="92" t="s">
        <v>17</v>
      </c>
      <c r="D705" s="92">
        <v>2014</v>
      </c>
      <c r="E705" s="81">
        <v>7</v>
      </c>
      <c r="F705" s="81">
        <v>10894.872275566157</v>
      </c>
      <c r="G705" s="81">
        <v>10894.872275566157</v>
      </c>
      <c r="H705" s="92">
        <v>72</v>
      </c>
      <c r="I705" s="81"/>
      <c r="J705" s="93">
        <v>0</v>
      </c>
      <c r="K705" s="93">
        <v>0</v>
      </c>
      <c r="L705" s="93">
        <v>0</v>
      </c>
      <c r="M705" s="93">
        <v>0</v>
      </c>
      <c r="N705" s="93">
        <v>0</v>
      </c>
      <c r="O705" s="93">
        <v>6.7068000000000003</v>
      </c>
    </row>
    <row r="706" spans="1:15">
      <c r="A706" s="81" t="s">
        <v>45</v>
      </c>
      <c r="B706" s="92" t="s">
        <v>49</v>
      </c>
      <c r="C706" s="92" t="s">
        <v>17</v>
      </c>
      <c r="D706" s="92">
        <v>2014</v>
      </c>
      <c r="E706" s="81">
        <v>8</v>
      </c>
      <c r="F706" s="81">
        <v>11106.856883341772</v>
      </c>
      <c r="G706" s="81">
        <v>11106.856883341772</v>
      </c>
      <c r="H706" s="92">
        <v>71</v>
      </c>
      <c r="I706" s="81"/>
      <c r="J706" s="93">
        <v>0</v>
      </c>
      <c r="K706" s="93">
        <v>0</v>
      </c>
      <c r="L706" s="93">
        <v>0</v>
      </c>
      <c r="M706" s="93">
        <v>0</v>
      </c>
      <c r="N706" s="93">
        <v>0</v>
      </c>
      <c r="O706" s="93">
        <v>6.7068000000000003</v>
      </c>
    </row>
    <row r="707" spans="1:15">
      <c r="A707" s="81" t="s">
        <v>45</v>
      </c>
      <c r="B707" s="92" t="s">
        <v>49</v>
      </c>
      <c r="C707" s="92" t="s">
        <v>17</v>
      </c>
      <c r="D707" s="92">
        <v>2014</v>
      </c>
      <c r="E707" s="81">
        <v>9</v>
      </c>
      <c r="F707" s="81">
        <v>12419.663441032068</v>
      </c>
      <c r="G707" s="81">
        <v>12419.663441032068</v>
      </c>
      <c r="H707" s="92">
        <v>68</v>
      </c>
      <c r="I707" s="81"/>
      <c r="J707" s="93">
        <v>0</v>
      </c>
      <c r="K707" s="93">
        <v>0</v>
      </c>
      <c r="L707" s="93">
        <v>0</v>
      </c>
      <c r="M707" s="93">
        <v>0</v>
      </c>
      <c r="N707" s="93">
        <v>0</v>
      </c>
      <c r="O707" s="93">
        <v>6.7068000000000003</v>
      </c>
    </row>
    <row r="708" spans="1:15">
      <c r="A708" s="81" t="s">
        <v>45</v>
      </c>
      <c r="B708" s="92" t="s">
        <v>49</v>
      </c>
      <c r="C708" s="92" t="s">
        <v>17</v>
      </c>
      <c r="D708" s="92">
        <v>2014</v>
      </c>
      <c r="E708" s="81">
        <v>10</v>
      </c>
      <c r="F708" s="81">
        <v>12988.41454335225</v>
      </c>
      <c r="G708" s="81">
        <v>12988.41454335225</v>
      </c>
      <c r="H708" s="92">
        <v>62</v>
      </c>
      <c r="I708" s="81"/>
      <c r="J708" s="93">
        <v>0</v>
      </c>
      <c r="K708" s="93">
        <v>0</v>
      </c>
      <c r="L708" s="93">
        <v>0</v>
      </c>
      <c r="M708" s="93">
        <v>0</v>
      </c>
      <c r="N708" s="93">
        <v>0</v>
      </c>
      <c r="O708" s="93">
        <v>6.7068000000000003</v>
      </c>
    </row>
    <row r="709" spans="1:15">
      <c r="A709" s="81" t="s">
        <v>45</v>
      </c>
      <c r="B709" s="92" t="s">
        <v>49</v>
      </c>
      <c r="C709" s="92" t="s">
        <v>17</v>
      </c>
      <c r="D709" s="92">
        <v>2014</v>
      </c>
      <c r="E709" s="81">
        <v>11</v>
      </c>
      <c r="F709" s="81">
        <v>13486.17333539866</v>
      </c>
      <c r="G709" s="81">
        <v>7736.2604742719313</v>
      </c>
      <c r="H709" s="92">
        <v>66</v>
      </c>
      <c r="I709" s="81"/>
      <c r="J709" s="93">
        <v>5598.31414767363</v>
      </c>
      <c r="K709" s="93">
        <v>5654.546909762923</v>
      </c>
      <c r="L709" s="93">
        <v>5749.9128611267288</v>
      </c>
      <c r="M709" s="93">
        <v>5845.2788124905464</v>
      </c>
      <c r="N709" s="93">
        <v>5901.5115745798375</v>
      </c>
      <c r="O709" s="93">
        <v>6.7068000000000003</v>
      </c>
    </row>
    <row r="710" spans="1:15">
      <c r="A710" s="81" t="s">
        <v>45</v>
      </c>
      <c r="B710" s="92" t="s">
        <v>49</v>
      </c>
      <c r="C710" s="92" t="s">
        <v>17</v>
      </c>
      <c r="D710" s="92">
        <v>2014</v>
      </c>
      <c r="E710" s="81">
        <v>12</v>
      </c>
      <c r="F710" s="81">
        <v>13843.852680521111</v>
      </c>
      <c r="G710" s="81">
        <v>7941.4410330054579</v>
      </c>
      <c r="H710" s="92">
        <v>65</v>
      </c>
      <c r="I710" s="81"/>
      <c r="J710" s="93">
        <v>5759.0013464804251</v>
      </c>
      <c r="K710" s="93">
        <v>5812.1967671774673</v>
      </c>
      <c r="L710" s="93">
        <v>5902.4116475156534</v>
      </c>
      <c r="M710" s="93">
        <v>5992.6265278538476</v>
      </c>
      <c r="N710" s="93">
        <v>6045.8219485508898</v>
      </c>
      <c r="O710" s="93">
        <v>6.7068000000000003</v>
      </c>
    </row>
    <row r="711" spans="1:15">
      <c r="A711" s="81" t="s">
        <v>45</v>
      </c>
      <c r="B711" s="92" t="s">
        <v>49</v>
      </c>
      <c r="C711" s="92" t="s">
        <v>17</v>
      </c>
      <c r="D711" s="92">
        <v>2014</v>
      </c>
      <c r="E711" s="81">
        <v>13</v>
      </c>
      <c r="F711" s="81">
        <v>13879.294674171852</v>
      </c>
      <c r="G711" s="81">
        <v>7961.7721149062018</v>
      </c>
      <c r="H711" s="92">
        <v>77</v>
      </c>
      <c r="I711" s="81"/>
      <c r="J711" s="93">
        <v>5777.556089917216</v>
      </c>
      <c r="K711" s="93">
        <v>5829.4740844177659</v>
      </c>
      <c r="L711" s="93">
        <v>5917.5225592656498</v>
      </c>
      <c r="M711" s="93">
        <v>6005.5710341135318</v>
      </c>
      <c r="N711" s="93">
        <v>6057.4890286140808</v>
      </c>
      <c r="O711" s="93">
        <v>6.7068000000000003</v>
      </c>
    </row>
    <row r="712" spans="1:15">
      <c r="A712" s="81" t="s">
        <v>45</v>
      </c>
      <c r="B712" s="92" t="s">
        <v>49</v>
      </c>
      <c r="C712" s="92" t="s">
        <v>17</v>
      </c>
      <c r="D712" s="92">
        <v>2014</v>
      </c>
      <c r="E712" s="81">
        <v>14</v>
      </c>
      <c r="F712" s="81">
        <v>13755.741710196986</v>
      </c>
      <c r="G712" s="81">
        <v>7890.8967162362915</v>
      </c>
      <c r="H712" s="92">
        <v>83</v>
      </c>
      <c r="I712" s="81"/>
      <c r="J712" s="93">
        <v>5736.015993501831</v>
      </c>
      <c r="K712" s="93">
        <v>5783.8027482043708</v>
      </c>
      <c r="L712" s="93">
        <v>5864.8449939606944</v>
      </c>
      <c r="M712" s="93">
        <v>5945.8872397170162</v>
      </c>
      <c r="N712" s="93">
        <v>5993.6739944195679</v>
      </c>
      <c r="O712" s="93">
        <v>6.7068000000000003</v>
      </c>
    </row>
    <row r="713" spans="1:15">
      <c r="A713" s="81" t="s">
        <v>45</v>
      </c>
      <c r="B713" s="92" t="s">
        <v>49</v>
      </c>
      <c r="C713" s="92" t="s">
        <v>17</v>
      </c>
      <c r="D713" s="92">
        <v>2014</v>
      </c>
      <c r="E713" s="81">
        <v>15</v>
      </c>
      <c r="F713" s="81">
        <v>13335.815219972837</v>
      </c>
      <c r="G713" s="81">
        <v>7650.0084651640846</v>
      </c>
      <c r="H713" s="92">
        <v>82</v>
      </c>
      <c r="I713" s="81"/>
      <c r="J713" s="93">
        <v>5552.6946734962703</v>
      </c>
      <c r="K713" s="93">
        <v>5602.0701584800008</v>
      </c>
      <c r="L713" s="93">
        <v>5685.8067548087529</v>
      </c>
      <c r="M713" s="93">
        <v>5769.5433511375159</v>
      </c>
      <c r="N713" s="93">
        <v>5818.9188361212373</v>
      </c>
      <c r="O713" s="93">
        <v>6.7068000000000003</v>
      </c>
    </row>
    <row r="714" spans="1:15">
      <c r="A714" s="81" t="s">
        <v>45</v>
      </c>
      <c r="B714" s="92" t="s">
        <v>49</v>
      </c>
      <c r="C714" s="92" t="s">
        <v>17</v>
      </c>
      <c r="D714" s="92">
        <v>2014</v>
      </c>
      <c r="E714" s="81">
        <v>16</v>
      </c>
      <c r="F714" s="81">
        <v>13236.781767995688</v>
      </c>
      <c r="G714" s="81">
        <v>7593.198533902817</v>
      </c>
      <c r="H714" s="92">
        <v>68</v>
      </c>
      <c r="I714" s="81"/>
      <c r="J714" s="93">
        <v>5512.8325385505559</v>
      </c>
      <c r="K714" s="93">
        <v>5561.3321107960355</v>
      </c>
      <c r="L714" s="93">
        <v>5643.583234092871</v>
      </c>
      <c r="M714" s="93">
        <v>5725.8343573897155</v>
      </c>
      <c r="N714" s="93">
        <v>5774.3339296351951</v>
      </c>
      <c r="O714" s="93">
        <v>6.7068000000000003</v>
      </c>
    </row>
    <row r="715" spans="1:15">
      <c r="A715" s="81" t="s">
        <v>45</v>
      </c>
      <c r="B715" s="92" t="s">
        <v>49</v>
      </c>
      <c r="C715" s="92" t="s">
        <v>17</v>
      </c>
      <c r="D715" s="92">
        <v>2014</v>
      </c>
      <c r="E715" s="81">
        <v>17</v>
      </c>
      <c r="F715" s="81">
        <v>13142.851401600963</v>
      </c>
      <c r="G715" s="81">
        <v>7539.3159563323497</v>
      </c>
      <c r="H715" s="92">
        <v>84</v>
      </c>
      <c r="I715" s="81"/>
      <c r="J715" s="93">
        <v>5448.0842492607826</v>
      </c>
      <c r="K715" s="93">
        <v>5505.7460190904412</v>
      </c>
      <c r="L715" s="93">
        <v>5603.5354452686133</v>
      </c>
      <c r="M715" s="93">
        <v>5701.3248714467954</v>
      </c>
      <c r="N715" s="93">
        <v>5758.9866412764541</v>
      </c>
      <c r="O715" s="93">
        <v>6.7068000000000003</v>
      </c>
    </row>
    <row r="716" spans="1:15">
      <c r="A716" s="81" t="s">
        <v>45</v>
      </c>
      <c r="B716" s="92" t="s">
        <v>49</v>
      </c>
      <c r="C716" s="92" t="s">
        <v>17</v>
      </c>
      <c r="D716" s="92">
        <v>2014</v>
      </c>
      <c r="E716" s="81">
        <v>18</v>
      </c>
      <c r="F716" s="81">
        <v>12778.710581417778</v>
      </c>
      <c r="G716" s="81">
        <v>7330.4288121297895</v>
      </c>
      <c r="H716" s="92">
        <v>75</v>
      </c>
      <c r="I716" s="81"/>
      <c r="J716" s="93">
        <v>5312.9918750646193</v>
      </c>
      <c r="K716" s="93">
        <v>5363.1751798015766</v>
      </c>
      <c r="L716" s="93">
        <v>5448.281769287988</v>
      </c>
      <c r="M716" s="93">
        <v>5533.3883587743994</v>
      </c>
      <c r="N716" s="93">
        <v>5583.5716635113649</v>
      </c>
      <c r="O716" s="93">
        <v>6.7068000000000003</v>
      </c>
    </row>
    <row r="717" spans="1:15">
      <c r="A717" s="81" t="s">
        <v>45</v>
      </c>
      <c r="B717" s="92" t="s">
        <v>49</v>
      </c>
      <c r="C717" s="92" t="s">
        <v>17</v>
      </c>
      <c r="D717" s="92">
        <v>2014</v>
      </c>
      <c r="E717" s="81">
        <v>19</v>
      </c>
      <c r="F717" s="81">
        <v>12513.277871725009</v>
      </c>
      <c r="G717" s="81">
        <v>12513.277871725009</v>
      </c>
      <c r="H717" s="92">
        <v>91</v>
      </c>
      <c r="I717" s="81"/>
      <c r="J717" s="93">
        <v>0</v>
      </c>
      <c r="K717" s="93">
        <v>0</v>
      </c>
      <c r="L717" s="93">
        <v>0</v>
      </c>
      <c r="M717" s="93">
        <v>0</v>
      </c>
      <c r="N717" s="93">
        <v>0</v>
      </c>
      <c r="O717" s="93">
        <v>6.7068000000000003</v>
      </c>
    </row>
    <row r="718" spans="1:15">
      <c r="A718" s="81" t="s">
        <v>45</v>
      </c>
      <c r="B718" s="92" t="s">
        <v>49</v>
      </c>
      <c r="C718" s="92" t="s">
        <v>17</v>
      </c>
      <c r="D718" s="92">
        <v>2014</v>
      </c>
      <c r="E718" s="81">
        <v>20</v>
      </c>
      <c r="F718" s="81">
        <v>12282.651165428984</v>
      </c>
      <c r="G718" s="81">
        <v>12282.651165428984</v>
      </c>
      <c r="H718" s="92">
        <v>83</v>
      </c>
      <c r="I718" s="81"/>
      <c r="J718" s="93">
        <v>0</v>
      </c>
      <c r="K718" s="93">
        <v>0</v>
      </c>
      <c r="L718" s="93">
        <v>0</v>
      </c>
      <c r="M718" s="93">
        <v>0</v>
      </c>
      <c r="N718" s="93">
        <v>0</v>
      </c>
      <c r="O718" s="93">
        <v>6.7068000000000003</v>
      </c>
    </row>
    <row r="719" spans="1:15">
      <c r="A719" s="81" t="s">
        <v>45</v>
      </c>
      <c r="B719" s="92" t="s">
        <v>49</v>
      </c>
      <c r="C719" s="92" t="s">
        <v>17</v>
      </c>
      <c r="D719" s="92">
        <v>2014</v>
      </c>
      <c r="E719" s="81">
        <v>21</v>
      </c>
      <c r="F719" s="81">
        <v>11990.433926433778</v>
      </c>
      <c r="G719" s="81">
        <v>11990.433926433778</v>
      </c>
      <c r="H719" s="92">
        <v>75</v>
      </c>
      <c r="I719" s="81"/>
      <c r="J719" s="93">
        <v>0</v>
      </c>
      <c r="K719" s="93">
        <v>0</v>
      </c>
      <c r="L719" s="93">
        <v>0</v>
      </c>
      <c r="M719" s="93">
        <v>0</v>
      </c>
      <c r="N719" s="93">
        <v>0</v>
      </c>
      <c r="O719" s="93">
        <v>6.7068000000000003</v>
      </c>
    </row>
    <row r="720" spans="1:15">
      <c r="A720" s="81" t="s">
        <v>45</v>
      </c>
      <c r="B720" s="92" t="s">
        <v>49</v>
      </c>
      <c r="C720" s="92" t="s">
        <v>17</v>
      </c>
      <c r="D720" s="92">
        <v>2014</v>
      </c>
      <c r="E720" s="81">
        <v>22</v>
      </c>
      <c r="F720" s="81">
        <v>11687.756596205849</v>
      </c>
      <c r="G720" s="81">
        <v>11687.756596205849</v>
      </c>
      <c r="H720" s="92">
        <v>78</v>
      </c>
      <c r="I720" s="81"/>
      <c r="J720" s="93">
        <v>0</v>
      </c>
      <c r="K720" s="93">
        <v>0</v>
      </c>
      <c r="L720" s="93">
        <v>0</v>
      </c>
      <c r="M720" s="93">
        <v>0</v>
      </c>
      <c r="N720" s="93">
        <v>0</v>
      </c>
      <c r="O720" s="93">
        <v>6.7068000000000003</v>
      </c>
    </row>
    <row r="721" spans="1:15">
      <c r="A721" s="81" t="s">
        <v>45</v>
      </c>
      <c r="B721" s="92" t="s">
        <v>49</v>
      </c>
      <c r="C721" s="92" t="s">
        <v>17</v>
      </c>
      <c r="D721" s="92">
        <v>2014</v>
      </c>
      <c r="E721" s="81">
        <v>23</v>
      </c>
      <c r="F721" s="81">
        <v>11435.976783454122</v>
      </c>
      <c r="G721" s="81">
        <v>11435.976783454122</v>
      </c>
      <c r="H721" s="92">
        <v>67</v>
      </c>
      <c r="I721" s="81"/>
      <c r="J721" s="93">
        <v>0</v>
      </c>
      <c r="K721" s="93">
        <v>0</v>
      </c>
      <c r="L721" s="93">
        <v>0</v>
      </c>
      <c r="M721" s="93">
        <v>0</v>
      </c>
      <c r="N721" s="93">
        <v>0</v>
      </c>
      <c r="O721" s="93">
        <v>6.7068000000000003</v>
      </c>
    </row>
    <row r="722" spans="1:15">
      <c r="A722" t="s">
        <v>45</v>
      </c>
      <c r="B722" t="s">
        <v>49</v>
      </c>
      <c r="C722" t="s">
        <v>17</v>
      </c>
      <c r="D722">
        <v>2014</v>
      </c>
      <c r="E722">
        <v>24</v>
      </c>
      <c r="F722">
        <v>11208.141884438324</v>
      </c>
      <c r="G722">
        <v>11208.141884438324</v>
      </c>
      <c r="H722">
        <v>66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6.7068000000000003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INPUTS-OUTPUTS</vt:lpstr>
      <vt:lpstr>LOOKUP</vt:lpstr>
      <vt:lpstr>DATA</vt:lpstr>
      <vt:lpstr>Accounts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CustChar</vt:lpstr>
      <vt:lpstr>CustCharList</vt:lpstr>
      <vt:lpstr>DATA</vt:lpstr>
      <vt:lpstr>DayType</vt:lpstr>
      <vt:lpstr>DayTypeList</vt:lpstr>
      <vt:lpstr>ForecastYear</vt:lpstr>
      <vt:lpstr>ForecastYearList</vt:lpstr>
      <vt:lpstr>TypeofResult</vt:lpstr>
      <vt:lpstr>TypeofResultList</vt:lpstr>
      <vt:lpstr>WeatherYear</vt:lpstr>
      <vt:lpstr>WeatherYearList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Schellenberg</dc:creator>
  <cp:lastModifiedBy>Kathryn E Smith</cp:lastModifiedBy>
  <dcterms:created xsi:type="dcterms:W3CDTF">2009-02-12T23:40:36Z</dcterms:created>
  <dcterms:modified xsi:type="dcterms:W3CDTF">2012-06-01T22:40:58Z</dcterms:modified>
</cp:coreProperties>
</file>