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30" windowWidth="15480" windowHeight="8445"/>
  </bookViews>
  <sheets>
    <sheet name="Bid Form" sheetId="1" r:id="rId1"/>
    <sheet name="Delivery Profile" sheetId="2" r:id="rId2"/>
    <sheet name="Deliverability Calculation" sheetId="3" r:id="rId3"/>
  </sheets>
  <definedNames>
    <definedName name="_xlnm._FilterDatabase" localSheetId="2" hidden="1">'Deliverability Calculation'!$E$3:$N$15</definedName>
    <definedName name="_xlnm.Print_Area" localSheetId="1">'Delivery Profile'!$A$1:$P$201</definedName>
    <definedName name="_xlnm.Print_Titles" localSheetId="1">'Delivery Profile'!$11:$13</definedName>
  </definedNames>
  <calcPr calcId="145621"/>
</workbook>
</file>

<file path=xl/calcChain.xml><?xml version="1.0" encoding="utf-8"?>
<calcChain xmlns="http://schemas.openxmlformats.org/spreadsheetml/2006/main">
  <c r="H52" i="1" l="1"/>
  <c r="H22" i="1" l="1"/>
  <c r="Q22" i="1"/>
  <c r="S23" i="1"/>
  <c r="A2" i="3" l="1"/>
  <c r="T28" i="1"/>
  <c r="T47" i="1" s="1"/>
  <c r="S28" i="1"/>
  <c r="S47" i="1" s="1"/>
  <c r="R28" i="1"/>
  <c r="R48" i="1" s="1"/>
  <c r="Q28" i="1"/>
  <c r="Q48" i="1" s="1"/>
  <c r="P28" i="1"/>
  <c r="P47" i="1" s="1"/>
  <c r="O28" i="1"/>
  <c r="O47" i="1" s="1"/>
  <c r="O30" i="1" l="1"/>
  <c r="S32" i="1"/>
  <c r="Q35" i="1"/>
  <c r="O38" i="1"/>
  <c r="S40" i="1"/>
  <c r="Q43" i="1"/>
  <c r="O46" i="1"/>
  <c r="S48" i="1"/>
  <c r="Q29" i="1"/>
  <c r="O32" i="1"/>
  <c r="S34" i="1"/>
  <c r="Q37" i="1"/>
  <c r="O40" i="1"/>
  <c r="S42" i="1"/>
  <c r="Q45" i="1"/>
  <c r="O48" i="1"/>
  <c r="Q31" i="1"/>
  <c r="O34" i="1"/>
  <c r="S36" i="1"/>
  <c r="Q39" i="1"/>
  <c r="O42" i="1"/>
  <c r="S44" i="1"/>
  <c r="Q47" i="1"/>
  <c r="S30" i="1"/>
  <c r="Q33" i="1"/>
  <c r="O36" i="1"/>
  <c r="S38" i="1"/>
  <c r="Q41" i="1"/>
  <c r="O44" i="1"/>
  <c r="S46" i="1"/>
  <c r="R29" i="1"/>
  <c r="P30" i="1"/>
  <c r="T30" i="1"/>
  <c r="R31" i="1"/>
  <c r="P32" i="1"/>
  <c r="T32" i="1"/>
  <c r="R33" i="1"/>
  <c r="P34" i="1"/>
  <c r="T34" i="1"/>
  <c r="R35" i="1"/>
  <c r="P36" i="1"/>
  <c r="T36" i="1"/>
  <c r="R37" i="1"/>
  <c r="P38" i="1"/>
  <c r="T38" i="1"/>
  <c r="R39" i="1"/>
  <c r="P40" i="1"/>
  <c r="T40" i="1"/>
  <c r="R41" i="1"/>
  <c r="P42" i="1"/>
  <c r="T42" i="1"/>
  <c r="R43" i="1"/>
  <c r="P44" i="1"/>
  <c r="T44" i="1"/>
  <c r="R45" i="1"/>
  <c r="P46" i="1"/>
  <c r="T46" i="1"/>
  <c r="R47" i="1"/>
  <c r="P48" i="1"/>
  <c r="T48" i="1"/>
  <c r="P29" i="1"/>
  <c r="T29" i="1"/>
  <c r="R30" i="1"/>
  <c r="P31" i="1"/>
  <c r="T31" i="1"/>
  <c r="R32" i="1"/>
  <c r="P33" i="1"/>
  <c r="T33" i="1"/>
  <c r="R34" i="1"/>
  <c r="P35" i="1"/>
  <c r="T35" i="1"/>
  <c r="R36" i="1"/>
  <c r="P37" i="1"/>
  <c r="T37" i="1"/>
  <c r="R38" i="1"/>
  <c r="P39" i="1"/>
  <c r="T39" i="1"/>
  <c r="R40" i="1"/>
  <c r="P41" i="1"/>
  <c r="T41" i="1"/>
  <c r="R42" i="1"/>
  <c r="P43" i="1"/>
  <c r="T43" i="1"/>
  <c r="R44" i="1"/>
  <c r="P45" i="1"/>
  <c r="T45" i="1"/>
  <c r="R46" i="1"/>
  <c r="O29" i="1"/>
  <c r="S29" i="1"/>
  <c r="Q30" i="1"/>
  <c r="O31" i="1"/>
  <c r="S31" i="1"/>
  <c r="Q32" i="1"/>
  <c r="O33" i="1"/>
  <c r="S33" i="1"/>
  <c r="Q34" i="1"/>
  <c r="O35" i="1"/>
  <c r="S35" i="1"/>
  <c r="Q36" i="1"/>
  <c r="O37" i="1"/>
  <c r="S37" i="1"/>
  <c r="Q38" i="1"/>
  <c r="O39" i="1"/>
  <c r="S39" i="1"/>
  <c r="Q40" i="1"/>
  <c r="O41" i="1"/>
  <c r="S41" i="1"/>
  <c r="Q42" i="1"/>
  <c r="O43" i="1"/>
  <c r="S43" i="1"/>
  <c r="Q44" i="1"/>
  <c r="O45" i="1"/>
  <c r="S45" i="1"/>
  <c r="Q46" i="1"/>
  <c r="G18" i="3"/>
  <c r="D18" i="3"/>
  <c r="J18" i="3" l="1"/>
  <c r="E22" i="3" s="1"/>
  <c r="G22" i="3" s="1"/>
  <c r="O22" i="3" l="1"/>
  <c r="O23" i="3" s="1"/>
  <c r="O48" i="3" s="1"/>
  <c r="Q48" i="3" s="1"/>
  <c r="J22" i="3"/>
  <c r="J47" i="3" s="1"/>
  <c r="L47" i="3" s="1"/>
  <c r="E23" i="3"/>
  <c r="E48" i="3" s="1"/>
  <c r="G48" i="3" s="1"/>
  <c r="AD22" i="3"/>
  <c r="AD23" i="3" s="1"/>
  <c r="AD48" i="3" s="1"/>
  <c r="AF48" i="3" s="1"/>
  <c r="Y22" i="3"/>
  <c r="Y23" i="3" s="1"/>
  <c r="Y48" i="3" s="1"/>
  <c r="AA48" i="3" s="1"/>
  <c r="T22" i="3"/>
  <c r="V22" i="3" s="1"/>
  <c r="E47" i="3"/>
  <c r="G47" i="3" s="1"/>
  <c r="AD47" i="3" l="1"/>
  <c r="AF47" i="3" s="1"/>
  <c r="AF22" i="3"/>
  <c r="AA22" i="3"/>
  <c r="Y47" i="3"/>
  <c r="AA47" i="3" s="1"/>
  <c r="O47" i="3"/>
  <c r="Q47" i="3" s="1"/>
  <c r="Q22" i="3"/>
  <c r="J23" i="3"/>
  <c r="J48" i="3" s="1"/>
  <c r="L48" i="3" s="1"/>
  <c r="T47" i="3"/>
  <c r="V47" i="3" s="1"/>
  <c r="G23" i="3"/>
  <c r="T23" i="3"/>
  <c r="T48" i="3" s="1"/>
  <c r="V48" i="3" s="1"/>
  <c r="L22" i="3"/>
  <c r="E24" i="3"/>
  <c r="E49" i="3" s="1"/>
  <c r="G49" i="3" s="1"/>
  <c r="AF23" i="3"/>
  <c r="AD24" i="3"/>
  <c r="AD49" i="3" s="1"/>
  <c r="AF49" i="3" s="1"/>
  <c r="Y24" i="3"/>
  <c r="Y49" i="3" s="1"/>
  <c r="AA49" i="3" s="1"/>
  <c r="AA23" i="3"/>
  <c r="Q23" i="3"/>
  <c r="O24" i="3"/>
  <c r="O49" i="3" s="1"/>
  <c r="Q49" i="3" s="1"/>
  <c r="L23" i="3" l="1"/>
  <c r="J24" i="3"/>
  <c r="J49" i="3" s="1"/>
  <c r="L49" i="3" s="1"/>
  <c r="E25" i="3"/>
  <c r="E50" i="3" s="1"/>
  <c r="G50" i="3" s="1"/>
  <c r="G24" i="3"/>
  <c r="V23" i="3"/>
  <c r="T24" i="3"/>
  <c r="T49" i="3" s="1"/>
  <c r="V49" i="3" s="1"/>
  <c r="AD25" i="3"/>
  <c r="AD50" i="3" s="1"/>
  <c r="AF50" i="3" s="1"/>
  <c r="AF24" i="3"/>
  <c r="AA24" i="3"/>
  <c r="Y25" i="3"/>
  <c r="Y50" i="3" s="1"/>
  <c r="AA50" i="3" s="1"/>
  <c r="Q24" i="3"/>
  <c r="O25" i="3"/>
  <c r="O50" i="3" s="1"/>
  <c r="Q50" i="3" s="1"/>
  <c r="J25" i="3" l="1"/>
  <c r="J50" i="3" s="1"/>
  <c r="L50" i="3" s="1"/>
  <c r="G25" i="3"/>
  <c r="E26" i="3"/>
  <c r="E51" i="3" s="1"/>
  <c r="G51" i="3" s="1"/>
  <c r="L24" i="3"/>
  <c r="V24" i="3"/>
  <c r="T25" i="3"/>
  <c r="T50" i="3" s="1"/>
  <c r="V50" i="3" s="1"/>
  <c r="AD26" i="3"/>
  <c r="AD51" i="3" s="1"/>
  <c r="AF51" i="3" s="1"/>
  <c r="AF25" i="3"/>
  <c r="Y26" i="3"/>
  <c r="Y51" i="3" s="1"/>
  <c r="AA51" i="3" s="1"/>
  <c r="AA25" i="3"/>
  <c r="O26" i="3"/>
  <c r="O51" i="3" s="1"/>
  <c r="Q51" i="3" s="1"/>
  <c r="Q25" i="3"/>
  <c r="J26" i="3"/>
  <c r="J51" i="3" s="1"/>
  <c r="L51" i="3" s="1"/>
  <c r="E27" i="3" l="1"/>
  <c r="E52" i="3" s="1"/>
  <c r="G52" i="3" s="1"/>
  <c r="L25" i="3"/>
  <c r="G26" i="3"/>
  <c r="T26" i="3"/>
  <c r="T51" i="3" s="1"/>
  <c r="V51" i="3" s="1"/>
  <c r="V25" i="3"/>
  <c r="AD27" i="3"/>
  <c r="AD52" i="3" s="1"/>
  <c r="AF52" i="3" s="1"/>
  <c r="AF26" i="3"/>
  <c r="AA26" i="3"/>
  <c r="Y27" i="3"/>
  <c r="Y52" i="3" s="1"/>
  <c r="AA52" i="3" s="1"/>
  <c r="Q26" i="3"/>
  <c r="O27" i="3"/>
  <c r="O52" i="3" s="1"/>
  <c r="Q52" i="3" s="1"/>
  <c r="J27" i="3"/>
  <c r="J52" i="3" s="1"/>
  <c r="L52" i="3" s="1"/>
  <c r="L26" i="3"/>
  <c r="E28" i="3" l="1"/>
  <c r="E53" i="3" s="1"/>
  <c r="G53" i="3" s="1"/>
  <c r="G27" i="3"/>
  <c r="T27" i="3"/>
  <c r="T52" i="3" s="1"/>
  <c r="V52" i="3" s="1"/>
  <c r="V26" i="3"/>
  <c r="AF27" i="3"/>
  <c r="AD28" i="3"/>
  <c r="AD53" i="3" s="1"/>
  <c r="AF53" i="3" s="1"/>
  <c r="AA27" i="3"/>
  <c r="Y28" i="3"/>
  <c r="Y53" i="3" s="1"/>
  <c r="AA53" i="3" s="1"/>
  <c r="O28" i="3"/>
  <c r="O53" i="3" s="1"/>
  <c r="Q53" i="3" s="1"/>
  <c r="Q27" i="3"/>
  <c r="J28" i="3"/>
  <c r="J53" i="3" s="1"/>
  <c r="L53" i="3" s="1"/>
  <c r="L27" i="3"/>
  <c r="E29" i="3"/>
  <c r="E54" i="3" s="1"/>
  <c r="G54" i="3" s="1"/>
  <c r="G28" i="3" l="1"/>
  <c r="T28" i="3"/>
  <c r="T53" i="3" s="1"/>
  <c r="V53" i="3" s="1"/>
  <c r="V27" i="3"/>
  <c r="AD29" i="3"/>
  <c r="AD54" i="3" s="1"/>
  <c r="AF54" i="3" s="1"/>
  <c r="AF28" i="3"/>
  <c r="AA28" i="3"/>
  <c r="Y29" i="3"/>
  <c r="Y54" i="3" s="1"/>
  <c r="AA54" i="3" s="1"/>
  <c r="Q28" i="3"/>
  <c r="O29" i="3"/>
  <c r="O54" i="3" s="1"/>
  <c r="Q54" i="3" s="1"/>
  <c r="L28" i="3"/>
  <c r="J29" i="3"/>
  <c r="J54" i="3" s="1"/>
  <c r="L54" i="3" s="1"/>
  <c r="E30" i="3"/>
  <c r="E55" i="3" s="1"/>
  <c r="G55" i="3" s="1"/>
  <c r="G29" i="3"/>
  <c r="A2" i="1"/>
  <c r="C29" i="1"/>
  <c r="D29" i="1" s="1"/>
  <c r="C30" i="1" s="1"/>
  <c r="D30" i="1" s="1"/>
  <c r="C31" i="1" s="1"/>
  <c r="D31" i="1" s="1"/>
  <c r="C32" i="1" s="1"/>
  <c r="D32" i="1" s="1"/>
  <c r="C33" i="1" s="1"/>
  <c r="D33" i="1" s="1"/>
  <c r="C34" i="1" s="1"/>
  <c r="B30" i="1"/>
  <c r="B37" i="1"/>
  <c r="B38" i="1"/>
  <c r="B39" i="1" s="1"/>
  <c r="B40" i="1" s="1"/>
  <c r="B41" i="1" s="1"/>
  <c r="B42" i="1" s="1"/>
  <c r="B43" i="1" s="1"/>
  <c r="B44" i="1" s="1"/>
  <c r="B45" i="1" s="1"/>
  <c r="B46" i="1" s="1"/>
  <c r="B47" i="1" s="1"/>
  <c r="B48" i="1" s="1"/>
  <c r="M4" i="2"/>
  <c r="D34" i="1" l="1"/>
  <c r="C35" i="1" s="1"/>
  <c r="V28" i="3"/>
  <c r="T29" i="3"/>
  <c r="T54" i="3" s="1"/>
  <c r="V54" i="3" s="1"/>
  <c r="AD30" i="3"/>
  <c r="AD55" i="3" s="1"/>
  <c r="AF55" i="3" s="1"/>
  <c r="AF29" i="3"/>
  <c r="Y30" i="3"/>
  <c r="Y55" i="3" s="1"/>
  <c r="AA55" i="3" s="1"/>
  <c r="AA29" i="3"/>
  <c r="O30" i="3"/>
  <c r="O55" i="3" s="1"/>
  <c r="Q55" i="3" s="1"/>
  <c r="Q29" i="3"/>
  <c r="J30" i="3"/>
  <c r="J55" i="3" s="1"/>
  <c r="L55" i="3" s="1"/>
  <c r="L29" i="3"/>
  <c r="G30" i="3"/>
  <c r="E31" i="3"/>
  <c r="E56" i="3" s="1"/>
  <c r="G56" i="3" s="1"/>
  <c r="P189" i="2"/>
  <c r="O189" i="2"/>
  <c r="J189" i="2"/>
  <c r="I189" i="2"/>
  <c r="H189" i="2"/>
  <c r="G189" i="2"/>
  <c r="F189" i="2"/>
  <c r="E189" i="2"/>
  <c r="P188" i="2"/>
  <c r="O188" i="2"/>
  <c r="J188" i="2"/>
  <c r="I188" i="2"/>
  <c r="H188" i="2"/>
  <c r="G188" i="2"/>
  <c r="F188" i="2"/>
  <c r="E188" i="2"/>
  <c r="N192" i="2"/>
  <c r="M192" i="2"/>
  <c r="L192" i="2"/>
  <c r="K192" i="2"/>
  <c r="N191" i="2"/>
  <c r="M191" i="2"/>
  <c r="L191" i="2"/>
  <c r="K191" i="2"/>
  <c r="N190" i="2"/>
  <c r="M190" i="2"/>
  <c r="L190" i="2"/>
  <c r="K190" i="2"/>
  <c r="P187" i="2"/>
  <c r="O187" i="2"/>
  <c r="J187" i="2"/>
  <c r="I187" i="2"/>
  <c r="H187" i="2"/>
  <c r="G187" i="2"/>
  <c r="F187" i="2"/>
  <c r="E187" i="2"/>
  <c r="P183" i="2"/>
  <c r="P184" i="2" s="1"/>
  <c r="O183" i="2"/>
  <c r="O184" i="2" s="1"/>
  <c r="N183" i="2"/>
  <c r="N184" i="2" s="1"/>
  <c r="M183" i="2"/>
  <c r="M184" i="2" s="1"/>
  <c r="L183" i="2"/>
  <c r="L184" i="2" s="1"/>
  <c r="K183" i="2"/>
  <c r="K184" i="2" s="1"/>
  <c r="J183" i="2"/>
  <c r="J184" i="2" s="1"/>
  <c r="I183" i="2"/>
  <c r="I184" i="2" s="1"/>
  <c r="H183" i="2"/>
  <c r="H184" i="2" s="1"/>
  <c r="G183" i="2"/>
  <c r="G184" i="2" s="1"/>
  <c r="F183" i="2"/>
  <c r="F184" i="2" s="1"/>
  <c r="E183" i="2"/>
  <c r="E184" i="2" s="1"/>
  <c r="D15" i="2"/>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B15" i="2"/>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D35" i="1" l="1"/>
  <c r="C36" i="1" s="1"/>
  <c r="T30" i="3"/>
  <c r="T55" i="3" s="1"/>
  <c r="V55" i="3" s="1"/>
  <c r="V29" i="3"/>
  <c r="AD31" i="3"/>
  <c r="AD56" i="3" s="1"/>
  <c r="AF56" i="3" s="1"/>
  <c r="AF30" i="3"/>
  <c r="AA30" i="3"/>
  <c r="Y31" i="3"/>
  <c r="Y56" i="3" s="1"/>
  <c r="AA56" i="3" s="1"/>
  <c r="O31" i="3"/>
  <c r="O56" i="3" s="1"/>
  <c r="Q56" i="3" s="1"/>
  <c r="Q30" i="3"/>
  <c r="L30" i="3"/>
  <c r="J31" i="3"/>
  <c r="J56" i="3" s="1"/>
  <c r="L56" i="3" s="1"/>
  <c r="G31" i="3"/>
  <c r="E32" i="3"/>
  <c r="E57" i="3" s="1"/>
  <c r="G57" i="3" s="1"/>
  <c r="E195" i="2"/>
  <c r="I48" i="1" s="1"/>
  <c r="AC41" i="3" s="1"/>
  <c r="H195" i="2"/>
  <c r="L45" i="1" s="1"/>
  <c r="X38" i="3" s="1"/>
  <c r="X63" i="3" s="1"/>
  <c r="I195" i="2"/>
  <c r="M48" i="1" s="1"/>
  <c r="N41" i="3" s="1"/>
  <c r="N66" i="3" s="1"/>
  <c r="J195" i="2"/>
  <c r="N48" i="1" s="1"/>
  <c r="D41" i="3" s="1"/>
  <c r="D66" i="3" s="1"/>
  <c r="F195" i="2"/>
  <c r="J46" i="1" s="1"/>
  <c r="S39" i="3" s="1"/>
  <c r="S64" i="3" s="1"/>
  <c r="G195" i="2"/>
  <c r="K45" i="1" s="1"/>
  <c r="I38" i="3" s="1"/>
  <c r="I63" i="3" s="1"/>
  <c r="N43" i="1"/>
  <c r="D36" i="3" s="1"/>
  <c r="D61" i="3" s="1"/>
  <c r="N42" i="1"/>
  <c r="D35" i="3" s="1"/>
  <c r="D60" i="3" s="1"/>
  <c r="N35" i="1"/>
  <c r="D28" i="3" s="1"/>
  <c r="N34" i="1"/>
  <c r="D27" i="3" s="1"/>
  <c r="F185" i="2"/>
  <c r="E185" i="2"/>
  <c r="G185" i="2"/>
  <c r="I185" i="2"/>
  <c r="K185" i="2"/>
  <c r="M185" i="2"/>
  <c r="O185" i="2"/>
  <c r="H185" i="2"/>
  <c r="J185" i="2"/>
  <c r="L185" i="2"/>
  <c r="N185" i="2"/>
  <c r="P185" i="2"/>
  <c r="I34" i="1" l="1"/>
  <c r="AC27" i="3" s="1"/>
  <c r="AG27" i="3" s="1"/>
  <c r="J39" i="1"/>
  <c r="S32" i="3" s="1"/>
  <c r="S57" i="3" s="1"/>
  <c r="K44" i="1"/>
  <c r="I37" i="3" s="1"/>
  <c r="I62" i="3" s="1"/>
  <c r="M46" i="1"/>
  <c r="N39" i="3" s="1"/>
  <c r="N64" i="3" s="1"/>
  <c r="M39" i="1"/>
  <c r="N32" i="3" s="1"/>
  <c r="N57" i="3" s="1"/>
  <c r="M30" i="1"/>
  <c r="N23" i="3" s="1"/>
  <c r="N48" i="3" s="1"/>
  <c r="R48" i="3" s="1"/>
  <c r="L43" i="1"/>
  <c r="X36" i="3" s="1"/>
  <c r="X61" i="3" s="1"/>
  <c r="L36" i="1"/>
  <c r="X29" i="3" s="1"/>
  <c r="X54" i="3" s="1"/>
  <c r="AB54" i="3" s="1"/>
  <c r="K39" i="1"/>
  <c r="I32" i="3" s="1"/>
  <c r="I57" i="3" s="1"/>
  <c r="K36" i="1"/>
  <c r="I29" i="3" s="1"/>
  <c r="I54" i="3" s="1"/>
  <c r="M54" i="3" s="1"/>
  <c r="J35" i="1"/>
  <c r="S28" i="3" s="1"/>
  <c r="S53" i="3" s="1"/>
  <c r="W53" i="3" s="1"/>
  <c r="M38" i="1"/>
  <c r="N31" i="3" s="1"/>
  <c r="N56" i="3" s="1"/>
  <c r="L35" i="1"/>
  <c r="X28" i="3" s="1"/>
  <c r="I29" i="1"/>
  <c r="AC22" i="3" s="1"/>
  <c r="AG22" i="3" s="1"/>
  <c r="K31" i="1"/>
  <c r="I24" i="3" s="1"/>
  <c r="I49" i="3" s="1"/>
  <c r="M49" i="3" s="1"/>
  <c r="K47" i="1"/>
  <c r="I40" i="3" s="1"/>
  <c r="I65" i="3" s="1"/>
  <c r="M31" i="1"/>
  <c r="N24" i="3" s="1"/>
  <c r="R24" i="3" s="1"/>
  <c r="M47" i="1"/>
  <c r="N40" i="3" s="1"/>
  <c r="N65" i="3" s="1"/>
  <c r="L44" i="1"/>
  <c r="X37" i="3" s="1"/>
  <c r="X62" i="3" s="1"/>
  <c r="K32" i="1"/>
  <c r="I25" i="3" s="1"/>
  <c r="K40" i="1"/>
  <c r="I33" i="3" s="1"/>
  <c r="I58" i="3" s="1"/>
  <c r="K48" i="1"/>
  <c r="I41" i="3" s="1"/>
  <c r="I66" i="3" s="1"/>
  <c r="J43" i="1"/>
  <c r="S36" i="3" s="1"/>
  <c r="S61" i="3" s="1"/>
  <c r="L31" i="1"/>
  <c r="X24" i="3" s="1"/>
  <c r="L39" i="1"/>
  <c r="X32" i="3" s="1"/>
  <c r="X57" i="3" s="1"/>
  <c r="L47" i="1"/>
  <c r="X40" i="3" s="1"/>
  <c r="X65" i="3" s="1"/>
  <c r="I39" i="1"/>
  <c r="AC32" i="3" s="1"/>
  <c r="AC57" i="3" s="1"/>
  <c r="K35" i="1"/>
  <c r="I28" i="3" s="1"/>
  <c r="K43" i="1"/>
  <c r="I36" i="3" s="1"/>
  <c r="I61" i="3" s="1"/>
  <c r="J31" i="1"/>
  <c r="S24" i="3" s="1"/>
  <c r="W24" i="3" s="1"/>
  <c r="J47" i="1"/>
  <c r="S40" i="3" s="1"/>
  <c r="S65" i="3" s="1"/>
  <c r="L32" i="1"/>
  <c r="X25" i="3" s="1"/>
  <c r="L40" i="1"/>
  <c r="X33" i="3" s="1"/>
  <c r="X58" i="3" s="1"/>
  <c r="L48" i="1"/>
  <c r="X41" i="3" s="1"/>
  <c r="X66" i="3" s="1"/>
  <c r="I45" i="1"/>
  <c r="AC38" i="3" s="1"/>
  <c r="J32" i="1"/>
  <c r="S25" i="3" s="1"/>
  <c r="J40" i="1"/>
  <c r="S33" i="3" s="1"/>
  <c r="S58" i="3" s="1"/>
  <c r="J48" i="1"/>
  <c r="S41" i="3" s="1"/>
  <c r="S66" i="3" s="1"/>
  <c r="I35" i="1"/>
  <c r="AC28" i="3" s="1"/>
  <c r="AC53" i="3" s="1"/>
  <c r="I41" i="1"/>
  <c r="AC34" i="3" s="1"/>
  <c r="I46" i="1"/>
  <c r="AC39" i="3" s="1"/>
  <c r="AC64" i="3" s="1"/>
  <c r="J29" i="1"/>
  <c r="S22" i="3" s="1"/>
  <c r="W22" i="3" s="1"/>
  <c r="J33" i="1"/>
  <c r="S26" i="3" s="1"/>
  <c r="W26" i="3" s="1"/>
  <c r="J37" i="1"/>
  <c r="S30" i="3" s="1"/>
  <c r="S55" i="3" s="1"/>
  <c r="W55" i="3" s="1"/>
  <c r="J41" i="1"/>
  <c r="S34" i="3" s="1"/>
  <c r="S59" i="3" s="1"/>
  <c r="J45" i="1"/>
  <c r="S38" i="3" s="1"/>
  <c r="S63" i="3" s="1"/>
  <c r="N30" i="1"/>
  <c r="D23" i="3" s="1"/>
  <c r="D48" i="3" s="1"/>
  <c r="H48" i="3" s="1"/>
  <c r="N38" i="1"/>
  <c r="D31" i="3" s="1"/>
  <c r="D56" i="3" s="1"/>
  <c r="H56" i="3" s="1"/>
  <c r="N46" i="1"/>
  <c r="D39" i="3" s="1"/>
  <c r="D64" i="3" s="1"/>
  <c r="I31" i="1"/>
  <c r="AC24" i="3" s="1"/>
  <c r="AC49" i="3" s="1"/>
  <c r="I37" i="1"/>
  <c r="AC30" i="3" s="1"/>
  <c r="AC55" i="3" s="1"/>
  <c r="I42" i="1"/>
  <c r="AC35" i="3" s="1"/>
  <c r="AC60" i="3" s="1"/>
  <c r="I47" i="1"/>
  <c r="AC40" i="3" s="1"/>
  <c r="J36" i="1"/>
  <c r="S29" i="3" s="1"/>
  <c r="S54" i="3" s="1"/>
  <c r="W54" i="3" s="1"/>
  <c r="J44" i="1"/>
  <c r="S37" i="3" s="1"/>
  <c r="S62" i="3" s="1"/>
  <c r="I30" i="1"/>
  <c r="AC23" i="3" s="1"/>
  <c r="AG23" i="3" s="1"/>
  <c r="J30" i="1"/>
  <c r="S23" i="3" s="1"/>
  <c r="S48" i="3" s="1"/>
  <c r="W48" i="3" s="1"/>
  <c r="J34" i="1"/>
  <c r="S27" i="3" s="1"/>
  <c r="W27" i="3" s="1"/>
  <c r="J38" i="1"/>
  <c r="S31" i="3" s="1"/>
  <c r="S56" i="3" s="1"/>
  <c r="J42" i="1"/>
  <c r="S35" i="3" s="1"/>
  <c r="S60" i="3" s="1"/>
  <c r="N31" i="1"/>
  <c r="D24" i="3" s="1"/>
  <c r="H24" i="3" s="1"/>
  <c r="N39" i="1"/>
  <c r="D32" i="3" s="1"/>
  <c r="D57" i="3" s="1"/>
  <c r="H57" i="3" s="1"/>
  <c r="N47" i="1"/>
  <c r="D40" i="3" s="1"/>
  <c r="D65" i="3" s="1"/>
  <c r="I33" i="1"/>
  <c r="AC26" i="3" s="1"/>
  <c r="AC51" i="3" s="1"/>
  <c r="I38" i="1"/>
  <c r="AC31" i="3" s="1"/>
  <c r="AC56" i="3" s="1"/>
  <c r="I43" i="1"/>
  <c r="AC36" i="3" s="1"/>
  <c r="AC61" i="3" s="1"/>
  <c r="K30" i="1"/>
  <c r="I23" i="3" s="1"/>
  <c r="I48" i="3" s="1"/>
  <c r="M48" i="3" s="1"/>
  <c r="K34" i="1"/>
  <c r="I27" i="3" s="1"/>
  <c r="M27" i="3" s="1"/>
  <c r="K38" i="1"/>
  <c r="I31" i="3" s="1"/>
  <c r="I56" i="3" s="1"/>
  <c r="K42" i="1"/>
  <c r="I35" i="3" s="1"/>
  <c r="I60" i="3" s="1"/>
  <c r="K46" i="1"/>
  <c r="I39" i="3" s="1"/>
  <c r="I64" i="3" s="1"/>
  <c r="M35" i="1"/>
  <c r="N28" i="3" s="1"/>
  <c r="N53" i="3" s="1"/>
  <c r="R53" i="3" s="1"/>
  <c r="M43" i="1"/>
  <c r="N36" i="3" s="1"/>
  <c r="N61" i="3" s="1"/>
  <c r="L30" i="1"/>
  <c r="X23" i="3" s="1"/>
  <c r="X48" i="3" s="1"/>
  <c r="AB48" i="3" s="1"/>
  <c r="L34" i="1"/>
  <c r="X27" i="3" s="1"/>
  <c r="X52" i="3" s="1"/>
  <c r="AB52" i="3" s="1"/>
  <c r="L38" i="1"/>
  <c r="X31" i="3" s="1"/>
  <c r="X56" i="3" s="1"/>
  <c r="L42" i="1"/>
  <c r="X35" i="3" s="1"/>
  <c r="X60" i="3" s="1"/>
  <c r="L46" i="1"/>
  <c r="X39" i="3" s="1"/>
  <c r="X64" i="3" s="1"/>
  <c r="K29" i="1"/>
  <c r="I22" i="3" s="1"/>
  <c r="I47" i="3" s="1"/>
  <c r="M47" i="3" s="1"/>
  <c r="K33" i="1"/>
  <c r="I26" i="3" s="1"/>
  <c r="M26" i="3" s="1"/>
  <c r="K37" i="1"/>
  <c r="I30" i="3" s="1"/>
  <c r="I55" i="3" s="1"/>
  <c r="M55" i="3" s="1"/>
  <c r="K41" i="1"/>
  <c r="I34" i="3" s="1"/>
  <c r="I59" i="3" s="1"/>
  <c r="M34" i="1"/>
  <c r="N27" i="3" s="1"/>
  <c r="R27" i="3" s="1"/>
  <c r="M42" i="1"/>
  <c r="N35" i="3" s="1"/>
  <c r="N60" i="3" s="1"/>
  <c r="L29" i="1"/>
  <c r="X22" i="3" s="1"/>
  <c r="AB22" i="3" s="1"/>
  <c r="L33" i="1"/>
  <c r="X26" i="3" s="1"/>
  <c r="X51" i="3" s="1"/>
  <c r="AB51" i="3" s="1"/>
  <c r="L37" i="1"/>
  <c r="X30" i="3" s="1"/>
  <c r="X55" i="3" s="1"/>
  <c r="AB55" i="3" s="1"/>
  <c r="L41" i="1"/>
  <c r="X34" i="3" s="1"/>
  <c r="X59" i="3" s="1"/>
  <c r="T31" i="3"/>
  <c r="T56" i="3" s="1"/>
  <c r="V56" i="3" s="1"/>
  <c r="V30" i="3"/>
  <c r="D36" i="1"/>
  <c r="C37" i="1" s="1"/>
  <c r="N29" i="1"/>
  <c r="D22" i="3" s="1"/>
  <c r="H22" i="3" s="1"/>
  <c r="N33" i="1"/>
  <c r="D26" i="3" s="1"/>
  <c r="H26" i="3" s="1"/>
  <c r="N37" i="1"/>
  <c r="D30" i="3" s="1"/>
  <c r="D55" i="3" s="1"/>
  <c r="H55" i="3" s="1"/>
  <c r="N41" i="1"/>
  <c r="D34" i="3" s="1"/>
  <c r="D59" i="3" s="1"/>
  <c r="N45" i="1"/>
  <c r="D38" i="3" s="1"/>
  <c r="D63" i="3" s="1"/>
  <c r="M29" i="1"/>
  <c r="N22" i="3" s="1"/>
  <c r="N47" i="3" s="1"/>
  <c r="R47" i="3" s="1"/>
  <c r="M33" i="1"/>
  <c r="N26" i="3" s="1"/>
  <c r="N51" i="3" s="1"/>
  <c r="R51" i="3" s="1"/>
  <c r="M37" i="1"/>
  <c r="N30" i="3" s="1"/>
  <c r="N55" i="3" s="1"/>
  <c r="R55" i="3" s="1"/>
  <c r="M41" i="1"/>
  <c r="N34" i="3" s="1"/>
  <c r="N59" i="3" s="1"/>
  <c r="M45" i="1"/>
  <c r="N38" i="3" s="1"/>
  <c r="N63" i="3" s="1"/>
  <c r="N32" i="1"/>
  <c r="D25" i="3" s="1"/>
  <c r="H25" i="3" s="1"/>
  <c r="N36" i="1"/>
  <c r="D29" i="3" s="1"/>
  <c r="D54" i="3" s="1"/>
  <c r="H54" i="3" s="1"/>
  <c r="N40" i="1"/>
  <c r="D33" i="3" s="1"/>
  <c r="D58" i="3" s="1"/>
  <c r="N44" i="1"/>
  <c r="D37" i="3" s="1"/>
  <c r="D62" i="3" s="1"/>
  <c r="M32" i="1"/>
  <c r="N25" i="3" s="1"/>
  <c r="R25" i="3" s="1"/>
  <c r="M36" i="1"/>
  <c r="N29" i="3" s="1"/>
  <c r="N54" i="3" s="1"/>
  <c r="R54" i="3" s="1"/>
  <c r="M40" i="1"/>
  <c r="N33" i="3" s="1"/>
  <c r="N58" i="3" s="1"/>
  <c r="M44" i="1"/>
  <c r="N37" i="3" s="1"/>
  <c r="N62" i="3" s="1"/>
  <c r="I32" i="1"/>
  <c r="AC25" i="3" s="1"/>
  <c r="AC50" i="3" s="1"/>
  <c r="I36" i="1"/>
  <c r="AC29" i="3" s="1"/>
  <c r="AG29" i="3" s="1"/>
  <c r="I40" i="1"/>
  <c r="AC33" i="3" s="1"/>
  <c r="I44" i="1"/>
  <c r="AC37" i="3" s="1"/>
  <c r="AC62" i="3" s="1"/>
  <c r="M24" i="3"/>
  <c r="D53" i="3"/>
  <c r="H53" i="3" s="1"/>
  <c r="H28" i="3"/>
  <c r="N49" i="3"/>
  <c r="R49" i="3" s="1"/>
  <c r="AB28" i="3"/>
  <c r="D52" i="3"/>
  <c r="H52" i="3" s="1"/>
  <c r="H27" i="3"/>
  <c r="AB27" i="3"/>
  <c r="AG26" i="3"/>
  <c r="AC59" i="3"/>
  <c r="AC63" i="3"/>
  <c r="R56" i="3"/>
  <c r="AB29" i="3"/>
  <c r="I53" i="3"/>
  <c r="M53" i="3" s="1"/>
  <c r="M28" i="3"/>
  <c r="AC52" i="3"/>
  <c r="I50" i="3"/>
  <c r="M50" i="3" s="1"/>
  <c r="M25" i="3"/>
  <c r="S50" i="3"/>
  <c r="W50" i="3" s="1"/>
  <c r="W25" i="3"/>
  <c r="X50" i="3"/>
  <c r="AB50" i="3" s="1"/>
  <c r="AB25" i="3"/>
  <c r="AC66" i="3"/>
  <c r="W28" i="3"/>
  <c r="X49" i="3"/>
  <c r="AB49" i="3" s="1"/>
  <c r="AB24" i="3"/>
  <c r="AG24" i="3"/>
  <c r="AG28" i="3"/>
  <c r="AB56" i="3"/>
  <c r="M56" i="3"/>
  <c r="AF31" i="3"/>
  <c r="AD32" i="3"/>
  <c r="AD57" i="3" s="1"/>
  <c r="AF57" i="3" s="1"/>
  <c r="AA31" i="3"/>
  <c r="Y32" i="3"/>
  <c r="Y57" i="3" s="1"/>
  <c r="AA57" i="3" s="1"/>
  <c r="AB57" i="3" s="1"/>
  <c r="Q31" i="3"/>
  <c r="R31" i="3" s="1"/>
  <c r="O32" i="3"/>
  <c r="O57" i="3" s="1"/>
  <c r="Q57" i="3" s="1"/>
  <c r="L31" i="3"/>
  <c r="J32" i="3"/>
  <c r="J57" i="3" s="1"/>
  <c r="L57" i="3" s="1"/>
  <c r="M57" i="3" s="1"/>
  <c r="G32" i="3"/>
  <c r="E33" i="3"/>
  <c r="E58" i="3" s="1"/>
  <c r="G58" i="3" s="1"/>
  <c r="M28" i="1"/>
  <c r="K28" i="1"/>
  <c r="I28" i="1"/>
  <c r="N28" i="1"/>
  <c r="L28" i="1"/>
  <c r="J28" i="1"/>
  <c r="AH36" i="3" l="1"/>
  <c r="AL36" i="3" s="1"/>
  <c r="H32" i="3"/>
  <c r="S49" i="3"/>
  <c r="W49" i="3" s="1"/>
  <c r="S47" i="3"/>
  <c r="W47" i="3" s="1"/>
  <c r="S52" i="3"/>
  <c r="W52" i="3" s="1"/>
  <c r="M22" i="3"/>
  <c r="AH28" i="3"/>
  <c r="R23" i="3"/>
  <c r="AH66" i="3"/>
  <c r="AL66" i="3" s="1"/>
  <c r="AC47" i="3"/>
  <c r="AG47" i="3" s="1"/>
  <c r="X53" i="3"/>
  <c r="AB53" i="3" s="1"/>
  <c r="AH57" i="3"/>
  <c r="W29" i="3"/>
  <c r="R57" i="3"/>
  <c r="AH41" i="3"/>
  <c r="M29" i="3"/>
  <c r="AB26" i="3"/>
  <c r="AH25" i="3"/>
  <c r="AL25" i="3" s="1"/>
  <c r="X47" i="3"/>
  <c r="AB47" i="3" s="1"/>
  <c r="D50" i="3"/>
  <c r="H50" i="3" s="1"/>
  <c r="AB23" i="3"/>
  <c r="H23" i="3"/>
  <c r="S51" i="3"/>
  <c r="W51" i="3" s="1"/>
  <c r="R26" i="3"/>
  <c r="AH40" i="3"/>
  <c r="AL40" i="3" s="1"/>
  <c r="AH56" i="3"/>
  <c r="AL56" i="3" s="1"/>
  <c r="M31" i="3"/>
  <c r="AH33" i="3"/>
  <c r="AL33" i="3" s="1"/>
  <c r="M30" i="3"/>
  <c r="AH32" i="3"/>
  <c r="AL32" i="3" s="1"/>
  <c r="AG25" i="3"/>
  <c r="AI25" i="3" s="1"/>
  <c r="AM25" i="3" s="1"/>
  <c r="N50" i="3"/>
  <c r="R50" i="3" s="1"/>
  <c r="D51" i="3"/>
  <c r="H51" i="3" s="1"/>
  <c r="AC48" i="3"/>
  <c r="AH48" i="3" s="1"/>
  <c r="AG31" i="3"/>
  <c r="AH61" i="3"/>
  <c r="AL61" i="3" s="1"/>
  <c r="AH64" i="3"/>
  <c r="AL64" i="3" s="1"/>
  <c r="AC58" i="3"/>
  <c r="AH58" i="3" s="1"/>
  <c r="AL58" i="3" s="1"/>
  <c r="AH35" i="3"/>
  <c r="W23" i="3"/>
  <c r="AB31" i="3"/>
  <c r="AC65" i="3"/>
  <c r="AH65" i="3" s="1"/>
  <c r="AL65" i="3" s="1"/>
  <c r="AH24" i="3"/>
  <c r="AL24" i="3" s="1"/>
  <c r="R28" i="3"/>
  <c r="AI28" i="3" s="1"/>
  <c r="AM28" i="3" s="1"/>
  <c r="H31" i="3"/>
  <c r="D47" i="3"/>
  <c r="H47" i="3" s="1"/>
  <c r="I51" i="3"/>
  <c r="M51" i="3" s="1"/>
  <c r="I52" i="3"/>
  <c r="M52" i="3" s="1"/>
  <c r="W30" i="3"/>
  <c r="AH31" i="3"/>
  <c r="AL31" i="3" s="1"/>
  <c r="D49" i="3"/>
  <c r="H49" i="3" s="1"/>
  <c r="H30" i="3"/>
  <c r="AH60" i="3"/>
  <c r="AL60" i="3" s="1"/>
  <c r="AH62" i="3"/>
  <c r="AL62" i="3" s="1"/>
  <c r="W56" i="3"/>
  <c r="H58" i="3"/>
  <c r="AG30" i="3"/>
  <c r="AH23" i="3"/>
  <c r="AL23" i="3" s="1"/>
  <c r="AH29" i="3"/>
  <c r="AL29" i="3" s="1"/>
  <c r="H29" i="3"/>
  <c r="AH27" i="3"/>
  <c r="AL27" i="3" s="1"/>
  <c r="AB30" i="3"/>
  <c r="M23" i="3"/>
  <c r="AH39" i="3"/>
  <c r="AL39" i="3" s="1"/>
  <c r="N52" i="3"/>
  <c r="R52" i="3" s="1"/>
  <c r="AH59" i="3"/>
  <c r="AL59" i="3" s="1"/>
  <c r="AH37" i="3"/>
  <c r="AL37" i="3" s="1"/>
  <c r="AH63" i="3"/>
  <c r="AL63" i="3" s="1"/>
  <c r="AH26" i="3"/>
  <c r="AL26" i="3" s="1"/>
  <c r="AH38" i="3"/>
  <c r="AL38" i="3" s="1"/>
  <c r="AH22" i="3"/>
  <c r="AL22" i="3" s="1"/>
  <c r="R22" i="3"/>
  <c r="T32" i="3"/>
  <c r="T57" i="3" s="1"/>
  <c r="V57" i="3" s="1"/>
  <c r="W57" i="3" s="1"/>
  <c r="V31" i="3"/>
  <c r="W31" i="3" s="1"/>
  <c r="D37" i="1"/>
  <c r="C38" i="1" s="1"/>
  <c r="R29" i="3"/>
  <c r="R30" i="3"/>
  <c r="AC54" i="3"/>
  <c r="AH54" i="3" s="1"/>
  <c r="AH34" i="3"/>
  <c r="AL34" i="3" s="1"/>
  <c r="AH30" i="3"/>
  <c r="AL30" i="3" s="1"/>
  <c r="AI27" i="3"/>
  <c r="AM27" i="3" s="1"/>
  <c r="AG57" i="3"/>
  <c r="AH53" i="3"/>
  <c r="AG53" i="3"/>
  <c r="AI53" i="3" s="1"/>
  <c r="AM53" i="3" s="1"/>
  <c r="AG49" i="3"/>
  <c r="AG51" i="3"/>
  <c r="AG56" i="3"/>
  <c r="AI24" i="3"/>
  <c r="AM24" i="3" s="1"/>
  <c r="AL57" i="3"/>
  <c r="AL28" i="3"/>
  <c r="AL41" i="3"/>
  <c r="AG50" i="3"/>
  <c r="AL35" i="3"/>
  <c r="AG52" i="3"/>
  <c r="AH55" i="3"/>
  <c r="AG55" i="3"/>
  <c r="AI55" i="3" s="1"/>
  <c r="AM55" i="3" s="1"/>
  <c r="AD33" i="3"/>
  <c r="AD58" i="3" s="1"/>
  <c r="AF58" i="3" s="1"/>
  <c r="AF32" i="3"/>
  <c r="AG32" i="3" s="1"/>
  <c r="AA32" i="3"/>
  <c r="AB32" i="3" s="1"/>
  <c r="Y33" i="3"/>
  <c r="Y58" i="3" s="1"/>
  <c r="AA58" i="3" s="1"/>
  <c r="AB58" i="3" s="1"/>
  <c r="Q32" i="3"/>
  <c r="R32" i="3" s="1"/>
  <c r="O33" i="3"/>
  <c r="O58" i="3" s="1"/>
  <c r="Q58" i="3" s="1"/>
  <c r="R58" i="3" s="1"/>
  <c r="J33" i="3"/>
  <c r="J58" i="3" s="1"/>
  <c r="L58" i="3" s="1"/>
  <c r="M58" i="3" s="1"/>
  <c r="L32" i="3"/>
  <c r="M32" i="3" s="1"/>
  <c r="E34" i="3"/>
  <c r="E59" i="3" s="1"/>
  <c r="G59" i="3" s="1"/>
  <c r="H59" i="3" s="1"/>
  <c r="G33" i="3"/>
  <c r="H33" i="3" s="1"/>
  <c r="AI22" i="3" l="1"/>
  <c r="AM22" i="3" s="1"/>
  <c r="AG58" i="3"/>
  <c r="AI29" i="3"/>
  <c r="AM29" i="3" s="1"/>
  <c r="AI26" i="3"/>
  <c r="AM26" i="3" s="1"/>
  <c r="AH50" i="3"/>
  <c r="AG48" i="3"/>
  <c r="AI48" i="3" s="1"/>
  <c r="AM48" i="3" s="1"/>
  <c r="AG54" i="3"/>
  <c r="AI54" i="3" s="1"/>
  <c r="AM54" i="3" s="1"/>
  <c r="AI50" i="3"/>
  <c r="AM50" i="3" s="1"/>
  <c r="AI51" i="3"/>
  <c r="AM51" i="3" s="1"/>
  <c r="AI31" i="3"/>
  <c r="AM31" i="3" s="1"/>
  <c r="AI47" i="3"/>
  <c r="AM47" i="3" s="1"/>
  <c r="AI49" i="3"/>
  <c r="AM49" i="3" s="1"/>
  <c r="AH51" i="3"/>
  <c r="AL51" i="3" s="1"/>
  <c r="AI56" i="3"/>
  <c r="AM56" i="3" s="1"/>
  <c r="AH49" i="3"/>
  <c r="AL49" i="3" s="1"/>
  <c r="AI23" i="3"/>
  <c r="AM23" i="3" s="1"/>
  <c r="AH47" i="3"/>
  <c r="AL47" i="3" s="1"/>
  <c r="AI52" i="3"/>
  <c r="AM52" i="3" s="1"/>
  <c r="AI30" i="3"/>
  <c r="AM30" i="3" s="1"/>
  <c r="AH52" i="3"/>
  <c r="V32" i="3"/>
  <c r="W32" i="3" s="1"/>
  <c r="AI32" i="3" s="1"/>
  <c r="AJ32" i="3" s="1"/>
  <c r="T33" i="3"/>
  <c r="T58" i="3" s="1"/>
  <c r="V58" i="3" s="1"/>
  <c r="W58" i="3" s="1"/>
  <c r="AI58" i="3" s="1"/>
  <c r="AJ58" i="3" s="1"/>
  <c r="AI57" i="3"/>
  <c r="AM57" i="3" s="1"/>
  <c r="D38" i="1"/>
  <c r="C39" i="1" s="1"/>
  <c r="AJ26" i="3"/>
  <c r="AJ28" i="3"/>
  <c r="AJ27" i="3"/>
  <c r="AJ25" i="3"/>
  <c r="AJ29" i="3"/>
  <c r="AJ24" i="3"/>
  <c r="AJ22" i="3"/>
  <c r="AL48" i="3"/>
  <c r="AJ48" i="3"/>
  <c r="AL54" i="3"/>
  <c r="AJ54" i="3"/>
  <c r="AL53" i="3"/>
  <c r="AJ53" i="3"/>
  <c r="AL42" i="3"/>
  <c r="AL55" i="3"/>
  <c r="AJ55" i="3"/>
  <c r="AL50" i="3"/>
  <c r="AD34" i="3"/>
  <c r="AD59" i="3" s="1"/>
  <c r="AF59" i="3" s="1"/>
  <c r="AG59" i="3" s="1"/>
  <c r="AF33" i="3"/>
  <c r="AG33" i="3" s="1"/>
  <c r="Y34" i="3"/>
  <c r="Y59" i="3" s="1"/>
  <c r="AA59" i="3" s="1"/>
  <c r="AB59" i="3" s="1"/>
  <c r="AA33" i="3"/>
  <c r="AB33" i="3" s="1"/>
  <c r="O34" i="3"/>
  <c r="O59" i="3" s="1"/>
  <c r="Q59" i="3" s="1"/>
  <c r="R59" i="3" s="1"/>
  <c r="Q33" i="3"/>
  <c r="R33" i="3" s="1"/>
  <c r="J34" i="3"/>
  <c r="J59" i="3" s="1"/>
  <c r="L59" i="3" s="1"/>
  <c r="M59" i="3" s="1"/>
  <c r="L33" i="3"/>
  <c r="M33" i="3" s="1"/>
  <c r="E35" i="3"/>
  <c r="E60" i="3" s="1"/>
  <c r="G60" i="3" s="1"/>
  <c r="H60" i="3" s="1"/>
  <c r="G34" i="3"/>
  <c r="H34" i="3" s="1"/>
  <c r="AJ23" i="3" l="1"/>
  <c r="AJ50" i="3"/>
  <c r="AJ51" i="3"/>
  <c r="AJ47" i="3"/>
  <c r="AJ57" i="3"/>
  <c r="AJ56" i="3"/>
  <c r="AJ30" i="3"/>
  <c r="AJ31" i="3"/>
  <c r="AJ52" i="3"/>
  <c r="AL52" i="3"/>
  <c r="AL68" i="3" s="1"/>
  <c r="AL69" i="3" s="1"/>
  <c r="AJ49" i="3"/>
  <c r="V33" i="3"/>
  <c r="W33" i="3" s="1"/>
  <c r="AI33" i="3" s="1"/>
  <c r="AJ33" i="3" s="1"/>
  <c r="T34" i="3"/>
  <c r="T59" i="3" s="1"/>
  <c r="V59" i="3" s="1"/>
  <c r="W59" i="3" s="1"/>
  <c r="AI59" i="3" s="1"/>
  <c r="AJ59" i="3" s="1"/>
  <c r="D39" i="1"/>
  <c r="C40" i="1" s="1"/>
  <c r="AM58" i="3"/>
  <c r="AD35" i="3"/>
  <c r="AD60" i="3" s="1"/>
  <c r="AF60" i="3" s="1"/>
  <c r="AG60" i="3" s="1"/>
  <c r="AF34" i="3"/>
  <c r="AG34" i="3" s="1"/>
  <c r="Y35" i="3"/>
  <c r="Y60" i="3" s="1"/>
  <c r="AA60" i="3" s="1"/>
  <c r="AB60" i="3" s="1"/>
  <c r="AA34" i="3"/>
  <c r="AB34" i="3" s="1"/>
  <c r="AM32" i="3"/>
  <c r="O35" i="3"/>
  <c r="O60" i="3" s="1"/>
  <c r="Q60" i="3" s="1"/>
  <c r="R60" i="3" s="1"/>
  <c r="Q34" i="3"/>
  <c r="R34" i="3" s="1"/>
  <c r="J35" i="3"/>
  <c r="J60" i="3" s="1"/>
  <c r="L60" i="3" s="1"/>
  <c r="M60" i="3" s="1"/>
  <c r="L34" i="3"/>
  <c r="M34" i="3" s="1"/>
  <c r="G35" i="3"/>
  <c r="H35" i="3" s="1"/>
  <c r="E36" i="3"/>
  <c r="E61" i="3" s="1"/>
  <c r="G61" i="3" s="1"/>
  <c r="H61" i="3" s="1"/>
  <c r="T35" i="3" l="1"/>
  <c r="T60" i="3" s="1"/>
  <c r="V60" i="3" s="1"/>
  <c r="W60" i="3" s="1"/>
  <c r="AI60" i="3" s="1"/>
  <c r="V34" i="3"/>
  <c r="W34" i="3" s="1"/>
  <c r="AI34" i="3" s="1"/>
  <c r="D40" i="1"/>
  <c r="C41" i="1" s="1"/>
  <c r="AM59" i="3"/>
  <c r="AF35" i="3"/>
  <c r="AG35" i="3" s="1"/>
  <c r="AD36" i="3"/>
  <c r="AD61" i="3" s="1"/>
  <c r="AF61" i="3" s="1"/>
  <c r="AG61" i="3" s="1"/>
  <c r="Y36" i="3"/>
  <c r="Y61" i="3" s="1"/>
  <c r="AA61" i="3" s="1"/>
  <c r="AB61" i="3" s="1"/>
  <c r="AA35" i="3"/>
  <c r="AB35" i="3" s="1"/>
  <c r="T36" i="3"/>
  <c r="T61" i="3" s="1"/>
  <c r="V61" i="3" s="1"/>
  <c r="W61" i="3" s="1"/>
  <c r="AM33" i="3"/>
  <c r="Q35" i="3"/>
  <c r="R35" i="3" s="1"/>
  <c r="O36" i="3"/>
  <c r="O61" i="3" s="1"/>
  <c r="Q61" i="3" s="1"/>
  <c r="R61" i="3" s="1"/>
  <c r="L35" i="3"/>
  <c r="M35" i="3" s="1"/>
  <c r="J36" i="3"/>
  <c r="J61" i="3" s="1"/>
  <c r="L61" i="3" s="1"/>
  <c r="M61" i="3" s="1"/>
  <c r="G36" i="3"/>
  <c r="H36" i="3" s="1"/>
  <c r="E37" i="3"/>
  <c r="E62" i="3" s="1"/>
  <c r="G62" i="3" s="1"/>
  <c r="H62" i="3" s="1"/>
  <c r="V35" i="3" l="1"/>
  <c r="W35" i="3" s="1"/>
  <c r="AI35" i="3" s="1"/>
  <c r="AJ35" i="3" s="1"/>
  <c r="D41" i="1"/>
  <c r="C42" i="1" s="1"/>
  <c r="AM60" i="3"/>
  <c r="AJ60" i="3"/>
  <c r="AM34" i="3"/>
  <c r="AJ34" i="3"/>
  <c r="AI61" i="3"/>
  <c r="AJ61" i="3" s="1"/>
  <c r="AD37" i="3"/>
  <c r="AD62" i="3" s="1"/>
  <c r="AF62" i="3" s="1"/>
  <c r="AG62" i="3" s="1"/>
  <c r="AF36" i="3"/>
  <c r="AG36" i="3" s="1"/>
  <c r="AA36" i="3"/>
  <c r="AB36" i="3" s="1"/>
  <c r="Y37" i="3"/>
  <c r="Y62" i="3" s="1"/>
  <c r="AA62" i="3" s="1"/>
  <c r="AB62" i="3" s="1"/>
  <c r="T37" i="3"/>
  <c r="T62" i="3" s="1"/>
  <c r="V62" i="3" s="1"/>
  <c r="W62" i="3" s="1"/>
  <c r="V36" i="3"/>
  <c r="W36" i="3" s="1"/>
  <c r="O37" i="3"/>
  <c r="O62" i="3" s="1"/>
  <c r="Q62" i="3" s="1"/>
  <c r="R62" i="3" s="1"/>
  <c r="Q36" i="3"/>
  <c r="R36" i="3" s="1"/>
  <c r="L36" i="3"/>
  <c r="M36" i="3" s="1"/>
  <c r="J37" i="3"/>
  <c r="J62" i="3" s="1"/>
  <c r="L62" i="3" s="1"/>
  <c r="M62" i="3" s="1"/>
  <c r="E38" i="3"/>
  <c r="E63" i="3" s="1"/>
  <c r="G63" i="3" s="1"/>
  <c r="H63" i="3" s="1"/>
  <c r="G37" i="3"/>
  <c r="H37" i="3" s="1"/>
  <c r="D42" i="1" l="1"/>
  <c r="C43" i="1" s="1"/>
  <c r="AM61" i="3"/>
  <c r="AI62" i="3"/>
  <c r="AJ62" i="3" s="1"/>
  <c r="AD38" i="3"/>
  <c r="AD63" i="3" s="1"/>
  <c r="AF63" i="3" s="1"/>
  <c r="AG63" i="3" s="1"/>
  <c r="AF37" i="3"/>
  <c r="AG37" i="3" s="1"/>
  <c r="Y38" i="3"/>
  <c r="Y63" i="3" s="1"/>
  <c r="AA63" i="3" s="1"/>
  <c r="AB63" i="3" s="1"/>
  <c r="AA37" i="3"/>
  <c r="AB37" i="3" s="1"/>
  <c r="AM35" i="3"/>
  <c r="T38" i="3"/>
  <c r="T63" i="3" s="1"/>
  <c r="V63" i="3" s="1"/>
  <c r="W63" i="3" s="1"/>
  <c r="V37" i="3"/>
  <c r="W37" i="3" s="1"/>
  <c r="O38" i="3"/>
  <c r="O63" i="3" s="1"/>
  <c r="Q63" i="3" s="1"/>
  <c r="R63" i="3" s="1"/>
  <c r="Q37" i="3"/>
  <c r="R37" i="3" s="1"/>
  <c r="AI36" i="3"/>
  <c r="AJ36" i="3" s="1"/>
  <c r="J38" i="3"/>
  <c r="J63" i="3" s="1"/>
  <c r="L63" i="3" s="1"/>
  <c r="M63" i="3" s="1"/>
  <c r="L37" i="3"/>
  <c r="M37" i="3" s="1"/>
  <c r="E39" i="3"/>
  <c r="E64" i="3" s="1"/>
  <c r="G64" i="3" s="1"/>
  <c r="H64" i="3" s="1"/>
  <c r="G38" i="3"/>
  <c r="H38" i="3" s="1"/>
  <c r="D43" i="1" l="1"/>
  <c r="C44" i="1" s="1"/>
  <c r="AM62" i="3"/>
  <c r="AI63" i="3"/>
  <c r="AJ63" i="3" s="1"/>
  <c r="AD39" i="3"/>
  <c r="AD64" i="3" s="1"/>
  <c r="AF64" i="3" s="1"/>
  <c r="AG64" i="3" s="1"/>
  <c r="AF38" i="3"/>
  <c r="AG38" i="3" s="1"/>
  <c r="AI37" i="3"/>
  <c r="AJ37" i="3" s="1"/>
  <c r="Y39" i="3"/>
  <c r="Y64" i="3" s="1"/>
  <c r="AA64" i="3" s="1"/>
  <c r="AB64" i="3" s="1"/>
  <c r="AA38" i="3"/>
  <c r="AB38" i="3" s="1"/>
  <c r="T39" i="3"/>
  <c r="T64" i="3" s="1"/>
  <c r="V64" i="3" s="1"/>
  <c r="W64" i="3" s="1"/>
  <c r="V38" i="3"/>
  <c r="W38" i="3" s="1"/>
  <c r="Q38" i="3"/>
  <c r="R38" i="3" s="1"/>
  <c r="O39" i="3"/>
  <c r="O64" i="3" s="1"/>
  <c r="Q64" i="3" s="1"/>
  <c r="R64" i="3" s="1"/>
  <c r="AM36" i="3"/>
  <c r="J39" i="3"/>
  <c r="J64" i="3" s="1"/>
  <c r="L64" i="3" s="1"/>
  <c r="M64" i="3" s="1"/>
  <c r="L38" i="3"/>
  <c r="M38" i="3" s="1"/>
  <c r="E40" i="3"/>
  <c r="E65" i="3" s="1"/>
  <c r="G65" i="3" s="1"/>
  <c r="H65" i="3" s="1"/>
  <c r="G39" i="3"/>
  <c r="H39" i="3" s="1"/>
  <c r="D44" i="1" l="1"/>
  <c r="C45" i="1" s="1"/>
  <c r="AM37" i="3"/>
  <c r="AM63" i="3"/>
  <c r="AI64" i="3"/>
  <c r="AF39" i="3"/>
  <c r="AG39" i="3" s="1"/>
  <c r="AD40" i="3"/>
  <c r="AD65" i="3" s="1"/>
  <c r="AF65" i="3" s="1"/>
  <c r="AG65" i="3" s="1"/>
  <c r="AA39" i="3"/>
  <c r="AB39" i="3" s="1"/>
  <c r="Y40" i="3"/>
  <c r="Y65" i="3" s="1"/>
  <c r="AA65" i="3" s="1"/>
  <c r="AB65" i="3" s="1"/>
  <c r="AI38" i="3"/>
  <c r="V39" i="3"/>
  <c r="W39" i="3" s="1"/>
  <c r="T40" i="3"/>
  <c r="T65" i="3" s="1"/>
  <c r="V65" i="3" s="1"/>
  <c r="W65" i="3" s="1"/>
  <c r="O40" i="3"/>
  <c r="O65" i="3" s="1"/>
  <c r="Q65" i="3" s="1"/>
  <c r="R65" i="3" s="1"/>
  <c r="Q39" i="3"/>
  <c r="R39" i="3" s="1"/>
  <c r="J40" i="3"/>
  <c r="J65" i="3" s="1"/>
  <c r="L65" i="3" s="1"/>
  <c r="M65" i="3" s="1"/>
  <c r="L39" i="3"/>
  <c r="M39" i="3" s="1"/>
  <c r="E41" i="3"/>
  <c r="G40" i="3"/>
  <c r="H40" i="3" s="1"/>
  <c r="D45" i="1" l="1"/>
  <c r="C46" i="1" s="1"/>
  <c r="AM64" i="3"/>
  <c r="AJ64" i="3"/>
  <c r="AM38" i="3"/>
  <c r="AJ38" i="3"/>
  <c r="AI65" i="3"/>
  <c r="AJ65" i="3" s="1"/>
  <c r="G41" i="3"/>
  <c r="H41" i="3" s="1"/>
  <c r="H43" i="3" s="1"/>
  <c r="E66" i="3"/>
  <c r="G66" i="3" s="1"/>
  <c r="H66" i="3" s="1"/>
  <c r="H68" i="3" s="1"/>
  <c r="AD41" i="3"/>
  <c r="AF40" i="3"/>
  <c r="AG40" i="3" s="1"/>
  <c r="AA40" i="3"/>
  <c r="AB40" i="3" s="1"/>
  <c r="Y41" i="3"/>
  <c r="V40" i="3"/>
  <c r="W40" i="3" s="1"/>
  <c r="T41" i="3"/>
  <c r="AI39" i="3"/>
  <c r="AJ39" i="3" s="1"/>
  <c r="Q40" i="3"/>
  <c r="R40" i="3" s="1"/>
  <c r="O41" i="3"/>
  <c r="L40" i="3"/>
  <c r="M40" i="3" s="1"/>
  <c r="J41" i="3"/>
  <c r="D46" i="1" l="1"/>
  <c r="C47" i="1" s="1"/>
  <c r="AM65" i="3"/>
  <c r="AF41" i="3"/>
  <c r="AG41" i="3" s="1"/>
  <c r="AD66" i="3"/>
  <c r="AF66" i="3" s="1"/>
  <c r="AG66" i="3" s="1"/>
  <c r="AG68" i="3" s="1"/>
  <c r="AA41" i="3"/>
  <c r="AB41" i="3" s="1"/>
  <c r="AB43" i="3" s="1"/>
  <c r="Y66" i="3"/>
  <c r="AA66" i="3" s="1"/>
  <c r="AB66" i="3" s="1"/>
  <c r="AB68" i="3" s="1"/>
  <c r="V41" i="3"/>
  <c r="W41" i="3" s="1"/>
  <c r="W43" i="3" s="1"/>
  <c r="T66" i="3"/>
  <c r="V66" i="3" s="1"/>
  <c r="W66" i="3" s="1"/>
  <c r="W68" i="3" s="1"/>
  <c r="Q41" i="3"/>
  <c r="R41" i="3" s="1"/>
  <c r="R43" i="3" s="1"/>
  <c r="O66" i="3"/>
  <c r="Q66" i="3" s="1"/>
  <c r="R66" i="3" s="1"/>
  <c r="R68" i="3" s="1"/>
  <c r="H42" i="3"/>
  <c r="L41" i="3"/>
  <c r="M41" i="3" s="1"/>
  <c r="M43" i="3" s="1"/>
  <c r="J66" i="3"/>
  <c r="L66" i="3" s="1"/>
  <c r="M66" i="3" s="1"/>
  <c r="M68" i="3" s="1"/>
  <c r="H69" i="3"/>
  <c r="H70" i="3" s="1"/>
  <c r="H67" i="3"/>
  <c r="AI40" i="3"/>
  <c r="AJ40" i="3" s="1"/>
  <c r="AB42" i="3"/>
  <c r="AM39" i="3"/>
  <c r="D47" i="1" l="1"/>
  <c r="C48" i="1" s="1"/>
  <c r="R42" i="3"/>
  <c r="W42" i="3"/>
  <c r="AI41" i="3"/>
  <c r="M42" i="3"/>
  <c r="AG42" i="3"/>
  <c r="AG43" i="3"/>
  <c r="AG67" i="3"/>
  <c r="AI66" i="3"/>
  <c r="AJ66" i="3" s="1"/>
  <c r="AB67" i="3"/>
  <c r="AB69" i="3"/>
  <c r="AB70" i="3" s="1"/>
  <c r="W67" i="3"/>
  <c r="W69" i="3"/>
  <c r="W70" i="3" s="1"/>
  <c r="R69" i="3"/>
  <c r="R70" i="3" s="1"/>
  <c r="R67" i="3"/>
  <c r="M69" i="3"/>
  <c r="M70" i="3" s="1"/>
  <c r="M67" i="3"/>
  <c r="AM40" i="3"/>
  <c r="D48" i="1" l="1"/>
  <c r="AM66" i="3"/>
  <c r="AM68" i="3" s="1"/>
  <c r="AM41" i="3"/>
  <c r="AM42" i="3" s="1"/>
  <c r="AJ41" i="3"/>
  <c r="AG69" i="3"/>
  <c r="AG70" i="3" s="1"/>
  <c r="AM70" i="3" s="1"/>
  <c r="AM72" i="3" s="1"/>
  <c r="H24" i="1" l="1"/>
  <c r="B24" i="1" s="1"/>
  <c r="H25" i="1"/>
  <c r="AM73" i="3"/>
  <c r="U34" i="1" l="1"/>
  <c r="H34" i="1" s="1"/>
  <c r="U47" i="1"/>
  <c r="H47" i="1" s="1"/>
  <c r="U36" i="1"/>
  <c r="H36" i="1" s="1"/>
  <c r="U35" i="1"/>
  <c r="H35" i="1" s="1"/>
  <c r="U31" i="1"/>
  <c r="H31" i="1" s="1"/>
  <c r="U33" i="1"/>
  <c r="H33" i="1" s="1"/>
  <c r="U32" i="1"/>
  <c r="H32" i="1" s="1"/>
  <c r="U30" i="1"/>
  <c r="H30" i="1" s="1"/>
  <c r="U29" i="1"/>
  <c r="H29" i="1" s="1"/>
  <c r="U46" i="1"/>
  <c r="H46" i="1" s="1"/>
  <c r="U41" i="1"/>
  <c r="H41" i="1" s="1"/>
  <c r="U43" i="1"/>
  <c r="H43" i="1" s="1"/>
  <c r="U42" i="1"/>
  <c r="H42" i="1" s="1"/>
  <c r="U37" i="1"/>
  <c r="H37" i="1" s="1"/>
  <c r="U38" i="1"/>
  <c r="H38" i="1" s="1"/>
  <c r="U40" i="1"/>
  <c r="H40" i="1" s="1"/>
  <c r="U45" i="1"/>
  <c r="H45" i="1" s="1"/>
  <c r="U44" i="1"/>
  <c r="H44" i="1" s="1"/>
  <c r="U39" i="1"/>
  <c r="H39" i="1" s="1"/>
  <c r="U48" i="1"/>
  <c r="U28" i="1" l="1"/>
  <c r="H53" i="1" s="1"/>
  <c r="H48" i="1"/>
  <c r="H50" i="1"/>
</calcChain>
</file>

<file path=xl/comments1.xml><?xml version="1.0" encoding="utf-8"?>
<comments xmlns="http://schemas.openxmlformats.org/spreadsheetml/2006/main">
  <authors>
    <author>Patrick David Sheats</author>
  </authors>
  <commentList>
    <comment ref="H24" authorId="0">
      <text>
        <r>
          <rPr>
            <sz val="8"/>
            <color indexed="81"/>
            <rFont val="Tahoma"/>
            <family val="2"/>
          </rPr>
          <t xml:space="preserve">TOD prices in the PPA will be reduced by this amount for FCDS bids in years where FCDS has not been achieved.
</t>
        </r>
      </text>
    </comment>
    <comment ref="H25" authorId="0">
      <text>
        <r>
          <rPr>
            <sz val="8"/>
            <color indexed="81"/>
            <rFont val="Tahoma"/>
            <family val="2"/>
          </rPr>
          <t>This amount will be added to Bid Ranking Prices in the evaluation process.</t>
        </r>
      </text>
    </comment>
  </commentList>
</comments>
</file>

<file path=xl/sharedStrings.xml><?xml version="1.0" encoding="utf-8"?>
<sst xmlns="http://schemas.openxmlformats.org/spreadsheetml/2006/main" count="390" uniqueCount="131">
  <si>
    <t>System Characteristics</t>
  </si>
  <si>
    <t>Offer Characteristics</t>
  </si>
  <si>
    <t>Electrical Interconnection</t>
  </si>
  <si>
    <t>Interconnection Point</t>
  </si>
  <si>
    <t>Queue Position Number (if assigned)</t>
  </si>
  <si>
    <t>Request for Offers</t>
  </si>
  <si>
    <t xml:space="preserve">Interconnection Status </t>
  </si>
  <si>
    <t>Instructions:</t>
  </si>
  <si>
    <t>- Assume project is at 100% completion of all phases.</t>
  </si>
  <si>
    <t>- Disregard any degradation over time.</t>
  </si>
  <si>
    <t>WINTER</t>
  </si>
  <si>
    <t>SUMMER</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</si>
  <si>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</si>
  <si>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</si>
  <si>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</si>
  <si>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</si>
  <si>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</si>
  <si>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</si>
  <si>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</si>
  <si>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</si>
  <si>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</si>
  <si>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</si>
  <si>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</si>
  <si>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</si>
  <si>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</si>
  <si>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</si>
  <si>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</si>
  <si>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</si>
  <si>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</si>
  <si>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</si>
  <si>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</si>
  <si>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</si>
  <si>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</si>
  <si>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</si>
  <si>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</si>
  <si>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Total MWhs in Typical Week:</t>
  </si>
  <si>
    <t>Total MWhs in Month:</t>
  </si>
  <si>
    <t>% of annual delivery in month:</t>
  </si>
  <si>
    <t>Winter Off-Peak</t>
  </si>
  <si>
    <t>Winter Semi-Peak</t>
  </si>
  <si>
    <t>Winter On-Peak</t>
  </si>
  <si>
    <t>Summer Off-Peak</t>
  </si>
  <si>
    <t>Summer Semi-Peak</t>
  </si>
  <si>
    <t>Summer On-Peak</t>
  </si>
  <si>
    <t>Annual TOD Breakdown:</t>
  </si>
  <si>
    <t/>
  </si>
  <si>
    <t>EXPECTED NET CAPACITY FACTOR (%)</t>
  </si>
  <si>
    <t>Populate the table with expected hourly capacity factor of your project during the indicated time periods.</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</si>
  <si>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</si>
  <si>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</si>
  <si>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</si>
  <si>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</si>
  <si>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</si>
  <si>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</si>
  <si>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</si>
  <si>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</si>
  <si>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</si>
  <si>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</si>
  <si>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</si>
  <si>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</si>
  <si>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</si>
  <si>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Commericial Operation Date:</t>
  </si>
  <si>
    <t>Year Begins</t>
  </si>
  <si>
    <t>Year Ends</t>
  </si>
  <si>
    <t>Contract Term (years):</t>
  </si>
  <si>
    <t>Contract Capacity (MW AC)</t>
  </si>
  <si>
    <t xml:space="preserve">Your Levelized TOD adjusted price </t>
  </si>
  <si>
    <t>ENERGY DELIVERIES (MWH)</t>
  </si>
  <si>
    <t>TOD PRICES ($/MWH)</t>
  </si>
  <si>
    <t>TOTAL CONTRACT COST</t>
  </si>
  <si>
    <t>TOD-Adjusted Price</t>
  </si>
  <si>
    <t>/MWH</t>
  </si>
  <si>
    <t>Interconnection Voltage Level</t>
  </si>
  <si>
    <t>Expected Energy Deliveries (MWh)</t>
  </si>
  <si>
    <t>Bid Price ($/MWh)</t>
  </si>
  <si>
    <t>Pricing Form</t>
  </si>
  <si>
    <t>Fill-in only highlighted cells.</t>
  </si>
  <si>
    <t>Installed Nameplate MW:</t>
  </si>
  <si>
    <t>Net Contract Capacity, MW:</t>
  </si>
  <si>
    <t>Technology :</t>
  </si>
  <si>
    <t>Turbine Manufacturer:</t>
  </si>
  <si>
    <t>Typical Profiles:</t>
  </si>
  <si>
    <t>Wind</t>
  </si>
  <si>
    <t>Baseload</t>
  </si>
  <si>
    <t>Company is Women/Minority/Disabled Veteran owned Business Enterprise as per CPUC General Order 156?</t>
  </si>
  <si>
    <t>Operation Date</t>
  </si>
  <si>
    <t>MPR TOD ALL-IN</t>
  </si>
  <si>
    <t>CONTRACT YR</t>
  </si>
  <si>
    <t>Expected MWh</t>
  </si>
  <si>
    <t>MPR $/MWh</t>
  </si>
  <si>
    <t>TOD Multiplier</t>
  </si>
  <si>
    <t>MPR TOD Price</t>
  </si>
  <si>
    <t>Period Cost</t>
  </si>
  <si>
    <t>TOD Price</t>
  </si>
  <si>
    <t>Total GWh</t>
  </si>
  <si>
    <t>Total MPR Cost $/mil</t>
  </si>
  <si>
    <t>Annual TOD $/MWh</t>
  </si>
  <si>
    <t>Discount Factor</t>
  </si>
  <si>
    <t>Discounted GWh</t>
  </si>
  <si>
    <t>Discounted Cost</t>
  </si>
  <si>
    <t>MPR TOD ENERGY ONLY</t>
  </si>
  <si>
    <t>System Deliverability</t>
  </si>
  <si>
    <t>PROJECT COD/START YEAR</t>
  </si>
  <si>
    <t>TERM</t>
  </si>
  <si>
    <t>BASELOAD MPR</t>
  </si>
  <si>
    <t>Contract Term (years)</t>
  </si>
  <si>
    <t>TOTAL FCDS PAYMENT STREAM</t>
  </si>
  <si>
    <t>PV OF FCDS PAYMENT STREAM</t>
  </si>
  <si>
    <t>TOTAL ENERGY-ONLY PAYMENT STREAM</t>
  </si>
  <si>
    <t>PV OF ENERGY-ONLY PAYMENT STREAM</t>
  </si>
  <si>
    <t>PV DIFFERENCE</t>
  </si>
  <si>
    <t>FCDS PAYMENT PREMIUM</t>
  </si>
  <si>
    <t>Phase II or Deliverability Study Completed?</t>
  </si>
  <si>
    <t>Expected Completion Date of Reliability Upgrades:</t>
  </si>
  <si>
    <t>Year FCDS Achieved (default of 2022 if no study):</t>
  </si>
  <si>
    <t>Deliverability Type:</t>
  </si>
  <si>
    <t>Your Deliverability Value Is:</t>
  </si>
  <si>
    <t>Your Deliverability Adder Is:</t>
  </si>
  <si>
    <t>/MWh</t>
  </si>
  <si>
    <t>Full Deliverability</t>
  </si>
  <si>
    <t>Interconnection Type:</t>
  </si>
  <si>
    <t>Note:  Flat pricing is no longer an option for RAM bids.  All prices must be adjusted with time-of-day factors.</t>
  </si>
  <si>
    <t>How much in non-reimbursable interconnection
cost is assumed in your bid price?</t>
  </si>
  <si>
    <t xml:space="preserve">2012 RAM Solicitation </t>
  </si>
  <si>
    <r>
      <rPr>
        <b/>
        <sz val="11"/>
        <color rgb="FFFF0000"/>
        <rFont val="Calibri"/>
        <family val="2"/>
        <scheme val="minor"/>
      </rPr>
      <t>FOR FCDS BIDS</t>
    </r>
    <r>
      <rPr>
        <sz val="11"/>
        <color theme="1"/>
        <rFont val="Calibri"/>
        <family val="2"/>
        <scheme val="minor"/>
      </rPr>
      <t>:  The Levelized TOD adjusted price shown here assumes that FCDS is achieved as of COD.  Bids that cannot provide FCDS at COD will have their PPA TOD prices reduced by the Deliverability Value until FCDS is achieved, which will produce a lower TOD Adjusted price in the PPA than what is shown here.</t>
    </r>
  </si>
  <si>
    <t xml:space="preserve">Development Period Security </t>
  </si>
  <si>
    <t>Per Article 8 of the PPA (Section 8.3 Performance Assurance)</t>
  </si>
  <si>
    <t xml:space="preserve">Delivery Period Security </t>
  </si>
  <si>
    <t>IOU Service Area at project's location:</t>
  </si>
  <si>
    <t>Operation Type:</t>
  </si>
  <si>
    <t>Project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</si>
</sst>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 #,##0.0_);_(* \(#,##0.0\);_(* &quot;-&quot;??_);_(@_)"/>
    <numFmt numFmtId="167" formatCode="_(* #,##0.000_);_(* \(#,##0.000\);_(* &quot;-&quot;??_);_(@_)"/>
    <numFmt numFmtId="168" formatCode="0.0000000"/>
    <numFmt numFmtId="169" formatCode="0.0000"/>
    <numFmt numFmtId="170" formatCode="0.0"/>
    <numFmt numFmtId="171" formatCode="&quot;$&quot;#,##0.00;\(&quot;$&quot;#,##0.00\)"/>
    <numFmt numFmtId="172" formatCode="&quot;$&quot;#,##0.00"/>
    <numFmt numFmtId="173" formatCode="_(&quot;$&quot;* #,##0_);_(&quot;$&quot;* \(#,##0\);_(&quot;$&quot;* &quot;-&quot;??_);_(@_)"/>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5"/>
      <name val="Garamond"/>
      <family val="1"/>
    </font>
    <font>
      <sz val="15"/>
      <name val="Garamond"/>
      <family val="1"/>
    </font>
    <font>
      <sz val="10"/>
      <name val="Garamond"/>
      <family val="1"/>
    </font>
    <font>
      <sz val="12"/>
      <name val="Garamond"/>
      <family val="1"/>
    </font>
    <font>
      <sz val="10"/>
      <name val="Calibri"/>
      <family val="2"/>
      <scheme val="minor"/>
    </font>
    <font>
      <b/>
      <sz val="10"/>
      <name val="Calibri"/>
      <family val="2"/>
      <scheme val="minor"/>
    </font>
    <font>
      <b/>
      <sz val="11"/>
      <name val="Calibri"/>
      <family val="2"/>
      <scheme val="minor"/>
    </font>
    <font>
      <b/>
      <sz val="12"/>
      <color indexed="9"/>
      <name val="Calibri"/>
      <family val="2"/>
      <scheme val="minor"/>
    </font>
    <font>
      <sz val="10"/>
      <color indexed="9"/>
      <name val="Calibri"/>
      <family val="2"/>
      <scheme val="minor"/>
    </font>
    <font>
      <sz val="11"/>
      <name val="Calibri"/>
      <family val="2"/>
      <scheme val="minor"/>
    </font>
    <font>
      <sz val="11"/>
      <color indexed="10"/>
      <name val="Calibri"/>
      <family val="2"/>
      <scheme val="minor"/>
    </font>
    <font>
      <sz val="11"/>
      <color rgb="FFFF0000"/>
      <name val="Calibri"/>
      <family val="2"/>
      <scheme val="minor"/>
    </font>
    <font>
      <u/>
      <sz val="12"/>
      <name val="Calibri"/>
      <family val="2"/>
      <scheme val="minor"/>
    </font>
    <font>
      <b/>
      <sz val="10"/>
      <color rgb="FFFF0000"/>
      <name val="Calibri"/>
      <family val="2"/>
      <scheme val="minor"/>
    </font>
    <font>
      <b/>
      <sz val="12"/>
      <color rgb="FFFF000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6"/>
      <color theme="1"/>
      <name val="Calibri"/>
      <family val="2"/>
      <scheme val="minor"/>
    </font>
    <font>
      <b/>
      <sz val="12"/>
      <color theme="1"/>
      <name val="Calibri"/>
      <family val="2"/>
      <scheme val="minor"/>
    </font>
    <font>
      <sz val="8"/>
      <color indexed="81"/>
      <name val="Tahoma"/>
      <family val="2"/>
    </font>
    <font>
      <sz val="10"/>
      <color rgb="FFFF0000"/>
      <name val="Calibri"/>
      <family val="2"/>
      <scheme val="minor"/>
    </font>
  </fonts>
  <fills count="10">
    <fill>
      <patternFill patternType="none"/>
    </fill>
    <fill>
      <patternFill patternType="gray125"/>
    </fill>
    <fill>
      <patternFill patternType="solid">
        <fgColor indexed="62"/>
        <bgColor indexed="64"/>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solid">
        <fgColor indexed="51"/>
        <bgColor indexed="64"/>
      </patternFill>
    </fill>
    <fill>
      <patternFill patternType="solid">
        <fgColor rgb="FFCCFFCC"/>
        <bgColor indexed="64"/>
      </patternFill>
    </fill>
  </fills>
  <borders count="55">
    <border>
      <left/>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78">
    <xf numFmtId="0" fontId="0" fillId="0" borderId="0" xfId="0"/>
    <xf numFmtId="0" fontId="1" fillId="0" borderId="0" xfId="0" applyFont="1"/>
    <xf numFmtId="0" fontId="3" fillId="0" borderId="1" xfId="0" applyFont="1" applyBorder="1" applyAlignment="1">
      <alignment horizontal="center"/>
    </xf>
    <xf numFmtId="0" fontId="4" fillId="0" borderId="1" xfId="0" applyFont="1" applyBorder="1"/>
    <xf numFmtId="0" fontId="5" fillId="0" borderId="1" xfId="0" applyFont="1" applyBorder="1"/>
    <xf numFmtId="0" fontId="5" fillId="0" borderId="0" xfId="0" applyFont="1"/>
    <xf numFmtId="0" fontId="6" fillId="0" borderId="3" xfId="0" applyFont="1" applyBorder="1" applyAlignment="1">
      <alignment horizontal="center"/>
    </xf>
    <xf numFmtId="0" fontId="5" fillId="0" borderId="3" xfId="0" applyFont="1" applyBorder="1"/>
    <xf numFmtId="0" fontId="5" fillId="0" borderId="0" xfId="0" applyFont="1" applyAlignment="1">
      <alignment horizontal="center"/>
    </xf>
    <xf numFmtId="0" fontId="1" fillId="0" borderId="0" xfId="0" applyFont="1" applyAlignment="1">
      <alignment horizontal="right"/>
    </xf>
    <xf numFmtId="0" fontId="11" fillId="2" borderId="5" xfId="0" applyFont="1" applyFill="1" applyBorder="1"/>
    <xf numFmtId="0" fontId="7" fillId="0" borderId="0" xfId="0" applyFont="1"/>
    <xf numFmtId="0" fontId="7" fillId="0" borderId="0" xfId="0" applyFont="1" applyBorder="1"/>
    <xf numFmtId="0" fontId="7" fillId="0" borderId="7" xfId="0" applyFont="1" applyBorder="1"/>
    <xf numFmtId="0" fontId="7" fillId="0" borderId="9" xfId="0" applyFont="1" applyBorder="1"/>
    <xf numFmtId="0" fontId="7" fillId="0" borderId="10" xfId="0" applyFont="1"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0" xfId="0" applyFont="1" applyAlignment="1">
      <alignment horizontal="center"/>
    </xf>
    <xf numFmtId="0" fontId="7" fillId="0" borderId="0" xfId="0" applyFont="1" applyFill="1"/>
    <xf numFmtId="0" fontId="7" fillId="0" borderId="0" xfId="0" applyFont="1" applyFill="1" applyBorder="1"/>
    <xf numFmtId="164" fontId="8" fillId="0" borderId="0" xfId="1" applyNumberFormat="1" applyFont="1"/>
    <xf numFmtId="9" fontId="7" fillId="0" borderId="0" xfId="2" applyFont="1"/>
    <xf numFmtId="165" fontId="8" fillId="0" borderId="0" xfId="1" applyNumberFormat="1" applyFont="1"/>
    <xf numFmtId="165" fontId="7" fillId="0" borderId="0" xfId="1" applyNumberFormat="1" applyFont="1"/>
    <xf numFmtId="10" fontId="8" fillId="3" borderId="0" xfId="2" applyNumberFormat="1" applyFont="1" applyFill="1" applyBorder="1" applyAlignment="1">
      <alignment horizontal="right"/>
    </xf>
    <xf numFmtId="10" fontId="8" fillId="5" borderId="0" xfId="2" applyNumberFormat="1" applyFont="1" applyFill="1" applyBorder="1" applyAlignment="1">
      <alignment horizontal="right"/>
    </xf>
    <xf numFmtId="10" fontId="8" fillId="8" borderId="0" xfId="2" applyNumberFormat="1" applyFont="1" applyFill="1" applyBorder="1" applyAlignment="1">
      <alignment horizontal="right"/>
    </xf>
    <xf numFmtId="10" fontId="8" fillId="4" borderId="0" xfId="2" applyNumberFormat="1" applyFont="1" applyFill="1" applyBorder="1" applyAlignment="1">
      <alignment horizontal="right"/>
    </xf>
    <xf numFmtId="10" fontId="8" fillId="6" borderId="0" xfId="2" applyNumberFormat="1" applyFont="1" applyFill="1" applyBorder="1" applyAlignment="1">
      <alignment horizontal="right"/>
    </xf>
    <xf numFmtId="10" fontId="8" fillId="7" borderId="0" xfId="2" applyNumberFormat="1" applyFont="1" applyFill="1" applyBorder="1" applyAlignment="1">
      <alignment horizontal="right"/>
    </xf>
    <xf numFmtId="165" fontId="8" fillId="3" borderId="9" xfId="0" applyNumberFormat="1" applyFont="1" applyFill="1" applyBorder="1" applyAlignment="1">
      <alignment horizontal="center" wrapText="1"/>
    </xf>
    <xf numFmtId="165" fontId="8" fillId="5" borderId="9" xfId="0" applyNumberFormat="1" applyFont="1" applyFill="1" applyBorder="1" applyAlignment="1">
      <alignment horizontal="center" wrapText="1"/>
    </xf>
    <xf numFmtId="165" fontId="8" fillId="8" borderId="9" xfId="0" applyNumberFormat="1" applyFont="1" applyFill="1" applyBorder="1" applyAlignment="1">
      <alignment horizontal="center" wrapText="1"/>
    </xf>
    <xf numFmtId="165" fontId="8" fillId="4" borderId="9" xfId="0" applyNumberFormat="1" applyFont="1" applyFill="1" applyBorder="1" applyAlignment="1">
      <alignment horizontal="center" wrapText="1"/>
    </xf>
    <xf numFmtId="165" fontId="8" fillId="6" borderId="9" xfId="0" applyNumberFormat="1" applyFont="1" applyFill="1" applyBorder="1" applyAlignment="1">
      <alignment horizontal="center" wrapText="1"/>
    </xf>
    <xf numFmtId="165" fontId="8" fillId="7" borderId="9" xfId="0" applyNumberFormat="1" applyFont="1" applyFill="1" applyBorder="1" applyAlignment="1">
      <alignment horizontal="center" wrapText="1"/>
    </xf>
    <xf numFmtId="165" fontId="7" fillId="0" borderId="0" xfId="0" applyNumberFormat="1" applyFont="1"/>
    <xf numFmtId="10" fontId="8" fillId="3" borderId="0" xfId="2" applyNumberFormat="1" applyFont="1" applyFill="1" applyBorder="1" applyAlignment="1">
      <alignment horizontal="center" wrapText="1"/>
    </xf>
    <xf numFmtId="10" fontId="8" fillId="5" borderId="0" xfId="2" applyNumberFormat="1" applyFont="1" applyFill="1" applyBorder="1" applyAlignment="1">
      <alignment horizontal="center" wrapText="1"/>
    </xf>
    <xf numFmtId="10" fontId="8" fillId="8" borderId="0" xfId="2" applyNumberFormat="1" applyFont="1" applyFill="1" applyBorder="1" applyAlignment="1">
      <alignment horizontal="center" wrapText="1"/>
    </xf>
    <xf numFmtId="10" fontId="8" fillId="4" borderId="0" xfId="2" applyNumberFormat="1" applyFont="1" applyFill="1" applyBorder="1" applyAlignment="1">
      <alignment horizontal="center" wrapText="1"/>
    </xf>
    <xf numFmtId="10" fontId="8" fillId="6" borderId="0" xfId="2" applyNumberFormat="1" applyFont="1" applyFill="1" applyBorder="1" applyAlignment="1">
      <alignment horizontal="center" wrapText="1"/>
    </xf>
    <xf numFmtId="10" fontId="8" fillId="7" borderId="0" xfId="2" applyNumberFormat="1" applyFont="1" applyFill="1" applyBorder="1" applyAlignment="1">
      <alignment horizontal="center" wrapText="1"/>
    </xf>
    <xf numFmtId="10" fontId="7" fillId="0" borderId="0" xfId="0" applyNumberFormat="1" applyFont="1"/>
    <xf numFmtId="0" fontId="12" fillId="0" borderId="0" xfId="0" applyFont="1" applyBorder="1"/>
    <xf numFmtId="0" fontId="12" fillId="0" borderId="0" xfId="0" applyFont="1"/>
    <xf numFmtId="0" fontId="12" fillId="0" borderId="7" xfId="0" applyFont="1" applyBorder="1"/>
    <xf numFmtId="0" fontId="13" fillId="0" borderId="0" xfId="0" applyFont="1" applyBorder="1"/>
    <xf numFmtId="0" fontId="0" fillId="0" borderId="0" xfId="0" applyFont="1"/>
    <xf numFmtId="0" fontId="0" fillId="0" borderId="0" xfId="0" applyFont="1" applyAlignment="1">
      <alignment horizontal="right"/>
    </xf>
    <xf numFmtId="0" fontId="0" fillId="0" borderId="0" xfId="0" applyFont="1" applyFill="1" applyBorder="1" applyAlignment="1">
      <alignment horizontal="right"/>
    </xf>
    <xf numFmtId="0" fontId="0" fillId="0" borderId="41" xfId="0" applyFont="1" applyBorder="1" applyAlignment="1">
      <alignment horizontal="center"/>
    </xf>
    <xf numFmtId="14" fontId="0" fillId="0" borderId="41" xfId="0" applyNumberFormat="1" applyFont="1" applyBorder="1"/>
    <xf numFmtId="0" fontId="0" fillId="0" borderId="42" xfId="0" applyFont="1" applyBorder="1" applyAlignment="1">
      <alignment horizontal="center"/>
    </xf>
    <xf numFmtId="14" fontId="0" fillId="0" borderId="42" xfId="0" applyNumberFormat="1" applyFont="1" applyBorder="1"/>
    <xf numFmtId="0" fontId="12" fillId="0" borderId="0" xfId="0" applyFont="1" applyAlignment="1">
      <alignment horizontal="right"/>
    </xf>
    <xf numFmtId="0" fontId="12" fillId="0" borderId="0" xfId="0" applyFont="1" applyFill="1" applyBorder="1" applyAlignment="1">
      <alignment horizontal="right"/>
    </xf>
    <xf numFmtId="0" fontId="0" fillId="0" borderId="0" xfId="0" applyAlignment="1">
      <alignment horizontal="right"/>
    </xf>
    <xf numFmtId="0" fontId="0" fillId="0" borderId="0" xfId="0" applyFont="1" applyBorder="1"/>
    <xf numFmtId="0" fontId="0" fillId="0" borderId="0" xfId="0" applyFont="1" applyBorder="1" applyAlignment="1">
      <alignment horizontal="center"/>
    </xf>
    <xf numFmtId="14" fontId="0" fillId="0" borderId="0" xfId="0" applyNumberFormat="1" applyFont="1" applyBorder="1"/>
    <xf numFmtId="0" fontId="17" fillId="0" borderId="0" xfId="0" applyFont="1"/>
    <xf numFmtId="0" fontId="0" fillId="0" borderId="33" xfId="0" applyFont="1" applyBorder="1" applyAlignment="1">
      <alignment horizontal="center" wrapText="1"/>
    </xf>
    <xf numFmtId="0" fontId="0" fillId="0" borderId="49" xfId="0" applyFont="1" applyBorder="1" applyAlignment="1">
      <alignment horizontal="center" wrapText="1"/>
    </xf>
    <xf numFmtId="7" fontId="0" fillId="0" borderId="41" xfId="1" applyNumberFormat="1" applyFont="1" applyBorder="1"/>
    <xf numFmtId="0" fontId="0" fillId="0" borderId="33" xfId="0" applyFont="1" applyFill="1" applyBorder="1" applyAlignment="1">
      <alignment horizontal="center" wrapText="1"/>
    </xf>
    <xf numFmtId="5" fontId="0" fillId="0" borderId="33" xfId="1" applyNumberFormat="1" applyFont="1" applyFill="1" applyBorder="1"/>
    <xf numFmtId="44" fontId="0" fillId="0" borderId="41" xfId="3" applyFont="1" applyBorder="1"/>
    <xf numFmtId="44" fontId="0" fillId="0" borderId="42" xfId="3" applyFont="1" applyBorder="1"/>
    <xf numFmtId="167" fontId="1" fillId="0" borderId="33" xfId="1" applyNumberFormat="1" applyFont="1" applyBorder="1"/>
    <xf numFmtId="10" fontId="1" fillId="0" borderId="33" xfId="0" applyNumberFormat="1" applyFont="1" applyBorder="1" applyAlignment="1">
      <alignment horizontal="center" wrapText="1"/>
    </xf>
    <xf numFmtId="14" fontId="0" fillId="9" borderId="33" xfId="0" applyNumberFormat="1" applyFont="1" applyFill="1" applyBorder="1" applyProtection="1">
      <protection locked="0"/>
    </xf>
    <xf numFmtId="9" fontId="7" fillId="3" borderId="18" xfId="2" applyFont="1" applyFill="1" applyBorder="1" applyProtection="1">
      <protection locked="0"/>
    </xf>
    <xf numFmtId="9" fontId="7" fillId="3" borderId="19" xfId="2" applyFont="1" applyFill="1" applyBorder="1" applyProtection="1">
      <protection locked="0"/>
    </xf>
    <xf numFmtId="9" fontId="7" fillId="3" borderId="20" xfId="2" applyFont="1" applyFill="1" applyBorder="1" applyProtection="1">
      <protection locked="0"/>
    </xf>
    <xf numFmtId="9" fontId="7" fillId="4" borderId="18" xfId="2" applyFont="1" applyFill="1" applyBorder="1" applyProtection="1">
      <protection locked="0"/>
    </xf>
    <xf numFmtId="9" fontId="7" fillId="4" borderId="19" xfId="2" applyFont="1" applyFill="1" applyBorder="1" applyProtection="1">
      <protection locked="0"/>
    </xf>
    <xf numFmtId="9" fontId="7" fillId="4" borderId="20" xfId="2" applyFont="1" applyFill="1" applyBorder="1" applyProtection="1">
      <protection locked="0"/>
    </xf>
    <xf numFmtId="9" fontId="7" fillId="3" borderId="21" xfId="2" applyFont="1" applyFill="1" applyBorder="1" applyProtection="1">
      <protection locked="0"/>
    </xf>
    <xf numFmtId="9" fontId="7" fillId="3" borderId="22" xfId="2" applyFont="1" applyFill="1" applyBorder="1" applyProtection="1">
      <protection locked="0"/>
    </xf>
    <xf numFmtId="9" fontId="7" fillId="3" borderId="23" xfId="2" applyFont="1" applyFill="1" applyBorder="1" applyProtection="1">
      <protection locked="0"/>
    </xf>
    <xf numFmtId="9" fontId="7" fillId="3" borderId="24" xfId="2" applyFont="1" applyFill="1" applyBorder="1" applyProtection="1">
      <protection locked="0"/>
    </xf>
    <xf numFmtId="9" fontId="7" fillId="3" borderId="25" xfId="2" applyFont="1" applyFill="1" applyBorder="1" applyProtection="1">
      <protection locked="0"/>
    </xf>
    <xf numFmtId="9" fontId="7" fillId="4" borderId="23" xfId="2" applyFont="1" applyFill="1" applyBorder="1" applyProtection="1">
      <protection locked="0"/>
    </xf>
    <xf numFmtId="9" fontId="7" fillId="4" borderId="24" xfId="2" applyFont="1" applyFill="1" applyBorder="1" applyProtection="1">
      <protection locked="0"/>
    </xf>
    <xf numFmtId="9" fontId="7" fillId="4" borderId="25" xfId="2" applyFont="1" applyFill="1" applyBorder="1" applyProtection="1">
      <protection locked="0"/>
    </xf>
    <xf numFmtId="9" fontId="7" fillId="5" borderId="23" xfId="2" applyFont="1" applyFill="1" applyBorder="1" applyProtection="1">
      <protection locked="0"/>
    </xf>
    <xf numFmtId="9" fontId="7" fillId="5" borderId="24" xfId="2" applyFont="1" applyFill="1" applyBorder="1" applyProtection="1">
      <protection locked="0"/>
    </xf>
    <xf numFmtId="9" fontId="7" fillId="5" borderId="25" xfId="2" applyFont="1" applyFill="1" applyBorder="1" applyProtection="1">
      <protection locked="0"/>
    </xf>
    <xf numFmtId="9" fontId="7" fillId="6" borderId="23" xfId="2" applyFont="1" applyFill="1" applyBorder="1" applyProtection="1">
      <protection locked="0"/>
    </xf>
    <xf numFmtId="9" fontId="7" fillId="6" borderId="24" xfId="2" applyFont="1" applyFill="1" applyBorder="1" applyProtection="1">
      <protection locked="0"/>
    </xf>
    <xf numFmtId="9" fontId="7" fillId="6" borderId="25" xfId="2" applyFont="1" applyFill="1" applyBorder="1" applyProtection="1">
      <protection locked="0"/>
    </xf>
    <xf numFmtId="9" fontId="7" fillId="7" borderId="23" xfId="2" applyFont="1" applyFill="1" applyBorder="1" applyProtection="1">
      <protection locked="0"/>
    </xf>
    <xf numFmtId="9" fontId="7" fillId="7" borderId="24" xfId="2" applyFont="1" applyFill="1" applyBorder="1" applyProtection="1">
      <protection locked="0"/>
    </xf>
    <xf numFmtId="9" fontId="7" fillId="7" borderId="25" xfId="2" applyFont="1" applyFill="1" applyBorder="1" applyProtection="1">
      <protection locked="0"/>
    </xf>
    <xf numFmtId="9" fontId="7" fillId="8" borderId="23" xfId="2" applyFont="1" applyFill="1" applyBorder="1" applyProtection="1">
      <protection locked="0"/>
    </xf>
    <xf numFmtId="9" fontId="7" fillId="8" borderId="24" xfId="2" applyFont="1" applyFill="1" applyBorder="1" applyProtection="1">
      <protection locked="0"/>
    </xf>
    <xf numFmtId="9" fontId="7" fillId="8" borderId="25" xfId="2" applyFont="1" applyFill="1" applyBorder="1" applyProtection="1">
      <protection locked="0"/>
    </xf>
    <xf numFmtId="9" fontId="7" fillId="8" borderId="26" xfId="2" applyFont="1" applyFill="1" applyBorder="1" applyProtection="1">
      <protection locked="0"/>
    </xf>
    <xf numFmtId="9" fontId="7" fillId="8" borderId="21" xfId="2" applyFont="1" applyFill="1" applyBorder="1" applyProtection="1">
      <protection locked="0"/>
    </xf>
    <xf numFmtId="9" fontId="7" fillId="8" borderId="27" xfId="2" applyFont="1" applyFill="1" applyBorder="1" applyProtection="1">
      <protection locked="0"/>
    </xf>
    <xf numFmtId="9" fontId="7" fillId="3" borderId="28" xfId="2" applyFont="1" applyFill="1" applyBorder="1" applyProtection="1">
      <protection locked="0"/>
    </xf>
    <xf numFmtId="9" fontId="7" fillId="3" borderId="29" xfId="2" applyFont="1" applyFill="1" applyBorder="1" applyProtection="1">
      <protection locked="0"/>
    </xf>
    <xf numFmtId="9" fontId="7" fillId="3" borderId="30" xfId="2" applyFont="1" applyFill="1" applyBorder="1" applyProtection="1">
      <protection locked="0"/>
    </xf>
    <xf numFmtId="9" fontId="7" fillId="4" borderId="28" xfId="2" applyFont="1" applyFill="1" applyBorder="1" applyProtection="1">
      <protection locked="0"/>
    </xf>
    <xf numFmtId="9" fontId="7" fillId="4" borderId="29" xfId="2" applyFont="1" applyFill="1" applyBorder="1" applyProtection="1">
      <protection locked="0"/>
    </xf>
    <xf numFmtId="9" fontId="7" fillId="4" borderId="30" xfId="2" applyFont="1" applyFill="1" applyBorder="1" applyProtection="1">
      <protection locked="0"/>
    </xf>
    <xf numFmtId="5" fontId="1" fillId="0" borderId="33" xfId="0" applyNumberFormat="1" applyFont="1" applyBorder="1"/>
    <xf numFmtId="0" fontId="18" fillId="0" borderId="0" xfId="0" applyFont="1" applyBorder="1" applyAlignment="1">
      <alignment horizontal="right"/>
    </xf>
    <xf numFmtId="0" fontId="7" fillId="9" borderId="34" xfId="0" applyFont="1" applyFill="1" applyBorder="1" applyAlignment="1" applyProtection="1">
      <protection locked="0"/>
    </xf>
    <xf numFmtId="0" fontId="7" fillId="9" borderId="35" xfId="0" applyFont="1" applyFill="1" applyBorder="1" applyAlignment="1" applyProtection="1">
      <protection locked="0"/>
    </xf>
    <xf numFmtId="0" fontId="7" fillId="9" borderId="36" xfId="0" applyFont="1" applyFill="1" applyBorder="1" applyAlignment="1" applyProtection="1">
      <protection locked="0"/>
    </xf>
    <xf numFmtId="0" fontId="7" fillId="0" borderId="0" xfId="0" applyFont="1" applyFill="1" applyBorder="1" applyAlignment="1" applyProtection="1">
      <protection locked="0"/>
    </xf>
    <xf numFmtId="44" fontId="1" fillId="0" borderId="0" xfId="3" applyFont="1" applyFill="1" applyBorder="1" applyAlignment="1">
      <alignment horizontal="right"/>
    </xf>
    <xf numFmtId="0" fontId="19" fillId="0" borderId="0" xfId="0" quotePrefix="1" applyFont="1"/>
    <xf numFmtId="0" fontId="20" fillId="0" borderId="0" xfId="0" applyFont="1" applyAlignment="1">
      <alignment horizontal="right"/>
    </xf>
    <xf numFmtId="0" fontId="21" fillId="0" borderId="0" xfId="0" applyFont="1"/>
    <xf numFmtId="0" fontId="7" fillId="9" borderId="37" xfId="0" applyFont="1" applyFill="1" applyBorder="1" applyAlignment="1" applyProtection="1">
      <protection locked="0"/>
    </xf>
    <xf numFmtId="0" fontId="7" fillId="9" borderId="44" xfId="0" applyFont="1" applyFill="1" applyBorder="1" applyAlignment="1" applyProtection="1">
      <protection locked="0"/>
    </xf>
    <xf numFmtId="0" fontId="7" fillId="9" borderId="38" xfId="0" applyFont="1" applyFill="1" applyBorder="1" applyAlignment="1" applyProtection="1">
      <protection locked="0"/>
    </xf>
    <xf numFmtId="0" fontId="7" fillId="9" borderId="39" xfId="0" applyFont="1" applyFill="1" applyBorder="1" applyAlignment="1" applyProtection="1">
      <protection locked="0"/>
    </xf>
    <xf numFmtId="0" fontId="7" fillId="9" borderId="31" xfId="0" applyFont="1" applyFill="1" applyBorder="1" applyAlignment="1" applyProtection="1">
      <protection locked="0"/>
    </xf>
    <xf numFmtId="0" fontId="7" fillId="9" borderId="32" xfId="0" applyFont="1" applyFill="1" applyBorder="1" applyAlignment="1" applyProtection="1">
      <protection locked="0"/>
    </xf>
    <xf numFmtId="0" fontId="7" fillId="9" borderId="45" xfId="0" applyFont="1" applyFill="1" applyBorder="1" applyAlignment="1" applyProtection="1">
      <protection locked="0"/>
    </xf>
    <xf numFmtId="0" fontId="7" fillId="9" borderId="46" xfId="0" applyFont="1" applyFill="1" applyBorder="1" applyAlignment="1" applyProtection="1">
      <protection locked="0"/>
    </xf>
    <xf numFmtId="0" fontId="7" fillId="9" borderId="40" xfId="0" applyFont="1" applyFill="1" applyBorder="1" applyAlignment="1" applyProtection="1">
      <protection locked="0"/>
    </xf>
    <xf numFmtId="0" fontId="1" fillId="0" borderId="1" xfId="0" applyFont="1" applyBorder="1" applyAlignment="1">
      <alignment horizontal="right"/>
    </xf>
    <xf numFmtId="0" fontId="1" fillId="0" borderId="3" xfId="0" applyFont="1" applyBorder="1" applyAlignment="1">
      <alignment horizontal="right"/>
    </xf>
    <xf numFmtId="0" fontId="0" fillId="0" borderId="0" xfId="0" applyFill="1" applyBorder="1" applyAlignment="1">
      <alignment horizontal="right"/>
    </xf>
    <xf numFmtId="168" fontId="7" fillId="0" borderId="0" xfId="0" applyNumberFormat="1" applyFont="1"/>
    <xf numFmtId="10" fontId="7" fillId="0" borderId="0" xfId="2" applyNumberFormat="1" applyFont="1"/>
    <xf numFmtId="0" fontId="9" fillId="0" borderId="51" xfId="0" applyFont="1" applyBorder="1" applyProtection="1">
      <protection locked="0"/>
    </xf>
    <xf numFmtId="0" fontId="3" fillId="0" borderId="1" xfId="0" applyFont="1" applyBorder="1" applyAlignment="1" applyProtection="1">
      <alignment horizontal="center"/>
      <protection locked="0"/>
    </xf>
    <xf numFmtId="0" fontId="6" fillId="0" borderId="2" xfId="0" applyFont="1" applyBorder="1" applyAlignment="1" applyProtection="1">
      <alignment horizontal="left"/>
      <protection locked="0"/>
    </xf>
    <xf numFmtId="0" fontId="6" fillId="0" borderId="3" xfId="0" applyFont="1" applyBorder="1" applyAlignment="1" applyProtection="1">
      <alignment horizontal="center"/>
      <protection locked="0"/>
    </xf>
    <xf numFmtId="0" fontId="5" fillId="0" borderId="0" xfId="0" applyFont="1" applyProtection="1">
      <protection locked="0"/>
    </xf>
    <xf numFmtId="0" fontId="10" fillId="2" borderId="4" xfId="0" applyFont="1" applyFill="1" applyBorder="1" applyAlignment="1" applyProtection="1">
      <alignment horizontal="left"/>
      <protection locked="0"/>
    </xf>
    <xf numFmtId="0" fontId="10" fillId="2" borderId="5" xfId="0" applyFont="1" applyFill="1" applyBorder="1" applyProtection="1">
      <protection locked="0"/>
    </xf>
    <xf numFmtId="0" fontId="11" fillId="2" borderId="5" xfId="0" applyFont="1" applyFill="1" applyBorder="1" applyProtection="1">
      <protection locked="0"/>
    </xf>
    <xf numFmtId="0" fontId="7" fillId="0" borderId="6" xfId="0" applyFont="1" applyBorder="1" applyProtection="1">
      <protection locked="0"/>
    </xf>
    <xf numFmtId="0" fontId="7" fillId="0" borderId="0" xfId="0" applyFont="1" applyBorder="1" applyProtection="1">
      <protection locked="0"/>
    </xf>
    <xf numFmtId="0" fontId="9" fillId="0" borderId="6" xfId="0" applyFont="1" applyBorder="1" applyAlignment="1" applyProtection="1">
      <alignment horizontal="left" indent="1"/>
      <protection locked="0"/>
    </xf>
    <xf numFmtId="0" fontId="9" fillId="0" borderId="0" xfId="0" applyFont="1" applyBorder="1" applyProtection="1">
      <protection locked="0"/>
    </xf>
    <xf numFmtId="0" fontId="12" fillId="0" borderId="0" xfId="0" applyFont="1" applyBorder="1" applyProtection="1">
      <protection locked="0"/>
    </xf>
    <xf numFmtId="0" fontId="9" fillId="0" borderId="6" xfId="0" quotePrefix="1" applyFont="1" applyBorder="1" applyAlignment="1" applyProtection="1">
      <alignment horizontal="left" indent="1"/>
      <protection locked="0"/>
    </xf>
    <xf numFmtId="0" fontId="12" fillId="0" borderId="0" xfId="0" applyFont="1" applyFill="1" applyBorder="1" applyAlignment="1" applyProtection="1">
      <protection locked="0"/>
    </xf>
    <xf numFmtId="0" fontId="7" fillId="0" borderId="8" xfId="0" applyFont="1" applyBorder="1" applyProtection="1">
      <protection locked="0"/>
    </xf>
    <xf numFmtId="0" fontId="7" fillId="0" borderId="9" xfId="0" applyFont="1" applyFill="1" applyBorder="1" applyAlignment="1" applyProtection="1">
      <protection locked="0"/>
    </xf>
    <xf numFmtId="0" fontId="7" fillId="0" borderId="0" xfId="0" applyFont="1" applyProtection="1">
      <protection locked="0"/>
    </xf>
    <xf numFmtId="0" fontId="7" fillId="0" borderId="9" xfId="0" applyFont="1" applyBorder="1" applyAlignment="1" applyProtection="1">
      <alignment horizontal="center"/>
      <protection locked="0"/>
    </xf>
    <xf numFmtId="0" fontId="7" fillId="0" borderId="9" xfId="0" applyFont="1" applyBorder="1" applyAlignment="1" applyProtection="1">
      <alignment horizontal="right" wrapText="1"/>
      <protection locked="0"/>
    </xf>
    <xf numFmtId="0" fontId="7" fillId="0" borderId="14" xfId="0" applyFont="1" applyBorder="1" applyAlignment="1" applyProtection="1">
      <alignment horizontal="right" wrapText="1"/>
      <protection locked="0"/>
    </xf>
    <xf numFmtId="0" fontId="7" fillId="0" borderId="0" xfId="0" applyFont="1" applyAlignment="1" applyProtection="1">
      <alignment horizontal="center"/>
      <protection locked="0"/>
    </xf>
    <xf numFmtId="18" fontId="7" fillId="0" borderId="0" xfId="0" applyNumberFormat="1" applyFont="1" applyProtection="1">
      <protection locked="0"/>
    </xf>
    <xf numFmtId="164" fontId="7" fillId="0" borderId="0" xfId="1" applyNumberFormat="1" applyFont="1" applyProtection="1">
      <protection locked="0"/>
    </xf>
    <xf numFmtId="0" fontId="7" fillId="0" borderId="0" xfId="0" applyFont="1" applyFill="1" applyAlignment="1" applyProtection="1">
      <alignment horizontal="center"/>
      <protection locked="0"/>
    </xf>
    <xf numFmtId="18" fontId="7" fillId="0" borderId="0" xfId="0" applyNumberFormat="1" applyFont="1" applyFill="1" applyProtection="1">
      <protection locked="0"/>
    </xf>
    <xf numFmtId="164" fontId="7" fillId="0" borderId="0" xfId="1" applyNumberFormat="1" applyFont="1" applyFill="1" applyProtection="1">
      <protection locked="0"/>
    </xf>
    <xf numFmtId="0" fontId="7" fillId="0" borderId="0" xfId="0" applyFont="1" applyFill="1" applyProtection="1">
      <protection locked="0"/>
    </xf>
    <xf numFmtId="0" fontId="8" fillId="0" borderId="0" xfId="0" applyFont="1" applyAlignment="1" applyProtection="1">
      <alignment horizontal="right"/>
      <protection locked="0"/>
    </xf>
    <xf numFmtId="0" fontId="8" fillId="3" borderId="0" xfId="0" applyFont="1" applyFill="1" applyBorder="1" applyAlignment="1" applyProtection="1">
      <alignment horizontal="right"/>
      <protection locked="0"/>
    </xf>
    <xf numFmtId="0" fontId="8" fillId="5" borderId="0" xfId="0" applyFont="1" applyFill="1" applyBorder="1" applyAlignment="1" applyProtection="1">
      <alignment horizontal="right"/>
      <protection locked="0"/>
    </xf>
    <xf numFmtId="0" fontId="8" fillId="8" borderId="0" xfId="0" applyFont="1" applyFill="1" applyBorder="1" applyAlignment="1" applyProtection="1">
      <alignment horizontal="right"/>
      <protection locked="0"/>
    </xf>
    <xf numFmtId="0" fontId="8" fillId="4" borderId="0" xfId="0" applyFont="1" applyFill="1" applyBorder="1" applyAlignment="1" applyProtection="1">
      <alignment horizontal="right"/>
      <protection locked="0"/>
    </xf>
    <xf numFmtId="0" fontId="8" fillId="6" borderId="0" xfId="0" applyFont="1" applyFill="1" applyBorder="1" applyAlignment="1" applyProtection="1">
      <alignment horizontal="right"/>
      <protection locked="0"/>
    </xf>
    <xf numFmtId="0" fontId="8" fillId="7" borderId="0" xfId="0" applyFont="1" applyFill="1" applyBorder="1" applyAlignment="1" applyProtection="1">
      <alignment horizontal="right"/>
      <protection locked="0"/>
    </xf>
    <xf numFmtId="0" fontId="7" fillId="0" borderId="0" xfId="0" applyFont="1" applyAlignment="1" applyProtection="1">
      <alignment horizontal="right"/>
      <protection locked="0"/>
    </xf>
    <xf numFmtId="0" fontId="0" fillId="9" borderId="41" xfId="0" applyFont="1" applyFill="1" applyBorder="1" applyProtection="1">
      <protection locked="0"/>
    </xf>
    <xf numFmtId="44" fontId="0" fillId="9" borderId="41" xfId="3" applyFont="1" applyFill="1" applyBorder="1" applyProtection="1">
      <protection locked="0"/>
    </xf>
    <xf numFmtId="0" fontId="0" fillId="9" borderId="42" xfId="0" applyFont="1" applyFill="1" applyBorder="1" applyProtection="1">
      <protection locked="0"/>
    </xf>
    <xf numFmtId="44" fontId="0" fillId="9" borderId="42" xfId="0" applyNumberFormat="1" applyFont="1" applyFill="1" applyBorder="1" applyProtection="1">
      <protection locked="0"/>
    </xf>
    <xf numFmtId="164" fontId="0" fillId="9" borderId="41" xfId="1" applyNumberFormat="1" applyFont="1" applyFill="1" applyBorder="1" applyProtection="1">
      <protection locked="0"/>
    </xf>
    <xf numFmtId="164" fontId="0" fillId="9" borderId="42" xfId="1" applyNumberFormat="1" applyFont="1" applyFill="1" applyBorder="1" applyProtection="1">
      <protection locked="0"/>
    </xf>
    <xf numFmtId="164" fontId="0" fillId="0" borderId="50" xfId="1" applyNumberFormat="1" applyFont="1" applyBorder="1"/>
    <xf numFmtId="164" fontId="0" fillId="0" borderId="42" xfId="1" applyNumberFormat="1" applyFont="1" applyBorder="1"/>
    <xf numFmtId="164" fontId="0" fillId="0" borderId="43" xfId="1" applyNumberFormat="1" applyFont="1" applyBorder="1"/>
    <xf numFmtId="0" fontId="0" fillId="9" borderId="33" xfId="0" applyFont="1" applyFill="1" applyBorder="1" applyAlignment="1" applyProtection="1">
      <alignment horizontal="center"/>
      <protection locked="0"/>
    </xf>
    <xf numFmtId="0" fontId="0" fillId="9" borderId="33" xfId="0" applyFont="1" applyFill="1" applyBorder="1" applyAlignment="1" applyProtection="1">
      <alignment horizontal="center" vertical="center"/>
      <protection locked="0"/>
    </xf>
    <xf numFmtId="0" fontId="0" fillId="0" borderId="33" xfId="0" applyFont="1" applyBorder="1" applyAlignment="1">
      <alignment horizontal="center"/>
    </xf>
    <xf numFmtId="0" fontId="1" fillId="0" borderId="0" xfId="0" applyFont="1" applyFill="1" applyBorder="1" applyAlignment="1">
      <alignment horizontal="right"/>
    </xf>
    <xf numFmtId="44" fontId="0" fillId="0" borderId="0" xfId="3" applyFont="1"/>
    <xf numFmtId="0" fontId="0" fillId="0" borderId="0" xfId="0" quotePrefix="1"/>
    <xf numFmtId="14" fontId="0" fillId="9" borderId="33" xfId="0" applyNumberFormat="1" applyFont="1" applyFill="1" applyBorder="1" applyAlignment="1">
      <alignment horizontal="center"/>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169" fontId="8" fillId="0" borderId="49" xfId="0" applyNumberFormat="1" applyFont="1" applyBorder="1" applyAlignment="1">
      <alignment horizontal="center"/>
    </xf>
    <xf numFmtId="169" fontId="12" fillId="0" borderId="0" xfId="0" applyNumberFormat="1" applyFont="1"/>
    <xf numFmtId="169" fontId="8" fillId="0" borderId="53" xfId="0" applyNumberFormat="1" applyFont="1" applyBorder="1" applyAlignment="1">
      <alignment horizontal="center"/>
    </xf>
    <xf numFmtId="169" fontId="8" fillId="0" borderId="33" xfId="0" applyNumberFormat="1" applyFont="1" applyBorder="1" applyAlignment="1">
      <alignment horizontal="center"/>
    </xf>
    <xf numFmtId="0" fontId="8" fillId="0" borderId="0" xfId="0" applyFont="1" applyBorder="1" applyAlignment="1">
      <alignment horizontal="center" vertical="center"/>
    </xf>
    <xf numFmtId="169" fontId="8" fillId="0" borderId="0" xfId="0" applyNumberFormat="1" applyFont="1" applyBorder="1" applyAlignment="1">
      <alignment horizontal="center"/>
    </xf>
    <xf numFmtId="1" fontId="8" fillId="0" borderId="0" xfId="0" applyNumberFormat="1" applyFont="1" applyBorder="1" applyAlignment="1">
      <alignment horizontal="center"/>
    </xf>
    <xf numFmtId="169" fontId="8" fillId="0" borderId="0" xfId="0" applyNumberFormat="1" applyFont="1" applyBorder="1" applyAlignment="1">
      <alignment horizontal="right"/>
    </xf>
    <xf numFmtId="0" fontId="7" fillId="0" borderId="0" xfId="0" applyFont="1" applyFill="1" applyAlignment="1"/>
    <xf numFmtId="0" fontId="7" fillId="0" borderId="4" xfId="0" applyFont="1" applyFill="1" applyBorder="1" applyAlignment="1">
      <alignment horizontal="left"/>
    </xf>
    <xf numFmtId="0" fontId="7" fillId="0" borderId="5" xfId="0" applyFont="1" applyBorder="1"/>
    <xf numFmtId="0" fontId="7" fillId="0" borderId="54" xfId="0" applyFont="1" applyBorder="1"/>
    <xf numFmtId="10" fontId="7" fillId="0" borderId="4" xfId="0" applyNumberFormat="1" applyFont="1" applyFill="1" applyBorder="1" applyAlignment="1">
      <alignment horizontal="left"/>
    </xf>
    <xf numFmtId="0" fontId="7" fillId="0" borderId="0" xfId="0" applyFont="1" applyFill="1" applyAlignment="1">
      <alignment horizontal="center" wrapText="1"/>
    </xf>
    <xf numFmtId="0" fontId="7" fillId="0" borderId="6" xfId="0" applyFont="1" applyFill="1" applyBorder="1" applyAlignment="1">
      <alignment horizontal="center" wrapText="1"/>
    </xf>
    <xf numFmtId="0" fontId="7" fillId="0" borderId="0" xfId="0" applyFont="1" applyFill="1" applyBorder="1" applyAlignment="1">
      <alignment horizontal="center" wrapText="1"/>
    </xf>
    <xf numFmtId="0" fontId="7" fillId="0" borderId="7" xfId="0" applyFont="1" applyFill="1" applyBorder="1" applyAlignment="1">
      <alignment horizontal="center" wrapText="1"/>
    </xf>
    <xf numFmtId="0" fontId="7" fillId="0" borderId="0" xfId="0" applyFont="1" applyFill="1" applyAlignment="1">
      <alignment horizontal="center"/>
    </xf>
    <xf numFmtId="170" fontId="7" fillId="0" borderId="6" xfId="1" applyNumberFormat="1" applyFont="1" applyFill="1" applyBorder="1" applyAlignment="1">
      <alignment horizontal="right"/>
    </xf>
    <xf numFmtId="171" fontId="7" fillId="0" borderId="0" xfId="0" applyNumberFormat="1" applyFont="1" applyFill="1" applyBorder="1" applyAlignment="1">
      <alignment horizontal="left"/>
    </xf>
    <xf numFmtId="0" fontId="7" fillId="0" borderId="0" xfId="0" applyFont="1" applyFill="1" applyBorder="1" applyAlignment="1">
      <alignment horizontal="center"/>
    </xf>
    <xf numFmtId="7" fontId="7" fillId="0" borderId="0" xfId="0" applyNumberFormat="1" applyFont="1" applyFill="1" applyBorder="1" applyAlignment="1">
      <alignment horizontal="center"/>
    </xf>
    <xf numFmtId="43" fontId="7" fillId="0" borderId="7" xfId="1" applyFont="1" applyFill="1" applyBorder="1" applyAlignment="1">
      <alignment horizontal="left"/>
    </xf>
    <xf numFmtId="2" fontId="7" fillId="0" borderId="6" xfId="0" applyNumberFormat="1" applyFont="1" applyFill="1" applyBorder="1" applyAlignment="1">
      <alignment horizontal="right"/>
    </xf>
    <xf numFmtId="170" fontId="7" fillId="0" borderId="0" xfId="0" applyNumberFormat="1" applyFont="1"/>
    <xf numFmtId="172" fontId="7" fillId="0" borderId="0" xfId="0" applyNumberFormat="1" applyFont="1"/>
    <xf numFmtId="165" fontId="7" fillId="0" borderId="0" xfId="0" applyNumberFormat="1" applyFont="1" applyFill="1" applyAlignment="1">
      <alignment horizontal="right"/>
    </xf>
    <xf numFmtId="166" fontId="7" fillId="0" borderId="0" xfId="1" applyNumberFormat="1" applyFont="1" applyFill="1" applyAlignment="1">
      <alignment horizontal="left"/>
    </xf>
    <xf numFmtId="170" fontId="7" fillId="0" borderId="8" xfId="1" applyNumberFormat="1" applyFont="1" applyFill="1" applyBorder="1" applyAlignment="1">
      <alignment horizontal="right"/>
    </xf>
    <xf numFmtId="171" fontId="7" fillId="0" borderId="9" xfId="0" applyNumberFormat="1" applyFont="1" applyFill="1" applyBorder="1" applyAlignment="1">
      <alignment horizontal="left"/>
    </xf>
    <xf numFmtId="0" fontId="7" fillId="0" borderId="9" xfId="0" applyFont="1" applyFill="1" applyBorder="1" applyAlignment="1">
      <alignment horizontal="center"/>
    </xf>
    <xf numFmtId="7" fontId="7" fillId="0" borderId="9" xfId="0" applyNumberFormat="1" applyFont="1" applyFill="1" applyBorder="1" applyAlignment="1">
      <alignment horizontal="center"/>
    </xf>
    <xf numFmtId="43" fontId="7" fillId="0" borderId="10" xfId="1" applyFont="1" applyFill="1" applyBorder="1" applyAlignment="1">
      <alignment horizontal="left"/>
    </xf>
    <xf numFmtId="2" fontId="7" fillId="0" borderId="8" xfId="0" applyNumberFormat="1" applyFont="1" applyFill="1" applyBorder="1" applyAlignment="1">
      <alignment horizontal="right"/>
    </xf>
    <xf numFmtId="0" fontId="7" fillId="0" borderId="0" xfId="0" applyFont="1" applyAlignment="1">
      <alignment horizontal="right"/>
    </xf>
    <xf numFmtId="43" fontId="7" fillId="0" borderId="0" xfId="0" applyNumberFormat="1" applyFont="1"/>
    <xf numFmtId="166" fontId="7" fillId="0" borderId="0" xfId="0" applyNumberFormat="1" applyFont="1"/>
    <xf numFmtId="43" fontId="7" fillId="0" borderId="0" xfId="1" applyNumberFormat="1" applyFont="1"/>
    <xf numFmtId="43" fontId="7" fillId="0" borderId="0" xfId="1" applyFont="1"/>
    <xf numFmtId="0" fontId="22" fillId="0" borderId="0" xfId="0" applyFont="1"/>
    <xf numFmtId="0" fontId="22" fillId="0" borderId="1" xfId="0" applyFont="1" applyBorder="1" applyAlignment="1">
      <alignment horizontal="right"/>
    </xf>
    <xf numFmtId="0" fontId="22" fillId="0" borderId="3" xfId="0" applyFont="1" applyBorder="1" applyAlignment="1">
      <alignment horizontal="right"/>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xf numFmtId="173" fontId="1" fillId="0" borderId="0" xfId="3" applyNumberFormat="1" applyFont="1" applyFill="1" applyBorder="1" applyAlignment="1">
      <alignment horizontal="right"/>
    </xf>
    <xf numFmtId="0" fontId="0" fillId="9" borderId="33" xfId="0" applyFill="1" applyBorder="1"/>
    <xf numFmtId="14" fontId="0" fillId="9" borderId="52" xfId="0" applyNumberFormat="1" applyFont="1" applyFill="1" applyBorder="1" applyAlignment="1" applyProtection="1">
      <alignment horizontal="center"/>
      <protection locked="0"/>
    </xf>
    <xf numFmtId="0" fontId="0" fillId="9" borderId="52" xfId="0" applyFill="1" applyBorder="1" applyAlignment="1">
      <alignment horizontal="center"/>
    </xf>
    <xf numFmtId="0" fontId="0" fillId="9" borderId="34" xfId="0" applyFont="1" applyFill="1" applyBorder="1" applyAlignment="1">
      <alignment horizontal="center"/>
    </xf>
    <xf numFmtId="0" fontId="0" fillId="9" borderId="35" xfId="0" applyFont="1" applyFill="1" applyBorder="1" applyAlignment="1">
      <alignment horizontal="center"/>
    </xf>
    <xf numFmtId="0" fontId="0" fillId="9" borderId="36" xfId="0" applyFont="1" applyFill="1" applyBorder="1" applyAlignment="1">
      <alignment horizontal="center"/>
    </xf>
    <xf numFmtId="0" fontId="24" fillId="0" borderId="0" xfId="0" applyFont="1" applyAlignment="1">
      <alignment horizontal="left" vertical="center" wrapText="1"/>
    </xf>
    <xf numFmtId="0" fontId="24" fillId="0" borderId="9" xfId="0" applyFont="1" applyBorder="1" applyAlignment="1">
      <alignment horizontal="left" vertical="center" wrapText="1"/>
    </xf>
    <xf numFmtId="0" fontId="0" fillId="0" borderId="33" xfId="0" applyFont="1" applyBorder="1" applyAlignment="1">
      <alignment horizontal="center" wrapText="1"/>
    </xf>
    <xf numFmtId="0" fontId="0" fillId="0" borderId="33" xfId="0" applyBorder="1" applyAlignment="1">
      <alignment horizontal="center" wrapText="1"/>
    </xf>
    <xf numFmtId="0" fontId="10" fillId="2" borderId="0" xfId="0" applyFont="1" applyFill="1" applyAlignment="1">
      <alignment horizontal="center"/>
    </xf>
    <xf numFmtId="0" fontId="15" fillId="0" borderId="9" xfId="0" applyFont="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9" borderId="47" xfId="0" applyFont="1" applyFill="1" applyBorder="1" applyAlignment="1" applyProtection="1">
      <alignment horizontal="center"/>
      <protection locked="0"/>
    </xf>
    <xf numFmtId="0" fontId="0" fillId="9" borderId="3" xfId="0" applyFont="1" applyFill="1" applyBorder="1" applyAlignment="1" applyProtection="1">
      <alignment horizontal="center"/>
      <protection locked="0"/>
    </xf>
    <xf numFmtId="0" fontId="0" fillId="9" borderId="48" xfId="0" applyFont="1" applyFill="1" applyBorder="1" applyAlignment="1" applyProtection="1">
      <alignment horizontal="center"/>
      <protection locked="0"/>
    </xf>
    <xf numFmtId="0" fontId="0" fillId="9" borderId="45" xfId="0" applyFont="1" applyFill="1" applyBorder="1" applyAlignment="1" applyProtection="1">
      <alignment horizontal="center"/>
      <protection locked="0"/>
    </xf>
    <xf numFmtId="0" fontId="0" fillId="9" borderId="46" xfId="0" applyFont="1" applyFill="1" applyBorder="1" applyAlignment="1" applyProtection="1">
      <alignment horizontal="center"/>
      <protection locked="0"/>
    </xf>
    <xf numFmtId="0" fontId="0" fillId="9" borderId="40" xfId="0" applyFont="1" applyFill="1" applyBorder="1" applyAlignment="1" applyProtection="1">
      <alignment horizontal="center"/>
      <protection locked="0"/>
    </xf>
    <xf numFmtId="0" fontId="14" fillId="0" borderId="6" xfId="0" applyFont="1" applyBorder="1" applyAlignment="1">
      <alignment horizontal="left"/>
    </xf>
    <xf numFmtId="0" fontId="14" fillId="0" borderId="0" xfId="0" applyFont="1" applyBorder="1" applyAlignment="1">
      <alignment horizontal="left"/>
    </xf>
    <xf numFmtId="0" fontId="0" fillId="0" borderId="0" xfId="0" applyFont="1" applyAlignment="1">
      <alignment horizontal="left" vertical="top" wrapText="1"/>
    </xf>
    <xf numFmtId="0" fontId="0" fillId="0" borderId="0" xfId="0" applyFont="1" applyAlignment="1"/>
    <xf numFmtId="0" fontId="1" fillId="0" borderId="0" xfId="0" applyFont="1" applyAlignment="1">
      <alignment horizontal="center" vertical="center"/>
    </xf>
    <xf numFmtId="0" fontId="0" fillId="9" borderId="34" xfId="0" applyFont="1" applyFill="1" applyBorder="1" applyAlignment="1" applyProtection="1">
      <alignment horizontal="center"/>
      <protection locked="0"/>
    </xf>
    <xf numFmtId="0" fontId="0" fillId="9" borderId="35" xfId="0" applyFont="1" applyFill="1" applyBorder="1" applyAlignment="1" applyProtection="1">
      <alignment horizontal="center"/>
      <protection locked="0"/>
    </xf>
    <xf numFmtId="0" fontId="0" fillId="9" borderId="36" xfId="0" applyFont="1" applyFill="1" applyBorder="1" applyAlignment="1" applyProtection="1">
      <alignment horizontal="center"/>
      <protection locked="0"/>
    </xf>
    <xf numFmtId="0" fontId="0" fillId="0" borderId="0" xfId="0" applyAlignment="1">
      <alignment horizontal="right" wrapText="1"/>
    </xf>
    <xf numFmtId="0" fontId="0" fillId="0" borderId="7" xfId="0" applyBorder="1" applyAlignment="1">
      <alignment horizontal="right" wrapText="1"/>
    </xf>
    <xf numFmtId="0" fontId="0" fillId="0" borderId="0" xfId="0" applyAlignment="1">
      <alignment wrapText="1"/>
    </xf>
    <xf numFmtId="0" fontId="0" fillId="9" borderId="49" xfId="0" applyFont="1" applyFill="1" applyBorder="1" applyAlignment="1">
      <alignment horizontal="center"/>
    </xf>
    <xf numFmtId="0" fontId="0" fillId="9" borderId="52" xfId="0" applyFont="1" applyFill="1" applyBorder="1" applyAlignment="1">
      <alignment horizontal="center"/>
    </xf>
    <xf numFmtId="0" fontId="0" fillId="0" borderId="33" xfId="0" applyFont="1" applyFill="1" applyBorder="1" applyAlignment="1">
      <alignment horizontal="center"/>
    </xf>
    <xf numFmtId="0" fontId="7" fillId="0" borderId="9"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16" fillId="0" borderId="0" xfId="0" applyFont="1" applyAlignment="1">
      <alignment horizontal="center" vertical="center" wrapText="1"/>
    </xf>
    <xf numFmtId="0" fontId="9" fillId="0" borderId="9" xfId="0" applyFont="1" applyBorder="1" applyAlignment="1">
      <alignment horizontal="center"/>
    </xf>
  </cellXfs>
  <cellStyles count="4">
    <cellStyle name="Comma" xfId="1" builtinId="3"/>
    <cellStyle name="Currency" xfId="3" builtinId="4"/>
    <cellStyle name="Normal" xfId="0" builtinId="0"/>
    <cellStyle name="Percent" xfId="2" builtinId="5"/>
  </cellStyles>
  <dxfs count="3">
    <dxf>
      <font>
        <color rgb="FFFF0000"/>
      </font>
    </dxf>
    <dxf>
      <fill>
        <patternFill>
          <bgColor rgb="FFCCFFCC"/>
        </patternFill>
      </fill>
    </dxf>
    <dxf>
      <fill>
        <patternFill>
          <bgColor rgb="FFCCFFCC"/>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431800</xdr:colOff>
      <xdr:row>0</xdr:row>
      <xdr:rowOff>88529</xdr:rowOff>
    </xdr:from>
    <xdr:to>
      <xdr:col>11</xdr:col>
      <xdr:colOff>158749</xdr:colOff>
      <xdr:row>2</xdr:row>
      <xdr:rowOff>14598</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7962900" y="88529"/>
          <a:ext cx="1101724" cy="52296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419100</xdr:colOff>
      <xdr:row>0</xdr:row>
      <xdr:rowOff>38100</xdr:rowOff>
    </xdr:from>
    <xdr:to>
      <xdr:col>8</xdr:col>
      <xdr:colOff>0</xdr:colOff>
      <xdr:row>1</xdr:row>
      <xdr:rowOff>180975</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3952875" y="38100"/>
          <a:ext cx="857250" cy="390525"/>
        </a:xfrm>
        <a:prstGeom prst="rect">
          <a:avLst/>
        </a:prstGeom>
        <a:noFill/>
        <a:ln w="9525">
          <a:noFill/>
          <a:miter lim="800000"/>
          <a:headEnd/>
          <a:tailEnd/>
        </a:ln>
      </xdr:spPr>
    </xdr:pic>
    <xdr:clientData/>
  </xdr:twoCellAnchor>
  <xdr:twoCellAnchor editAs="oneCell">
    <xdr:from>
      <xdr:col>14</xdr:col>
      <xdr:colOff>2190750</xdr:colOff>
      <xdr:row>0</xdr:row>
      <xdr:rowOff>95250</xdr:rowOff>
    </xdr:from>
    <xdr:to>
      <xdr:col>15</xdr:col>
      <xdr:colOff>12700</xdr:colOff>
      <xdr:row>1</xdr:row>
      <xdr:rowOff>95251</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2190750" y="95250"/>
          <a:ext cx="800100" cy="381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4" name="Picture 3"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5" name="Picture 4"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2190750</xdr:colOff>
      <xdr:row>0</xdr:row>
      <xdr:rowOff>95250</xdr:rowOff>
    </xdr:from>
    <xdr:to>
      <xdr:col>16</xdr:col>
      <xdr:colOff>12700</xdr:colOff>
      <xdr:row>1</xdr:row>
      <xdr:rowOff>161926</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467850" y="95250"/>
          <a:ext cx="12700" cy="247651"/>
        </a:xfrm>
        <a:prstGeom prst="rect">
          <a:avLst/>
        </a:prstGeom>
        <a:noFill/>
        <a:ln w="9525">
          <a:noFill/>
          <a:miter lim="800000"/>
          <a:headEnd/>
          <a:tailEnd/>
        </a:ln>
      </xdr:spPr>
    </xdr:pic>
    <xdr:clientData/>
  </xdr:twoCellAnchor>
  <xdr:twoCellAnchor editAs="oneCell">
    <xdr:from>
      <xdr:col>7</xdr:col>
      <xdr:colOff>47625</xdr:colOff>
      <xdr:row>0</xdr:row>
      <xdr:rowOff>38100</xdr:rowOff>
    </xdr:from>
    <xdr:to>
      <xdr:col>8</xdr:col>
      <xdr:colOff>446366</xdr:colOff>
      <xdr:row>2</xdr:row>
      <xdr:rowOff>169237</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5114925" y="38100"/>
          <a:ext cx="1094066" cy="53118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0"/>
  <sheetViews>
    <sheetView tabSelected="1" view="pageBreakPreview" zoomScale="85" zoomScaleNormal="75" zoomScaleSheetLayoutView="85" workbookViewId="0">
      <selection activeCell="B4" sqref="B4"/>
    </sheetView>
  </sheetViews>
  <sheetFormatPr defaultColWidth="9.140625" defaultRowHeight="15" x14ac:dyDescent="0.25"/>
  <cols>
    <col min="1" max="1" width="18.140625" style="50" customWidth="1"/>
    <col min="2" max="2" width="12.85546875" style="50" customWidth="1"/>
    <col min="3" max="3" width="21.7109375" style="50" customWidth="1"/>
    <col min="4" max="4" width="14.7109375" style="50" customWidth="1"/>
    <col min="5" max="7" width="11.42578125" style="50" customWidth="1"/>
    <col min="8" max="8" width="14" style="50" customWidth="1"/>
    <col min="9" max="14" width="10.28515625" style="50" customWidth="1"/>
    <col min="15" max="20" width="12.7109375" style="50" customWidth="1"/>
    <col min="21" max="21" width="17.7109375" style="50" customWidth="1"/>
    <col min="22" max="16384" width="9.140625" style="50"/>
  </cols>
  <sheetData>
    <row r="1" spans="1:21" ht="26.25" x14ac:dyDescent="0.4">
      <c r="A1" s="118" t="s">
        <v>123</v>
      </c>
      <c r="U1" s="117" t="s">
        <v>75</v>
      </c>
    </row>
    <row r="2" spans="1:21" ht="21" x14ac:dyDescent="0.35">
      <c r="A2" s="118" t="str">
        <f>"Non-Peaking, "&amp;IF(P23="Yes","Local","Non-Local")</f>
        <v>Non-Peaking, Non-Local</v>
      </c>
    </row>
    <row r="3" spans="1:21" x14ac:dyDescent="0.25">
      <c r="A3" s="1"/>
    </row>
    <row r="4" spans="1:21" x14ac:dyDescent="0.25">
      <c r="A4" s="9" t="s">
        <v>7</v>
      </c>
      <c r="B4" s="50" t="s">
        <v>76</v>
      </c>
    </row>
    <row r="7" spans="1:21" ht="15.75" x14ac:dyDescent="0.25">
      <c r="B7" s="63"/>
    </row>
    <row r="8" spans="1:21" ht="15.75" x14ac:dyDescent="0.25">
      <c r="A8" s="245" t="s">
        <v>48</v>
      </c>
      <c r="B8" s="245"/>
      <c r="C8" s="245"/>
      <c r="D8" s="245"/>
      <c r="E8" s="245"/>
      <c r="F8" s="245"/>
      <c r="G8" s="245"/>
      <c r="H8" s="245"/>
      <c r="O8" s="245" t="s">
        <v>49</v>
      </c>
      <c r="P8" s="245"/>
      <c r="Q8" s="245"/>
      <c r="R8" s="245"/>
      <c r="S8" s="245"/>
      <c r="T8" s="245"/>
      <c r="U8" s="245"/>
    </row>
    <row r="9" spans="1:21" ht="15.75" x14ac:dyDescent="0.25">
      <c r="C9" s="57" t="s">
        <v>50</v>
      </c>
      <c r="D9" s="119"/>
      <c r="E9" s="120"/>
      <c r="F9" s="120"/>
      <c r="G9" s="120"/>
      <c r="H9" s="121"/>
      <c r="P9" s="246" t="s">
        <v>51</v>
      </c>
      <c r="Q9" s="246"/>
      <c r="R9" s="246"/>
      <c r="S9" s="246" t="s">
        <v>52</v>
      </c>
      <c r="T9" s="246"/>
      <c r="U9" s="246"/>
    </row>
    <row r="10" spans="1:21" x14ac:dyDescent="0.25">
      <c r="C10" s="57" t="s">
        <v>53</v>
      </c>
      <c r="D10" s="122"/>
      <c r="E10" s="123"/>
      <c r="F10" s="123"/>
      <c r="G10" s="123"/>
      <c r="H10" s="124"/>
      <c r="O10" s="57" t="s">
        <v>54</v>
      </c>
      <c r="P10" s="111"/>
      <c r="Q10" s="112"/>
      <c r="R10" s="113"/>
      <c r="S10" s="111"/>
      <c r="T10" s="112"/>
      <c r="U10" s="113"/>
    </row>
    <row r="11" spans="1:21" x14ac:dyDescent="0.25">
      <c r="C11" s="57" t="s">
        <v>55</v>
      </c>
      <c r="D11" s="122"/>
      <c r="E11" s="123"/>
      <c r="F11" s="123"/>
      <c r="G11" s="123"/>
      <c r="H11" s="124"/>
      <c r="O11" s="57" t="s">
        <v>56</v>
      </c>
      <c r="P11" s="111"/>
      <c r="Q11" s="112"/>
      <c r="R11" s="113"/>
      <c r="S11" s="111"/>
      <c r="T11" s="112"/>
      <c r="U11" s="113"/>
    </row>
    <row r="12" spans="1:21" x14ac:dyDescent="0.25">
      <c r="C12" s="11"/>
      <c r="D12" s="122"/>
      <c r="E12" s="123"/>
      <c r="F12" s="123"/>
      <c r="G12" s="123"/>
      <c r="H12" s="124"/>
      <c r="O12" s="57" t="s">
        <v>57</v>
      </c>
      <c r="P12" s="111"/>
      <c r="Q12" s="112"/>
      <c r="R12" s="113"/>
      <c r="S12" s="111"/>
      <c r="T12" s="112"/>
      <c r="U12" s="113"/>
    </row>
    <row r="13" spans="1:21" x14ac:dyDescent="0.25">
      <c r="C13" s="11"/>
      <c r="D13" s="122"/>
      <c r="E13" s="123"/>
      <c r="F13" s="123"/>
      <c r="G13" s="123"/>
      <c r="H13" s="124"/>
      <c r="O13" s="57" t="s">
        <v>58</v>
      </c>
      <c r="P13" s="111"/>
      <c r="Q13" s="112"/>
      <c r="R13" s="113"/>
      <c r="S13" s="111"/>
      <c r="T13" s="112"/>
      <c r="U13" s="113"/>
    </row>
    <row r="14" spans="1:21" x14ac:dyDescent="0.25">
      <c r="C14" s="11"/>
      <c r="D14" s="125"/>
      <c r="E14" s="126"/>
      <c r="F14" s="126"/>
      <c r="G14" s="126"/>
      <c r="H14" s="127"/>
      <c r="O14" s="57" t="s">
        <v>59</v>
      </c>
      <c r="P14" s="111"/>
      <c r="Q14" s="112"/>
      <c r="R14" s="113"/>
      <c r="S14" s="111"/>
      <c r="T14" s="112"/>
      <c r="U14" s="113"/>
    </row>
    <row r="15" spans="1:21" ht="18.75" customHeight="1" x14ac:dyDescent="0.25">
      <c r="A15" s="265" t="s">
        <v>84</v>
      </c>
      <c r="B15" s="267"/>
      <c r="C15" s="267"/>
      <c r="D15" s="268"/>
      <c r="O15" s="57"/>
      <c r="P15" s="114"/>
      <c r="Q15" s="114"/>
      <c r="R15" s="114"/>
      <c r="S15" s="114"/>
      <c r="T15" s="114"/>
      <c r="U15" s="114"/>
    </row>
    <row r="16" spans="1:21" ht="18.75" customHeight="1" x14ac:dyDescent="0.25">
      <c r="A16" s="267"/>
      <c r="B16" s="267"/>
      <c r="C16" s="267"/>
      <c r="D16" s="269"/>
    </row>
    <row r="17" spans="1:21" ht="15.75" x14ac:dyDescent="0.25">
      <c r="A17" s="245" t="s">
        <v>1</v>
      </c>
      <c r="B17" s="245"/>
      <c r="C17" s="245"/>
      <c r="D17" s="245"/>
      <c r="E17" s="245"/>
      <c r="F17" s="245"/>
      <c r="G17" s="245"/>
      <c r="H17" s="245"/>
      <c r="O17" s="245" t="s">
        <v>0</v>
      </c>
      <c r="P17" s="245"/>
      <c r="Q17" s="245"/>
      <c r="R17" s="245"/>
      <c r="S17" s="245"/>
      <c r="T17" s="245"/>
      <c r="U17" s="245"/>
    </row>
    <row r="18" spans="1:21" ht="16.5" customHeight="1" x14ac:dyDescent="0.25">
      <c r="A18" s="261" t="s">
        <v>121</v>
      </c>
      <c r="B18" s="261"/>
      <c r="C18" s="261"/>
      <c r="D18" s="261"/>
      <c r="E18" s="261"/>
      <c r="F18" s="261"/>
      <c r="G18" s="261"/>
      <c r="H18" s="261"/>
      <c r="O18" s="58" t="s">
        <v>77</v>
      </c>
      <c r="P18" s="251"/>
      <c r="Q18" s="252"/>
      <c r="R18" s="253"/>
      <c r="S18" s="61"/>
    </row>
    <row r="19" spans="1:21" ht="15" customHeight="1" x14ac:dyDescent="0.25">
      <c r="B19" t="s">
        <v>130</v>
      </c>
      <c r="C19" s="238"/>
      <c r="D19" s="239"/>
      <c r="E19" s="239"/>
      <c r="F19" s="239"/>
      <c r="G19" s="239"/>
      <c r="H19" s="240"/>
      <c r="O19" s="59" t="s">
        <v>78</v>
      </c>
      <c r="P19" s="251"/>
      <c r="Q19" s="252"/>
      <c r="R19" s="253"/>
    </row>
    <row r="20" spans="1:21" ht="15" customHeight="1" x14ac:dyDescent="0.25">
      <c r="B20" s="52" t="s">
        <v>61</v>
      </c>
      <c r="C20" s="236"/>
      <c r="G20" s="59" t="s">
        <v>112</v>
      </c>
      <c r="H20" s="237"/>
      <c r="O20" s="59" t="s">
        <v>79</v>
      </c>
      <c r="P20" s="251"/>
      <c r="Q20" s="252"/>
      <c r="R20" s="253"/>
    </row>
    <row r="21" spans="1:21" ht="15" customHeight="1" x14ac:dyDescent="0.25">
      <c r="B21" s="130" t="s">
        <v>120</v>
      </c>
      <c r="C21" s="179"/>
      <c r="G21" s="59" t="s">
        <v>113</v>
      </c>
      <c r="H21" s="184"/>
      <c r="O21" s="59" t="s">
        <v>80</v>
      </c>
      <c r="P21" s="254"/>
      <c r="Q21" s="255"/>
      <c r="R21" s="256"/>
    </row>
    <row r="22" spans="1:21" x14ac:dyDescent="0.25">
      <c r="B22" s="52" t="s">
        <v>64</v>
      </c>
      <c r="C22" s="178"/>
      <c r="G22" s="59" t="s">
        <v>114</v>
      </c>
      <c r="H22" s="180" t="str">
        <f>IF(H20="","N/A",IF(C21="Energy-Only","N/A",IF(OR(H20="No",H20=""),2022,YEAR(H21))))</f>
        <v>N/A</v>
      </c>
      <c r="O22" s="59" t="s">
        <v>129</v>
      </c>
      <c r="P22" s="235"/>
      <c r="Q22" s="257" t="str">
        <f>IF(AND(P20="Wind",P22="Baseload"),"Wind projects cannot be accepted as baseload resources.",IF(P20="","Please select technology in cell P20 above.",""))</f>
        <v>Please select technology in cell P20 above.</v>
      </c>
      <c r="R22" s="258"/>
      <c r="S22" s="258"/>
      <c r="T22" s="258"/>
      <c r="U22" s="258"/>
    </row>
    <row r="23" spans="1:21" x14ac:dyDescent="0.25">
      <c r="O23" s="130" t="s">
        <v>128</v>
      </c>
      <c r="P23" s="73"/>
      <c r="Q23"/>
      <c r="R23" s="59" t="s">
        <v>115</v>
      </c>
      <c r="S23" s="50" t="str">
        <f>IF(P23="SDG&amp;E","Local",IF(P23="","N/A","System"))</f>
        <v>N/A</v>
      </c>
    </row>
    <row r="24" spans="1:21" ht="15" customHeight="1" x14ac:dyDescent="0.25">
      <c r="B24" s="241" t="str">
        <f>IF(ISERROR(H24),"Capacity, energy, and bid price must be entered below and n hourly delivery profile must be entered on the Delivery Profile tab to calculate deliverability values and adders.","")</f>
        <v/>
      </c>
      <c r="C24" s="241"/>
      <c r="D24" s="241"/>
      <c r="G24" s="181" t="s">
        <v>116</v>
      </c>
      <c r="H24" s="182">
        <f>IF(C21="",0,IF(S23="Local",'Deliverability Calculation'!AM72,IF(S23="System",'Deliverability Calculation'!AM72*0.6,0))*(C21="FCDS"))</f>
        <v>0</v>
      </c>
      <c r="I24" s="183" t="s">
        <v>118</v>
      </c>
    </row>
    <row r="25" spans="1:21" x14ac:dyDescent="0.25">
      <c r="B25" s="241"/>
      <c r="C25" s="241"/>
      <c r="D25" s="241"/>
      <c r="G25" s="181" t="s">
        <v>117</v>
      </c>
      <c r="H25" s="182">
        <f>IF(C21="",0,IF(AND(S23="Local",C21="Energy-Only"),1,IF(AND(S23="System",C21="Energy-Only"),0.6,IF(AND(S23="System",C21="FCDS"),0.4,0)))*'Deliverability Calculation'!AM72)</f>
        <v>0</v>
      </c>
      <c r="I25" s="183" t="s">
        <v>118</v>
      </c>
    </row>
    <row r="26" spans="1:21" x14ac:dyDescent="0.25">
      <c r="B26" s="242"/>
      <c r="C26" s="242"/>
      <c r="D26" s="242"/>
      <c r="I26" s="247" t="s">
        <v>67</v>
      </c>
      <c r="J26" s="247"/>
      <c r="K26" s="247"/>
      <c r="L26" s="247"/>
      <c r="M26" s="247"/>
      <c r="N26" s="247"/>
      <c r="O26" s="248" t="s">
        <v>68</v>
      </c>
      <c r="P26" s="249"/>
      <c r="Q26" s="249"/>
      <c r="R26" s="249"/>
      <c r="S26" s="249"/>
      <c r="T26" s="250"/>
    </row>
    <row r="27" spans="1:21" ht="51" customHeight="1" x14ac:dyDescent="0.25">
      <c r="B27" s="270" t="s">
        <v>60</v>
      </c>
      <c r="C27" s="243" t="s">
        <v>62</v>
      </c>
      <c r="D27" s="243" t="s">
        <v>63</v>
      </c>
      <c r="E27" s="243" t="s">
        <v>65</v>
      </c>
      <c r="F27" s="244" t="s">
        <v>73</v>
      </c>
      <c r="G27" s="244" t="s">
        <v>74</v>
      </c>
      <c r="H27" s="243" t="s">
        <v>70</v>
      </c>
      <c r="I27" s="65" t="s">
        <v>38</v>
      </c>
      <c r="J27" s="65" t="s">
        <v>39</v>
      </c>
      <c r="K27" s="65" t="s">
        <v>40</v>
      </c>
      <c r="L27" s="65" t="s">
        <v>41</v>
      </c>
      <c r="M27" s="65" t="s">
        <v>42</v>
      </c>
      <c r="N27" s="65" t="s">
        <v>43</v>
      </c>
      <c r="O27" s="64" t="s">
        <v>38</v>
      </c>
      <c r="P27" s="64" t="s">
        <v>39</v>
      </c>
      <c r="Q27" s="64" t="s">
        <v>40</v>
      </c>
      <c r="R27" s="64" t="s">
        <v>41</v>
      </c>
      <c r="S27" s="64" t="s">
        <v>42</v>
      </c>
      <c r="T27" s="64" t="s">
        <v>43</v>
      </c>
      <c r="U27" s="67" t="s">
        <v>69</v>
      </c>
    </row>
    <row r="28" spans="1:21" ht="16.5" customHeight="1" x14ac:dyDescent="0.25">
      <c r="B28" s="270"/>
      <c r="C28" s="243"/>
      <c r="D28" s="243"/>
      <c r="E28" s="243"/>
      <c r="F28" s="243"/>
      <c r="G28" s="243"/>
      <c r="H28" s="243"/>
      <c r="I28" s="72">
        <f>IF(SUM('Delivery Profile'!$E$195:$J$195)&gt;0,'Delivery Profile'!E195,IF('Bid Form'!$P$20="Wind",'Delivery Profile'!E198,'Delivery Profile'!E199))</f>
        <v>0.3472928897586432</v>
      </c>
      <c r="J28" s="72">
        <f>IF(SUM('Delivery Profile'!$E$195:$J$195)&gt;0,'Delivery Profile'!F195,IF('Bid Form'!$P$20="Wind",'Delivery Profile'!F198,'Delivery Profile'!F199))</f>
        <v>0.13812785388127855</v>
      </c>
      <c r="K28" s="72">
        <f>IF(SUM('Delivery Profile'!$E$195:$J$195)&gt;0,'Delivery Profile'!G195,IF('Bid Form'!$P$20="Wind",'Delivery Profile'!G198,'Delivery Profile'!G199))</f>
        <v>0.17759295499021527</v>
      </c>
      <c r="L28" s="72">
        <f>IF(SUM('Delivery Profile'!$E$195:$J$195)&gt;0,'Delivery Profile'!H195,IF('Bid Form'!$P$20="Wind",'Delivery Profile'!H198,'Delivery Profile'!H199))</f>
        <v>0.16648727984344425</v>
      </c>
      <c r="M28" s="72">
        <f>IF(SUM('Delivery Profile'!$E$195:$J$195)&gt;0,'Delivery Profile'!I195,IF('Bid Form'!$P$20="Wind",'Delivery Profile'!I198,'Delivery Profile'!I199))</f>
        <v>9.0264187866927595E-2</v>
      </c>
      <c r="N28" s="72">
        <f>IF(SUM('Delivery Profile'!$E$195:$J$195)&gt;0,'Delivery Profile'!J195,IF('Bid Form'!$P$20="Wind",'Delivery Profile'!J198,'Delivery Profile'!J199))</f>
        <v>8.0234833659491203E-2</v>
      </c>
      <c r="O28" s="71">
        <f>IF(C21="FCDS",'Deliverability Calculation'!AE22,'Deliverability Calculation'!AE47)</f>
        <v>0.77400000000000002</v>
      </c>
      <c r="P28" s="71">
        <f>IF(C21="FCDS",'Deliverability Calculation'!U22,'Deliverability Calculation'!U47)</f>
        <v>1.0780000000000001</v>
      </c>
      <c r="Q28" s="71">
        <f>IF('Bid Form'!C21="FCDS",'Deliverability Calculation'!K22,'Deliverability Calculation'!K47)</f>
        <v>1.1919999999999999</v>
      </c>
      <c r="R28" s="71">
        <f>IF(C21="FCDS",'Deliverability Calculation'!Z22,'Deliverability Calculation'!Z47)</f>
        <v>0.9</v>
      </c>
      <c r="S28" s="71">
        <f>IF(C21="FCDS",'Deliverability Calculation'!P22,'Deliverability Calculation'!P47)</f>
        <v>1.181</v>
      </c>
      <c r="T28" s="71">
        <f>IF(C21="FCDS",'Deliverability Calculation'!F22,'Deliverability Calculation'!F47)</f>
        <v>1.5309999999999999</v>
      </c>
      <c r="U28" s="109">
        <f>SUM(U29:U48)</f>
        <v>0</v>
      </c>
    </row>
    <row r="29" spans="1:21" x14ac:dyDescent="0.25">
      <c r="B29" s="53">
        <v>1</v>
      </c>
      <c r="C29" s="54" t="str">
        <f>IF(ISNUMBER($C$20),$C$20,"")</f>
        <v/>
      </c>
      <c r="D29" s="54" t="str">
        <f>IF(ISNUMBER(C29),DATE(YEAR(C29)+1,MONTH(C29),DAY(C29))-1,"")</f>
        <v/>
      </c>
      <c r="E29" s="169"/>
      <c r="F29" s="173"/>
      <c r="G29" s="170"/>
      <c r="H29" s="69">
        <f>IF(F29=0,0,U29/F29)</f>
        <v>0</v>
      </c>
      <c r="I29" s="175">
        <f>'Delivery Profile'!E$195*'Bid Form'!$F29</f>
        <v>0</v>
      </c>
      <c r="J29" s="175">
        <f>'Delivery Profile'!F$195*'Bid Form'!$F29</f>
        <v>0</v>
      </c>
      <c r="K29" s="175">
        <f>'Delivery Profile'!G$195*'Bid Form'!$F29</f>
        <v>0</v>
      </c>
      <c r="L29" s="175">
        <f>'Delivery Profile'!H$195*'Bid Form'!$F29</f>
        <v>0</v>
      </c>
      <c r="M29" s="175">
        <f>'Delivery Profile'!I$195*'Bid Form'!$F29</f>
        <v>0</v>
      </c>
      <c r="N29" s="175">
        <f>'Delivery Profile'!J$195*'Bid Form'!$F29</f>
        <v>0</v>
      </c>
      <c r="O29" s="66">
        <f t="shared" ref="O29:T29" si="0">($G29*O$28)</f>
        <v>0</v>
      </c>
      <c r="P29" s="66">
        <f t="shared" si="0"/>
        <v>0</v>
      </c>
      <c r="Q29" s="66">
        <f t="shared" si="0"/>
        <v>0</v>
      </c>
      <c r="R29" s="66">
        <f t="shared" si="0"/>
        <v>0</v>
      </c>
      <c r="S29" s="66">
        <f t="shared" si="0"/>
        <v>0</v>
      </c>
      <c r="T29" s="66">
        <f t="shared" si="0"/>
        <v>0</v>
      </c>
      <c r="U29" s="68">
        <f t="shared" ref="U29:U48" si="1">SUMPRODUCT(I29:N29,O29:T29)</f>
        <v>0</v>
      </c>
    </row>
    <row r="30" spans="1:21" x14ac:dyDescent="0.25">
      <c r="B30" s="55">
        <f>B29+1</f>
        <v>2</v>
      </c>
      <c r="C30" s="56" t="str">
        <f t="shared" ref="C30:C48" si="2">IF(ISNUMBER(D29),IF(B30&lt;=$C$22,D29+1,""),"")</f>
        <v/>
      </c>
      <c r="D30" s="56" t="str">
        <f>IF(ISNUMBER(C30),DATE(YEAR(C30)+1,MONTH(C30),DAY(C30))-1,"")</f>
        <v/>
      </c>
      <c r="E30" s="171"/>
      <c r="F30" s="174"/>
      <c r="G30" s="172"/>
      <c r="H30" s="70">
        <f t="shared" ref="H30:H48" si="3">IF(F30=0,0,U30/F30)</f>
        <v>0</v>
      </c>
      <c r="I30" s="176">
        <f>'Delivery Profile'!E$195*'Bid Form'!$F30</f>
        <v>0</v>
      </c>
      <c r="J30" s="176">
        <f>'Delivery Profile'!F$195*'Bid Form'!$F30</f>
        <v>0</v>
      </c>
      <c r="K30" s="176">
        <f>'Delivery Profile'!G$195*'Bid Form'!$F30</f>
        <v>0</v>
      </c>
      <c r="L30" s="176">
        <f>'Delivery Profile'!H$195*'Bid Form'!$F30</f>
        <v>0</v>
      </c>
      <c r="M30" s="176">
        <f>'Delivery Profile'!I$195*'Bid Form'!$F30</f>
        <v>0</v>
      </c>
      <c r="N30" s="176">
        <f>'Delivery Profile'!J$195*'Bid Form'!$F30</f>
        <v>0</v>
      </c>
      <c r="O30" s="66">
        <f t="shared" ref="O30:T48" si="4">($G30*O$28)</f>
        <v>0</v>
      </c>
      <c r="P30" s="66">
        <f t="shared" si="4"/>
        <v>0</v>
      </c>
      <c r="Q30" s="66">
        <f t="shared" si="4"/>
        <v>0</v>
      </c>
      <c r="R30" s="66">
        <f t="shared" si="4"/>
        <v>0</v>
      </c>
      <c r="S30" s="66">
        <f t="shared" si="4"/>
        <v>0</v>
      </c>
      <c r="T30" s="66">
        <f t="shared" si="4"/>
        <v>0</v>
      </c>
      <c r="U30" s="68">
        <f t="shared" si="1"/>
        <v>0</v>
      </c>
    </row>
    <row r="31" spans="1:21" x14ac:dyDescent="0.25">
      <c r="B31" s="55">
        <v>3</v>
      </c>
      <c r="C31" s="56" t="str">
        <f t="shared" si="2"/>
        <v/>
      </c>
      <c r="D31" s="56" t="str">
        <f t="shared" ref="D31:D48" si="5">IF(ISNUMBER(C31),DATE(YEAR(C31)+1,MONTH(C31),DAY(C31))-1,"")</f>
        <v/>
      </c>
      <c r="E31" s="171"/>
      <c r="F31" s="174"/>
      <c r="G31" s="172"/>
      <c r="H31" s="70">
        <f t="shared" si="3"/>
        <v>0</v>
      </c>
      <c r="I31" s="176">
        <f>'Delivery Profile'!E$195*'Bid Form'!$F31</f>
        <v>0</v>
      </c>
      <c r="J31" s="176">
        <f>'Delivery Profile'!F$195*'Bid Form'!$F31</f>
        <v>0</v>
      </c>
      <c r="K31" s="176">
        <f>'Delivery Profile'!G$195*'Bid Form'!$F31</f>
        <v>0</v>
      </c>
      <c r="L31" s="176">
        <f>'Delivery Profile'!H$195*'Bid Form'!$F31</f>
        <v>0</v>
      </c>
      <c r="M31" s="176">
        <f>'Delivery Profile'!I$195*'Bid Form'!$F31</f>
        <v>0</v>
      </c>
      <c r="N31" s="176">
        <f>'Delivery Profile'!J$195*'Bid Form'!$F31</f>
        <v>0</v>
      </c>
      <c r="O31" s="66">
        <f t="shared" si="4"/>
        <v>0</v>
      </c>
      <c r="P31" s="66">
        <f t="shared" si="4"/>
        <v>0</v>
      </c>
      <c r="Q31" s="66">
        <f t="shared" si="4"/>
        <v>0</v>
      </c>
      <c r="R31" s="66">
        <f t="shared" si="4"/>
        <v>0</v>
      </c>
      <c r="S31" s="66">
        <f t="shared" si="4"/>
        <v>0</v>
      </c>
      <c r="T31" s="66">
        <f t="shared" si="4"/>
        <v>0</v>
      </c>
      <c r="U31" s="68">
        <f t="shared" si="1"/>
        <v>0</v>
      </c>
    </row>
    <row r="32" spans="1:21" x14ac:dyDescent="0.25">
      <c r="B32" s="55">
        <v>4</v>
      </c>
      <c r="C32" s="56" t="str">
        <f t="shared" si="2"/>
        <v/>
      </c>
      <c r="D32" s="56" t="str">
        <f t="shared" si="5"/>
        <v/>
      </c>
      <c r="E32" s="171"/>
      <c r="F32" s="174"/>
      <c r="G32" s="172"/>
      <c r="H32" s="70">
        <f t="shared" si="3"/>
        <v>0</v>
      </c>
      <c r="I32" s="176">
        <f>'Delivery Profile'!E$195*'Bid Form'!$F32</f>
        <v>0</v>
      </c>
      <c r="J32" s="176">
        <f>'Delivery Profile'!F$195*'Bid Form'!$F32</f>
        <v>0</v>
      </c>
      <c r="K32" s="176">
        <f>'Delivery Profile'!G$195*'Bid Form'!$F32</f>
        <v>0</v>
      </c>
      <c r="L32" s="176">
        <f>'Delivery Profile'!H$195*'Bid Form'!$F32</f>
        <v>0</v>
      </c>
      <c r="M32" s="176">
        <f>'Delivery Profile'!I$195*'Bid Form'!$F32</f>
        <v>0</v>
      </c>
      <c r="N32" s="176">
        <f>'Delivery Profile'!J$195*'Bid Form'!$F32</f>
        <v>0</v>
      </c>
      <c r="O32" s="66">
        <f t="shared" si="4"/>
        <v>0</v>
      </c>
      <c r="P32" s="66">
        <f t="shared" si="4"/>
        <v>0</v>
      </c>
      <c r="Q32" s="66">
        <f t="shared" si="4"/>
        <v>0</v>
      </c>
      <c r="R32" s="66">
        <f t="shared" si="4"/>
        <v>0</v>
      </c>
      <c r="S32" s="66">
        <f t="shared" si="4"/>
        <v>0</v>
      </c>
      <c r="T32" s="66">
        <f t="shared" si="4"/>
        <v>0</v>
      </c>
      <c r="U32" s="68">
        <f t="shared" si="1"/>
        <v>0</v>
      </c>
    </row>
    <row r="33" spans="2:21" x14ac:dyDescent="0.25">
      <c r="B33" s="55">
        <v>5</v>
      </c>
      <c r="C33" s="56" t="str">
        <f t="shared" si="2"/>
        <v/>
      </c>
      <c r="D33" s="56" t="str">
        <f t="shared" si="5"/>
        <v/>
      </c>
      <c r="E33" s="171"/>
      <c r="F33" s="174"/>
      <c r="G33" s="172"/>
      <c r="H33" s="70">
        <f t="shared" si="3"/>
        <v>0</v>
      </c>
      <c r="I33" s="176">
        <f>'Delivery Profile'!E$195*'Bid Form'!$F33</f>
        <v>0</v>
      </c>
      <c r="J33" s="176">
        <f>'Delivery Profile'!F$195*'Bid Form'!$F33</f>
        <v>0</v>
      </c>
      <c r="K33" s="176">
        <f>'Delivery Profile'!G$195*'Bid Form'!$F33</f>
        <v>0</v>
      </c>
      <c r="L33" s="176">
        <f>'Delivery Profile'!H$195*'Bid Form'!$F33</f>
        <v>0</v>
      </c>
      <c r="M33" s="176">
        <f>'Delivery Profile'!I$195*'Bid Form'!$F33</f>
        <v>0</v>
      </c>
      <c r="N33" s="176">
        <f>'Delivery Profile'!J$195*'Bid Form'!$F33</f>
        <v>0</v>
      </c>
      <c r="O33" s="66">
        <f t="shared" si="4"/>
        <v>0</v>
      </c>
      <c r="P33" s="66">
        <f t="shared" si="4"/>
        <v>0</v>
      </c>
      <c r="Q33" s="66">
        <f t="shared" si="4"/>
        <v>0</v>
      </c>
      <c r="R33" s="66">
        <f t="shared" si="4"/>
        <v>0</v>
      </c>
      <c r="S33" s="66">
        <f t="shared" si="4"/>
        <v>0</v>
      </c>
      <c r="T33" s="66">
        <f t="shared" si="4"/>
        <v>0</v>
      </c>
      <c r="U33" s="68">
        <f t="shared" si="1"/>
        <v>0</v>
      </c>
    </row>
    <row r="34" spans="2:21" x14ac:dyDescent="0.25">
      <c r="B34" s="55">
        <v>6</v>
      </c>
      <c r="C34" s="56" t="str">
        <f t="shared" si="2"/>
        <v/>
      </c>
      <c r="D34" s="56" t="str">
        <f t="shared" si="5"/>
        <v/>
      </c>
      <c r="E34" s="171"/>
      <c r="F34" s="174"/>
      <c r="G34" s="172"/>
      <c r="H34" s="70">
        <f t="shared" si="3"/>
        <v>0</v>
      </c>
      <c r="I34" s="176">
        <f>'Delivery Profile'!E$195*'Bid Form'!$F34</f>
        <v>0</v>
      </c>
      <c r="J34" s="176">
        <f>'Delivery Profile'!F$195*'Bid Form'!$F34</f>
        <v>0</v>
      </c>
      <c r="K34" s="176">
        <f>'Delivery Profile'!G$195*'Bid Form'!$F34</f>
        <v>0</v>
      </c>
      <c r="L34" s="176">
        <f>'Delivery Profile'!H$195*'Bid Form'!$F34</f>
        <v>0</v>
      </c>
      <c r="M34" s="176">
        <f>'Delivery Profile'!I$195*'Bid Form'!$F34</f>
        <v>0</v>
      </c>
      <c r="N34" s="176">
        <f>'Delivery Profile'!J$195*'Bid Form'!$F34</f>
        <v>0</v>
      </c>
      <c r="O34" s="66">
        <f t="shared" si="4"/>
        <v>0</v>
      </c>
      <c r="P34" s="66">
        <f t="shared" si="4"/>
        <v>0</v>
      </c>
      <c r="Q34" s="66">
        <f t="shared" si="4"/>
        <v>0</v>
      </c>
      <c r="R34" s="66">
        <f t="shared" si="4"/>
        <v>0</v>
      </c>
      <c r="S34" s="66">
        <f t="shared" si="4"/>
        <v>0</v>
      </c>
      <c r="T34" s="66">
        <f t="shared" si="4"/>
        <v>0</v>
      </c>
      <c r="U34" s="68">
        <f t="shared" si="1"/>
        <v>0</v>
      </c>
    </row>
    <row r="35" spans="2:21" x14ac:dyDescent="0.25">
      <c r="B35" s="55">
        <v>7</v>
      </c>
      <c r="C35" s="56" t="str">
        <f t="shared" si="2"/>
        <v/>
      </c>
      <c r="D35" s="56" t="str">
        <f t="shared" si="5"/>
        <v/>
      </c>
      <c r="E35" s="171"/>
      <c r="F35" s="174"/>
      <c r="G35" s="172"/>
      <c r="H35" s="70">
        <f t="shared" si="3"/>
        <v>0</v>
      </c>
      <c r="I35" s="176">
        <f>'Delivery Profile'!E$195*'Bid Form'!$F35</f>
        <v>0</v>
      </c>
      <c r="J35" s="176">
        <f>'Delivery Profile'!F$195*'Bid Form'!$F35</f>
        <v>0</v>
      </c>
      <c r="K35" s="176">
        <f>'Delivery Profile'!G$195*'Bid Form'!$F35</f>
        <v>0</v>
      </c>
      <c r="L35" s="176">
        <f>'Delivery Profile'!H$195*'Bid Form'!$F35</f>
        <v>0</v>
      </c>
      <c r="M35" s="176">
        <f>'Delivery Profile'!I$195*'Bid Form'!$F35</f>
        <v>0</v>
      </c>
      <c r="N35" s="176">
        <f>'Delivery Profile'!J$195*'Bid Form'!$F35</f>
        <v>0</v>
      </c>
      <c r="O35" s="66">
        <f t="shared" si="4"/>
        <v>0</v>
      </c>
      <c r="P35" s="66">
        <f t="shared" si="4"/>
        <v>0</v>
      </c>
      <c r="Q35" s="66">
        <f t="shared" si="4"/>
        <v>0</v>
      </c>
      <c r="R35" s="66">
        <f t="shared" si="4"/>
        <v>0</v>
      </c>
      <c r="S35" s="66">
        <f t="shared" si="4"/>
        <v>0</v>
      </c>
      <c r="T35" s="66">
        <f t="shared" si="4"/>
        <v>0</v>
      </c>
      <c r="U35" s="68">
        <f t="shared" si="1"/>
        <v>0</v>
      </c>
    </row>
    <row r="36" spans="2:21" x14ac:dyDescent="0.25">
      <c r="B36" s="55">
        <v>8</v>
      </c>
      <c r="C36" s="56" t="str">
        <f t="shared" si="2"/>
        <v/>
      </c>
      <c r="D36" s="56" t="str">
        <f t="shared" si="5"/>
        <v/>
      </c>
      <c r="E36" s="171"/>
      <c r="F36" s="174"/>
      <c r="G36" s="172"/>
      <c r="H36" s="70">
        <f t="shared" si="3"/>
        <v>0</v>
      </c>
      <c r="I36" s="176">
        <f>'Delivery Profile'!E$195*'Bid Form'!$F36</f>
        <v>0</v>
      </c>
      <c r="J36" s="176">
        <f>'Delivery Profile'!F$195*'Bid Form'!$F36</f>
        <v>0</v>
      </c>
      <c r="K36" s="176">
        <f>'Delivery Profile'!G$195*'Bid Form'!$F36</f>
        <v>0</v>
      </c>
      <c r="L36" s="176">
        <f>'Delivery Profile'!H$195*'Bid Form'!$F36</f>
        <v>0</v>
      </c>
      <c r="M36" s="176">
        <f>'Delivery Profile'!I$195*'Bid Form'!$F36</f>
        <v>0</v>
      </c>
      <c r="N36" s="176">
        <f>'Delivery Profile'!J$195*'Bid Form'!$F36</f>
        <v>0</v>
      </c>
      <c r="O36" s="66">
        <f t="shared" si="4"/>
        <v>0</v>
      </c>
      <c r="P36" s="66">
        <f t="shared" si="4"/>
        <v>0</v>
      </c>
      <c r="Q36" s="66">
        <f t="shared" si="4"/>
        <v>0</v>
      </c>
      <c r="R36" s="66">
        <f t="shared" si="4"/>
        <v>0</v>
      </c>
      <c r="S36" s="66">
        <f t="shared" si="4"/>
        <v>0</v>
      </c>
      <c r="T36" s="66">
        <f t="shared" si="4"/>
        <v>0</v>
      </c>
      <c r="U36" s="68">
        <f t="shared" si="1"/>
        <v>0</v>
      </c>
    </row>
    <row r="37" spans="2:21" x14ac:dyDescent="0.25">
      <c r="B37" s="55">
        <f t="shared" ref="B37:B48" si="6">B36+1</f>
        <v>9</v>
      </c>
      <c r="C37" s="56" t="str">
        <f t="shared" si="2"/>
        <v/>
      </c>
      <c r="D37" s="56" t="str">
        <f t="shared" si="5"/>
        <v/>
      </c>
      <c r="E37" s="171"/>
      <c r="F37" s="174"/>
      <c r="G37" s="172"/>
      <c r="H37" s="70">
        <f t="shared" si="3"/>
        <v>0</v>
      </c>
      <c r="I37" s="176">
        <f>'Delivery Profile'!E$195*'Bid Form'!$F37</f>
        <v>0</v>
      </c>
      <c r="J37" s="176">
        <f>'Delivery Profile'!F$195*'Bid Form'!$F37</f>
        <v>0</v>
      </c>
      <c r="K37" s="176">
        <f>'Delivery Profile'!G$195*'Bid Form'!$F37</f>
        <v>0</v>
      </c>
      <c r="L37" s="176">
        <f>'Delivery Profile'!H$195*'Bid Form'!$F37</f>
        <v>0</v>
      </c>
      <c r="M37" s="176">
        <f>'Delivery Profile'!I$195*'Bid Form'!$F37</f>
        <v>0</v>
      </c>
      <c r="N37" s="176">
        <f>'Delivery Profile'!J$195*'Bid Form'!$F37</f>
        <v>0</v>
      </c>
      <c r="O37" s="66">
        <f t="shared" si="4"/>
        <v>0</v>
      </c>
      <c r="P37" s="66">
        <f t="shared" si="4"/>
        <v>0</v>
      </c>
      <c r="Q37" s="66">
        <f t="shared" si="4"/>
        <v>0</v>
      </c>
      <c r="R37" s="66">
        <f t="shared" si="4"/>
        <v>0</v>
      </c>
      <c r="S37" s="66">
        <f t="shared" si="4"/>
        <v>0</v>
      </c>
      <c r="T37" s="66">
        <f t="shared" si="4"/>
        <v>0</v>
      </c>
      <c r="U37" s="68">
        <f t="shared" si="1"/>
        <v>0</v>
      </c>
    </row>
    <row r="38" spans="2:21" x14ac:dyDescent="0.25">
      <c r="B38" s="55">
        <f t="shared" si="6"/>
        <v>10</v>
      </c>
      <c r="C38" s="56" t="str">
        <f t="shared" si="2"/>
        <v/>
      </c>
      <c r="D38" s="56" t="str">
        <f t="shared" si="5"/>
        <v/>
      </c>
      <c r="E38" s="171"/>
      <c r="F38" s="174"/>
      <c r="G38" s="172"/>
      <c r="H38" s="70">
        <f t="shared" si="3"/>
        <v>0</v>
      </c>
      <c r="I38" s="176">
        <f>'Delivery Profile'!E$195*'Bid Form'!$F38</f>
        <v>0</v>
      </c>
      <c r="J38" s="176">
        <f>'Delivery Profile'!F$195*'Bid Form'!$F38</f>
        <v>0</v>
      </c>
      <c r="K38" s="176">
        <f>'Delivery Profile'!G$195*'Bid Form'!$F38</f>
        <v>0</v>
      </c>
      <c r="L38" s="176">
        <f>'Delivery Profile'!H$195*'Bid Form'!$F38</f>
        <v>0</v>
      </c>
      <c r="M38" s="176">
        <f>'Delivery Profile'!I$195*'Bid Form'!$F38</f>
        <v>0</v>
      </c>
      <c r="N38" s="176">
        <f>'Delivery Profile'!J$195*'Bid Form'!$F38</f>
        <v>0</v>
      </c>
      <c r="O38" s="66">
        <f t="shared" si="4"/>
        <v>0</v>
      </c>
      <c r="P38" s="66">
        <f t="shared" si="4"/>
        <v>0</v>
      </c>
      <c r="Q38" s="66">
        <f t="shared" si="4"/>
        <v>0</v>
      </c>
      <c r="R38" s="66">
        <f t="shared" si="4"/>
        <v>0</v>
      </c>
      <c r="S38" s="66">
        <f t="shared" si="4"/>
        <v>0</v>
      </c>
      <c r="T38" s="66">
        <f t="shared" si="4"/>
        <v>0</v>
      </c>
      <c r="U38" s="68">
        <f t="shared" si="1"/>
        <v>0</v>
      </c>
    </row>
    <row r="39" spans="2:21" x14ac:dyDescent="0.25">
      <c r="B39" s="55">
        <f t="shared" si="6"/>
        <v>11</v>
      </c>
      <c r="C39" s="56" t="str">
        <f t="shared" si="2"/>
        <v/>
      </c>
      <c r="D39" s="56" t="str">
        <f t="shared" si="5"/>
        <v/>
      </c>
      <c r="E39" s="171"/>
      <c r="F39" s="174"/>
      <c r="G39" s="172"/>
      <c r="H39" s="70">
        <f t="shared" si="3"/>
        <v>0</v>
      </c>
      <c r="I39" s="176">
        <f>'Delivery Profile'!E$195*'Bid Form'!$F39</f>
        <v>0</v>
      </c>
      <c r="J39" s="176">
        <f>'Delivery Profile'!F$195*'Bid Form'!$F39</f>
        <v>0</v>
      </c>
      <c r="K39" s="176">
        <f>'Delivery Profile'!G$195*'Bid Form'!$F39</f>
        <v>0</v>
      </c>
      <c r="L39" s="176">
        <f>'Delivery Profile'!H$195*'Bid Form'!$F39</f>
        <v>0</v>
      </c>
      <c r="M39" s="176">
        <f>'Delivery Profile'!I$195*'Bid Form'!$F39</f>
        <v>0</v>
      </c>
      <c r="N39" s="176">
        <f>'Delivery Profile'!J$195*'Bid Form'!$F39</f>
        <v>0</v>
      </c>
      <c r="O39" s="66">
        <f t="shared" si="4"/>
        <v>0</v>
      </c>
      <c r="P39" s="66">
        <f t="shared" si="4"/>
        <v>0</v>
      </c>
      <c r="Q39" s="66">
        <f t="shared" si="4"/>
        <v>0</v>
      </c>
      <c r="R39" s="66">
        <f t="shared" si="4"/>
        <v>0</v>
      </c>
      <c r="S39" s="66">
        <f t="shared" si="4"/>
        <v>0</v>
      </c>
      <c r="T39" s="66">
        <f t="shared" si="4"/>
        <v>0</v>
      </c>
      <c r="U39" s="68">
        <f t="shared" si="1"/>
        <v>0</v>
      </c>
    </row>
    <row r="40" spans="2:21" x14ac:dyDescent="0.25">
      <c r="B40" s="55">
        <f t="shared" si="6"/>
        <v>12</v>
      </c>
      <c r="C40" s="56" t="str">
        <f t="shared" si="2"/>
        <v/>
      </c>
      <c r="D40" s="56" t="str">
        <f t="shared" si="5"/>
        <v/>
      </c>
      <c r="E40" s="171"/>
      <c r="F40" s="174"/>
      <c r="G40" s="172"/>
      <c r="H40" s="70">
        <f t="shared" si="3"/>
        <v>0</v>
      </c>
      <c r="I40" s="176">
        <f>'Delivery Profile'!E$195*'Bid Form'!$F40</f>
        <v>0</v>
      </c>
      <c r="J40" s="176">
        <f>'Delivery Profile'!F$195*'Bid Form'!$F40</f>
        <v>0</v>
      </c>
      <c r="K40" s="176">
        <f>'Delivery Profile'!G$195*'Bid Form'!$F40</f>
        <v>0</v>
      </c>
      <c r="L40" s="176">
        <f>'Delivery Profile'!H$195*'Bid Form'!$F40</f>
        <v>0</v>
      </c>
      <c r="M40" s="176">
        <f>'Delivery Profile'!I$195*'Bid Form'!$F40</f>
        <v>0</v>
      </c>
      <c r="N40" s="176">
        <f>'Delivery Profile'!J$195*'Bid Form'!$F40</f>
        <v>0</v>
      </c>
      <c r="O40" s="66">
        <f t="shared" si="4"/>
        <v>0</v>
      </c>
      <c r="P40" s="66">
        <f t="shared" si="4"/>
        <v>0</v>
      </c>
      <c r="Q40" s="66">
        <f t="shared" si="4"/>
        <v>0</v>
      </c>
      <c r="R40" s="66">
        <f t="shared" si="4"/>
        <v>0</v>
      </c>
      <c r="S40" s="66">
        <f t="shared" si="4"/>
        <v>0</v>
      </c>
      <c r="T40" s="66">
        <f t="shared" si="4"/>
        <v>0</v>
      </c>
      <c r="U40" s="68">
        <f t="shared" si="1"/>
        <v>0</v>
      </c>
    </row>
    <row r="41" spans="2:21" x14ac:dyDescent="0.25">
      <c r="B41" s="55">
        <f t="shared" si="6"/>
        <v>13</v>
      </c>
      <c r="C41" s="56" t="str">
        <f t="shared" si="2"/>
        <v/>
      </c>
      <c r="D41" s="56" t="str">
        <f t="shared" si="5"/>
        <v/>
      </c>
      <c r="E41" s="171"/>
      <c r="F41" s="174"/>
      <c r="G41" s="172"/>
      <c r="H41" s="70">
        <f t="shared" si="3"/>
        <v>0</v>
      </c>
      <c r="I41" s="176">
        <f>'Delivery Profile'!E$195*'Bid Form'!$F41</f>
        <v>0</v>
      </c>
      <c r="J41" s="176">
        <f>'Delivery Profile'!F$195*'Bid Form'!$F41</f>
        <v>0</v>
      </c>
      <c r="K41" s="176">
        <f>'Delivery Profile'!G$195*'Bid Form'!$F41</f>
        <v>0</v>
      </c>
      <c r="L41" s="176">
        <f>'Delivery Profile'!H$195*'Bid Form'!$F41</f>
        <v>0</v>
      </c>
      <c r="M41" s="176">
        <f>'Delivery Profile'!I$195*'Bid Form'!$F41</f>
        <v>0</v>
      </c>
      <c r="N41" s="176">
        <f>'Delivery Profile'!J$195*'Bid Form'!$F41</f>
        <v>0</v>
      </c>
      <c r="O41" s="66">
        <f t="shared" si="4"/>
        <v>0</v>
      </c>
      <c r="P41" s="66">
        <f t="shared" si="4"/>
        <v>0</v>
      </c>
      <c r="Q41" s="66">
        <f t="shared" si="4"/>
        <v>0</v>
      </c>
      <c r="R41" s="66">
        <f t="shared" si="4"/>
        <v>0</v>
      </c>
      <c r="S41" s="66">
        <f t="shared" si="4"/>
        <v>0</v>
      </c>
      <c r="T41" s="66">
        <f t="shared" si="4"/>
        <v>0</v>
      </c>
      <c r="U41" s="68">
        <f t="shared" si="1"/>
        <v>0</v>
      </c>
    </row>
    <row r="42" spans="2:21" x14ac:dyDescent="0.25">
      <c r="B42" s="55">
        <f t="shared" si="6"/>
        <v>14</v>
      </c>
      <c r="C42" s="56" t="str">
        <f t="shared" si="2"/>
        <v/>
      </c>
      <c r="D42" s="56" t="str">
        <f t="shared" si="5"/>
        <v/>
      </c>
      <c r="E42" s="171"/>
      <c r="F42" s="174"/>
      <c r="G42" s="172"/>
      <c r="H42" s="70">
        <f t="shared" si="3"/>
        <v>0</v>
      </c>
      <c r="I42" s="176">
        <f>'Delivery Profile'!E$195*'Bid Form'!$F42</f>
        <v>0</v>
      </c>
      <c r="J42" s="176">
        <f>'Delivery Profile'!F$195*'Bid Form'!$F42</f>
        <v>0</v>
      </c>
      <c r="K42" s="176">
        <f>'Delivery Profile'!G$195*'Bid Form'!$F42</f>
        <v>0</v>
      </c>
      <c r="L42" s="176">
        <f>'Delivery Profile'!H$195*'Bid Form'!$F42</f>
        <v>0</v>
      </c>
      <c r="M42" s="176">
        <f>'Delivery Profile'!I$195*'Bid Form'!$F42</f>
        <v>0</v>
      </c>
      <c r="N42" s="176">
        <f>'Delivery Profile'!J$195*'Bid Form'!$F42</f>
        <v>0</v>
      </c>
      <c r="O42" s="66">
        <f t="shared" si="4"/>
        <v>0</v>
      </c>
      <c r="P42" s="66">
        <f t="shared" si="4"/>
        <v>0</v>
      </c>
      <c r="Q42" s="66">
        <f t="shared" si="4"/>
        <v>0</v>
      </c>
      <c r="R42" s="66">
        <f t="shared" si="4"/>
        <v>0</v>
      </c>
      <c r="S42" s="66">
        <f t="shared" si="4"/>
        <v>0</v>
      </c>
      <c r="T42" s="66">
        <f t="shared" si="4"/>
        <v>0</v>
      </c>
      <c r="U42" s="68">
        <f t="shared" si="1"/>
        <v>0</v>
      </c>
    </row>
    <row r="43" spans="2:21" x14ac:dyDescent="0.25">
      <c r="B43" s="55">
        <f t="shared" si="6"/>
        <v>15</v>
      </c>
      <c r="C43" s="56" t="str">
        <f t="shared" si="2"/>
        <v/>
      </c>
      <c r="D43" s="56" t="str">
        <f t="shared" si="5"/>
        <v/>
      </c>
      <c r="E43" s="171"/>
      <c r="F43" s="174"/>
      <c r="G43" s="172"/>
      <c r="H43" s="70">
        <f t="shared" si="3"/>
        <v>0</v>
      </c>
      <c r="I43" s="176">
        <f>'Delivery Profile'!E$195*'Bid Form'!$F43</f>
        <v>0</v>
      </c>
      <c r="J43" s="176">
        <f>'Delivery Profile'!F$195*'Bid Form'!$F43</f>
        <v>0</v>
      </c>
      <c r="K43" s="176">
        <f>'Delivery Profile'!G$195*'Bid Form'!$F43</f>
        <v>0</v>
      </c>
      <c r="L43" s="176">
        <f>'Delivery Profile'!H$195*'Bid Form'!$F43</f>
        <v>0</v>
      </c>
      <c r="M43" s="176">
        <f>'Delivery Profile'!I$195*'Bid Form'!$F43</f>
        <v>0</v>
      </c>
      <c r="N43" s="176">
        <f>'Delivery Profile'!J$195*'Bid Form'!$F43</f>
        <v>0</v>
      </c>
      <c r="O43" s="66">
        <f t="shared" si="4"/>
        <v>0</v>
      </c>
      <c r="P43" s="66">
        <f t="shared" si="4"/>
        <v>0</v>
      </c>
      <c r="Q43" s="66">
        <f t="shared" si="4"/>
        <v>0</v>
      </c>
      <c r="R43" s="66">
        <f t="shared" si="4"/>
        <v>0</v>
      </c>
      <c r="S43" s="66">
        <f t="shared" si="4"/>
        <v>0</v>
      </c>
      <c r="T43" s="66">
        <f t="shared" si="4"/>
        <v>0</v>
      </c>
      <c r="U43" s="68">
        <f t="shared" si="1"/>
        <v>0</v>
      </c>
    </row>
    <row r="44" spans="2:21" x14ac:dyDescent="0.25">
      <c r="B44" s="55">
        <f t="shared" si="6"/>
        <v>16</v>
      </c>
      <c r="C44" s="56" t="str">
        <f t="shared" si="2"/>
        <v/>
      </c>
      <c r="D44" s="56" t="str">
        <f t="shared" si="5"/>
        <v/>
      </c>
      <c r="E44" s="171"/>
      <c r="F44" s="174"/>
      <c r="G44" s="172"/>
      <c r="H44" s="70">
        <f t="shared" si="3"/>
        <v>0</v>
      </c>
      <c r="I44" s="176">
        <f>'Delivery Profile'!E$195*'Bid Form'!$F44</f>
        <v>0</v>
      </c>
      <c r="J44" s="176">
        <f>'Delivery Profile'!F$195*'Bid Form'!$F44</f>
        <v>0</v>
      </c>
      <c r="K44" s="176">
        <f>'Delivery Profile'!G$195*'Bid Form'!$F44</f>
        <v>0</v>
      </c>
      <c r="L44" s="176">
        <f>'Delivery Profile'!H$195*'Bid Form'!$F44</f>
        <v>0</v>
      </c>
      <c r="M44" s="176">
        <f>'Delivery Profile'!I$195*'Bid Form'!$F44</f>
        <v>0</v>
      </c>
      <c r="N44" s="176">
        <f>'Delivery Profile'!J$195*'Bid Form'!$F44</f>
        <v>0</v>
      </c>
      <c r="O44" s="66">
        <f t="shared" si="4"/>
        <v>0</v>
      </c>
      <c r="P44" s="66">
        <f t="shared" si="4"/>
        <v>0</v>
      </c>
      <c r="Q44" s="66">
        <f t="shared" si="4"/>
        <v>0</v>
      </c>
      <c r="R44" s="66">
        <f t="shared" si="4"/>
        <v>0</v>
      </c>
      <c r="S44" s="66">
        <f t="shared" si="4"/>
        <v>0</v>
      </c>
      <c r="T44" s="66">
        <f t="shared" si="4"/>
        <v>0</v>
      </c>
      <c r="U44" s="68">
        <f t="shared" si="1"/>
        <v>0</v>
      </c>
    </row>
    <row r="45" spans="2:21" x14ac:dyDescent="0.25">
      <c r="B45" s="55">
        <f t="shared" si="6"/>
        <v>17</v>
      </c>
      <c r="C45" s="56" t="str">
        <f t="shared" si="2"/>
        <v/>
      </c>
      <c r="D45" s="56" t="str">
        <f t="shared" si="5"/>
        <v/>
      </c>
      <c r="E45" s="171"/>
      <c r="F45" s="174"/>
      <c r="G45" s="172"/>
      <c r="H45" s="70">
        <f t="shared" si="3"/>
        <v>0</v>
      </c>
      <c r="I45" s="176">
        <f>'Delivery Profile'!E$195*'Bid Form'!$F45</f>
        <v>0</v>
      </c>
      <c r="J45" s="176">
        <f>'Delivery Profile'!F$195*'Bid Form'!$F45</f>
        <v>0</v>
      </c>
      <c r="K45" s="176">
        <f>'Delivery Profile'!G$195*'Bid Form'!$F45</f>
        <v>0</v>
      </c>
      <c r="L45" s="176">
        <f>'Delivery Profile'!H$195*'Bid Form'!$F45</f>
        <v>0</v>
      </c>
      <c r="M45" s="176">
        <f>'Delivery Profile'!I$195*'Bid Form'!$F45</f>
        <v>0</v>
      </c>
      <c r="N45" s="176">
        <f>'Delivery Profile'!J$195*'Bid Form'!$F45</f>
        <v>0</v>
      </c>
      <c r="O45" s="66">
        <f t="shared" si="4"/>
        <v>0</v>
      </c>
      <c r="P45" s="66">
        <f t="shared" si="4"/>
        <v>0</v>
      </c>
      <c r="Q45" s="66">
        <f t="shared" si="4"/>
        <v>0</v>
      </c>
      <c r="R45" s="66">
        <f t="shared" si="4"/>
        <v>0</v>
      </c>
      <c r="S45" s="66">
        <f t="shared" si="4"/>
        <v>0</v>
      </c>
      <c r="T45" s="66">
        <f t="shared" si="4"/>
        <v>0</v>
      </c>
      <c r="U45" s="68">
        <f t="shared" si="1"/>
        <v>0</v>
      </c>
    </row>
    <row r="46" spans="2:21" x14ac:dyDescent="0.25">
      <c r="B46" s="55">
        <f t="shared" si="6"/>
        <v>18</v>
      </c>
      <c r="C46" s="56" t="str">
        <f t="shared" si="2"/>
        <v/>
      </c>
      <c r="D46" s="56" t="str">
        <f t="shared" si="5"/>
        <v/>
      </c>
      <c r="E46" s="171"/>
      <c r="F46" s="174"/>
      <c r="G46" s="172"/>
      <c r="H46" s="70">
        <f t="shared" si="3"/>
        <v>0</v>
      </c>
      <c r="I46" s="176">
        <f>'Delivery Profile'!E$195*'Bid Form'!$F46</f>
        <v>0</v>
      </c>
      <c r="J46" s="176">
        <f>'Delivery Profile'!F$195*'Bid Form'!$F46</f>
        <v>0</v>
      </c>
      <c r="K46" s="176">
        <f>'Delivery Profile'!G$195*'Bid Form'!$F46</f>
        <v>0</v>
      </c>
      <c r="L46" s="176">
        <f>'Delivery Profile'!H$195*'Bid Form'!$F46</f>
        <v>0</v>
      </c>
      <c r="M46" s="176">
        <f>'Delivery Profile'!I$195*'Bid Form'!$F46</f>
        <v>0</v>
      </c>
      <c r="N46" s="176">
        <f>'Delivery Profile'!J$195*'Bid Form'!$F46</f>
        <v>0</v>
      </c>
      <c r="O46" s="66">
        <f t="shared" si="4"/>
        <v>0</v>
      </c>
      <c r="P46" s="66">
        <f t="shared" si="4"/>
        <v>0</v>
      </c>
      <c r="Q46" s="66">
        <f t="shared" si="4"/>
        <v>0</v>
      </c>
      <c r="R46" s="66">
        <f t="shared" si="4"/>
        <v>0</v>
      </c>
      <c r="S46" s="66">
        <f t="shared" si="4"/>
        <v>0</v>
      </c>
      <c r="T46" s="66">
        <f t="shared" si="4"/>
        <v>0</v>
      </c>
      <c r="U46" s="68">
        <f t="shared" si="1"/>
        <v>0</v>
      </c>
    </row>
    <row r="47" spans="2:21" x14ac:dyDescent="0.25">
      <c r="B47" s="55">
        <f t="shared" si="6"/>
        <v>19</v>
      </c>
      <c r="C47" s="56" t="str">
        <f t="shared" si="2"/>
        <v/>
      </c>
      <c r="D47" s="56" t="str">
        <f t="shared" si="5"/>
        <v/>
      </c>
      <c r="E47" s="171"/>
      <c r="F47" s="174"/>
      <c r="G47" s="172"/>
      <c r="H47" s="70">
        <f t="shared" si="3"/>
        <v>0</v>
      </c>
      <c r="I47" s="176">
        <f>'Delivery Profile'!E$195*'Bid Form'!$F47</f>
        <v>0</v>
      </c>
      <c r="J47" s="176">
        <f>'Delivery Profile'!F$195*'Bid Form'!$F47</f>
        <v>0</v>
      </c>
      <c r="K47" s="176">
        <f>'Delivery Profile'!G$195*'Bid Form'!$F47</f>
        <v>0</v>
      </c>
      <c r="L47" s="176">
        <f>'Delivery Profile'!H$195*'Bid Form'!$F47</f>
        <v>0</v>
      </c>
      <c r="M47" s="176">
        <f>'Delivery Profile'!I$195*'Bid Form'!$F47</f>
        <v>0</v>
      </c>
      <c r="N47" s="176">
        <f>'Delivery Profile'!J$195*'Bid Form'!$F47</f>
        <v>0</v>
      </c>
      <c r="O47" s="66">
        <f t="shared" si="4"/>
        <v>0</v>
      </c>
      <c r="P47" s="66">
        <f t="shared" si="4"/>
        <v>0</v>
      </c>
      <c r="Q47" s="66">
        <f t="shared" si="4"/>
        <v>0</v>
      </c>
      <c r="R47" s="66">
        <f t="shared" si="4"/>
        <v>0</v>
      </c>
      <c r="S47" s="66">
        <f t="shared" si="4"/>
        <v>0</v>
      </c>
      <c r="T47" s="66">
        <f t="shared" si="4"/>
        <v>0</v>
      </c>
      <c r="U47" s="68">
        <f t="shared" si="1"/>
        <v>0</v>
      </c>
    </row>
    <row r="48" spans="2:21" x14ac:dyDescent="0.25">
      <c r="B48" s="55">
        <f t="shared" si="6"/>
        <v>20</v>
      </c>
      <c r="C48" s="56" t="str">
        <f t="shared" si="2"/>
        <v/>
      </c>
      <c r="D48" s="56" t="str">
        <f t="shared" si="5"/>
        <v/>
      </c>
      <c r="E48" s="171"/>
      <c r="F48" s="174"/>
      <c r="G48" s="172"/>
      <c r="H48" s="70">
        <f t="shared" si="3"/>
        <v>0</v>
      </c>
      <c r="I48" s="177">
        <f>'Delivery Profile'!E$195*'Bid Form'!$F48</f>
        <v>0</v>
      </c>
      <c r="J48" s="177">
        <f>'Delivery Profile'!F$195*'Bid Form'!$F48</f>
        <v>0</v>
      </c>
      <c r="K48" s="177">
        <f>'Delivery Profile'!G$195*'Bid Form'!$F48</f>
        <v>0</v>
      </c>
      <c r="L48" s="177">
        <f>'Delivery Profile'!H$195*'Bid Form'!$F48</f>
        <v>0</v>
      </c>
      <c r="M48" s="177">
        <f>'Delivery Profile'!I$195*'Bid Form'!$F48</f>
        <v>0</v>
      </c>
      <c r="N48" s="177">
        <f>'Delivery Profile'!J$195*'Bid Form'!$F48</f>
        <v>0</v>
      </c>
      <c r="O48" s="66">
        <f t="shared" si="4"/>
        <v>0</v>
      </c>
      <c r="P48" s="66">
        <f t="shared" si="4"/>
        <v>0</v>
      </c>
      <c r="Q48" s="66">
        <f t="shared" si="4"/>
        <v>0</v>
      </c>
      <c r="R48" s="66">
        <f t="shared" si="4"/>
        <v>0</v>
      </c>
      <c r="S48" s="66">
        <f t="shared" si="4"/>
        <v>0</v>
      </c>
      <c r="T48" s="66">
        <f t="shared" si="4"/>
        <v>0</v>
      </c>
      <c r="U48" s="68">
        <f t="shared" si="1"/>
        <v>0</v>
      </c>
    </row>
    <row r="49" spans="2:21" x14ac:dyDescent="0.25">
      <c r="B49" s="61"/>
      <c r="C49" s="62"/>
      <c r="D49" s="62"/>
      <c r="F49" s="60"/>
    </row>
    <row r="50" spans="2:21" ht="15.75" x14ac:dyDescent="0.25">
      <c r="B50" s="61"/>
      <c r="C50" s="62"/>
      <c r="D50" s="62"/>
      <c r="F50" s="60"/>
      <c r="G50" s="110" t="s">
        <v>66</v>
      </c>
      <c r="H50" s="115">
        <f>IF(SUM(F29:F48)=0,0,NPV(0.084,$U$29:$U$48)/NPV(0.084,$F$29:$F$48))</f>
        <v>0</v>
      </c>
      <c r="I50" s="116" t="s">
        <v>71</v>
      </c>
      <c r="J50" s="259" t="s">
        <v>124</v>
      </c>
      <c r="K50" s="260"/>
      <c r="L50" s="260"/>
      <c r="M50" s="260"/>
      <c r="N50" s="260"/>
      <c r="O50" s="260"/>
      <c r="P50" s="260"/>
      <c r="Q50" s="260"/>
      <c r="R50" s="260"/>
      <c r="S50" s="260"/>
      <c r="T50" s="260"/>
      <c r="U50" s="260"/>
    </row>
    <row r="51" spans="2:21" ht="15.75" x14ac:dyDescent="0.25">
      <c r="B51" s="61"/>
      <c r="C51" s="62"/>
      <c r="D51" s="62"/>
      <c r="F51" s="60"/>
      <c r="G51" s="110"/>
      <c r="H51" s="115"/>
      <c r="I51" s="116"/>
      <c r="J51" s="260"/>
      <c r="K51" s="260"/>
      <c r="L51" s="260"/>
      <c r="M51" s="260"/>
      <c r="N51" s="260"/>
      <c r="O51" s="260"/>
      <c r="P51" s="260"/>
      <c r="Q51" s="260"/>
      <c r="R51" s="260"/>
      <c r="S51" s="260"/>
      <c r="T51" s="260"/>
      <c r="U51" s="260"/>
    </row>
    <row r="52" spans="2:21" ht="15.75" customHeight="1" x14ac:dyDescent="0.25">
      <c r="B52" s="61"/>
      <c r="C52" s="62"/>
      <c r="D52" s="62"/>
      <c r="E52" s="50" t="s">
        <v>125</v>
      </c>
      <c r="F52" s="60"/>
      <c r="G52" s="110"/>
      <c r="H52" s="234">
        <f>IF(P22="Baseload",90,60)*1000*MAX(E29:E48)</f>
        <v>0</v>
      </c>
      <c r="I52" s="116"/>
      <c r="J52" s="232" t="s">
        <v>126</v>
      </c>
      <c r="K52" s="232"/>
      <c r="L52" s="232"/>
      <c r="M52" s="232"/>
      <c r="N52" s="232"/>
      <c r="O52" s="232"/>
      <c r="P52" s="232"/>
      <c r="Q52" s="232"/>
      <c r="R52" s="232"/>
      <c r="S52" s="233"/>
      <c r="T52" s="233"/>
      <c r="U52" s="233"/>
    </row>
    <row r="53" spans="2:21" ht="15.75" customHeight="1" x14ac:dyDescent="0.25">
      <c r="B53" s="61"/>
      <c r="C53" s="62"/>
      <c r="D53" s="62"/>
      <c r="E53" s="50" t="s">
        <v>127</v>
      </c>
      <c r="F53" s="60"/>
      <c r="G53" s="110"/>
      <c r="H53" s="234">
        <f>0.05*$U$28</f>
        <v>0</v>
      </c>
      <c r="I53" s="116"/>
      <c r="J53" s="232" t="s">
        <v>126</v>
      </c>
      <c r="K53" s="231"/>
      <c r="L53" s="231"/>
      <c r="M53" s="231"/>
      <c r="N53" s="231"/>
      <c r="O53" s="231"/>
      <c r="P53" s="231"/>
      <c r="Q53" s="231"/>
      <c r="R53" s="231"/>
    </row>
    <row r="54" spans="2:21" x14ac:dyDescent="0.25">
      <c r="J54" s="231"/>
      <c r="K54" s="231"/>
      <c r="L54" s="231"/>
      <c r="M54" s="231"/>
      <c r="N54" s="231"/>
      <c r="O54" s="231"/>
      <c r="P54" s="231"/>
      <c r="Q54" s="231"/>
      <c r="R54" s="231"/>
    </row>
    <row r="55" spans="2:21" ht="15.75" x14ac:dyDescent="0.25">
      <c r="B55" s="245" t="s">
        <v>2</v>
      </c>
      <c r="C55" s="245"/>
      <c r="D55" s="245"/>
      <c r="E55" s="245"/>
      <c r="F55" s="245"/>
      <c r="G55" s="245"/>
      <c r="H55" s="245"/>
    </row>
    <row r="56" spans="2:21" x14ac:dyDescent="0.25">
      <c r="D56" s="51" t="s">
        <v>3</v>
      </c>
      <c r="E56" s="262"/>
      <c r="F56" s="263"/>
      <c r="G56" s="263"/>
      <c r="H56" s="264"/>
    </row>
    <row r="57" spans="2:21" x14ac:dyDescent="0.25">
      <c r="D57" s="59" t="s">
        <v>72</v>
      </c>
      <c r="E57" s="262"/>
      <c r="F57" s="263"/>
      <c r="G57" s="263"/>
      <c r="H57" s="264"/>
    </row>
    <row r="58" spans="2:21" x14ac:dyDescent="0.25">
      <c r="D58" s="51" t="s">
        <v>6</v>
      </c>
      <c r="E58" s="262"/>
      <c r="F58" s="263"/>
      <c r="G58" s="263"/>
      <c r="H58" s="264"/>
    </row>
    <row r="59" spans="2:21" x14ac:dyDescent="0.25">
      <c r="D59" s="51" t="s">
        <v>4</v>
      </c>
      <c r="E59" s="262"/>
      <c r="F59" s="263"/>
      <c r="G59" s="263"/>
      <c r="H59" s="264"/>
    </row>
    <row r="60" spans="2:21" ht="30" customHeight="1" x14ac:dyDescent="0.25">
      <c r="B60" s="265" t="s">
        <v>122</v>
      </c>
      <c r="C60" s="265"/>
      <c r="D60" s="266"/>
      <c r="E60" s="262"/>
      <c r="F60" s="263"/>
      <c r="G60" s="263"/>
      <c r="H60" s="264"/>
    </row>
  </sheetData>
  <sheetProtection selectLockedCells="1"/>
  <dataConsolidate/>
  <mergeCells count="33">
    <mergeCell ref="J50:U51"/>
    <mergeCell ref="A18:H18"/>
    <mergeCell ref="E58:H58"/>
    <mergeCell ref="B60:D60"/>
    <mergeCell ref="A8:H8"/>
    <mergeCell ref="A17:H17"/>
    <mergeCell ref="E56:H56"/>
    <mergeCell ref="E57:H57"/>
    <mergeCell ref="E59:H59"/>
    <mergeCell ref="E60:H60"/>
    <mergeCell ref="G27:G28"/>
    <mergeCell ref="H27:H28"/>
    <mergeCell ref="A15:C16"/>
    <mergeCell ref="D15:D16"/>
    <mergeCell ref="B55:H55"/>
    <mergeCell ref="B27:B28"/>
    <mergeCell ref="O8:U8"/>
    <mergeCell ref="P9:R9"/>
    <mergeCell ref="S9:U9"/>
    <mergeCell ref="I26:N26"/>
    <mergeCell ref="O26:T26"/>
    <mergeCell ref="P18:R18"/>
    <mergeCell ref="O17:U17"/>
    <mergeCell ref="P19:R19"/>
    <mergeCell ref="P20:R20"/>
    <mergeCell ref="P21:R21"/>
    <mergeCell ref="Q22:U22"/>
    <mergeCell ref="C19:H19"/>
    <mergeCell ref="B24:D26"/>
    <mergeCell ref="C27:C28"/>
    <mergeCell ref="D27:D28"/>
    <mergeCell ref="E27:E28"/>
    <mergeCell ref="F27:F28"/>
  </mergeCells>
  <conditionalFormatting sqref="G29:G48 E29:E48 F29:F53">
    <cfRule type="expression" dxfId="2" priority="2">
      <formula>$C29&lt;&gt;""</formula>
    </cfRule>
  </conditionalFormatting>
  <conditionalFormatting sqref="G50:G53">
    <cfRule type="expression" dxfId="1" priority="6">
      <formula>$C49&lt;&gt;""</formula>
    </cfRule>
  </conditionalFormatting>
  <conditionalFormatting sqref="G50:H53">
    <cfRule type="expression" dxfId="0" priority="1">
      <formula>$H$50&gt;235</formula>
    </cfRule>
  </conditionalFormatting>
  <dataValidations count="7">
    <dataValidation type="list" allowBlank="1" showInputMessage="1" showErrorMessage="1" sqref="C21">
      <formula1>"FCDS,Energy-Only"</formula1>
    </dataValidation>
    <dataValidation type="list" allowBlank="1" showInputMessage="1" showErrorMessage="1" sqref="H20 D15:D16">
      <formula1>"Yes,No"</formula1>
    </dataValidation>
    <dataValidation type="whole" allowBlank="1" showInputMessage="1" showErrorMessage="1" error="Must enter whole number between 5 and 20" sqref="C22">
      <formula1>5</formula1>
      <formula2>20</formula2>
    </dataValidation>
    <dataValidation type="list" allowBlank="1" showInputMessage="1" showErrorMessage="1" sqref="E58">
      <formula1>"Application submitted, Application deemed complete, Received, Feasibility Study completed"</formula1>
    </dataValidation>
    <dataValidation type="list" allowBlank="1" showInputMessage="1" showErrorMessage="1" sqref="P20:R20">
      <formula1>"Biomass,Biogas,Wind,Geothermal,Small Hydro"</formula1>
    </dataValidation>
    <dataValidation type="list" allowBlank="1" showInputMessage="1" showErrorMessage="1" sqref="P23">
      <formula1>"SDG&amp;E,SCE,PG&amp;E"</formula1>
    </dataValidation>
    <dataValidation type="list" allowBlank="1" showInputMessage="1" showErrorMessage="1" sqref="P22">
      <formula1>"Baseload,As-Available"</formula1>
    </dataValidation>
  </dataValidations>
  <pageMargins left="0.5" right="0.5" top="0.75" bottom="0.75" header="0.3" footer="0.3"/>
  <pageSetup scale="4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3"/>
  <sheetViews>
    <sheetView view="pageBreakPreview" topLeftCell="A163" zoomScale="60" workbookViewId="0">
      <selection activeCell="E14" sqref="E14:P181"/>
    </sheetView>
  </sheetViews>
  <sheetFormatPr defaultRowHeight="15" x14ac:dyDescent="0.25"/>
  <cols>
    <col min="2" max="2" width="11.5703125" customWidth="1"/>
    <col min="5" max="5" width="9.85546875" bestFit="1" customWidth="1"/>
    <col min="12" max="12" width="10.85546875" bestFit="1" customWidth="1"/>
  </cols>
  <sheetData>
    <row r="1" spans="1:16" s="5" customFormat="1" ht="19.5" x14ac:dyDescent="0.3">
      <c r="A1" s="133" t="s">
        <v>123</v>
      </c>
      <c r="B1" s="134"/>
      <c r="C1" s="134"/>
      <c r="D1" s="134"/>
      <c r="E1" s="2"/>
      <c r="F1" s="2"/>
      <c r="G1" s="2"/>
      <c r="H1" s="2"/>
      <c r="I1" s="2"/>
      <c r="J1" s="2"/>
      <c r="K1" s="3"/>
      <c r="L1" s="2"/>
      <c r="M1" s="4"/>
      <c r="N1" s="3"/>
      <c r="O1" s="128"/>
      <c r="P1" s="128" t="s">
        <v>5</v>
      </c>
    </row>
    <row r="2" spans="1:16" s="5" customFormat="1" ht="15.75" x14ac:dyDescent="0.25">
      <c r="A2" s="135" t="s">
        <v>45</v>
      </c>
      <c r="B2" s="136"/>
      <c r="C2" s="136"/>
      <c r="D2" s="136"/>
      <c r="E2" s="6"/>
      <c r="F2" s="6"/>
      <c r="G2" s="6"/>
      <c r="H2" s="6"/>
      <c r="I2" s="6"/>
      <c r="J2" s="6"/>
      <c r="K2" s="7"/>
      <c r="L2" s="7"/>
      <c r="M2" s="7"/>
      <c r="N2" s="7"/>
      <c r="O2" s="129"/>
      <c r="P2" s="129"/>
    </row>
    <row r="3" spans="1:16" s="5" customFormat="1" ht="12.75" x14ac:dyDescent="0.2">
      <c r="A3" s="137"/>
      <c r="B3" s="137"/>
      <c r="C3" s="137"/>
      <c r="D3" s="137"/>
    </row>
    <row r="4" spans="1:16" s="11" customFormat="1" ht="15.75" x14ac:dyDescent="0.25">
      <c r="A4" s="138" t="s">
        <v>7</v>
      </c>
      <c r="B4" s="139"/>
      <c r="C4" s="140"/>
      <c r="D4" s="140"/>
      <c r="E4" s="10"/>
      <c r="F4" s="10"/>
      <c r="G4" s="10"/>
      <c r="H4" s="10"/>
      <c r="I4" s="10"/>
      <c r="J4" s="10"/>
      <c r="K4" s="10"/>
      <c r="M4" s="276" t="str">
        <f>IF(MAX(E14:P181)&gt;1,"Warning:  One or more of the profile values exceeds 100%.  Capacity factor must be at or less than 100% for all hours.  Bids with capacity factors exceeding 100% may be declared non-conforming and excluded from further consideration.","")</f>
        <v/>
      </c>
      <c r="N4" s="276"/>
      <c r="O4" s="276"/>
      <c r="P4" s="276"/>
    </row>
    <row r="5" spans="1:16" s="11" customFormat="1" ht="12.75" x14ac:dyDescent="0.2">
      <c r="A5" s="141"/>
      <c r="B5" s="142"/>
      <c r="C5" s="142"/>
      <c r="D5" s="142"/>
      <c r="E5" s="12"/>
      <c r="F5" s="12"/>
      <c r="G5" s="12"/>
      <c r="K5" s="13"/>
      <c r="M5" s="276"/>
      <c r="N5" s="276"/>
      <c r="O5" s="276"/>
      <c r="P5" s="276"/>
    </row>
    <row r="6" spans="1:16" s="47" customFormat="1" x14ac:dyDescent="0.25">
      <c r="A6" s="143" t="s">
        <v>47</v>
      </c>
      <c r="B6" s="144"/>
      <c r="C6" s="145"/>
      <c r="D6" s="145"/>
      <c r="E6" s="46"/>
      <c r="F6" s="46"/>
      <c r="G6" s="46"/>
      <c r="K6" s="48"/>
      <c r="M6" s="276"/>
      <c r="N6" s="276"/>
      <c r="O6" s="276"/>
      <c r="P6" s="276"/>
    </row>
    <row r="7" spans="1:16" s="47" customFormat="1" x14ac:dyDescent="0.25">
      <c r="A7" s="146" t="s">
        <v>8</v>
      </c>
      <c r="B7" s="144"/>
      <c r="C7" s="145"/>
      <c r="D7" s="145"/>
      <c r="E7" s="46"/>
      <c r="F7" s="46"/>
      <c r="G7" s="46"/>
      <c r="K7" s="48"/>
      <c r="M7" s="276"/>
      <c r="N7" s="276"/>
      <c r="O7" s="276"/>
      <c r="P7" s="276"/>
    </row>
    <row r="8" spans="1:16" s="47" customFormat="1" x14ac:dyDescent="0.25">
      <c r="A8" s="146" t="s">
        <v>9</v>
      </c>
      <c r="B8" s="145"/>
      <c r="C8" s="147"/>
      <c r="D8" s="147"/>
      <c r="E8" s="46"/>
      <c r="F8" s="49"/>
      <c r="G8" s="46"/>
      <c r="K8" s="48"/>
      <c r="M8" s="276"/>
      <c r="N8" s="276"/>
      <c r="O8" s="276"/>
      <c r="P8" s="276"/>
    </row>
    <row r="9" spans="1:16" s="11" customFormat="1" ht="12.75" x14ac:dyDescent="0.2">
      <c r="A9" s="148"/>
      <c r="B9" s="149"/>
      <c r="C9" s="271"/>
      <c r="D9" s="271"/>
      <c r="E9" s="14"/>
      <c r="F9" s="14"/>
      <c r="G9" s="14"/>
      <c r="H9" s="14"/>
      <c r="I9" s="14"/>
      <c r="J9" s="14"/>
      <c r="K9" s="15"/>
      <c r="M9" s="276"/>
      <c r="N9" s="276"/>
      <c r="O9" s="276"/>
      <c r="P9" s="276"/>
    </row>
    <row r="10" spans="1:16" s="11" customFormat="1" ht="13.5" thickBot="1" x14ac:dyDescent="0.25">
      <c r="A10" s="272"/>
      <c r="B10" s="272"/>
      <c r="C10" s="272"/>
      <c r="D10" s="272"/>
    </row>
    <row r="11" spans="1:16" s="11" customFormat="1" ht="13.5" thickBot="1" x14ac:dyDescent="0.25">
      <c r="A11" s="150"/>
      <c r="B11" s="150"/>
      <c r="C11" s="150"/>
      <c r="D11" s="150"/>
      <c r="E11" s="273" t="s">
        <v>46</v>
      </c>
      <c r="F11" s="274"/>
      <c r="G11" s="274"/>
      <c r="H11" s="274"/>
      <c r="I11" s="274"/>
      <c r="J11" s="274"/>
      <c r="K11" s="274"/>
      <c r="L11" s="274"/>
      <c r="M11" s="274"/>
      <c r="N11" s="274"/>
      <c r="O11" s="274"/>
      <c r="P11" s="275"/>
    </row>
    <row r="12" spans="1:16" s="11" customFormat="1" ht="13.5" thickBot="1" x14ac:dyDescent="0.25">
      <c r="A12" s="150"/>
      <c r="B12" s="150"/>
      <c r="C12" s="150"/>
      <c r="D12" s="150"/>
      <c r="E12" s="273" t="s">
        <v>10</v>
      </c>
      <c r="F12" s="274"/>
      <c r="G12" s="274"/>
      <c r="H12" s="274"/>
      <c r="I12" s="274"/>
      <c r="J12" s="275"/>
      <c r="K12" s="273" t="s">
        <v>11</v>
      </c>
      <c r="L12" s="274"/>
      <c r="M12" s="274"/>
      <c r="N12" s="275"/>
      <c r="O12" s="273" t="s">
        <v>10</v>
      </c>
      <c r="P12" s="275"/>
    </row>
    <row r="13" spans="1:16" s="11" customFormat="1" ht="38.25" x14ac:dyDescent="0.2">
      <c r="A13" s="151" t="s">
        <v>12</v>
      </c>
      <c r="B13" s="152" t="s">
        <v>13</v>
      </c>
      <c r="C13" s="152" t="s">
        <v>14</v>
      </c>
      <c r="D13" s="153" t="s">
        <v>15</v>
      </c>
      <c r="E13" s="16" t="s">
        <v>16</v>
      </c>
      <c r="F13" s="17" t="s">
        <v>17</v>
      </c>
      <c r="G13" s="17" t="s">
        <v>18</v>
      </c>
      <c r="H13" s="17" t="s">
        <v>19</v>
      </c>
      <c r="I13" s="17" t="s">
        <v>20</v>
      </c>
      <c r="J13" s="18" t="s">
        <v>21</v>
      </c>
      <c r="K13" s="16" t="s">
        <v>22</v>
      </c>
      <c r="L13" s="17" t="s">
        <v>23</v>
      </c>
      <c r="M13" s="17" t="s">
        <v>24</v>
      </c>
      <c r="N13" s="18" t="s">
        <v>25</v>
      </c>
      <c r="O13" s="16" t="s">
        <v>26</v>
      </c>
      <c r="P13" s="18" t="s">
        <v>27</v>
      </c>
    </row>
    <row r="14" spans="1:16" s="11" customFormat="1" ht="12.75" customHeight="1" x14ac:dyDescent="0.2">
      <c r="A14" s="154" t="s">
        <v>28</v>
      </c>
      <c r="B14" s="155">
        <v>0</v>
      </c>
      <c r="C14" s="156">
        <v>1</v>
      </c>
      <c r="D14" s="150">
        <v>1</v>
      </c>
      <c r="E14" s="74"/>
      <c r="F14" s="75"/>
      <c r="G14" s="75"/>
      <c r="H14" s="75"/>
      <c r="I14" s="75"/>
      <c r="J14" s="76"/>
      <c r="K14" s="77"/>
      <c r="L14" s="78"/>
      <c r="M14" s="78"/>
      <c r="N14" s="79"/>
      <c r="O14" s="80"/>
      <c r="P14" s="81"/>
    </row>
    <row r="15" spans="1:16" s="11" customFormat="1" ht="12.75" x14ac:dyDescent="0.2">
      <c r="A15" s="154" t="s">
        <v>28</v>
      </c>
      <c r="B15" s="155">
        <f>B14+(1/24)</f>
        <v>4.1666666666666664E-2</v>
      </c>
      <c r="C15" s="156">
        <v>2</v>
      </c>
      <c r="D15" s="150">
        <f>D14+1</f>
        <v>2</v>
      </c>
      <c r="E15" s="82"/>
      <c r="F15" s="83"/>
      <c r="G15" s="83"/>
      <c r="H15" s="83"/>
      <c r="I15" s="83"/>
      <c r="J15" s="84"/>
      <c r="K15" s="85"/>
      <c r="L15" s="86"/>
      <c r="M15" s="86"/>
      <c r="N15" s="87"/>
      <c r="O15" s="82"/>
      <c r="P15" s="84"/>
    </row>
    <row r="16" spans="1:16" s="11" customFormat="1" ht="12.75" x14ac:dyDescent="0.2">
      <c r="A16" s="154" t="s">
        <v>28</v>
      </c>
      <c r="B16" s="155">
        <f t="shared" ref="B16:B79" si="0">B15+(1/24)</f>
        <v>8.3333333333333329E-2</v>
      </c>
      <c r="C16" s="156">
        <v>3</v>
      </c>
      <c r="D16" s="150">
        <f t="shared" ref="D16:D79" si="1">D15+1</f>
        <v>3</v>
      </c>
      <c r="E16" s="82"/>
      <c r="F16" s="83"/>
      <c r="G16" s="83"/>
      <c r="H16" s="83"/>
      <c r="I16" s="83"/>
      <c r="J16" s="84"/>
      <c r="K16" s="85"/>
      <c r="L16" s="86"/>
      <c r="M16" s="86"/>
      <c r="N16" s="87"/>
      <c r="O16" s="82"/>
      <c r="P16" s="84"/>
    </row>
    <row r="17" spans="1:16" s="11" customFormat="1" ht="12.75" x14ac:dyDescent="0.2">
      <c r="A17" s="154" t="s">
        <v>28</v>
      </c>
      <c r="B17" s="155">
        <f t="shared" si="0"/>
        <v>0.125</v>
      </c>
      <c r="C17" s="156">
        <v>4</v>
      </c>
      <c r="D17" s="150">
        <f t="shared" si="1"/>
        <v>4</v>
      </c>
      <c r="E17" s="82"/>
      <c r="F17" s="83"/>
      <c r="G17" s="83"/>
      <c r="H17" s="83"/>
      <c r="I17" s="83"/>
      <c r="J17" s="84"/>
      <c r="K17" s="85"/>
      <c r="L17" s="86"/>
      <c r="M17" s="86"/>
      <c r="N17" s="87"/>
      <c r="O17" s="82"/>
      <c r="P17" s="84"/>
    </row>
    <row r="18" spans="1:16" s="11" customFormat="1" ht="12.75" x14ac:dyDescent="0.2">
      <c r="A18" s="154" t="s">
        <v>28</v>
      </c>
      <c r="B18" s="155">
        <f t="shared" si="0"/>
        <v>0.16666666666666666</v>
      </c>
      <c r="C18" s="156">
        <v>5</v>
      </c>
      <c r="D18" s="150">
        <f t="shared" si="1"/>
        <v>5</v>
      </c>
      <c r="E18" s="82"/>
      <c r="F18" s="83"/>
      <c r="G18" s="83"/>
      <c r="H18" s="83"/>
      <c r="I18" s="83"/>
      <c r="J18" s="84"/>
      <c r="K18" s="85"/>
      <c r="L18" s="86"/>
      <c r="M18" s="86"/>
      <c r="N18" s="87"/>
      <c r="O18" s="82"/>
      <c r="P18" s="84"/>
    </row>
    <row r="19" spans="1:16" s="11" customFormat="1" ht="12.75" x14ac:dyDescent="0.2">
      <c r="A19" s="154" t="s">
        <v>28</v>
      </c>
      <c r="B19" s="155">
        <f t="shared" si="0"/>
        <v>0.20833333333333331</v>
      </c>
      <c r="C19" s="156">
        <v>6</v>
      </c>
      <c r="D19" s="150">
        <f t="shared" si="1"/>
        <v>6</v>
      </c>
      <c r="E19" s="82"/>
      <c r="F19" s="83"/>
      <c r="G19" s="83"/>
      <c r="H19" s="83"/>
      <c r="I19" s="83"/>
      <c r="J19" s="84"/>
      <c r="K19" s="85"/>
      <c r="L19" s="86"/>
      <c r="M19" s="86"/>
      <c r="N19" s="87"/>
      <c r="O19" s="82"/>
      <c r="P19" s="84"/>
    </row>
    <row r="20" spans="1:16" s="11" customFormat="1" ht="12.75" x14ac:dyDescent="0.2">
      <c r="A20" s="154" t="s">
        <v>28</v>
      </c>
      <c r="B20" s="155">
        <f t="shared" si="0"/>
        <v>0.24999999999999997</v>
      </c>
      <c r="C20" s="156">
        <v>7</v>
      </c>
      <c r="D20" s="150">
        <f t="shared" si="1"/>
        <v>7</v>
      </c>
      <c r="E20" s="88"/>
      <c r="F20" s="89"/>
      <c r="G20" s="89"/>
      <c r="H20" s="89"/>
      <c r="I20" s="89"/>
      <c r="J20" s="90"/>
      <c r="K20" s="91"/>
      <c r="L20" s="92"/>
      <c r="M20" s="92"/>
      <c r="N20" s="93"/>
      <c r="O20" s="88"/>
      <c r="P20" s="90"/>
    </row>
    <row r="21" spans="1:16" s="11" customFormat="1" ht="12.75" x14ac:dyDescent="0.2">
      <c r="A21" s="154" t="s">
        <v>28</v>
      </c>
      <c r="B21" s="155">
        <f t="shared" si="0"/>
        <v>0.29166666666666663</v>
      </c>
      <c r="C21" s="156">
        <v>8</v>
      </c>
      <c r="D21" s="150">
        <f t="shared" si="1"/>
        <v>8</v>
      </c>
      <c r="E21" s="88"/>
      <c r="F21" s="89"/>
      <c r="G21" s="89"/>
      <c r="H21" s="89"/>
      <c r="I21" s="89"/>
      <c r="J21" s="90"/>
      <c r="K21" s="91"/>
      <c r="L21" s="92"/>
      <c r="M21" s="92"/>
      <c r="N21" s="93"/>
      <c r="O21" s="88"/>
      <c r="P21" s="90"/>
    </row>
    <row r="22" spans="1:16" s="11" customFormat="1" ht="12.75" x14ac:dyDescent="0.2">
      <c r="A22" s="154" t="s">
        <v>28</v>
      </c>
      <c r="B22" s="155">
        <f t="shared" si="0"/>
        <v>0.33333333333333331</v>
      </c>
      <c r="C22" s="156">
        <v>9</v>
      </c>
      <c r="D22" s="150">
        <f t="shared" si="1"/>
        <v>9</v>
      </c>
      <c r="E22" s="88"/>
      <c r="F22" s="89"/>
      <c r="G22" s="89"/>
      <c r="H22" s="89"/>
      <c r="I22" s="89"/>
      <c r="J22" s="90"/>
      <c r="K22" s="91"/>
      <c r="L22" s="92"/>
      <c r="M22" s="92"/>
      <c r="N22" s="93"/>
      <c r="O22" s="88"/>
      <c r="P22" s="90"/>
    </row>
    <row r="23" spans="1:16" s="11" customFormat="1" ht="12.75" x14ac:dyDescent="0.2">
      <c r="A23" s="154" t="s">
        <v>28</v>
      </c>
      <c r="B23" s="155">
        <f t="shared" si="0"/>
        <v>0.375</v>
      </c>
      <c r="C23" s="156">
        <v>10</v>
      </c>
      <c r="D23" s="150">
        <f t="shared" si="1"/>
        <v>10</v>
      </c>
      <c r="E23" s="88"/>
      <c r="F23" s="89"/>
      <c r="G23" s="89"/>
      <c r="H23" s="89"/>
      <c r="I23" s="89"/>
      <c r="J23" s="90"/>
      <c r="K23" s="91"/>
      <c r="L23" s="92"/>
      <c r="M23" s="92"/>
      <c r="N23" s="93"/>
      <c r="O23" s="88"/>
      <c r="P23" s="90"/>
    </row>
    <row r="24" spans="1:16" s="11" customFormat="1" ht="12.75" x14ac:dyDescent="0.2">
      <c r="A24" s="154" t="s">
        <v>28</v>
      </c>
      <c r="B24" s="155">
        <f t="shared" si="0"/>
        <v>0.41666666666666669</v>
      </c>
      <c r="C24" s="156">
        <v>11</v>
      </c>
      <c r="D24" s="150">
        <f t="shared" si="1"/>
        <v>11</v>
      </c>
      <c r="E24" s="88"/>
      <c r="F24" s="89"/>
      <c r="G24" s="89"/>
      <c r="H24" s="89"/>
      <c r="I24" s="89"/>
      <c r="J24" s="90"/>
      <c r="K24" s="91"/>
      <c r="L24" s="92"/>
      <c r="M24" s="92"/>
      <c r="N24" s="93"/>
      <c r="O24" s="88"/>
      <c r="P24" s="90"/>
    </row>
    <row r="25" spans="1:16" s="11" customFormat="1" ht="12.75" x14ac:dyDescent="0.2">
      <c r="A25" s="154" t="s">
        <v>28</v>
      </c>
      <c r="B25" s="155">
        <f t="shared" si="0"/>
        <v>0.45833333333333337</v>
      </c>
      <c r="C25" s="156">
        <v>12</v>
      </c>
      <c r="D25" s="150">
        <f t="shared" si="1"/>
        <v>12</v>
      </c>
      <c r="E25" s="88"/>
      <c r="F25" s="89"/>
      <c r="G25" s="89"/>
      <c r="H25" s="89"/>
      <c r="I25" s="89"/>
      <c r="J25" s="90"/>
      <c r="K25" s="94"/>
      <c r="L25" s="95"/>
      <c r="M25" s="95"/>
      <c r="N25" s="96"/>
      <c r="O25" s="88"/>
      <c r="P25" s="90"/>
    </row>
    <row r="26" spans="1:16" s="11" customFormat="1" ht="12.75" x14ac:dyDescent="0.2">
      <c r="A26" s="154" t="s">
        <v>28</v>
      </c>
      <c r="B26" s="155">
        <f t="shared" si="0"/>
        <v>0.5</v>
      </c>
      <c r="C26" s="156">
        <v>13</v>
      </c>
      <c r="D26" s="150">
        <f t="shared" si="1"/>
        <v>13</v>
      </c>
      <c r="E26" s="88"/>
      <c r="F26" s="89"/>
      <c r="G26" s="89"/>
      <c r="H26" s="89"/>
      <c r="I26" s="89"/>
      <c r="J26" s="90"/>
      <c r="K26" s="94"/>
      <c r="L26" s="95"/>
      <c r="M26" s="95"/>
      <c r="N26" s="96"/>
      <c r="O26" s="88"/>
      <c r="P26" s="90"/>
    </row>
    <row r="27" spans="1:16" s="11" customFormat="1" ht="12.75" x14ac:dyDescent="0.2">
      <c r="A27" s="154" t="s">
        <v>28</v>
      </c>
      <c r="B27" s="155">
        <f t="shared" si="0"/>
        <v>0.54166666666666663</v>
      </c>
      <c r="C27" s="156">
        <v>14</v>
      </c>
      <c r="D27" s="150">
        <f t="shared" si="1"/>
        <v>14</v>
      </c>
      <c r="E27" s="97"/>
      <c r="F27" s="98"/>
      <c r="G27" s="98"/>
      <c r="H27" s="98"/>
      <c r="I27" s="98"/>
      <c r="J27" s="99"/>
      <c r="K27" s="94"/>
      <c r="L27" s="95"/>
      <c r="M27" s="95"/>
      <c r="N27" s="96"/>
      <c r="O27" s="97"/>
      <c r="P27" s="99"/>
    </row>
    <row r="28" spans="1:16" s="11" customFormat="1" ht="12.75" x14ac:dyDescent="0.2">
      <c r="A28" s="154" t="s">
        <v>28</v>
      </c>
      <c r="B28" s="155">
        <f t="shared" si="0"/>
        <v>0.58333333333333326</v>
      </c>
      <c r="C28" s="156">
        <v>15</v>
      </c>
      <c r="D28" s="150">
        <f t="shared" si="1"/>
        <v>15</v>
      </c>
      <c r="E28" s="97"/>
      <c r="F28" s="98"/>
      <c r="G28" s="98"/>
      <c r="H28" s="98"/>
      <c r="I28" s="98"/>
      <c r="J28" s="99"/>
      <c r="K28" s="94"/>
      <c r="L28" s="95"/>
      <c r="M28" s="95"/>
      <c r="N28" s="96"/>
      <c r="O28" s="97"/>
      <c r="P28" s="99"/>
    </row>
    <row r="29" spans="1:16" s="11" customFormat="1" ht="12.75" x14ac:dyDescent="0.2">
      <c r="A29" s="154" t="s">
        <v>28</v>
      </c>
      <c r="B29" s="155">
        <f t="shared" si="0"/>
        <v>0.62499999999999989</v>
      </c>
      <c r="C29" s="156">
        <v>16</v>
      </c>
      <c r="D29" s="150">
        <f t="shared" si="1"/>
        <v>16</v>
      </c>
      <c r="E29" s="97"/>
      <c r="F29" s="98"/>
      <c r="G29" s="98"/>
      <c r="H29" s="98"/>
      <c r="I29" s="98"/>
      <c r="J29" s="99"/>
      <c r="K29" s="94"/>
      <c r="L29" s="95"/>
      <c r="M29" s="95"/>
      <c r="N29" s="96"/>
      <c r="O29" s="97"/>
      <c r="P29" s="99"/>
    </row>
    <row r="30" spans="1:16" s="11" customFormat="1" ht="12.75" x14ac:dyDescent="0.2">
      <c r="A30" s="154" t="s">
        <v>28</v>
      </c>
      <c r="B30" s="155">
        <f t="shared" si="0"/>
        <v>0.66666666666666652</v>
      </c>
      <c r="C30" s="156">
        <v>17</v>
      </c>
      <c r="D30" s="150">
        <f t="shared" si="1"/>
        <v>17</v>
      </c>
      <c r="E30" s="97"/>
      <c r="F30" s="98"/>
      <c r="G30" s="98"/>
      <c r="H30" s="98"/>
      <c r="I30" s="98"/>
      <c r="J30" s="99"/>
      <c r="K30" s="94"/>
      <c r="L30" s="95"/>
      <c r="M30" s="95"/>
      <c r="N30" s="96"/>
      <c r="O30" s="97"/>
      <c r="P30" s="99"/>
    </row>
    <row r="31" spans="1:16" s="11" customFormat="1" ht="12.75" x14ac:dyDescent="0.2">
      <c r="A31" s="154" t="s">
        <v>28</v>
      </c>
      <c r="B31" s="155">
        <f t="shared" si="0"/>
        <v>0.70833333333333315</v>
      </c>
      <c r="C31" s="156">
        <v>18</v>
      </c>
      <c r="D31" s="150">
        <f t="shared" si="1"/>
        <v>18</v>
      </c>
      <c r="E31" s="97"/>
      <c r="F31" s="98"/>
      <c r="G31" s="100"/>
      <c r="H31" s="98"/>
      <c r="I31" s="98"/>
      <c r="J31" s="99"/>
      <c r="K31" s="94"/>
      <c r="L31" s="95"/>
      <c r="M31" s="95"/>
      <c r="N31" s="96"/>
      <c r="O31" s="97"/>
      <c r="P31" s="99"/>
    </row>
    <row r="32" spans="1:16" s="11" customFormat="1" ht="12.75" x14ac:dyDescent="0.2">
      <c r="A32" s="154" t="s">
        <v>28</v>
      </c>
      <c r="B32" s="155">
        <f t="shared" si="0"/>
        <v>0.74999999999999978</v>
      </c>
      <c r="C32" s="156">
        <v>19</v>
      </c>
      <c r="D32" s="150">
        <f t="shared" si="1"/>
        <v>19</v>
      </c>
      <c r="E32" s="97"/>
      <c r="F32" s="98"/>
      <c r="G32" s="100"/>
      <c r="H32" s="98"/>
      <c r="I32" s="98"/>
      <c r="J32" s="99"/>
      <c r="K32" s="94"/>
      <c r="L32" s="95"/>
      <c r="M32" s="95"/>
      <c r="N32" s="96"/>
      <c r="O32" s="97"/>
      <c r="P32" s="99"/>
    </row>
    <row r="33" spans="1:16" s="11" customFormat="1" ht="12.75" x14ac:dyDescent="0.2">
      <c r="A33" s="154" t="s">
        <v>28</v>
      </c>
      <c r="B33" s="155">
        <f t="shared" si="0"/>
        <v>0.79166666666666641</v>
      </c>
      <c r="C33" s="156">
        <v>20</v>
      </c>
      <c r="D33" s="150">
        <f t="shared" si="1"/>
        <v>20</v>
      </c>
      <c r="E33" s="101"/>
      <c r="F33" s="102"/>
      <c r="G33" s="98"/>
      <c r="H33" s="98"/>
      <c r="I33" s="98"/>
      <c r="J33" s="99"/>
      <c r="K33" s="91"/>
      <c r="L33" s="92"/>
      <c r="M33" s="92"/>
      <c r="N33" s="93"/>
      <c r="O33" s="97"/>
      <c r="P33" s="99"/>
    </row>
    <row r="34" spans="1:16" s="11" customFormat="1" ht="12.75" x14ac:dyDescent="0.2">
      <c r="A34" s="154" t="s">
        <v>28</v>
      </c>
      <c r="B34" s="155">
        <f t="shared" si="0"/>
        <v>0.83333333333333304</v>
      </c>
      <c r="C34" s="156">
        <v>21</v>
      </c>
      <c r="D34" s="150">
        <f t="shared" si="1"/>
        <v>21</v>
      </c>
      <c r="E34" s="97"/>
      <c r="F34" s="98"/>
      <c r="G34" s="98"/>
      <c r="H34" s="98"/>
      <c r="I34" s="98"/>
      <c r="J34" s="99"/>
      <c r="K34" s="91"/>
      <c r="L34" s="92"/>
      <c r="M34" s="92"/>
      <c r="N34" s="93"/>
      <c r="O34" s="97"/>
      <c r="P34" s="99"/>
    </row>
    <row r="35" spans="1:16" s="11" customFormat="1" ht="12.75" x14ac:dyDescent="0.2">
      <c r="A35" s="154" t="s">
        <v>28</v>
      </c>
      <c r="B35" s="155">
        <f t="shared" si="0"/>
        <v>0.87499999999999967</v>
      </c>
      <c r="C35" s="156">
        <v>22</v>
      </c>
      <c r="D35" s="150">
        <f t="shared" si="1"/>
        <v>22</v>
      </c>
      <c r="E35" s="88"/>
      <c r="F35" s="89"/>
      <c r="G35" s="89"/>
      <c r="H35" s="89"/>
      <c r="I35" s="89"/>
      <c r="J35" s="90"/>
      <c r="K35" s="91"/>
      <c r="L35" s="92"/>
      <c r="M35" s="92"/>
      <c r="N35" s="93"/>
      <c r="O35" s="88"/>
      <c r="P35" s="90"/>
    </row>
    <row r="36" spans="1:16" s="11" customFormat="1" ht="12.75" x14ac:dyDescent="0.2">
      <c r="A36" s="154" t="s">
        <v>28</v>
      </c>
      <c r="B36" s="155">
        <f t="shared" si="0"/>
        <v>0.9166666666666663</v>
      </c>
      <c r="C36" s="156">
        <v>23</v>
      </c>
      <c r="D36" s="150">
        <f t="shared" si="1"/>
        <v>23</v>
      </c>
      <c r="E36" s="82"/>
      <c r="F36" s="83"/>
      <c r="G36" s="83"/>
      <c r="H36" s="83"/>
      <c r="I36" s="83"/>
      <c r="J36" s="84"/>
      <c r="K36" s="91"/>
      <c r="L36" s="92"/>
      <c r="M36" s="92"/>
      <c r="N36" s="93"/>
      <c r="O36" s="82"/>
      <c r="P36" s="84"/>
    </row>
    <row r="37" spans="1:16" s="11" customFormat="1" ht="12.75" x14ac:dyDescent="0.2">
      <c r="A37" s="154" t="s">
        <v>28</v>
      </c>
      <c r="B37" s="155">
        <f t="shared" si="0"/>
        <v>0.95833333333333293</v>
      </c>
      <c r="C37" s="156">
        <v>24</v>
      </c>
      <c r="D37" s="150">
        <f t="shared" si="1"/>
        <v>24</v>
      </c>
      <c r="E37" s="103"/>
      <c r="F37" s="104"/>
      <c r="G37" s="104"/>
      <c r="H37" s="104"/>
      <c r="I37" s="104"/>
      <c r="J37" s="105"/>
      <c r="K37" s="106"/>
      <c r="L37" s="107"/>
      <c r="M37" s="107"/>
      <c r="N37" s="108"/>
      <c r="O37" s="103"/>
      <c r="P37" s="105"/>
    </row>
    <row r="38" spans="1:16" s="11" customFormat="1" ht="12.75" customHeight="1" x14ac:dyDescent="0.2">
      <c r="A38" s="154" t="s">
        <v>29</v>
      </c>
      <c r="B38" s="155">
        <f t="shared" si="0"/>
        <v>0.99999999999999956</v>
      </c>
      <c r="C38" s="156">
        <v>1</v>
      </c>
      <c r="D38" s="150">
        <f t="shared" si="1"/>
        <v>25</v>
      </c>
      <c r="E38" s="74"/>
      <c r="F38" s="75"/>
      <c r="G38" s="75"/>
      <c r="H38" s="75"/>
      <c r="I38" s="75"/>
      <c r="J38" s="76"/>
      <c r="K38" s="77"/>
      <c r="L38" s="78"/>
      <c r="M38" s="78"/>
      <c r="N38" s="79"/>
      <c r="O38" s="74"/>
      <c r="P38" s="76"/>
    </row>
    <row r="39" spans="1:16" s="11" customFormat="1" ht="12.75" x14ac:dyDescent="0.2">
      <c r="A39" s="154" t="s">
        <v>29</v>
      </c>
      <c r="B39" s="155">
        <f t="shared" si="0"/>
        <v>1.0416666666666663</v>
      </c>
      <c r="C39" s="156">
        <v>2</v>
      </c>
      <c r="D39" s="150">
        <f t="shared" si="1"/>
        <v>26</v>
      </c>
      <c r="E39" s="82"/>
      <c r="F39" s="83"/>
      <c r="G39" s="83"/>
      <c r="H39" s="83"/>
      <c r="I39" s="83"/>
      <c r="J39" s="84"/>
      <c r="K39" s="85"/>
      <c r="L39" s="86"/>
      <c r="M39" s="86"/>
      <c r="N39" s="87"/>
      <c r="O39" s="82"/>
      <c r="P39" s="84"/>
    </row>
    <row r="40" spans="1:16" s="11" customFormat="1" ht="12.75" x14ac:dyDescent="0.2">
      <c r="A40" s="154" t="s">
        <v>29</v>
      </c>
      <c r="B40" s="155">
        <f t="shared" si="0"/>
        <v>1.083333333333333</v>
      </c>
      <c r="C40" s="156">
        <v>3</v>
      </c>
      <c r="D40" s="150">
        <f t="shared" si="1"/>
        <v>27</v>
      </c>
      <c r="E40" s="82"/>
      <c r="F40" s="83"/>
      <c r="G40" s="83"/>
      <c r="H40" s="83"/>
      <c r="I40" s="83"/>
      <c r="J40" s="84"/>
      <c r="K40" s="85"/>
      <c r="L40" s="86"/>
      <c r="M40" s="86"/>
      <c r="N40" s="87"/>
      <c r="O40" s="82"/>
      <c r="P40" s="84"/>
    </row>
    <row r="41" spans="1:16" s="11" customFormat="1" ht="12.75" x14ac:dyDescent="0.2">
      <c r="A41" s="154" t="s">
        <v>29</v>
      </c>
      <c r="B41" s="155">
        <f t="shared" si="0"/>
        <v>1.1249999999999998</v>
      </c>
      <c r="C41" s="156">
        <v>4</v>
      </c>
      <c r="D41" s="150">
        <f t="shared" si="1"/>
        <v>28</v>
      </c>
      <c r="E41" s="82"/>
      <c r="F41" s="83"/>
      <c r="G41" s="83"/>
      <c r="H41" s="83"/>
      <c r="I41" s="83"/>
      <c r="J41" s="84"/>
      <c r="K41" s="85"/>
      <c r="L41" s="86"/>
      <c r="M41" s="86"/>
      <c r="N41" s="87"/>
      <c r="O41" s="82"/>
      <c r="P41" s="84"/>
    </row>
    <row r="42" spans="1:16" s="11" customFormat="1" ht="12.75" x14ac:dyDescent="0.2">
      <c r="A42" s="154" t="s">
        <v>29</v>
      </c>
      <c r="B42" s="155">
        <f t="shared" si="0"/>
        <v>1.1666666666666665</v>
      </c>
      <c r="C42" s="156">
        <v>5</v>
      </c>
      <c r="D42" s="150">
        <f t="shared" si="1"/>
        <v>29</v>
      </c>
      <c r="E42" s="82"/>
      <c r="F42" s="83"/>
      <c r="G42" s="83"/>
      <c r="H42" s="83"/>
      <c r="I42" s="83"/>
      <c r="J42" s="84"/>
      <c r="K42" s="85"/>
      <c r="L42" s="86"/>
      <c r="M42" s="86"/>
      <c r="N42" s="87"/>
      <c r="O42" s="82"/>
      <c r="P42" s="84"/>
    </row>
    <row r="43" spans="1:16" s="11" customFormat="1" ht="12.75" x14ac:dyDescent="0.2">
      <c r="A43" s="154" t="s">
        <v>29</v>
      </c>
      <c r="B43" s="155">
        <f t="shared" si="0"/>
        <v>1.2083333333333333</v>
      </c>
      <c r="C43" s="156">
        <v>6</v>
      </c>
      <c r="D43" s="150">
        <f t="shared" si="1"/>
        <v>30</v>
      </c>
      <c r="E43" s="82"/>
      <c r="F43" s="83"/>
      <c r="G43" s="83"/>
      <c r="H43" s="83"/>
      <c r="I43" s="83"/>
      <c r="J43" s="84"/>
      <c r="K43" s="85"/>
      <c r="L43" s="86"/>
      <c r="M43" s="86"/>
      <c r="N43" s="87"/>
      <c r="O43" s="82"/>
      <c r="P43" s="84"/>
    </row>
    <row r="44" spans="1:16" s="11" customFormat="1" ht="12.75" x14ac:dyDescent="0.2">
      <c r="A44" s="154" t="s">
        <v>29</v>
      </c>
      <c r="B44" s="155">
        <f t="shared" si="0"/>
        <v>1.25</v>
      </c>
      <c r="C44" s="156">
        <v>7</v>
      </c>
      <c r="D44" s="150">
        <f t="shared" si="1"/>
        <v>31</v>
      </c>
      <c r="E44" s="88"/>
      <c r="F44" s="89"/>
      <c r="G44" s="89"/>
      <c r="H44" s="89"/>
      <c r="I44" s="89"/>
      <c r="J44" s="90"/>
      <c r="K44" s="91"/>
      <c r="L44" s="92"/>
      <c r="M44" s="92"/>
      <c r="N44" s="93"/>
      <c r="O44" s="88"/>
      <c r="P44" s="90"/>
    </row>
    <row r="45" spans="1:16" s="11" customFormat="1" ht="12.75" x14ac:dyDescent="0.2">
      <c r="A45" s="154" t="s">
        <v>29</v>
      </c>
      <c r="B45" s="155">
        <f t="shared" si="0"/>
        <v>1.2916666666666667</v>
      </c>
      <c r="C45" s="156">
        <v>8</v>
      </c>
      <c r="D45" s="150">
        <f t="shared" si="1"/>
        <v>32</v>
      </c>
      <c r="E45" s="88"/>
      <c r="F45" s="89"/>
      <c r="G45" s="89"/>
      <c r="H45" s="89"/>
      <c r="I45" s="89"/>
      <c r="J45" s="90"/>
      <c r="K45" s="91"/>
      <c r="L45" s="92"/>
      <c r="M45" s="92"/>
      <c r="N45" s="93"/>
      <c r="O45" s="88"/>
      <c r="P45" s="90"/>
    </row>
    <row r="46" spans="1:16" s="11" customFormat="1" ht="12.75" x14ac:dyDescent="0.2">
      <c r="A46" s="154" t="s">
        <v>29</v>
      </c>
      <c r="B46" s="155">
        <f t="shared" si="0"/>
        <v>1.3333333333333335</v>
      </c>
      <c r="C46" s="156">
        <v>9</v>
      </c>
      <c r="D46" s="150">
        <f t="shared" si="1"/>
        <v>33</v>
      </c>
      <c r="E46" s="88"/>
      <c r="F46" s="89"/>
      <c r="G46" s="89"/>
      <c r="H46" s="89"/>
      <c r="I46" s="89"/>
      <c r="J46" s="90"/>
      <c r="K46" s="91"/>
      <c r="L46" s="92"/>
      <c r="M46" s="92"/>
      <c r="N46" s="93"/>
      <c r="O46" s="88"/>
      <c r="P46" s="90"/>
    </row>
    <row r="47" spans="1:16" s="11" customFormat="1" ht="12.75" x14ac:dyDescent="0.2">
      <c r="A47" s="154" t="s">
        <v>29</v>
      </c>
      <c r="B47" s="155">
        <f t="shared" si="0"/>
        <v>1.3750000000000002</v>
      </c>
      <c r="C47" s="156">
        <v>10</v>
      </c>
      <c r="D47" s="150">
        <f t="shared" si="1"/>
        <v>34</v>
      </c>
      <c r="E47" s="88"/>
      <c r="F47" s="89"/>
      <c r="G47" s="89"/>
      <c r="H47" s="89"/>
      <c r="I47" s="89"/>
      <c r="J47" s="90"/>
      <c r="K47" s="91"/>
      <c r="L47" s="92"/>
      <c r="M47" s="92"/>
      <c r="N47" s="93"/>
      <c r="O47" s="88"/>
      <c r="P47" s="90"/>
    </row>
    <row r="48" spans="1:16" s="11" customFormat="1" ht="12.75" x14ac:dyDescent="0.2">
      <c r="A48" s="154" t="s">
        <v>29</v>
      </c>
      <c r="B48" s="155">
        <f t="shared" si="0"/>
        <v>1.416666666666667</v>
      </c>
      <c r="C48" s="156">
        <v>11</v>
      </c>
      <c r="D48" s="150">
        <f t="shared" si="1"/>
        <v>35</v>
      </c>
      <c r="E48" s="88"/>
      <c r="F48" s="89"/>
      <c r="G48" s="89"/>
      <c r="H48" s="89"/>
      <c r="I48" s="89"/>
      <c r="J48" s="90"/>
      <c r="K48" s="91"/>
      <c r="L48" s="92"/>
      <c r="M48" s="92"/>
      <c r="N48" s="93"/>
      <c r="O48" s="88"/>
      <c r="P48" s="90"/>
    </row>
    <row r="49" spans="1:16" s="11" customFormat="1" ht="12.75" x14ac:dyDescent="0.2">
      <c r="A49" s="154" t="s">
        <v>29</v>
      </c>
      <c r="B49" s="155">
        <f t="shared" si="0"/>
        <v>1.4583333333333337</v>
      </c>
      <c r="C49" s="156">
        <v>12</v>
      </c>
      <c r="D49" s="150">
        <f t="shared" si="1"/>
        <v>36</v>
      </c>
      <c r="E49" s="88"/>
      <c r="F49" s="89"/>
      <c r="G49" s="89"/>
      <c r="H49" s="89"/>
      <c r="I49" s="89"/>
      <c r="J49" s="90"/>
      <c r="K49" s="94"/>
      <c r="L49" s="95"/>
      <c r="M49" s="95"/>
      <c r="N49" s="96"/>
      <c r="O49" s="88"/>
      <c r="P49" s="90"/>
    </row>
    <row r="50" spans="1:16" s="11" customFormat="1" ht="12.75" x14ac:dyDescent="0.2">
      <c r="A50" s="154" t="s">
        <v>29</v>
      </c>
      <c r="B50" s="155">
        <f t="shared" si="0"/>
        <v>1.5000000000000004</v>
      </c>
      <c r="C50" s="156">
        <v>13</v>
      </c>
      <c r="D50" s="150">
        <f t="shared" si="1"/>
        <v>37</v>
      </c>
      <c r="E50" s="88"/>
      <c r="F50" s="89"/>
      <c r="G50" s="89"/>
      <c r="H50" s="89"/>
      <c r="I50" s="89"/>
      <c r="J50" s="90"/>
      <c r="K50" s="94"/>
      <c r="L50" s="95"/>
      <c r="M50" s="95"/>
      <c r="N50" s="96"/>
      <c r="O50" s="88"/>
      <c r="P50" s="90"/>
    </row>
    <row r="51" spans="1:16" s="11" customFormat="1" ht="12.75" x14ac:dyDescent="0.2">
      <c r="A51" s="154" t="s">
        <v>29</v>
      </c>
      <c r="B51" s="155">
        <f t="shared" si="0"/>
        <v>1.5416666666666672</v>
      </c>
      <c r="C51" s="156">
        <v>14</v>
      </c>
      <c r="D51" s="150">
        <f t="shared" si="1"/>
        <v>38</v>
      </c>
      <c r="E51" s="97"/>
      <c r="F51" s="98"/>
      <c r="G51" s="98"/>
      <c r="H51" s="98"/>
      <c r="I51" s="98"/>
      <c r="J51" s="99"/>
      <c r="K51" s="94"/>
      <c r="L51" s="95"/>
      <c r="M51" s="95"/>
      <c r="N51" s="96"/>
      <c r="O51" s="97"/>
      <c r="P51" s="99"/>
    </row>
    <row r="52" spans="1:16" s="11" customFormat="1" ht="12.75" x14ac:dyDescent="0.2">
      <c r="A52" s="154" t="s">
        <v>29</v>
      </c>
      <c r="B52" s="155">
        <f t="shared" si="0"/>
        <v>1.5833333333333339</v>
      </c>
      <c r="C52" s="156">
        <v>15</v>
      </c>
      <c r="D52" s="150">
        <f t="shared" si="1"/>
        <v>39</v>
      </c>
      <c r="E52" s="97"/>
      <c r="F52" s="98"/>
      <c r="G52" s="98"/>
      <c r="H52" s="98"/>
      <c r="I52" s="98"/>
      <c r="J52" s="99"/>
      <c r="K52" s="94"/>
      <c r="L52" s="95"/>
      <c r="M52" s="95"/>
      <c r="N52" s="96"/>
      <c r="O52" s="97"/>
      <c r="P52" s="99"/>
    </row>
    <row r="53" spans="1:16" s="11" customFormat="1" ht="12.75" x14ac:dyDescent="0.2">
      <c r="A53" s="154" t="s">
        <v>29</v>
      </c>
      <c r="B53" s="155">
        <f t="shared" si="0"/>
        <v>1.6250000000000007</v>
      </c>
      <c r="C53" s="156">
        <v>16</v>
      </c>
      <c r="D53" s="150">
        <f t="shared" si="1"/>
        <v>40</v>
      </c>
      <c r="E53" s="97"/>
      <c r="F53" s="98"/>
      <c r="G53" s="98"/>
      <c r="H53" s="98"/>
      <c r="I53" s="98"/>
      <c r="J53" s="99"/>
      <c r="K53" s="94"/>
      <c r="L53" s="95"/>
      <c r="M53" s="95"/>
      <c r="N53" s="96"/>
      <c r="O53" s="97"/>
      <c r="P53" s="99"/>
    </row>
    <row r="54" spans="1:16" s="11" customFormat="1" ht="12.75" x14ac:dyDescent="0.2">
      <c r="A54" s="154" t="s">
        <v>29</v>
      </c>
      <c r="B54" s="155">
        <f t="shared" si="0"/>
        <v>1.6666666666666674</v>
      </c>
      <c r="C54" s="156">
        <v>17</v>
      </c>
      <c r="D54" s="150">
        <f t="shared" si="1"/>
        <v>41</v>
      </c>
      <c r="E54" s="97"/>
      <c r="F54" s="98"/>
      <c r="G54" s="98"/>
      <c r="H54" s="98"/>
      <c r="I54" s="98"/>
      <c r="J54" s="99"/>
      <c r="K54" s="94"/>
      <c r="L54" s="95"/>
      <c r="M54" s="95"/>
      <c r="N54" s="96"/>
      <c r="O54" s="97"/>
      <c r="P54" s="99"/>
    </row>
    <row r="55" spans="1:16" s="11" customFormat="1" ht="12.75" x14ac:dyDescent="0.2">
      <c r="A55" s="154" t="s">
        <v>29</v>
      </c>
      <c r="B55" s="155">
        <f t="shared" si="0"/>
        <v>1.7083333333333341</v>
      </c>
      <c r="C55" s="156">
        <v>18</v>
      </c>
      <c r="D55" s="150">
        <f t="shared" si="1"/>
        <v>42</v>
      </c>
      <c r="E55" s="97"/>
      <c r="F55" s="98"/>
      <c r="G55" s="98"/>
      <c r="H55" s="98"/>
      <c r="I55" s="98"/>
      <c r="J55" s="99"/>
      <c r="K55" s="94"/>
      <c r="L55" s="95"/>
      <c r="M55" s="95"/>
      <c r="N55" s="96"/>
      <c r="O55" s="97"/>
      <c r="P55" s="99"/>
    </row>
    <row r="56" spans="1:16" s="11" customFormat="1" ht="12.75" x14ac:dyDescent="0.2">
      <c r="A56" s="154" t="s">
        <v>29</v>
      </c>
      <c r="B56" s="155">
        <f t="shared" si="0"/>
        <v>1.7500000000000009</v>
      </c>
      <c r="C56" s="156">
        <v>19</v>
      </c>
      <c r="D56" s="150">
        <f t="shared" si="1"/>
        <v>43</v>
      </c>
      <c r="E56" s="97"/>
      <c r="F56" s="98"/>
      <c r="G56" s="98"/>
      <c r="H56" s="98"/>
      <c r="I56" s="98"/>
      <c r="J56" s="99"/>
      <c r="K56" s="94"/>
      <c r="L56" s="95"/>
      <c r="M56" s="95"/>
      <c r="N56" s="96"/>
      <c r="O56" s="97"/>
      <c r="P56" s="99"/>
    </row>
    <row r="57" spans="1:16" s="11" customFormat="1" ht="12.75" x14ac:dyDescent="0.2">
      <c r="A57" s="154" t="s">
        <v>29</v>
      </c>
      <c r="B57" s="155">
        <f t="shared" si="0"/>
        <v>1.7916666666666676</v>
      </c>
      <c r="C57" s="156">
        <v>20</v>
      </c>
      <c r="D57" s="150">
        <f t="shared" si="1"/>
        <v>44</v>
      </c>
      <c r="E57" s="97"/>
      <c r="F57" s="98"/>
      <c r="G57" s="98"/>
      <c r="H57" s="98"/>
      <c r="I57" s="98"/>
      <c r="J57" s="99"/>
      <c r="K57" s="91"/>
      <c r="L57" s="92"/>
      <c r="M57" s="92"/>
      <c r="N57" s="93"/>
      <c r="O57" s="97"/>
      <c r="P57" s="99"/>
    </row>
    <row r="58" spans="1:16" s="11" customFormat="1" ht="12.75" x14ac:dyDescent="0.2">
      <c r="A58" s="154" t="s">
        <v>29</v>
      </c>
      <c r="B58" s="155">
        <f t="shared" si="0"/>
        <v>1.8333333333333344</v>
      </c>
      <c r="C58" s="156">
        <v>21</v>
      </c>
      <c r="D58" s="150">
        <f t="shared" si="1"/>
        <v>45</v>
      </c>
      <c r="E58" s="97"/>
      <c r="F58" s="98"/>
      <c r="G58" s="98"/>
      <c r="H58" s="98"/>
      <c r="I58" s="98"/>
      <c r="J58" s="99"/>
      <c r="K58" s="91"/>
      <c r="L58" s="92"/>
      <c r="M58" s="92"/>
      <c r="N58" s="93"/>
      <c r="O58" s="97"/>
      <c r="P58" s="99"/>
    </row>
    <row r="59" spans="1:16" s="11" customFormat="1" ht="12.75" x14ac:dyDescent="0.2">
      <c r="A59" s="154" t="s">
        <v>29</v>
      </c>
      <c r="B59" s="155">
        <f t="shared" si="0"/>
        <v>1.8750000000000011</v>
      </c>
      <c r="C59" s="156">
        <v>22</v>
      </c>
      <c r="D59" s="150">
        <f t="shared" si="1"/>
        <v>46</v>
      </c>
      <c r="E59" s="88"/>
      <c r="F59" s="89"/>
      <c r="G59" s="89"/>
      <c r="H59" s="89"/>
      <c r="I59" s="89"/>
      <c r="J59" s="90"/>
      <c r="K59" s="91"/>
      <c r="L59" s="92"/>
      <c r="M59" s="92"/>
      <c r="N59" s="93"/>
      <c r="O59" s="88"/>
      <c r="P59" s="90"/>
    </row>
    <row r="60" spans="1:16" s="11" customFormat="1" ht="12.75" x14ac:dyDescent="0.2">
      <c r="A60" s="154" t="s">
        <v>29</v>
      </c>
      <c r="B60" s="155">
        <f t="shared" si="0"/>
        <v>1.9166666666666679</v>
      </c>
      <c r="C60" s="156">
        <v>23</v>
      </c>
      <c r="D60" s="150">
        <f t="shared" si="1"/>
        <v>47</v>
      </c>
      <c r="E60" s="82"/>
      <c r="F60" s="83"/>
      <c r="G60" s="83"/>
      <c r="H60" s="83"/>
      <c r="I60" s="83"/>
      <c r="J60" s="84"/>
      <c r="K60" s="91"/>
      <c r="L60" s="92"/>
      <c r="M60" s="92"/>
      <c r="N60" s="93"/>
      <c r="O60" s="82"/>
      <c r="P60" s="84"/>
    </row>
    <row r="61" spans="1:16" s="11" customFormat="1" ht="12.75" x14ac:dyDescent="0.2">
      <c r="A61" s="154" t="s">
        <v>29</v>
      </c>
      <c r="B61" s="155">
        <f t="shared" si="0"/>
        <v>1.9583333333333346</v>
      </c>
      <c r="C61" s="156">
        <v>24</v>
      </c>
      <c r="D61" s="150">
        <f t="shared" si="1"/>
        <v>48</v>
      </c>
      <c r="E61" s="103"/>
      <c r="F61" s="104"/>
      <c r="G61" s="104"/>
      <c r="H61" s="104"/>
      <c r="I61" s="104"/>
      <c r="J61" s="105"/>
      <c r="K61" s="106"/>
      <c r="L61" s="107"/>
      <c r="M61" s="107"/>
      <c r="N61" s="108"/>
      <c r="O61" s="103"/>
      <c r="P61" s="105"/>
    </row>
    <row r="62" spans="1:16" s="11" customFormat="1" ht="12.75" customHeight="1" x14ac:dyDescent="0.2">
      <c r="A62" s="154" t="s">
        <v>30</v>
      </c>
      <c r="B62" s="155">
        <f t="shared" si="0"/>
        <v>2.0000000000000013</v>
      </c>
      <c r="C62" s="156">
        <v>1</v>
      </c>
      <c r="D62" s="150">
        <f t="shared" si="1"/>
        <v>49</v>
      </c>
      <c r="E62" s="74"/>
      <c r="F62" s="75"/>
      <c r="G62" s="75"/>
      <c r="H62" s="75"/>
      <c r="I62" s="75"/>
      <c r="J62" s="76"/>
      <c r="K62" s="77"/>
      <c r="L62" s="78"/>
      <c r="M62" s="78"/>
      <c r="N62" s="79"/>
      <c r="O62" s="74"/>
      <c r="P62" s="76"/>
    </row>
    <row r="63" spans="1:16" s="11" customFormat="1" ht="12.75" x14ac:dyDescent="0.2">
      <c r="A63" s="154" t="s">
        <v>30</v>
      </c>
      <c r="B63" s="155">
        <f t="shared" si="0"/>
        <v>2.0416666666666679</v>
      </c>
      <c r="C63" s="156">
        <v>2</v>
      </c>
      <c r="D63" s="150">
        <f t="shared" si="1"/>
        <v>50</v>
      </c>
      <c r="E63" s="82"/>
      <c r="F63" s="83"/>
      <c r="G63" s="83"/>
      <c r="H63" s="83"/>
      <c r="I63" s="83"/>
      <c r="J63" s="84"/>
      <c r="K63" s="85"/>
      <c r="L63" s="86"/>
      <c r="M63" s="86"/>
      <c r="N63" s="87"/>
      <c r="O63" s="82"/>
      <c r="P63" s="84"/>
    </row>
    <row r="64" spans="1:16" s="11" customFormat="1" ht="12.75" x14ac:dyDescent="0.2">
      <c r="A64" s="154" t="s">
        <v>30</v>
      </c>
      <c r="B64" s="155">
        <f t="shared" si="0"/>
        <v>2.0833333333333344</v>
      </c>
      <c r="C64" s="156">
        <v>3</v>
      </c>
      <c r="D64" s="150">
        <f t="shared" si="1"/>
        <v>51</v>
      </c>
      <c r="E64" s="82"/>
      <c r="F64" s="83"/>
      <c r="G64" s="83"/>
      <c r="H64" s="83"/>
      <c r="I64" s="83"/>
      <c r="J64" s="84"/>
      <c r="K64" s="85"/>
      <c r="L64" s="86"/>
      <c r="M64" s="86"/>
      <c r="N64" s="87"/>
      <c r="O64" s="82"/>
      <c r="P64" s="84"/>
    </row>
    <row r="65" spans="1:16" s="11" customFormat="1" ht="12.75" x14ac:dyDescent="0.2">
      <c r="A65" s="154" t="s">
        <v>30</v>
      </c>
      <c r="B65" s="155">
        <f t="shared" si="0"/>
        <v>2.1250000000000009</v>
      </c>
      <c r="C65" s="156">
        <v>4</v>
      </c>
      <c r="D65" s="150">
        <f t="shared" si="1"/>
        <v>52</v>
      </c>
      <c r="E65" s="82"/>
      <c r="F65" s="83"/>
      <c r="G65" s="83"/>
      <c r="H65" s="83"/>
      <c r="I65" s="83"/>
      <c r="J65" s="84"/>
      <c r="K65" s="85"/>
      <c r="L65" s="86"/>
      <c r="M65" s="86"/>
      <c r="N65" s="87"/>
      <c r="O65" s="82"/>
      <c r="P65" s="84"/>
    </row>
    <row r="66" spans="1:16" s="11" customFormat="1" ht="12.75" x14ac:dyDescent="0.2">
      <c r="A66" s="154" t="s">
        <v>30</v>
      </c>
      <c r="B66" s="155">
        <f t="shared" si="0"/>
        <v>2.1666666666666674</v>
      </c>
      <c r="C66" s="156">
        <v>5</v>
      </c>
      <c r="D66" s="150">
        <f t="shared" si="1"/>
        <v>53</v>
      </c>
      <c r="E66" s="82"/>
      <c r="F66" s="83"/>
      <c r="G66" s="83"/>
      <c r="H66" s="83"/>
      <c r="I66" s="83"/>
      <c r="J66" s="84"/>
      <c r="K66" s="85"/>
      <c r="L66" s="86"/>
      <c r="M66" s="86"/>
      <c r="N66" s="87"/>
      <c r="O66" s="82"/>
      <c r="P66" s="84"/>
    </row>
    <row r="67" spans="1:16" s="11" customFormat="1" ht="12.75" x14ac:dyDescent="0.2">
      <c r="A67" s="154" t="s">
        <v>30</v>
      </c>
      <c r="B67" s="155">
        <f t="shared" si="0"/>
        <v>2.2083333333333339</v>
      </c>
      <c r="C67" s="156">
        <v>6</v>
      </c>
      <c r="D67" s="150">
        <f t="shared" si="1"/>
        <v>54</v>
      </c>
      <c r="E67" s="82"/>
      <c r="F67" s="83"/>
      <c r="G67" s="83"/>
      <c r="H67" s="83"/>
      <c r="I67" s="83"/>
      <c r="J67" s="84"/>
      <c r="K67" s="85"/>
      <c r="L67" s="86"/>
      <c r="M67" s="86"/>
      <c r="N67" s="87"/>
      <c r="O67" s="82"/>
      <c r="P67" s="84"/>
    </row>
    <row r="68" spans="1:16" s="11" customFormat="1" ht="12.75" x14ac:dyDescent="0.2">
      <c r="A68" s="154" t="s">
        <v>30</v>
      </c>
      <c r="B68" s="155">
        <f t="shared" si="0"/>
        <v>2.2500000000000004</v>
      </c>
      <c r="C68" s="156">
        <v>7</v>
      </c>
      <c r="D68" s="150">
        <f t="shared" si="1"/>
        <v>55</v>
      </c>
      <c r="E68" s="88"/>
      <c r="F68" s="89"/>
      <c r="G68" s="89"/>
      <c r="H68" s="89"/>
      <c r="I68" s="89"/>
      <c r="J68" s="90"/>
      <c r="K68" s="91"/>
      <c r="L68" s="92"/>
      <c r="M68" s="92"/>
      <c r="N68" s="93"/>
      <c r="O68" s="88"/>
      <c r="P68" s="90"/>
    </row>
    <row r="69" spans="1:16" s="11" customFormat="1" ht="12.75" x14ac:dyDescent="0.2">
      <c r="A69" s="154" t="s">
        <v>30</v>
      </c>
      <c r="B69" s="155">
        <f t="shared" si="0"/>
        <v>2.291666666666667</v>
      </c>
      <c r="C69" s="156">
        <v>8</v>
      </c>
      <c r="D69" s="150">
        <f t="shared" si="1"/>
        <v>56</v>
      </c>
      <c r="E69" s="88"/>
      <c r="F69" s="89"/>
      <c r="G69" s="89"/>
      <c r="H69" s="89"/>
      <c r="I69" s="89"/>
      <c r="J69" s="90"/>
      <c r="K69" s="91"/>
      <c r="L69" s="92"/>
      <c r="M69" s="92"/>
      <c r="N69" s="93"/>
      <c r="O69" s="88"/>
      <c r="P69" s="90"/>
    </row>
    <row r="70" spans="1:16" s="11" customFormat="1" ht="12.75" x14ac:dyDescent="0.2">
      <c r="A70" s="154" t="s">
        <v>30</v>
      </c>
      <c r="B70" s="155">
        <f t="shared" si="0"/>
        <v>2.3333333333333335</v>
      </c>
      <c r="C70" s="156">
        <v>9</v>
      </c>
      <c r="D70" s="150">
        <f t="shared" si="1"/>
        <v>57</v>
      </c>
      <c r="E70" s="88"/>
      <c r="F70" s="89"/>
      <c r="G70" s="89"/>
      <c r="H70" s="89"/>
      <c r="I70" s="89"/>
      <c r="J70" s="90"/>
      <c r="K70" s="91"/>
      <c r="L70" s="92"/>
      <c r="M70" s="92"/>
      <c r="N70" s="93"/>
      <c r="O70" s="88"/>
      <c r="P70" s="90"/>
    </row>
    <row r="71" spans="1:16" s="11" customFormat="1" ht="12.75" x14ac:dyDescent="0.2">
      <c r="A71" s="154" t="s">
        <v>30</v>
      </c>
      <c r="B71" s="155">
        <f t="shared" si="0"/>
        <v>2.375</v>
      </c>
      <c r="C71" s="156">
        <v>10</v>
      </c>
      <c r="D71" s="150">
        <f t="shared" si="1"/>
        <v>58</v>
      </c>
      <c r="E71" s="88"/>
      <c r="F71" s="89"/>
      <c r="G71" s="89"/>
      <c r="H71" s="89"/>
      <c r="I71" s="89"/>
      <c r="J71" s="90"/>
      <c r="K71" s="91"/>
      <c r="L71" s="92"/>
      <c r="M71" s="92"/>
      <c r="N71" s="93"/>
      <c r="O71" s="88"/>
      <c r="P71" s="90"/>
    </row>
    <row r="72" spans="1:16" s="11" customFormat="1" ht="12.75" x14ac:dyDescent="0.2">
      <c r="A72" s="154" t="s">
        <v>30</v>
      </c>
      <c r="B72" s="155">
        <f t="shared" si="0"/>
        <v>2.4166666666666665</v>
      </c>
      <c r="C72" s="156">
        <v>11</v>
      </c>
      <c r="D72" s="150">
        <f t="shared" si="1"/>
        <v>59</v>
      </c>
      <c r="E72" s="88"/>
      <c r="F72" s="89"/>
      <c r="G72" s="89"/>
      <c r="H72" s="89"/>
      <c r="I72" s="89"/>
      <c r="J72" s="90"/>
      <c r="K72" s="91"/>
      <c r="L72" s="92"/>
      <c r="M72" s="92"/>
      <c r="N72" s="93"/>
      <c r="O72" s="88"/>
      <c r="P72" s="90"/>
    </row>
    <row r="73" spans="1:16" s="11" customFormat="1" ht="12.75" x14ac:dyDescent="0.2">
      <c r="A73" s="154" t="s">
        <v>30</v>
      </c>
      <c r="B73" s="155">
        <f t="shared" si="0"/>
        <v>2.458333333333333</v>
      </c>
      <c r="C73" s="156">
        <v>12</v>
      </c>
      <c r="D73" s="150">
        <f t="shared" si="1"/>
        <v>60</v>
      </c>
      <c r="E73" s="88"/>
      <c r="F73" s="89"/>
      <c r="G73" s="89"/>
      <c r="H73" s="89"/>
      <c r="I73" s="89"/>
      <c r="J73" s="90"/>
      <c r="K73" s="94"/>
      <c r="L73" s="95"/>
      <c r="M73" s="95"/>
      <c r="N73" s="96"/>
      <c r="O73" s="88"/>
      <c r="P73" s="90"/>
    </row>
    <row r="74" spans="1:16" s="11" customFormat="1" ht="12.75" x14ac:dyDescent="0.2">
      <c r="A74" s="154" t="s">
        <v>30</v>
      </c>
      <c r="B74" s="155">
        <f t="shared" si="0"/>
        <v>2.4999999999999996</v>
      </c>
      <c r="C74" s="156">
        <v>13</v>
      </c>
      <c r="D74" s="150">
        <f t="shared" si="1"/>
        <v>61</v>
      </c>
      <c r="E74" s="88"/>
      <c r="F74" s="89"/>
      <c r="G74" s="89"/>
      <c r="H74" s="89"/>
      <c r="I74" s="89"/>
      <c r="J74" s="90"/>
      <c r="K74" s="94"/>
      <c r="L74" s="95"/>
      <c r="M74" s="95"/>
      <c r="N74" s="96"/>
      <c r="O74" s="88"/>
      <c r="P74" s="90"/>
    </row>
    <row r="75" spans="1:16" s="11" customFormat="1" ht="12.75" x14ac:dyDescent="0.2">
      <c r="A75" s="154" t="s">
        <v>30</v>
      </c>
      <c r="B75" s="155">
        <f t="shared" si="0"/>
        <v>2.5416666666666661</v>
      </c>
      <c r="C75" s="156">
        <v>14</v>
      </c>
      <c r="D75" s="150">
        <f t="shared" si="1"/>
        <v>62</v>
      </c>
      <c r="E75" s="97"/>
      <c r="F75" s="98"/>
      <c r="G75" s="98"/>
      <c r="H75" s="98"/>
      <c r="I75" s="98"/>
      <c r="J75" s="99"/>
      <c r="K75" s="94"/>
      <c r="L75" s="95"/>
      <c r="M75" s="95"/>
      <c r="N75" s="96"/>
      <c r="O75" s="97"/>
      <c r="P75" s="99"/>
    </row>
    <row r="76" spans="1:16" s="11" customFormat="1" ht="12.75" x14ac:dyDescent="0.2">
      <c r="A76" s="154" t="s">
        <v>30</v>
      </c>
      <c r="B76" s="155">
        <f t="shared" si="0"/>
        <v>2.5833333333333326</v>
      </c>
      <c r="C76" s="156">
        <v>15</v>
      </c>
      <c r="D76" s="150">
        <f t="shared" si="1"/>
        <v>63</v>
      </c>
      <c r="E76" s="97"/>
      <c r="F76" s="98"/>
      <c r="G76" s="98"/>
      <c r="H76" s="98"/>
      <c r="I76" s="98"/>
      <c r="J76" s="99"/>
      <c r="K76" s="94"/>
      <c r="L76" s="95"/>
      <c r="M76" s="95"/>
      <c r="N76" s="96"/>
      <c r="O76" s="97"/>
      <c r="P76" s="99"/>
    </row>
    <row r="77" spans="1:16" s="11" customFormat="1" ht="12.75" x14ac:dyDescent="0.2">
      <c r="A77" s="154" t="s">
        <v>30</v>
      </c>
      <c r="B77" s="155">
        <f t="shared" si="0"/>
        <v>2.6249999999999991</v>
      </c>
      <c r="C77" s="156">
        <v>16</v>
      </c>
      <c r="D77" s="150">
        <f t="shared" si="1"/>
        <v>64</v>
      </c>
      <c r="E77" s="97"/>
      <c r="F77" s="98"/>
      <c r="G77" s="98"/>
      <c r="H77" s="98"/>
      <c r="I77" s="98"/>
      <c r="J77" s="99"/>
      <c r="K77" s="94"/>
      <c r="L77" s="95"/>
      <c r="M77" s="95"/>
      <c r="N77" s="96"/>
      <c r="O77" s="97"/>
      <c r="P77" s="99"/>
    </row>
    <row r="78" spans="1:16" s="11" customFormat="1" ht="12.75" x14ac:dyDescent="0.2">
      <c r="A78" s="154" t="s">
        <v>30</v>
      </c>
      <c r="B78" s="155">
        <f t="shared" si="0"/>
        <v>2.6666666666666656</v>
      </c>
      <c r="C78" s="156">
        <v>17</v>
      </c>
      <c r="D78" s="150">
        <f t="shared" si="1"/>
        <v>65</v>
      </c>
      <c r="E78" s="97"/>
      <c r="F78" s="98"/>
      <c r="G78" s="98"/>
      <c r="H78" s="98"/>
      <c r="I78" s="98"/>
      <c r="J78" s="99"/>
      <c r="K78" s="94"/>
      <c r="L78" s="95"/>
      <c r="M78" s="95"/>
      <c r="N78" s="96"/>
      <c r="O78" s="97"/>
      <c r="P78" s="99"/>
    </row>
    <row r="79" spans="1:16" s="11" customFormat="1" ht="12.75" x14ac:dyDescent="0.2">
      <c r="A79" s="154" t="s">
        <v>30</v>
      </c>
      <c r="B79" s="155">
        <f t="shared" si="0"/>
        <v>2.7083333333333321</v>
      </c>
      <c r="C79" s="156">
        <v>18</v>
      </c>
      <c r="D79" s="150">
        <f t="shared" si="1"/>
        <v>66</v>
      </c>
      <c r="E79" s="97"/>
      <c r="F79" s="98"/>
      <c r="G79" s="98"/>
      <c r="H79" s="98"/>
      <c r="I79" s="98"/>
      <c r="J79" s="99"/>
      <c r="K79" s="94"/>
      <c r="L79" s="95"/>
      <c r="M79" s="95"/>
      <c r="N79" s="96"/>
      <c r="O79" s="97"/>
      <c r="P79" s="99"/>
    </row>
    <row r="80" spans="1:16" s="11" customFormat="1" ht="12.75" x14ac:dyDescent="0.2">
      <c r="A80" s="154" t="s">
        <v>30</v>
      </c>
      <c r="B80" s="155">
        <f t="shared" ref="B80:B143" si="2">B79+(1/24)</f>
        <v>2.7499999999999987</v>
      </c>
      <c r="C80" s="156">
        <v>19</v>
      </c>
      <c r="D80" s="150">
        <f t="shared" ref="D80:D143" si="3">D79+1</f>
        <v>67</v>
      </c>
      <c r="E80" s="97"/>
      <c r="F80" s="98"/>
      <c r="G80" s="98"/>
      <c r="H80" s="98"/>
      <c r="I80" s="98"/>
      <c r="J80" s="99"/>
      <c r="K80" s="94"/>
      <c r="L80" s="95"/>
      <c r="M80" s="95"/>
      <c r="N80" s="96"/>
      <c r="O80" s="97"/>
      <c r="P80" s="99"/>
    </row>
    <row r="81" spans="1:16" s="11" customFormat="1" ht="12.75" x14ac:dyDescent="0.2">
      <c r="A81" s="154" t="s">
        <v>30</v>
      </c>
      <c r="B81" s="155">
        <f t="shared" si="2"/>
        <v>2.7916666666666652</v>
      </c>
      <c r="C81" s="156">
        <v>20</v>
      </c>
      <c r="D81" s="150">
        <f t="shared" si="3"/>
        <v>68</v>
      </c>
      <c r="E81" s="97"/>
      <c r="F81" s="98"/>
      <c r="G81" s="98"/>
      <c r="H81" s="98"/>
      <c r="I81" s="98"/>
      <c r="J81" s="99"/>
      <c r="K81" s="91"/>
      <c r="L81" s="92"/>
      <c r="M81" s="92"/>
      <c r="N81" s="93"/>
      <c r="O81" s="97"/>
      <c r="P81" s="99"/>
    </row>
    <row r="82" spans="1:16" s="11" customFormat="1" ht="12.75" x14ac:dyDescent="0.2">
      <c r="A82" s="154" t="s">
        <v>30</v>
      </c>
      <c r="B82" s="155">
        <f t="shared" si="2"/>
        <v>2.8333333333333317</v>
      </c>
      <c r="C82" s="156">
        <v>21</v>
      </c>
      <c r="D82" s="150">
        <f t="shared" si="3"/>
        <v>69</v>
      </c>
      <c r="E82" s="97"/>
      <c r="F82" s="98"/>
      <c r="G82" s="98"/>
      <c r="H82" s="98"/>
      <c r="I82" s="98"/>
      <c r="J82" s="99"/>
      <c r="K82" s="91"/>
      <c r="L82" s="92"/>
      <c r="M82" s="92"/>
      <c r="N82" s="93"/>
      <c r="O82" s="97"/>
      <c r="P82" s="99"/>
    </row>
    <row r="83" spans="1:16" s="11" customFormat="1" ht="12.75" x14ac:dyDescent="0.2">
      <c r="A83" s="154" t="s">
        <v>30</v>
      </c>
      <c r="B83" s="155">
        <f t="shared" si="2"/>
        <v>2.8749999999999982</v>
      </c>
      <c r="C83" s="156">
        <v>22</v>
      </c>
      <c r="D83" s="150">
        <f t="shared" si="3"/>
        <v>70</v>
      </c>
      <c r="E83" s="88"/>
      <c r="F83" s="89"/>
      <c r="G83" s="89"/>
      <c r="H83" s="89"/>
      <c r="I83" s="89"/>
      <c r="J83" s="90"/>
      <c r="K83" s="91"/>
      <c r="L83" s="92"/>
      <c r="M83" s="92"/>
      <c r="N83" s="93"/>
      <c r="O83" s="88"/>
      <c r="P83" s="90"/>
    </row>
    <row r="84" spans="1:16" s="11" customFormat="1" ht="12.75" x14ac:dyDescent="0.2">
      <c r="A84" s="154" t="s">
        <v>30</v>
      </c>
      <c r="B84" s="155">
        <f t="shared" si="2"/>
        <v>2.9166666666666647</v>
      </c>
      <c r="C84" s="156">
        <v>23</v>
      </c>
      <c r="D84" s="150">
        <f t="shared" si="3"/>
        <v>71</v>
      </c>
      <c r="E84" s="82"/>
      <c r="F84" s="83"/>
      <c r="G84" s="83"/>
      <c r="H84" s="83"/>
      <c r="I84" s="83"/>
      <c r="J84" s="84"/>
      <c r="K84" s="91"/>
      <c r="L84" s="92"/>
      <c r="M84" s="92"/>
      <c r="N84" s="93"/>
      <c r="O84" s="82"/>
      <c r="P84" s="84"/>
    </row>
    <row r="85" spans="1:16" s="11" customFormat="1" ht="12.75" x14ac:dyDescent="0.2">
      <c r="A85" s="154" t="s">
        <v>30</v>
      </c>
      <c r="B85" s="155">
        <f t="shared" si="2"/>
        <v>2.9583333333333313</v>
      </c>
      <c r="C85" s="156">
        <v>24</v>
      </c>
      <c r="D85" s="150">
        <f t="shared" si="3"/>
        <v>72</v>
      </c>
      <c r="E85" s="103"/>
      <c r="F85" s="104"/>
      <c r="G85" s="104"/>
      <c r="H85" s="104"/>
      <c r="I85" s="104"/>
      <c r="J85" s="105"/>
      <c r="K85" s="106"/>
      <c r="L85" s="107"/>
      <c r="M85" s="107"/>
      <c r="N85" s="108"/>
      <c r="O85" s="103"/>
      <c r="P85" s="105"/>
    </row>
    <row r="86" spans="1:16" s="11" customFormat="1" ht="12.75" x14ac:dyDescent="0.2">
      <c r="A86" s="154" t="s">
        <v>31</v>
      </c>
      <c r="B86" s="155">
        <f t="shared" si="2"/>
        <v>2.9999999999999978</v>
      </c>
      <c r="C86" s="156">
        <v>1</v>
      </c>
      <c r="D86" s="150">
        <f t="shared" si="3"/>
        <v>73</v>
      </c>
      <c r="E86" s="74"/>
      <c r="F86" s="75"/>
      <c r="G86" s="75"/>
      <c r="H86" s="75"/>
      <c r="I86" s="75"/>
      <c r="J86" s="76"/>
      <c r="K86" s="77"/>
      <c r="L86" s="78"/>
      <c r="M86" s="78"/>
      <c r="N86" s="79"/>
      <c r="O86" s="74"/>
      <c r="P86" s="76"/>
    </row>
    <row r="87" spans="1:16" s="11" customFormat="1" ht="12.75" customHeight="1" x14ac:dyDescent="0.2">
      <c r="A87" s="154" t="s">
        <v>31</v>
      </c>
      <c r="B87" s="155">
        <f t="shared" si="2"/>
        <v>3.0416666666666643</v>
      </c>
      <c r="C87" s="156">
        <v>2</v>
      </c>
      <c r="D87" s="150">
        <f t="shared" si="3"/>
        <v>74</v>
      </c>
      <c r="E87" s="82"/>
      <c r="F87" s="83"/>
      <c r="G87" s="83"/>
      <c r="H87" s="83"/>
      <c r="I87" s="83"/>
      <c r="J87" s="84"/>
      <c r="K87" s="85"/>
      <c r="L87" s="86"/>
      <c r="M87" s="86"/>
      <c r="N87" s="87"/>
      <c r="O87" s="82"/>
      <c r="P87" s="84"/>
    </row>
    <row r="88" spans="1:16" s="11" customFormat="1" ht="12.75" x14ac:dyDescent="0.2">
      <c r="A88" s="154" t="s">
        <v>31</v>
      </c>
      <c r="B88" s="155">
        <f t="shared" si="2"/>
        <v>3.0833333333333308</v>
      </c>
      <c r="C88" s="156">
        <v>3</v>
      </c>
      <c r="D88" s="150">
        <f t="shared" si="3"/>
        <v>75</v>
      </c>
      <c r="E88" s="82"/>
      <c r="F88" s="83"/>
      <c r="G88" s="83"/>
      <c r="H88" s="83"/>
      <c r="I88" s="83"/>
      <c r="J88" s="84"/>
      <c r="K88" s="85"/>
      <c r="L88" s="86"/>
      <c r="M88" s="86"/>
      <c r="N88" s="87"/>
      <c r="O88" s="82"/>
      <c r="P88" s="84"/>
    </row>
    <row r="89" spans="1:16" s="11" customFormat="1" ht="12.75" x14ac:dyDescent="0.2">
      <c r="A89" s="154" t="s">
        <v>31</v>
      </c>
      <c r="B89" s="155">
        <f t="shared" si="2"/>
        <v>3.1249999999999973</v>
      </c>
      <c r="C89" s="156">
        <v>4</v>
      </c>
      <c r="D89" s="150">
        <f t="shared" si="3"/>
        <v>76</v>
      </c>
      <c r="E89" s="82"/>
      <c r="F89" s="83"/>
      <c r="G89" s="83"/>
      <c r="H89" s="83"/>
      <c r="I89" s="83"/>
      <c r="J89" s="84"/>
      <c r="K89" s="85"/>
      <c r="L89" s="86"/>
      <c r="M89" s="86"/>
      <c r="N89" s="87"/>
      <c r="O89" s="82"/>
      <c r="P89" s="84"/>
    </row>
    <row r="90" spans="1:16" s="11" customFormat="1" ht="12.75" x14ac:dyDescent="0.2">
      <c r="A90" s="154" t="s">
        <v>31</v>
      </c>
      <c r="B90" s="155">
        <f t="shared" si="2"/>
        <v>3.1666666666666639</v>
      </c>
      <c r="C90" s="156">
        <v>5</v>
      </c>
      <c r="D90" s="150">
        <f t="shared" si="3"/>
        <v>77</v>
      </c>
      <c r="E90" s="82"/>
      <c r="F90" s="83"/>
      <c r="G90" s="83"/>
      <c r="H90" s="83"/>
      <c r="I90" s="83"/>
      <c r="J90" s="84"/>
      <c r="K90" s="85"/>
      <c r="L90" s="86"/>
      <c r="M90" s="86"/>
      <c r="N90" s="87"/>
      <c r="O90" s="82"/>
      <c r="P90" s="84"/>
    </row>
    <row r="91" spans="1:16" s="11" customFormat="1" ht="12.75" x14ac:dyDescent="0.2">
      <c r="A91" s="154" t="s">
        <v>31</v>
      </c>
      <c r="B91" s="155">
        <f t="shared" si="2"/>
        <v>3.2083333333333304</v>
      </c>
      <c r="C91" s="156">
        <v>6</v>
      </c>
      <c r="D91" s="150">
        <f t="shared" si="3"/>
        <v>78</v>
      </c>
      <c r="E91" s="82"/>
      <c r="F91" s="83"/>
      <c r="G91" s="83"/>
      <c r="H91" s="83"/>
      <c r="I91" s="83"/>
      <c r="J91" s="84"/>
      <c r="K91" s="85"/>
      <c r="L91" s="86"/>
      <c r="M91" s="86"/>
      <c r="N91" s="87"/>
      <c r="O91" s="82"/>
      <c r="P91" s="84"/>
    </row>
    <row r="92" spans="1:16" s="11" customFormat="1" ht="12.75" x14ac:dyDescent="0.2">
      <c r="A92" s="154" t="s">
        <v>31</v>
      </c>
      <c r="B92" s="155">
        <f t="shared" si="2"/>
        <v>3.2499999999999969</v>
      </c>
      <c r="C92" s="156">
        <v>7</v>
      </c>
      <c r="D92" s="150">
        <f t="shared" si="3"/>
        <v>79</v>
      </c>
      <c r="E92" s="88"/>
      <c r="F92" s="89"/>
      <c r="G92" s="89"/>
      <c r="H92" s="89"/>
      <c r="I92" s="89"/>
      <c r="J92" s="90"/>
      <c r="K92" s="91"/>
      <c r="L92" s="92"/>
      <c r="M92" s="92"/>
      <c r="N92" s="93"/>
      <c r="O92" s="88"/>
      <c r="P92" s="90"/>
    </row>
    <row r="93" spans="1:16" s="11" customFormat="1" ht="12.75" x14ac:dyDescent="0.2">
      <c r="A93" s="154" t="s">
        <v>31</v>
      </c>
      <c r="B93" s="155">
        <f t="shared" si="2"/>
        <v>3.2916666666666634</v>
      </c>
      <c r="C93" s="156">
        <v>8</v>
      </c>
      <c r="D93" s="150">
        <f t="shared" si="3"/>
        <v>80</v>
      </c>
      <c r="E93" s="88"/>
      <c r="F93" s="89"/>
      <c r="G93" s="89"/>
      <c r="H93" s="89"/>
      <c r="I93" s="89"/>
      <c r="J93" s="90"/>
      <c r="K93" s="91"/>
      <c r="L93" s="92"/>
      <c r="M93" s="92"/>
      <c r="N93" s="93"/>
      <c r="O93" s="88"/>
      <c r="P93" s="90"/>
    </row>
    <row r="94" spans="1:16" s="11" customFormat="1" ht="12.75" x14ac:dyDescent="0.2">
      <c r="A94" s="154" t="s">
        <v>31</v>
      </c>
      <c r="B94" s="155">
        <f t="shared" si="2"/>
        <v>3.3333333333333299</v>
      </c>
      <c r="C94" s="156">
        <v>9</v>
      </c>
      <c r="D94" s="150">
        <f t="shared" si="3"/>
        <v>81</v>
      </c>
      <c r="E94" s="88"/>
      <c r="F94" s="89"/>
      <c r="G94" s="89"/>
      <c r="H94" s="89"/>
      <c r="I94" s="89"/>
      <c r="J94" s="90"/>
      <c r="K94" s="91"/>
      <c r="L94" s="92"/>
      <c r="M94" s="92"/>
      <c r="N94" s="93"/>
      <c r="O94" s="88"/>
      <c r="P94" s="90"/>
    </row>
    <row r="95" spans="1:16" s="11" customFormat="1" ht="12.75" x14ac:dyDescent="0.2">
      <c r="A95" s="154" t="s">
        <v>31</v>
      </c>
      <c r="B95" s="155">
        <f t="shared" si="2"/>
        <v>3.3749999999999964</v>
      </c>
      <c r="C95" s="156">
        <v>10</v>
      </c>
      <c r="D95" s="150">
        <f t="shared" si="3"/>
        <v>82</v>
      </c>
      <c r="E95" s="88"/>
      <c r="F95" s="89"/>
      <c r="G95" s="89"/>
      <c r="H95" s="89"/>
      <c r="I95" s="89"/>
      <c r="J95" s="90"/>
      <c r="K95" s="91"/>
      <c r="L95" s="92"/>
      <c r="M95" s="92"/>
      <c r="N95" s="93"/>
      <c r="O95" s="88"/>
      <c r="P95" s="90"/>
    </row>
    <row r="96" spans="1:16" s="11" customFormat="1" ht="12.75" x14ac:dyDescent="0.2">
      <c r="A96" s="154" t="s">
        <v>31</v>
      </c>
      <c r="B96" s="155">
        <f t="shared" si="2"/>
        <v>3.416666666666663</v>
      </c>
      <c r="C96" s="156">
        <v>11</v>
      </c>
      <c r="D96" s="150">
        <f t="shared" si="3"/>
        <v>83</v>
      </c>
      <c r="E96" s="88"/>
      <c r="F96" s="89"/>
      <c r="G96" s="89"/>
      <c r="H96" s="89"/>
      <c r="I96" s="89"/>
      <c r="J96" s="90"/>
      <c r="K96" s="91"/>
      <c r="L96" s="92"/>
      <c r="M96" s="92"/>
      <c r="N96" s="93"/>
      <c r="O96" s="88"/>
      <c r="P96" s="90"/>
    </row>
    <row r="97" spans="1:16" s="11" customFormat="1" ht="12.75" x14ac:dyDescent="0.2">
      <c r="A97" s="154" t="s">
        <v>31</v>
      </c>
      <c r="B97" s="155">
        <f t="shared" si="2"/>
        <v>3.4583333333333295</v>
      </c>
      <c r="C97" s="156">
        <v>12</v>
      </c>
      <c r="D97" s="150">
        <f t="shared" si="3"/>
        <v>84</v>
      </c>
      <c r="E97" s="88"/>
      <c r="F97" s="89"/>
      <c r="G97" s="89"/>
      <c r="H97" s="89"/>
      <c r="I97" s="89"/>
      <c r="J97" s="90"/>
      <c r="K97" s="94"/>
      <c r="L97" s="95"/>
      <c r="M97" s="95"/>
      <c r="N97" s="96"/>
      <c r="O97" s="88"/>
      <c r="P97" s="90"/>
    </row>
    <row r="98" spans="1:16" s="11" customFormat="1" ht="12.75" x14ac:dyDescent="0.2">
      <c r="A98" s="154" t="s">
        <v>31</v>
      </c>
      <c r="B98" s="155">
        <f t="shared" si="2"/>
        <v>3.499999999999996</v>
      </c>
      <c r="C98" s="156">
        <v>13</v>
      </c>
      <c r="D98" s="150">
        <f t="shared" si="3"/>
        <v>85</v>
      </c>
      <c r="E98" s="88"/>
      <c r="F98" s="89"/>
      <c r="G98" s="89"/>
      <c r="H98" s="89"/>
      <c r="I98" s="89"/>
      <c r="J98" s="90"/>
      <c r="K98" s="94"/>
      <c r="L98" s="95"/>
      <c r="M98" s="95"/>
      <c r="N98" s="96"/>
      <c r="O98" s="88"/>
      <c r="P98" s="90"/>
    </row>
    <row r="99" spans="1:16" s="11" customFormat="1" ht="12.75" x14ac:dyDescent="0.2">
      <c r="A99" s="154" t="s">
        <v>31</v>
      </c>
      <c r="B99" s="155">
        <f t="shared" si="2"/>
        <v>3.5416666666666625</v>
      </c>
      <c r="C99" s="156">
        <v>14</v>
      </c>
      <c r="D99" s="150">
        <f t="shared" si="3"/>
        <v>86</v>
      </c>
      <c r="E99" s="97"/>
      <c r="F99" s="98"/>
      <c r="G99" s="98"/>
      <c r="H99" s="98"/>
      <c r="I99" s="98"/>
      <c r="J99" s="99"/>
      <c r="K99" s="94"/>
      <c r="L99" s="95"/>
      <c r="M99" s="95"/>
      <c r="N99" s="96"/>
      <c r="O99" s="97"/>
      <c r="P99" s="99"/>
    </row>
    <row r="100" spans="1:16" s="11" customFormat="1" ht="12.75" x14ac:dyDescent="0.2">
      <c r="A100" s="154" t="s">
        <v>31</v>
      </c>
      <c r="B100" s="155">
        <f t="shared" si="2"/>
        <v>3.583333333333329</v>
      </c>
      <c r="C100" s="156">
        <v>15</v>
      </c>
      <c r="D100" s="150">
        <f t="shared" si="3"/>
        <v>87</v>
      </c>
      <c r="E100" s="97"/>
      <c r="F100" s="98"/>
      <c r="G100" s="98"/>
      <c r="H100" s="98"/>
      <c r="I100" s="98"/>
      <c r="J100" s="99"/>
      <c r="K100" s="94"/>
      <c r="L100" s="95"/>
      <c r="M100" s="95"/>
      <c r="N100" s="96"/>
      <c r="O100" s="97"/>
      <c r="P100" s="99"/>
    </row>
    <row r="101" spans="1:16" s="11" customFormat="1" ht="12.75" x14ac:dyDescent="0.2">
      <c r="A101" s="154" t="s">
        <v>31</v>
      </c>
      <c r="B101" s="155">
        <f t="shared" si="2"/>
        <v>3.6249999999999956</v>
      </c>
      <c r="C101" s="156">
        <v>16</v>
      </c>
      <c r="D101" s="150">
        <f t="shared" si="3"/>
        <v>88</v>
      </c>
      <c r="E101" s="97"/>
      <c r="F101" s="98"/>
      <c r="G101" s="98"/>
      <c r="H101" s="98"/>
      <c r="I101" s="98"/>
      <c r="J101" s="99"/>
      <c r="K101" s="94"/>
      <c r="L101" s="95"/>
      <c r="M101" s="95"/>
      <c r="N101" s="96"/>
      <c r="O101" s="97"/>
      <c r="P101" s="99"/>
    </row>
    <row r="102" spans="1:16" s="11" customFormat="1" ht="12.75" x14ac:dyDescent="0.2">
      <c r="A102" s="154" t="s">
        <v>31</v>
      </c>
      <c r="B102" s="155">
        <f t="shared" si="2"/>
        <v>3.6666666666666621</v>
      </c>
      <c r="C102" s="156">
        <v>17</v>
      </c>
      <c r="D102" s="150">
        <f t="shared" si="3"/>
        <v>89</v>
      </c>
      <c r="E102" s="97"/>
      <c r="F102" s="98"/>
      <c r="G102" s="98"/>
      <c r="H102" s="98"/>
      <c r="I102" s="98"/>
      <c r="J102" s="99"/>
      <c r="K102" s="94"/>
      <c r="L102" s="95"/>
      <c r="M102" s="95"/>
      <c r="N102" s="96"/>
      <c r="O102" s="97"/>
      <c r="P102" s="99"/>
    </row>
    <row r="103" spans="1:16" s="11" customFormat="1" ht="12.75" x14ac:dyDescent="0.2">
      <c r="A103" s="154" t="s">
        <v>31</v>
      </c>
      <c r="B103" s="155">
        <f t="shared" si="2"/>
        <v>3.7083333333333286</v>
      </c>
      <c r="C103" s="156">
        <v>18</v>
      </c>
      <c r="D103" s="150">
        <f t="shared" si="3"/>
        <v>90</v>
      </c>
      <c r="E103" s="97"/>
      <c r="F103" s="98"/>
      <c r="G103" s="98"/>
      <c r="H103" s="98"/>
      <c r="I103" s="98"/>
      <c r="J103" s="99"/>
      <c r="K103" s="94"/>
      <c r="L103" s="95"/>
      <c r="M103" s="95"/>
      <c r="N103" s="96"/>
      <c r="O103" s="97"/>
      <c r="P103" s="99"/>
    </row>
    <row r="104" spans="1:16" s="11" customFormat="1" ht="12.75" x14ac:dyDescent="0.2">
      <c r="A104" s="154" t="s">
        <v>31</v>
      </c>
      <c r="B104" s="155">
        <f t="shared" si="2"/>
        <v>3.7499999999999951</v>
      </c>
      <c r="C104" s="156">
        <v>19</v>
      </c>
      <c r="D104" s="150">
        <f t="shared" si="3"/>
        <v>91</v>
      </c>
      <c r="E104" s="97"/>
      <c r="F104" s="98"/>
      <c r="G104" s="98"/>
      <c r="H104" s="98"/>
      <c r="I104" s="98"/>
      <c r="J104" s="99"/>
      <c r="K104" s="94"/>
      <c r="L104" s="95"/>
      <c r="M104" s="95"/>
      <c r="N104" s="96"/>
      <c r="O104" s="97"/>
      <c r="P104" s="99"/>
    </row>
    <row r="105" spans="1:16" s="11" customFormat="1" ht="12.75" x14ac:dyDescent="0.2">
      <c r="A105" s="154" t="s">
        <v>31</v>
      </c>
      <c r="B105" s="155">
        <f t="shared" si="2"/>
        <v>3.7916666666666616</v>
      </c>
      <c r="C105" s="156">
        <v>20</v>
      </c>
      <c r="D105" s="150">
        <f t="shared" si="3"/>
        <v>92</v>
      </c>
      <c r="E105" s="97"/>
      <c r="F105" s="98"/>
      <c r="G105" s="98"/>
      <c r="H105" s="98"/>
      <c r="I105" s="98"/>
      <c r="J105" s="99"/>
      <c r="K105" s="91"/>
      <c r="L105" s="92"/>
      <c r="M105" s="92"/>
      <c r="N105" s="93"/>
      <c r="O105" s="97"/>
      <c r="P105" s="99"/>
    </row>
    <row r="106" spans="1:16" s="11" customFormat="1" ht="12.75" x14ac:dyDescent="0.2">
      <c r="A106" s="154" t="s">
        <v>31</v>
      </c>
      <c r="B106" s="155">
        <f t="shared" si="2"/>
        <v>3.8333333333333282</v>
      </c>
      <c r="C106" s="156">
        <v>21</v>
      </c>
      <c r="D106" s="150">
        <f t="shared" si="3"/>
        <v>93</v>
      </c>
      <c r="E106" s="97"/>
      <c r="F106" s="98"/>
      <c r="G106" s="98"/>
      <c r="H106" s="98"/>
      <c r="I106" s="98"/>
      <c r="J106" s="99"/>
      <c r="K106" s="91"/>
      <c r="L106" s="92"/>
      <c r="M106" s="92"/>
      <c r="N106" s="93"/>
      <c r="O106" s="97"/>
      <c r="P106" s="99"/>
    </row>
    <row r="107" spans="1:16" s="11" customFormat="1" ht="12.75" x14ac:dyDescent="0.2">
      <c r="A107" s="154" t="s">
        <v>31</v>
      </c>
      <c r="B107" s="155">
        <f t="shared" si="2"/>
        <v>3.8749999999999947</v>
      </c>
      <c r="C107" s="156">
        <v>22</v>
      </c>
      <c r="D107" s="150">
        <f t="shared" si="3"/>
        <v>94</v>
      </c>
      <c r="E107" s="88"/>
      <c r="F107" s="89"/>
      <c r="G107" s="89"/>
      <c r="H107" s="89"/>
      <c r="I107" s="89"/>
      <c r="J107" s="90"/>
      <c r="K107" s="91"/>
      <c r="L107" s="92"/>
      <c r="M107" s="92"/>
      <c r="N107" s="93"/>
      <c r="O107" s="88"/>
      <c r="P107" s="90"/>
    </row>
    <row r="108" spans="1:16" s="11" customFormat="1" ht="12.75" x14ac:dyDescent="0.2">
      <c r="A108" s="154" t="s">
        <v>31</v>
      </c>
      <c r="B108" s="155">
        <f t="shared" si="2"/>
        <v>3.9166666666666612</v>
      </c>
      <c r="C108" s="156">
        <v>23</v>
      </c>
      <c r="D108" s="150">
        <f t="shared" si="3"/>
        <v>95</v>
      </c>
      <c r="E108" s="82"/>
      <c r="F108" s="83"/>
      <c r="G108" s="83"/>
      <c r="H108" s="83"/>
      <c r="I108" s="83"/>
      <c r="J108" s="84"/>
      <c r="K108" s="91"/>
      <c r="L108" s="92"/>
      <c r="M108" s="92"/>
      <c r="N108" s="93"/>
      <c r="O108" s="82"/>
      <c r="P108" s="84"/>
    </row>
    <row r="109" spans="1:16" s="11" customFormat="1" ht="12.75" x14ac:dyDescent="0.2">
      <c r="A109" s="154" t="s">
        <v>31</v>
      </c>
      <c r="B109" s="155">
        <f t="shared" si="2"/>
        <v>3.9583333333333277</v>
      </c>
      <c r="C109" s="156">
        <v>24</v>
      </c>
      <c r="D109" s="150">
        <f t="shared" si="3"/>
        <v>96</v>
      </c>
      <c r="E109" s="103"/>
      <c r="F109" s="104"/>
      <c r="G109" s="104"/>
      <c r="H109" s="104"/>
      <c r="I109" s="104"/>
      <c r="J109" s="105"/>
      <c r="K109" s="106"/>
      <c r="L109" s="107"/>
      <c r="M109" s="107"/>
      <c r="N109" s="108"/>
      <c r="O109" s="103"/>
      <c r="P109" s="105"/>
    </row>
    <row r="110" spans="1:16" s="11" customFormat="1" ht="12.75" x14ac:dyDescent="0.2">
      <c r="A110" s="154" t="s">
        <v>32</v>
      </c>
      <c r="B110" s="155">
        <f t="shared" si="2"/>
        <v>3.9999999999999942</v>
      </c>
      <c r="C110" s="156">
        <v>1</v>
      </c>
      <c r="D110" s="150">
        <f t="shared" si="3"/>
        <v>97</v>
      </c>
      <c r="E110" s="74"/>
      <c r="F110" s="75"/>
      <c r="G110" s="75"/>
      <c r="H110" s="75"/>
      <c r="I110" s="75"/>
      <c r="J110" s="76"/>
      <c r="K110" s="77"/>
      <c r="L110" s="78"/>
      <c r="M110" s="78"/>
      <c r="N110" s="79"/>
      <c r="O110" s="74"/>
      <c r="P110" s="76"/>
    </row>
    <row r="111" spans="1:16" s="11" customFormat="1" ht="12.75" customHeight="1" x14ac:dyDescent="0.2">
      <c r="A111" s="154" t="s">
        <v>32</v>
      </c>
      <c r="B111" s="155">
        <f t="shared" si="2"/>
        <v>4.0416666666666607</v>
      </c>
      <c r="C111" s="156">
        <v>2</v>
      </c>
      <c r="D111" s="150">
        <f t="shared" si="3"/>
        <v>98</v>
      </c>
      <c r="E111" s="82"/>
      <c r="F111" s="83"/>
      <c r="G111" s="83"/>
      <c r="H111" s="83"/>
      <c r="I111" s="83"/>
      <c r="J111" s="84"/>
      <c r="K111" s="85"/>
      <c r="L111" s="86"/>
      <c r="M111" s="86"/>
      <c r="N111" s="87"/>
      <c r="O111" s="82"/>
      <c r="P111" s="84"/>
    </row>
    <row r="112" spans="1:16" s="11" customFormat="1" ht="12.75" x14ac:dyDescent="0.2">
      <c r="A112" s="154" t="s">
        <v>32</v>
      </c>
      <c r="B112" s="155">
        <f t="shared" si="2"/>
        <v>4.0833333333333277</v>
      </c>
      <c r="C112" s="156">
        <v>3</v>
      </c>
      <c r="D112" s="150">
        <f t="shared" si="3"/>
        <v>99</v>
      </c>
      <c r="E112" s="82"/>
      <c r="F112" s="83"/>
      <c r="G112" s="83"/>
      <c r="H112" s="83"/>
      <c r="I112" s="83"/>
      <c r="J112" s="84"/>
      <c r="K112" s="85"/>
      <c r="L112" s="86"/>
      <c r="M112" s="86"/>
      <c r="N112" s="87"/>
      <c r="O112" s="82"/>
      <c r="P112" s="84"/>
    </row>
    <row r="113" spans="1:16" s="11" customFormat="1" ht="12.75" x14ac:dyDescent="0.2">
      <c r="A113" s="154" t="s">
        <v>32</v>
      </c>
      <c r="B113" s="155">
        <f t="shared" si="2"/>
        <v>4.1249999999999947</v>
      </c>
      <c r="C113" s="156">
        <v>4</v>
      </c>
      <c r="D113" s="150">
        <f t="shared" si="3"/>
        <v>100</v>
      </c>
      <c r="E113" s="82"/>
      <c r="F113" s="83"/>
      <c r="G113" s="83"/>
      <c r="H113" s="83"/>
      <c r="I113" s="83"/>
      <c r="J113" s="84"/>
      <c r="K113" s="85"/>
      <c r="L113" s="86"/>
      <c r="M113" s="86"/>
      <c r="N113" s="87"/>
      <c r="O113" s="82"/>
      <c r="P113" s="84"/>
    </row>
    <row r="114" spans="1:16" s="11" customFormat="1" ht="12.75" x14ac:dyDescent="0.2">
      <c r="A114" s="154" t="s">
        <v>32</v>
      </c>
      <c r="B114" s="155">
        <f t="shared" si="2"/>
        <v>4.1666666666666616</v>
      </c>
      <c r="C114" s="156">
        <v>5</v>
      </c>
      <c r="D114" s="150">
        <f t="shared" si="3"/>
        <v>101</v>
      </c>
      <c r="E114" s="82"/>
      <c r="F114" s="83"/>
      <c r="G114" s="83"/>
      <c r="H114" s="83"/>
      <c r="I114" s="83"/>
      <c r="J114" s="84"/>
      <c r="K114" s="85"/>
      <c r="L114" s="86"/>
      <c r="M114" s="86"/>
      <c r="N114" s="87"/>
      <c r="O114" s="82"/>
      <c r="P114" s="84"/>
    </row>
    <row r="115" spans="1:16" s="11" customFormat="1" ht="12.75" x14ac:dyDescent="0.2">
      <c r="A115" s="154" t="s">
        <v>32</v>
      </c>
      <c r="B115" s="155">
        <f t="shared" si="2"/>
        <v>4.2083333333333286</v>
      </c>
      <c r="C115" s="156">
        <v>6</v>
      </c>
      <c r="D115" s="150">
        <f t="shared" si="3"/>
        <v>102</v>
      </c>
      <c r="E115" s="82"/>
      <c r="F115" s="83"/>
      <c r="G115" s="83"/>
      <c r="H115" s="83"/>
      <c r="I115" s="83"/>
      <c r="J115" s="84"/>
      <c r="K115" s="85"/>
      <c r="L115" s="86"/>
      <c r="M115" s="86"/>
      <c r="N115" s="87"/>
      <c r="O115" s="82"/>
      <c r="P115" s="84"/>
    </row>
    <row r="116" spans="1:16" s="11" customFormat="1" ht="12.75" x14ac:dyDescent="0.2">
      <c r="A116" s="154" t="s">
        <v>32</v>
      </c>
      <c r="B116" s="155">
        <f t="shared" si="2"/>
        <v>4.2499999999999956</v>
      </c>
      <c r="C116" s="156">
        <v>7</v>
      </c>
      <c r="D116" s="150">
        <f t="shared" si="3"/>
        <v>103</v>
      </c>
      <c r="E116" s="88"/>
      <c r="F116" s="89"/>
      <c r="G116" s="89"/>
      <c r="H116" s="89"/>
      <c r="I116" s="89"/>
      <c r="J116" s="90"/>
      <c r="K116" s="91"/>
      <c r="L116" s="92"/>
      <c r="M116" s="92"/>
      <c r="N116" s="93"/>
      <c r="O116" s="88"/>
      <c r="P116" s="90"/>
    </row>
    <row r="117" spans="1:16" s="11" customFormat="1" ht="12.75" x14ac:dyDescent="0.2">
      <c r="A117" s="154" t="s">
        <v>32</v>
      </c>
      <c r="B117" s="155">
        <f t="shared" si="2"/>
        <v>4.2916666666666625</v>
      </c>
      <c r="C117" s="156">
        <v>8</v>
      </c>
      <c r="D117" s="150">
        <f t="shared" si="3"/>
        <v>104</v>
      </c>
      <c r="E117" s="88"/>
      <c r="F117" s="89"/>
      <c r="G117" s="89"/>
      <c r="H117" s="89"/>
      <c r="I117" s="89"/>
      <c r="J117" s="90"/>
      <c r="K117" s="91"/>
      <c r="L117" s="92"/>
      <c r="M117" s="92"/>
      <c r="N117" s="93"/>
      <c r="O117" s="88"/>
      <c r="P117" s="90"/>
    </row>
    <row r="118" spans="1:16" s="11" customFormat="1" ht="12.75" x14ac:dyDescent="0.2">
      <c r="A118" s="154" t="s">
        <v>32</v>
      </c>
      <c r="B118" s="155">
        <f t="shared" si="2"/>
        <v>4.3333333333333295</v>
      </c>
      <c r="C118" s="156">
        <v>9</v>
      </c>
      <c r="D118" s="150">
        <f t="shared" si="3"/>
        <v>105</v>
      </c>
      <c r="E118" s="88"/>
      <c r="F118" s="89"/>
      <c r="G118" s="89"/>
      <c r="H118" s="89"/>
      <c r="I118" s="89"/>
      <c r="J118" s="90"/>
      <c r="K118" s="91"/>
      <c r="L118" s="92"/>
      <c r="M118" s="92"/>
      <c r="N118" s="93"/>
      <c r="O118" s="88"/>
      <c r="P118" s="90"/>
    </row>
    <row r="119" spans="1:16" s="11" customFormat="1" ht="12.75" x14ac:dyDescent="0.2">
      <c r="A119" s="154" t="s">
        <v>32</v>
      </c>
      <c r="B119" s="155">
        <f t="shared" si="2"/>
        <v>4.3749999999999964</v>
      </c>
      <c r="C119" s="156">
        <v>10</v>
      </c>
      <c r="D119" s="150">
        <f t="shared" si="3"/>
        <v>106</v>
      </c>
      <c r="E119" s="88"/>
      <c r="F119" s="89"/>
      <c r="G119" s="89"/>
      <c r="H119" s="89"/>
      <c r="I119" s="89"/>
      <c r="J119" s="90"/>
      <c r="K119" s="91"/>
      <c r="L119" s="92"/>
      <c r="M119" s="92"/>
      <c r="N119" s="93"/>
      <c r="O119" s="88"/>
      <c r="P119" s="90"/>
    </row>
    <row r="120" spans="1:16" s="11" customFormat="1" ht="12.75" x14ac:dyDescent="0.2">
      <c r="A120" s="154" t="s">
        <v>32</v>
      </c>
      <c r="B120" s="155">
        <f t="shared" si="2"/>
        <v>4.4166666666666634</v>
      </c>
      <c r="C120" s="156">
        <v>11</v>
      </c>
      <c r="D120" s="150">
        <f t="shared" si="3"/>
        <v>107</v>
      </c>
      <c r="E120" s="88"/>
      <c r="F120" s="89"/>
      <c r="G120" s="89"/>
      <c r="H120" s="89"/>
      <c r="I120" s="89"/>
      <c r="J120" s="90"/>
      <c r="K120" s="91"/>
      <c r="L120" s="92"/>
      <c r="M120" s="92"/>
      <c r="N120" s="93"/>
      <c r="O120" s="88"/>
      <c r="P120" s="90"/>
    </row>
    <row r="121" spans="1:16" s="11" customFormat="1" ht="12.75" x14ac:dyDescent="0.2">
      <c r="A121" s="154" t="s">
        <v>32</v>
      </c>
      <c r="B121" s="155">
        <f t="shared" si="2"/>
        <v>4.4583333333333304</v>
      </c>
      <c r="C121" s="156">
        <v>12</v>
      </c>
      <c r="D121" s="150">
        <f t="shared" si="3"/>
        <v>108</v>
      </c>
      <c r="E121" s="88"/>
      <c r="F121" s="89"/>
      <c r="G121" s="89"/>
      <c r="H121" s="89"/>
      <c r="I121" s="89"/>
      <c r="J121" s="90"/>
      <c r="K121" s="94"/>
      <c r="L121" s="95"/>
      <c r="M121" s="95"/>
      <c r="N121" s="96"/>
      <c r="O121" s="88"/>
      <c r="P121" s="90"/>
    </row>
    <row r="122" spans="1:16" s="11" customFormat="1" ht="12.75" x14ac:dyDescent="0.2">
      <c r="A122" s="154" t="s">
        <v>32</v>
      </c>
      <c r="B122" s="155">
        <f t="shared" si="2"/>
        <v>4.4999999999999973</v>
      </c>
      <c r="C122" s="156">
        <v>13</v>
      </c>
      <c r="D122" s="150">
        <f t="shared" si="3"/>
        <v>109</v>
      </c>
      <c r="E122" s="88"/>
      <c r="F122" s="89"/>
      <c r="G122" s="89"/>
      <c r="H122" s="89"/>
      <c r="I122" s="89"/>
      <c r="J122" s="90"/>
      <c r="K122" s="94"/>
      <c r="L122" s="95"/>
      <c r="M122" s="95"/>
      <c r="N122" s="96"/>
      <c r="O122" s="88"/>
      <c r="P122" s="90"/>
    </row>
    <row r="123" spans="1:16" s="11" customFormat="1" ht="12.75" x14ac:dyDescent="0.2">
      <c r="A123" s="154" t="s">
        <v>32</v>
      </c>
      <c r="B123" s="155">
        <f t="shared" si="2"/>
        <v>4.5416666666666643</v>
      </c>
      <c r="C123" s="156">
        <v>14</v>
      </c>
      <c r="D123" s="150">
        <f t="shared" si="3"/>
        <v>110</v>
      </c>
      <c r="E123" s="97"/>
      <c r="F123" s="98"/>
      <c r="G123" s="98"/>
      <c r="H123" s="98"/>
      <c r="I123" s="98"/>
      <c r="J123" s="99"/>
      <c r="K123" s="94"/>
      <c r="L123" s="95"/>
      <c r="M123" s="95"/>
      <c r="N123" s="96"/>
      <c r="O123" s="97"/>
      <c r="P123" s="99"/>
    </row>
    <row r="124" spans="1:16" s="11" customFormat="1" ht="12.75" x14ac:dyDescent="0.2">
      <c r="A124" s="154" t="s">
        <v>32</v>
      </c>
      <c r="B124" s="155">
        <f t="shared" si="2"/>
        <v>4.5833333333333313</v>
      </c>
      <c r="C124" s="156">
        <v>15</v>
      </c>
      <c r="D124" s="150">
        <f t="shared" si="3"/>
        <v>111</v>
      </c>
      <c r="E124" s="97"/>
      <c r="F124" s="98"/>
      <c r="G124" s="98"/>
      <c r="H124" s="98"/>
      <c r="I124" s="98"/>
      <c r="J124" s="99"/>
      <c r="K124" s="94"/>
      <c r="L124" s="95"/>
      <c r="M124" s="95"/>
      <c r="N124" s="96"/>
      <c r="O124" s="97"/>
      <c r="P124" s="99"/>
    </row>
    <row r="125" spans="1:16" s="11" customFormat="1" ht="12.75" x14ac:dyDescent="0.2">
      <c r="A125" s="154" t="s">
        <v>32</v>
      </c>
      <c r="B125" s="155">
        <f t="shared" si="2"/>
        <v>4.6249999999999982</v>
      </c>
      <c r="C125" s="156">
        <v>16</v>
      </c>
      <c r="D125" s="150">
        <f t="shared" si="3"/>
        <v>112</v>
      </c>
      <c r="E125" s="97"/>
      <c r="F125" s="98"/>
      <c r="G125" s="98"/>
      <c r="H125" s="98"/>
      <c r="I125" s="98"/>
      <c r="J125" s="99"/>
      <c r="K125" s="94"/>
      <c r="L125" s="95"/>
      <c r="M125" s="95"/>
      <c r="N125" s="96"/>
      <c r="O125" s="97"/>
      <c r="P125" s="99"/>
    </row>
    <row r="126" spans="1:16" s="11" customFormat="1" ht="12.75" x14ac:dyDescent="0.2">
      <c r="A126" s="154" t="s">
        <v>32</v>
      </c>
      <c r="B126" s="155">
        <f t="shared" si="2"/>
        <v>4.6666666666666652</v>
      </c>
      <c r="C126" s="156">
        <v>17</v>
      </c>
      <c r="D126" s="150">
        <f t="shared" si="3"/>
        <v>113</v>
      </c>
      <c r="E126" s="97"/>
      <c r="F126" s="98"/>
      <c r="G126" s="98"/>
      <c r="H126" s="98"/>
      <c r="I126" s="98"/>
      <c r="J126" s="99"/>
      <c r="K126" s="94"/>
      <c r="L126" s="95"/>
      <c r="M126" s="95"/>
      <c r="N126" s="96"/>
      <c r="O126" s="97"/>
      <c r="P126" s="99"/>
    </row>
    <row r="127" spans="1:16" s="11" customFormat="1" ht="12.75" x14ac:dyDescent="0.2">
      <c r="A127" s="154" t="s">
        <v>32</v>
      </c>
      <c r="B127" s="155">
        <f t="shared" si="2"/>
        <v>4.7083333333333321</v>
      </c>
      <c r="C127" s="156">
        <v>18</v>
      </c>
      <c r="D127" s="150">
        <f t="shared" si="3"/>
        <v>114</v>
      </c>
      <c r="E127" s="97"/>
      <c r="F127" s="98"/>
      <c r="G127" s="98"/>
      <c r="H127" s="98"/>
      <c r="I127" s="98"/>
      <c r="J127" s="99"/>
      <c r="K127" s="94"/>
      <c r="L127" s="95"/>
      <c r="M127" s="95"/>
      <c r="N127" s="96"/>
      <c r="O127" s="97"/>
      <c r="P127" s="99"/>
    </row>
    <row r="128" spans="1:16" s="11" customFormat="1" ht="12.75" x14ac:dyDescent="0.2">
      <c r="A128" s="154" t="s">
        <v>32</v>
      </c>
      <c r="B128" s="155">
        <f t="shared" si="2"/>
        <v>4.7499999999999991</v>
      </c>
      <c r="C128" s="156">
        <v>19</v>
      </c>
      <c r="D128" s="150">
        <f t="shared" si="3"/>
        <v>115</v>
      </c>
      <c r="E128" s="97"/>
      <c r="F128" s="98"/>
      <c r="G128" s="98"/>
      <c r="H128" s="98"/>
      <c r="I128" s="98"/>
      <c r="J128" s="99"/>
      <c r="K128" s="94"/>
      <c r="L128" s="95"/>
      <c r="M128" s="95"/>
      <c r="N128" s="96"/>
      <c r="O128" s="97"/>
      <c r="P128" s="99"/>
    </row>
    <row r="129" spans="1:16" s="11" customFormat="1" ht="12.75" x14ac:dyDescent="0.2">
      <c r="A129" s="154" t="s">
        <v>32</v>
      </c>
      <c r="B129" s="155">
        <f t="shared" si="2"/>
        <v>4.7916666666666661</v>
      </c>
      <c r="C129" s="156">
        <v>20</v>
      </c>
      <c r="D129" s="150">
        <f t="shared" si="3"/>
        <v>116</v>
      </c>
      <c r="E129" s="97"/>
      <c r="F129" s="98"/>
      <c r="G129" s="98"/>
      <c r="H129" s="98"/>
      <c r="I129" s="98"/>
      <c r="J129" s="99"/>
      <c r="K129" s="91"/>
      <c r="L129" s="92"/>
      <c r="M129" s="92"/>
      <c r="N129" s="93"/>
      <c r="O129" s="97"/>
      <c r="P129" s="99"/>
    </row>
    <row r="130" spans="1:16" s="11" customFormat="1" ht="12.75" x14ac:dyDescent="0.2">
      <c r="A130" s="154" t="s">
        <v>32</v>
      </c>
      <c r="B130" s="155">
        <f t="shared" si="2"/>
        <v>4.833333333333333</v>
      </c>
      <c r="C130" s="156">
        <v>21</v>
      </c>
      <c r="D130" s="150">
        <f t="shared" si="3"/>
        <v>117</v>
      </c>
      <c r="E130" s="97"/>
      <c r="F130" s="98"/>
      <c r="G130" s="98"/>
      <c r="H130" s="98"/>
      <c r="I130" s="98"/>
      <c r="J130" s="99"/>
      <c r="K130" s="91"/>
      <c r="L130" s="92"/>
      <c r="M130" s="92"/>
      <c r="N130" s="93"/>
      <c r="O130" s="97"/>
      <c r="P130" s="99"/>
    </row>
    <row r="131" spans="1:16" s="11" customFormat="1" ht="12.75" x14ac:dyDescent="0.2">
      <c r="A131" s="154" t="s">
        <v>32</v>
      </c>
      <c r="B131" s="155">
        <f t="shared" si="2"/>
        <v>4.875</v>
      </c>
      <c r="C131" s="156">
        <v>22</v>
      </c>
      <c r="D131" s="150">
        <f t="shared" si="3"/>
        <v>118</v>
      </c>
      <c r="E131" s="88"/>
      <c r="F131" s="89"/>
      <c r="G131" s="89"/>
      <c r="H131" s="89"/>
      <c r="I131" s="89"/>
      <c r="J131" s="90"/>
      <c r="K131" s="91"/>
      <c r="L131" s="92"/>
      <c r="M131" s="92"/>
      <c r="N131" s="93"/>
      <c r="O131" s="88"/>
      <c r="P131" s="90"/>
    </row>
    <row r="132" spans="1:16" s="11" customFormat="1" ht="12.75" x14ac:dyDescent="0.2">
      <c r="A132" s="154" t="s">
        <v>32</v>
      </c>
      <c r="B132" s="155">
        <f t="shared" si="2"/>
        <v>4.916666666666667</v>
      </c>
      <c r="C132" s="156">
        <v>23</v>
      </c>
      <c r="D132" s="150">
        <f t="shared" si="3"/>
        <v>119</v>
      </c>
      <c r="E132" s="82"/>
      <c r="F132" s="83"/>
      <c r="G132" s="83"/>
      <c r="H132" s="83"/>
      <c r="I132" s="83"/>
      <c r="J132" s="84"/>
      <c r="K132" s="91"/>
      <c r="L132" s="92"/>
      <c r="M132" s="92"/>
      <c r="N132" s="93"/>
      <c r="O132" s="82"/>
      <c r="P132" s="84"/>
    </row>
    <row r="133" spans="1:16" s="11" customFormat="1" ht="12.75" x14ac:dyDescent="0.2">
      <c r="A133" s="154" t="s">
        <v>32</v>
      </c>
      <c r="B133" s="155">
        <f t="shared" si="2"/>
        <v>4.9583333333333339</v>
      </c>
      <c r="C133" s="156">
        <v>24</v>
      </c>
      <c r="D133" s="150">
        <f t="shared" si="3"/>
        <v>120</v>
      </c>
      <c r="E133" s="103"/>
      <c r="F133" s="104"/>
      <c r="G133" s="104"/>
      <c r="H133" s="104"/>
      <c r="I133" s="104"/>
      <c r="J133" s="105"/>
      <c r="K133" s="106"/>
      <c r="L133" s="107"/>
      <c r="M133" s="107"/>
      <c r="N133" s="108"/>
      <c r="O133" s="103"/>
      <c r="P133" s="105"/>
    </row>
    <row r="134" spans="1:16" s="11" customFormat="1" ht="12.75" x14ac:dyDescent="0.2">
      <c r="A134" s="154" t="s">
        <v>33</v>
      </c>
      <c r="B134" s="155">
        <f t="shared" si="2"/>
        <v>5.0000000000000009</v>
      </c>
      <c r="C134" s="156">
        <v>1</v>
      </c>
      <c r="D134" s="150">
        <f t="shared" si="3"/>
        <v>121</v>
      </c>
      <c r="E134" s="74"/>
      <c r="F134" s="75"/>
      <c r="G134" s="75"/>
      <c r="H134" s="75"/>
      <c r="I134" s="75"/>
      <c r="J134" s="76"/>
      <c r="K134" s="77"/>
      <c r="L134" s="78"/>
      <c r="M134" s="78"/>
      <c r="N134" s="79"/>
      <c r="O134" s="74"/>
      <c r="P134" s="76"/>
    </row>
    <row r="135" spans="1:16" s="11" customFormat="1" ht="12.75" customHeight="1" x14ac:dyDescent="0.2">
      <c r="A135" s="154" t="s">
        <v>33</v>
      </c>
      <c r="B135" s="155">
        <f t="shared" si="2"/>
        <v>5.0416666666666679</v>
      </c>
      <c r="C135" s="156">
        <v>2</v>
      </c>
      <c r="D135" s="150">
        <f t="shared" si="3"/>
        <v>122</v>
      </c>
      <c r="E135" s="82"/>
      <c r="F135" s="83"/>
      <c r="G135" s="83"/>
      <c r="H135" s="83"/>
      <c r="I135" s="83"/>
      <c r="J135" s="84"/>
      <c r="K135" s="85"/>
      <c r="L135" s="86"/>
      <c r="M135" s="86"/>
      <c r="N135" s="87"/>
      <c r="O135" s="82"/>
      <c r="P135" s="84"/>
    </row>
    <row r="136" spans="1:16" s="11" customFormat="1" ht="12.75" x14ac:dyDescent="0.2">
      <c r="A136" s="154" t="s">
        <v>33</v>
      </c>
      <c r="B136" s="155">
        <f t="shared" si="2"/>
        <v>5.0833333333333348</v>
      </c>
      <c r="C136" s="156">
        <v>3</v>
      </c>
      <c r="D136" s="150">
        <f t="shared" si="3"/>
        <v>123</v>
      </c>
      <c r="E136" s="82"/>
      <c r="F136" s="83"/>
      <c r="G136" s="83"/>
      <c r="H136" s="83"/>
      <c r="I136" s="83"/>
      <c r="J136" s="84"/>
      <c r="K136" s="85"/>
      <c r="L136" s="86"/>
      <c r="M136" s="86"/>
      <c r="N136" s="87"/>
      <c r="O136" s="82"/>
      <c r="P136" s="84"/>
    </row>
    <row r="137" spans="1:16" s="11" customFormat="1" ht="12.75" x14ac:dyDescent="0.2">
      <c r="A137" s="154" t="s">
        <v>33</v>
      </c>
      <c r="B137" s="155">
        <f t="shared" si="2"/>
        <v>5.1250000000000018</v>
      </c>
      <c r="C137" s="156">
        <v>4</v>
      </c>
      <c r="D137" s="150">
        <f t="shared" si="3"/>
        <v>124</v>
      </c>
      <c r="E137" s="82"/>
      <c r="F137" s="83"/>
      <c r="G137" s="83"/>
      <c r="H137" s="83"/>
      <c r="I137" s="83"/>
      <c r="J137" s="84"/>
      <c r="K137" s="85"/>
      <c r="L137" s="86"/>
      <c r="M137" s="86"/>
      <c r="N137" s="87"/>
      <c r="O137" s="82"/>
      <c r="P137" s="84"/>
    </row>
    <row r="138" spans="1:16" s="11" customFormat="1" ht="12.75" x14ac:dyDescent="0.2">
      <c r="A138" s="154" t="s">
        <v>33</v>
      </c>
      <c r="B138" s="155">
        <f t="shared" si="2"/>
        <v>5.1666666666666687</v>
      </c>
      <c r="C138" s="156">
        <v>5</v>
      </c>
      <c r="D138" s="150">
        <f t="shared" si="3"/>
        <v>125</v>
      </c>
      <c r="E138" s="82"/>
      <c r="F138" s="83"/>
      <c r="G138" s="83"/>
      <c r="H138" s="83"/>
      <c r="I138" s="83"/>
      <c r="J138" s="84"/>
      <c r="K138" s="85"/>
      <c r="L138" s="86"/>
      <c r="M138" s="86"/>
      <c r="N138" s="87"/>
      <c r="O138" s="82"/>
      <c r="P138" s="84"/>
    </row>
    <row r="139" spans="1:16" s="11" customFormat="1" ht="12.75" x14ac:dyDescent="0.2">
      <c r="A139" s="154" t="s">
        <v>33</v>
      </c>
      <c r="B139" s="155">
        <f t="shared" si="2"/>
        <v>5.2083333333333357</v>
      </c>
      <c r="C139" s="156">
        <v>6</v>
      </c>
      <c r="D139" s="150">
        <f t="shared" si="3"/>
        <v>126</v>
      </c>
      <c r="E139" s="82"/>
      <c r="F139" s="83"/>
      <c r="G139" s="83"/>
      <c r="H139" s="83"/>
      <c r="I139" s="83"/>
      <c r="J139" s="84"/>
      <c r="K139" s="85"/>
      <c r="L139" s="86"/>
      <c r="M139" s="86"/>
      <c r="N139" s="87"/>
      <c r="O139" s="82"/>
      <c r="P139" s="84"/>
    </row>
    <row r="140" spans="1:16" s="11" customFormat="1" ht="12.75" x14ac:dyDescent="0.2">
      <c r="A140" s="154" t="s">
        <v>33</v>
      </c>
      <c r="B140" s="155">
        <f t="shared" si="2"/>
        <v>5.2500000000000027</v>
      </c>
      <c r="C140" s="156">
        <v>7</v>
      </c>
      <c r="D140" s="150">
        <f t="shared" si="3"/>
        <v>127</v>
      </c>
      <c r="E140" s="82"/>
      <c r="F140" s="83"/>
      <c r="G140" s="83"/>
      <c r="H140" s="83"/>
      <c r="I140" s="83"/>
      <c r="J140" s="84"/>
      <c r="K140" s="85"/>
      <c r="L140" s="86"/>
      <c r="M140" s="86"/>
      <c r="N140" s="87"/>
      <c r="O140" s="82"/>
      <c r="P140" s="84"/>
    </row>
    <row r="141" spans="1:16" s="11" customFormat="1" ht="12.75" x14ac:dyDescent="0.2">
      <c r="A141" s="154" t="s">
        <v>33</v>
      </c>
      <c r="B141" s="155">
        <f t="shared" si="2"/>
        <v>5.2916666666666696</v>
      </c>
      <c r="C141" s="156">
        <v>8</v>
      </c>
      <c r="D141" s="150">
        <f t="shared" si="3"/>
        <v>128</v>
      </c>
      <c r="E141" s="82"/>
      <c r="F141" s="83"/>
      <c r="G141" s="83"/>
      <c r="H141" s="83"/>
      <c r="I141" s="83"/>
      <c r="J141" s="84"/>
      <c r="K141" s="85"/>
      <c r="L141" s="86"/>
      <c r="M141" s="86"/>
      <c r="N141" s="87"/>
      <c r="O141" s="82"/>
      <c r="P141" s="84"/>
    </row>
    <row r="142" spans="1:16" s="11" customFormat="1" ht="12.75" x14ac:dyDescent="0.2">
      <c r="A142" s="154" t="s">
        <v>33</v>
      </c>
      <c r="B142" s="155">
        <f t="shared" si="2"/>
        <v>5.3333333333333366</v>
      </c>
      <c r="C142" s="156">
        <v>9</v>
      </c>
      <c r="D142" s="150">
        <f t="shared" si="3"/>
        <v>129</v>
      </c>
      <c r="E142" s="82"/>
      <c r="F142" s="83"/>
      <c r="G142" s="83"/>
      <c r="H142" s="83"/>
      <c r="I142" s="83"/>
      <c r="J142" s="84"/>
      <c r="K142" s="85"/>
      <c r="L142" s="86"/>
      <c r="M142" s="86"/>
      <c r="N142" s="87"/>
      <c r="O142" s="82"/>
      <c r="P142" s="84"/>
    </row>
    <row r="143" spans="1:16" s="11" customFormat="1" ht="12.75" x14ac:dyDescent="0.2">
      <c r="A143" s="154" t="s">
        <v>33</v>
      </c>
      <c r="B143" s="155">
        <f t="shared" si="2"/>
        <v>5.3750000000000036</v>
      </c>
      <c r="C143" s="156">
        <v>10</v>
      </c>
      <c r="D143" s="150">
        <f t="shared" si="3"/>
        <v>130</v>
      </c>
      <c r="E143" s="82"/>
      <c r="F143" s="83"/>
      <c r="G143" s="83"/>
      <c r="H143" s="83"/>
      <c r="I143" s="83"/>
      <c r="J143" s="84"/>
      <c r="K143" s="85"/>
      <c r="L143" s="86"/>
      <c r="M143" s="86"/>
      <c r="N143" s="87"/>
      <c r="O143" s="82"/>
      <c r="P143" s="84"/>
    </row>
    <row r="144" spans="1:16" s="11" customFormat="1" ht="12.75" x14ac:dyDescent="0.2">
      <c r="A144" s="154" t="s">
        <v>33</v>
      </c>
      <c r="B144" s="155">
        <f t="shared" ref="B144:B181" si="4">B143+(1/24)</f>
        <v>5.4166666666666705</v>
      </c>
      <c r="C144" s="156">
        <v>11</v>
      </c>
      <c r="D144" s="150">
        <f t="shared" ref="D144:D181" si="5">D143+1</f>
        <v>131</v>
      </c>
      <c r="E144" s="82"/>
      <c r="F144" s="83"/>
      <c r="G144" s="83"/>
      <c r="H144" s="83"/>
      <c r="I144" s="83"/>
      <c r="J144" s="84"/>
      <c r="K144" s="85"/>
      <c r="L144" s="86"/>
      <c r="M144" s="86"/>
      <c r="N144" s="87"/>
      <c r="O144" s="82"/>
      <c r="P144" s="84"/>
    </row>
    <row r="145" spans="1:16" s="11" customFormat="1" ht="12.75" x14ac:dyDescent="0.2">
      <c r="A145" s="154" t="s">
        <v>33</v>
      </c>
      <c r="B145" s="155">
        <f t="shared" si="4"/>
        <v>5.4583333333333375</v>
      </c>
      <c r="C145" s="156">
        <v>12</v>
      </c>
      <c r="D145" s="150">
        <f t="shared" si="5"/>
        <v>132</v>
      </c>
      <c r="E145" s="82"/>
      <c r="F145" s="83"/>
      <c r="G145" s="83"/>
      <c r="H145" s="83"/>
      <c r="I145" s="83"/>
      <c r="J145" s="84"/>
      <c r="K145" s="85"/>
      <c r="L145" s="86"/>
      <c r="M145" s="86"/>
      <c r="N145" s="87"/>
      <c r="O145" s="82"/>
      <c r="P145" s="84"/>
    </row>
    <row r="146" spans="1:16" s="11" customFormat="1" ht="12.75" x14ac:dyDescent="0.2">
      <c r="A146" s="154" t="s">
        <v>33</v>
      </c>
      <c r="B146" s="155">
        <f t="shared" si="4"/>
        <v>5.5000000000000044</v>
      </c>
      <c r="C146" s="156">
        <v>13</v>
      </c>
      <c r="D146" s="150">
        <f t="shared" si="5"/>
        <v>133</v>
      </c>
      <c r="E146" s="82"/>
      <c r="F146" s="83"/>
      <c r="G146" s="83"/>
      <c r="H146" s="83"/>
      <c r="I146" s="83"/>
      <c r="J146" s="84"/>
      <c r="K146" s="85"/>
      <c r="L146" s="86"/>
      <c r="M146" s="86"/>
      <c r="N146" s="87"/>
      <c r="O146" s="82"/>
      <c r="P146" s="84"/>
    </row>
    <row r="147" spans="1:16" s="11" customFormat="1" ht="12.75" x14ac:dyDescent="0.2">
      <c r="A147" s="154" t="s">
        <v>33</v>
      </c>
      <c r="B147" s="155">
        <f t="shared" si="4"/>
        <v>5.5416666666666714</v>
      </c>
      <c r="C147" s="156">
        <v>14</v>
      </c>
      <c r="D147" s="150">
        <f t="shared" si="5"/>
        <v>134</v>
      </c>
      <c r="E147" s="82"/>
      <c r="F147" s="83"/>
      <c r="G147" s="83"/>
      <c r="H147" s="83"/>
      <c r="I147" s="83"/>
      <c r="J147" s="84"/>
      <c r="K147" s="85"/>
      <c r="L147" s="86"/>
      <c r="M147" s="86"/>
      <c r="N147" s="87"/>
      <c r="O147" s="82"/>
      <c r="P147" s="84"/>
    </row>
    <row r="148" spans="1:16" s="11" customFormat="1" ht="12.75" x14ac:dyDescent="0.2">
      <c r="A148" s="154" t="s">
        <v>33</v>
      </c>
      <c r="B148" s="155">
        <f t="shared" si="4"/>
        <v>5.5833333333333384</v>
      </c>
      <c r="C148" s="156">
        <v>15</v>
      </c>
      <c r="D148" s="150">
        <f t="shared" si="5"/>
        <v>135</v>
      </c>
      <c r="E148" s="82"/>
      <c r="F148" s="83"/>
      <c r="G148" s="83"/>
      <c r="H148" s="83"/>
      <c r="I148" s="83"/>
      <c r="J148" s="84"/>
      <c r="K148" s="85"/>
      <c r="L148" s="86"/>
      <c r="M148" s="86"/>
      <c r="N148" s="87"/>
      <c r="O148" s="82"/>
      <c r="P148" s="84"/>
    </row>
    <row r="149" spans="1:16" s="11" customFormat="1" ht="12.75" x14ac:dyDescent="0.2">
      <c r="A149" s="154" t="s">
        <v>33</v>
      </c>
      <c r="B149" s="155">
        <f t="shared" si="4"/>
        <v>5.6250000000000053</v>
      </c>
      <c r="C149" s="156">
        <v>16</v>
      </c>
      <c r="D149" s="150">
        <f t="shared" si="5"/>
        <v>136</v>
      </c>
      <c r="E149" s="82"/>
      <c r="F149" s="83"/>
      <c r="G149" s="83"/>
      <c r="H149" s="83"/>
      <c r="I149" s="83"/>
      <c r="J149" s="84"/>
      <c r="K149" s="85"/>
      <c r="L149" s="86"/>
      <c r="M149" s="86"/>
      <c r="N149" s="87"/>
      <c r="O149" s="82"/>
      <c r="P149" s="84"/>
    </row>
    <row r="150" spans="1:16" s="11" customFormat="1" ht="12.75" x14ac:dyDescent="0.2">
      <c r="A150" s="154" t="s">
        <v>33</v>
      </c>
      <c r="B150" s="155">
        <f t="shared" si="4"/>
        <v>5.6666666666666723</v>
      </c>
      <c r="C150" s="156">
        <v>17</v>
      </c>
      <c r="D150" s="150">
        <f t="shared" si="5"/>
        <v>137</v>
      </c>
      <c r="E150" s="82"/>
      <c r="F150" s="83"/>
      <c r="G150" s="83"/>
      <c r="H150" s="83"/>
      <c r="I150" s="83"/>
      <c r="J150" s="84"/>
      <c r="K150" s="85"/>
      <c r="L150" s="86"/>
      <c r="M150" s="86"/>
      <c r="N150" s="87"/>
      <c r="O150" s="82"/>
      <c r="P150" s="84"/>
    </row>
    <row r="151" spans="1:16" s="11" customFormat="1" ht="12.75" x14ac:dyDescent="0.2">
      <c r="A151" s="154" t="s">
        <v>33</v>
      </c>
      <c r="B151" s="155">
        <f t="shared" si="4"/>
        <v>5.7083333333333393</v>
      </c>
      <c r="C151" s="156">
        <v>18</v>
      </c>
      <c r="D151" s="150">
        <f t="shared" si="5"/>
        <v>138</v>
      </c>
      <c r="E151" s="82"/>
      <c r="F151" s="83"/>
      <c r="G151" s="83"/>
      <c r="H151" s="83"/>
      <c r="I151" s="83"/>
      <c r="J151" s="84"/>
      <c r="K151" s="85"/>
      <c r="L151" s="86"/>
      <c r="M151" s="86"/>
      <c r="N151" s="87"/>
      <c r="O151" s="82"/>
      <c r="P151" s="84"/>
    </row>
    <row r="152" spans="1:16" s="11" customFormat="1" ht="12.75" x14ac:dyDescent="0.2">
      <c r="A152" s="154" t="s">
        <v>33</v>
      </c>
      <c r="B152" s="155">
        <f t="shared" si="4"/>
        <v>5.7500000000000062</v>
      </c>
      <c r="C152" s="156">
        <v>19</v>
      </c>
      <c r="D152" s="150">
        <f t="shared" si="5"/>
        <v>139</v>
      </c>
      <c r="E152" s="82"/>
      <c r="F152" s="83"/>
      <c r="G152" s="83"/>
      <c r="H152" s="83"/>
      <c r="I152" s="83"/>
      <c r="J152" s="84"/>
      <c r="K152" s="85"/>
      <c r="L152" s="86"/>
      <c r="M152" s="86"/>
      <c r="N152" s="87"/>
      <c r="O152" s="82"/>
      <c r="P152" s="84"/>
    </row>
    <row r="153" spans="1:16" s="11" customFormat="1" ht="12.75" x14ac:dyDescent="0.2">
      <c r="A153" s="154" t="s">
        <v>33</v>
      </c>
      <c r="B153" s="155">
        <f t="shared" si="4"/>
        <v>5.7916666666666732</v>
      </c>
      <c r="C153" s="156">
        <v>20</v>
      </c>
      <c r="D153" s="150">
        <f t="shared" si="5"/>
        <v>140</v>
      </c>
      <c r="E153" s="82"/>
      <c r="F153" s="83"/>
      <c r="G153" s="83"/>
      <c r="H153" s="83"/>
      <c r="I153" s="83"/>
      <c r="J153" s="84"/>
      <c r="K153" s="85"/>
      <c r="L153" s="86"/>
      <c r="M153" s="86"/>
      <c r="N153" s="87"/>
      <c r="O153" s="82"/>
      <c r="P153" s="84"/>
    </row>
    <row r="154" spans="1:16" s="11" customFormat="1" ht="12.75" x14ac:dyDescent="0.2">
      <c r="A154" s="154" t="s">
        <v>33</v>
      </c>
      <c r="B154" s="155">
        <f t="shared" si="4"/>
        <v>5.8333333333333401</v>
      </c>
      <c r="C154" s="156">
        <v>21</v>
      </c>
      <c r="D154" s="150">
        <f t="shared" si="5"/>
        <v>141</v>
      </c>
      <c r="E154" s="82"/>
      <c r="F154" s="83"/>
      <c r="G154" s="83"/>
      <c r="H154" s="83"/>
      <c r="I154" s="83"/>
      <c r="J154" s="84"/>
      <c r="K154" s="85"/>
      <c r="L154" s="86"/>
      <c r="M154" s="86"/>
      <c r="N154" s="87"/>
      <c r="O154" s="82"/>
      <c r="P154" s="84"/>
    </row>
    <row r="155" spans="1:16" s="11" customFormat="1" ht="12.75" x14ac:dyDescent="0.2">
      <c r="A155" s="154" t="s">
        <v>33</v>
      </c>
      <c r="B155" s="155">
        <f t="shared" si="4"/>
        <v>5.8750000000000071</v>
      </c>
      <c r="C155" s="156">
        <v>22</v>
      </c>
      <c r="D155" s="150">
        <f t="shared" si="5"/>
        <v>142</v>
      </c>
      <c r="E155" s="82"/>
      <c r="F155" s="83"/>
      <c r="G155" s="83"/>
      <c r="H155" s="83"/>
      <c r="I155" s="83"/>
      <c r="J155" s="84"/>
      <c r="K155" s="85"/>
      <c r="L155" s="86"/>
      <c r="M155" s="86"/>
      <c r="N155" s="87"/>
      <c r="O155" s="82"/>
      <c r="P155" s="84"/>
    </row>
    <row r="156" spans="1:16" s="11" customFormat="1" ht="12.75" x14ac:dyDescent="0.2">
      <c r="A156" s="154" t="s">
        <v>33</v>
      </c>
      <c r="B156" s="155">
        <f t="shared" si="4"/>
        <v>5.9166666666666741</v>
      </c>
      <c r="C156" s="156">
        <v>23</v>
      </c>
      <c r="D156" s="150">
        <f t="shared" si="5"/>
        <v>143</v>
      </c>
      <c r="E156" s="82"/>
      <c r="F156" s="83"/>
      <c r="G156" s="83"/>
      <c r="H156" s="83"/>
      <c r="I156" s="83"/>
      <c r="J156" s="84"/>
      <c r="K156" s="85"/>
      <c r="L156" s="86"/>
      <c r="M156" s="86"/>
      <c r="N156" s="87"/>
      <c r="O156" s="82"/>
      <c r="P156" s="84"/>
    </row>
    <row r="157" spans="1:16" s="11" customFormat="1" ht="12.75" x14ac:dyDescent="0.2">
      <c r="A157" s="154" t="s">
        <v>33</v>
      </c>
      <c r="B157" s="155">
        <f t="shared" si="4"/>
        <v>5.958333333333341</v>
      </c>
      <c r="C157" s="156">
        <v>24</v>
      </c>
      <c r="D157" s="150">
        <f t="shared" si="5"/>
        <v>144</v>
      </c>
      <c r="E157" s="103"/>
      <c r="F157" s="104"/>
      <c r="G157" s="104"/>
      <c r="H157" s="104"/>
      <c r="I157" s="104"/>
      <c r="J157" s="105"/>
      <c r="K157" s="106"/>
      <c r="L157" s="107"/>
      <c r="M157" s="107"/>
      <c r="N157" s="108"/>
      <c r="O157" s="103"/>
      <c r="P157" s="105"/>
    </row>
    <row r="158" spans="1:16" s="11" customFormat="1" ht="12.75" x14ac:dyDescent="0.2">
      <c r="A158" s="154" t="s">
        <v>34</v>
      </c>
      <c r="B158" s="155">
        <f t="shared" si="4"/>
        <v>6.000000000000008</v>
      </c>
      <c r="C158" s="156">
        <v>1</v>
      </c>
      <c r="D158" s="150">
        <f t="shared" si="5"/>
        <v>145</v>
      </c>
      <c r="E158" s="74"/>
      <c r="F158" s="75"/>
      <c r="G158" s="75"/>
      <c r="H158" s="75"/>
      <c r="I158" s="75"/>
      <c r="J158" s="76"/>
      <c r="K158" s="77"/>
      <c r="L158" s="78"/>
      <c r="M158" s="78"/>
      <c r="N158" s="79"/>
      <c r="O158" s="74"/>
      <c r="P158" s="76"/>
    </row>
    <row r="159" spans="1:16" s="11" customFormat="1" ht="12.75" customHeight="1" x14ac:dyDescent="0.2">
      <c r="A159" s="154" t="s">
        <v>34</v>
      </c>
      <c r="B159" s="155">
        <f t="shared" si="4"/>
        <v>6.041666666666675</v>
      </c>
      <c r="C159" s="156">
        <v>2</v>
      </c>
      <c r="D159" s="150">
        <f t="shared" si="5"/>
        <v>146</v>
      </c>
      <c r="E159" s="82"/>
      <c r="F159" s="83"/>
      <c r="G159" s="83"/>
      <c r="H159" s="83"/>
      <c r="I159" s="83"/>
      <c r="J159" s="84"/>
      <c r="K159" s="85"/>
      <c r="L159" s="86"/>
      <c r="M159" s="86"/>
      <c r="N159" s="87"/>
      <c r="O159" s="82"/>
      <c r="P159" s="84"/>
    </row>
    <row r="160" spans="1:16" s="11" customFormat="1" ht="12.75" x14ac:dyDescent="0.2">
      <c r="A160" s="154" t="s">
        <v>34</v>
      </c>
      <c r="B160" s="155">
        <f t="shared" si="4"/>
        <v>6.0833333333333419</v>
      </c>
      <c r="C160" s="156">
        <v>3</v>
      </c>
      <c r="D160" s="150">
        <f t="shared" si="5"/>
        <v>147</v>
      </c>
      <c r="E160" s="82"/>
      <c r="F160" s="83"/>
      <c r="G160" s="83"/>
      <c r="H160" s="83"/>
      <c r="I160" s="83"/>
      <c r="J160" s="84"/>
      <c r="K160" s="85"/>
      <c r="L160" s="86"/>
      <c r="M160" s="86"/>
      <c r="N160" s="87"/>
      <c r="O160" s="82"/>
      <c r="P160" s="84"/>
    </row>
    <row r="161" spans="1:16" s="11" customFormat="1" ht="12.75" x14ac:dyDescent="0.2">
      <c r="A161" s="154" t="s">
        <v>34</v>
      </c>
      <c r="B161" s="155">
        <f t="shared" si="4"/>
        <v>6.1250000000000089</v>
      </c>
      <c r="C161" s="156">
        <v>4</v>
      </c>
      <c r="D161" s="150">
        <f t="shared" si="5"/>
        <v>148</v>
      </c>
      <c r="E161" s="82"/>
      <c r="F161" s="83"/>
      <c r="G161" s="83"/>
      <c r="H161" s="83"/>
      <c r="I161" s="83"/>
      <c r="J161" s="84"/>
      <c r="K161" s="85"/>
      <c r="L161" s="86"/>
      <c r="M161" s="86"/>
      <c r="N161" s="87"/>
      <c r="O161" s="82"/>
      <c r="P161" s="84"/>
    </row>
    <row r="162" spans="1:16" s="11" customFormat="1" ht="12.75" x14ac:dyDescent="0.2">
      <c r="A162" s="154" t="s">
        <v>34</v>
      </c>
      <c r="B162" s="155">
        <f t="shared" si="4"/>
        <v>6.1666666666666758</v>
      </c>
      <c r="C162" s="156">
        <v>5</v>
      </c>
      <c r="D162" s="150">
        <f t="shared" si="5"/>
        <v>149</v>
      </c>
      <c r="E162" s="82"/>
      <c r="F162" s="83"/>
      <c r="G162" s="83"/>
      <c r="H162" s="83"/>
      <c r="I162" s="83"/>
      <c r="J162" s="84"/>
      <c r="K162" s="85"/>
      <c r="L162" s="86"/>
      <c r="M162" s="86"/>
      <c r="N162" s="87"/>
      <c r="O162" s="82"/>
      <c r="P162" s="84"/>
    </row>
    <row r="163" spans="1:16" s="11" customFormat="1" ht="12.75" x14ac:dyDescent="0.2">
      <c r="A163" s="154" t="s">
        <v>34</v>
      </c>
      <c r="B163" s="155">
        <f t="shared" si="4"/>
        <v>6.2083333333333428</v>
      </c>
      <c r="C163" s="156">
        <v>6</v>
      </c>
      <c r="D163" s="150">
        <f t="shared" si="5"/>
        <v>150</v>
      </c>
      <c r="E163" s="82"/>
      <c r="F163" s="83"/>
      <c r="G163" s="83"/>
      <c r="H163" s="83"/>
      <c r="I163" s="83"/>
      <c r="J163" s="84"/>
      <c r="K163" s="85"/>
      <c r="L163" s="86"/>
      <c r="M163" s="86"/>
      <c r="N163" s="87"/>
      <c r="O163" s="82"/>
      <c r="P163" s="84"/>
    </row>
    <row r="164" spans="1:16" s="11" customFormat="1" ht="12.75" x14ac:dyDescent="0.2">
      <c r="A164" s="154" t="s">
        <v>34</v>
      </c>
      <c r="B164" s="155">
        <f t="shared" si="4"/>
        <v>6.2500000000000098</v>
      </c>
      <c r="C164" s="156">
        <v>7</v>
      </c>
      <c r="D164" s="150">
        <f t="shared" si="5"/>
        <v>151</v>
      </c>
      <c r="E164" s="82"/>
      <c r="F164" s="83"/>
      <c r="G164" s="83"/>
      <c r="H164" s="83"/>
      <c r="I164" s="83"/>
      <c r="J164" s="84"/>
      <c r="K164" s="85"/>
      <c r="L164" s="86"/>
      <c r="M164" s="86"/>
      <c r="N164" s="87"/>
      <c r="O164" s="82"/>
      <c r="P164" s="84"/>
    </row>
    <row r="165" spans="1:16" s="11" customFormat="1" ht="12.75" x14ac:dyDescent="0.2">
      <c r="A165" s="154" t="s">
        <v>34</v>
      </c>
      <c r="B165" s="155">
        <f t="shared" si="4"/>
        <v>6.2916666666666767</v>
      </c>
      <c r="C165" s="156">
        <v>8</v>
      </c>
      <c r="D165" s="150">
        <f t="shared" si="5"/>
        <v>152</v>
      </c>
      <c r="E165" s="82"/>
      <c r="F165" s="83"/>
      <c r="G165" s="83"/>
      <c r="H165" s="83"/>
      <c r="I165" s="83"/>
      <c r="J165" s="84"/>
      <c r="K165" s="85"/>
      <c r="L165" s="86"/>
      <c r="M165" s="86"/>
      <c r="N165" s="87"/>
      <c r="O165" s="82"/>
      <c r="P165" s="84"/>
    </row>
    <row r="166" spans="1:16" s="11" customFormat="1" ht="12.75" x14ac:dyDescent="0.2">
      <c r="A166" s="154" t="s">
        <v>34</v>
      </c>
      <c r="B166" s="155">
        <f t="shared" si="4"/>
        <v>6.3333333333333437</v>
      </c>
      <c r="C166" s="156">
        <v>9</v>
      </c>
      <c r="D166" s="150">
        <f t="shared" si="5"/>
        <v>153</v>
      </c>
      <c r="E166" s="82"/>
      <c r="F166" s="83"/>
      <c r="G166" s="83"/>
      <c r="H166" s="83"/>
      <c r="I166" s="83"/>
      <c r="J166" s="84"/>
      <c r="K166" s="85"/>
      <c r="L166" s="86"/>
      <c r="M166" s="86"/>
      <c r="N166" s="87"/>
      <c r="O166" s="82"/>
      <c r="P166" s="84"/>
    </row>
    <row r="167" spans="1:16" s="11" customFormat="1" ht="12.75" x14ac:dyDescent="0.2">
      <c r="A167" s="154" t="s">
        <v>34</v>
      </c>
      <c r="B167" s="155">
        <f t="shared" si="4"/>
        <v>6.3750000000000107</v>
      </c>
      <c r="C167" s="156">
        <v>10</v>
      </c>
      <c r="D167" s="150">
        <f t="shared" si="5"/>
        <v>154</v>
      </c>
      <c r="E167" s="82"/>
      <c r="F167" s="83"/>
      <c r="G167" s="83"/>
      <c r="H167" s="83"/>
      <c r="I167" s="83"/>
      <c r="J167" s="84"/>
      <c r="K167" s="85"/>
      <c r="L167" s="86"/>
      <c r="M167" s="86"/>
      <c r="N167" s="87"/>
      <c r="O167" s="82"/>
      <c r="P167" s="84"/>
    </row>
    <row r="168" spans="1:16" s="11" customFormat="1" ht="12.75" x14ac:dyDescent="0.2">
      <c r="A168" s="154" t="s">
        <v>34</v>
      </c>
      <c r="B168" s="155">
        <f t="shared" si="4"/>
        <v>6.4166666666666776</v>
      </c>
      <c r="C168" s="156">
        <v>11</v>
      </c>
      <c r="D168" s="150">
        <f t="shared" si="5"/>
        <v>155</v>
      </c>
      <c r="E168" s="82"/>
      <c r="F168" s="83"/>
      <c r="G168" s="83"/>
      <c r="H168" s="83"/>
      <c r="I168" s="83"/>
      <c r="J168" s="84"/>
      <c r="K168" s="85"/>
      <c r="L168" s="86"/>
      <c r="M168" s="86"/>
      <c r="N168" s="87"/>
      <c r="O168" s="82"/>
      <c r="P168" s="84"/>
    </row>
    <row r="169" spans="1:16" s="11" customFormat="1" ht="12.75" x14ac:dyDescent="0.2">
      <c r="A169" s="154" t="s">
        <v>34</v>
      </c>
      <c r="B169" s="155">
        <f t="shared" si="4"/>
        <v>6.4583333333333446</v>
      </c>
      <c r="C169" s="156">
        <v>12</v>
      </c>
      <c r="D169" s="150">
        <f t="shared" si="5"/>
        <v>156</v>
      </c>
      <c r="E169" s="82"/>
      <c r="F169" s="83"/>
      <c r="G169" s="83"/>
      <c r="H169" s="83"/>
      <c r="I169" s="83"/>
      <c r="J169" s="84"/>
      <c r="K169" s="85"/>
      <c r="L169" s="86"/>
      <c r="M169" s="86"/>
      <c r="N169" s="87"/>
      <c r="O169" s="82"/>
      <c r="P169" s="84"/>
    </row>
    <row r="170" spans="1:16" s="11" customFormat="1" ht="12.75" x14ac:dyDescent="0.2">
      <c r="A170" s="154" t="s">
        <v>34</v>
      </c>
      <c r="B170" s="155">
        <f t="shared" si="4"/>
        <v>6.5000000000000115</v>
      </c>
      <c r="C170" s="156">
        <v>13</v>
      </c>
      <c r="D170" s="150">
        <f t="shared" si="5"/>
        <v>157</v>
      </c>
      <c r="E170" s="82"/>
      <c r="F170" s="83"/>
      <c r="G170" s="83"/>
      <c r="H170" s="83"/>
      <c r="I170" s="83"/>
      <c r="J170" s="84"/>
      <c r="K170" s="85"/>
      <c r="L170" s="86"/>
      <c r="M170" s="86"/>
      <c r="N170" s="87"/>
      <c r="O170" s="82"/>
      <c r="P170" s="84"/>
    </row>
    <row r="171" spans="1:16" s="11" customFormat="1" ht="12.75" x14ac:dyDescent="0.2">
      <c r="A171" s="154" t="s">
        <v>34</v>
      </c>
      <c r="B171" s="155">
        <f t="shared" si="4"/>
        <v>6.5416666666666785</v>
      </c>
      <c r="C171" s="156">
        <v>14</v>
      </c>
      <c r="D171" s="150">
        <f t="shared" si="5"/>
        <v>158</v>
      </c>
      <c r="E171" s="82"/>
      <c r="F171" s="83"/>
      <c r="G171" s="83"/>
      <c r="H171" s="83"/>
      <c r="I171" s="83"/>
      <c r="J171" s="84"/>
      <c r="K171" s="85"/>
      <c r="L171" s="86"/>
      <c r="M171" s="86"/>
      <c r="N171" s="87"/>
      <c r="O171" s="82"/>
      <c r="P171" s="84"/>
    </row>
    <row r="172" spans="1:16" s="11" customFormat="1" ht="12.75" x14ac:dyDescent="0.2">
      <c r="A172" s="154" t="s">
        <v>34</v>
      </c>
      <c r="B172" s="155">
        <f t="shared" si="4"/>
        <v>6.5833333333333455</v>
      </c>
      <c r="C172" s="156">
        <v>15</v>
      </c>
      <c r="D172" s="150">
        <f t="shared" si="5"/>
        <v>159</v>
      </c>
      <c r="E172" s="82"/>
      <c r="F172" s="83"/>
      <c r="G172" s="83"/>
      <c r="H172" s="83"/>
      <c r="I172" s="83"/>
      <c r="J172" s="84"/>
      <c r="K172" s="85"/>
      <c r="L172" s="86"/>
      <c r="M172" s="86"/>
      <c r="N172" s="87"/>
      <c r="O172" s="82"/>
      <c r="P172" s="84"/>
    </row>
    <row r="173" spans="1:16" s="11" customFormat="1" ht="12.75" x14ac:dyDescent="0.2">
      <c r="A173" s="154" t="s">
        <v>34</v>
      </c>
      <c r="B173" s="155">
        <f t="shared" si="4"/>
        <v>6.6250000000000124</v>
      </c>
      <c r="C173" s="156">
        <v>16</v>
      </c>
      <c r="D173" s="150">
        <f t="shared" si="5"/>
        <v>160</v>
      </c>
      <c r="E173" s="82"/>
      <c r="F173" s="83"/>
      <c r="G173" s="83"/>
      <c r="H173" s="83"/>
      <c r="I173" s="83"/>
      <c r="J173" s="84"/>
      <c r="K173" s="85"/>
      <c r="L173" s="86"/>
      <c r="M173" s="86"/>
      <c r="N173" s="87"/>
      <c r="O173" s="82"/>
      <c r="P173" s="84"/>
    </row>
    <row r="174" spans="1:16" s="11" customFormat="1" ht="12.75" x14ac:dyDescent="0.2">
      <c r="A174" s="154" t="s">
        <v>34</v>
      </c>
      <c r="B174" s="155">
        <f t="shared" si="4"/>
        <v>6.6666666666666794</v>
      </c>
      <c r="C174" s="156">
        <v>17</v>
      </c>
      <c r="D174" s="150">
        <f t="shared" si="5"/>
        <v>161</v>
      </c>
      <c r="E174" s="82"/>
      <c r="F174" s="83"/>
      <c r="G174" s="83"/>
      <c r="H174" s="83"/>
      <c r="I174" s="83"/>
      <c r="J174" s="84"/>
      <c r="K174" s="85"/>
      <c r="L174" s="86"/>
      <c r="M174" s="86"/>
      <c r="N174" s="87"/>
      <c r="O174" s="82"/>
      <c r="P174" s="84"/>
    </row>
    <row r="175" spans="1:16" s="11" customFormat="1" ht="12.75" x14ac:dyDescent="0.2">
      <c r="A175" s="154" t="s">
        <v>34</v>
      </c>
      <c r="B175" s="155">
        <f t="shared" si="4"/>
        <v>6.7083333333333464</v>
      </c>
      <c r="C175" s="156">
        <v>18</v>
      </c>
      <c r="D175" s="150">
        <f t="shared" si="5"/>
        <v>162</v>
      </c>
      <c r="E175" s="82"/>
      <c r="F175" s="83"/>
      <c r="G175" s="83"/>
      <c r="H175" s="83"/>
      <c r="I175" s="83"/>
      <c r="J175" s="84"/>
      <c r="K175" s="85"/>
      <c r="L175" s="86"/>
      <c r="M175" s="86"/>
      <c r="N175" s="87"/>
      <c r="O175" s="82"/>
      <c r="P175" s="84"/>
    </row>
    <row r="176" spans="1:16" s="11" customFormat="1" ht="12.75" x14ac:dyDescent="0.2">
      <c r="A176" s="154" t="s">
        <v>34</v>
      </c>
      <c r="B176" s="155">
        <f t="shared" si="4"/>
        <v>6.7500000000000133</v>
      </c>
      <c r="C176" s="156">
        <v>19</v>
      </c>
      <c r="D176" s="150">
        <f t="shared" si="5"/>
        <v>163</v>
      </c>
      <c r="E176" s="82"/>
      <c r="F176" s="83"/>
      <c r="G176" s="83"/>
      <c r="H176" s="83"/>
      <c r="I176" s="83"/>
      <c r="J176" s="84"/>
      <c r="K176" s="85"/>
      <c r="L176" s="86"/>
      <c r="M176" s="86"/>
      <c r="N176" s="87"/>
      <c r="O176" s="82"/>
      <c r="P176" s="84"/>
    </row>
    <row r="177" spans="1:16" s="11" customFormat="1" ht="12.75" x14ac:dyDescent="0.2">
      <c r="A177" s="154" t="s">
        <v>34</v>
      </c>
      <c r="B177" s="155">
        <f t="shared" si="4"/>
        <v>6.7916666666666803</v>
      </c>
      <c r="C177" s="156">
        <v>20</v>
      </c>
      <c r="D177" s="150">
        <f t="shared" si="5"/>
        <v>164</v>
      </c>
      <c r="E177" s="82"/>
      <c r="F177" s="83"/>
      <c r="G177" s="83"/>
      <c r="H177" s="83"/>
      <c r="I177" s="83"/>
      <c r="J177" s="84"/>
      <c r="K177" s="85"/>
      <c r="L177" s="86"/>
      <c r="M177" s="86"/>
      <c r="N177" s="87"/>
      <c r="O177" s="82"/>
      <c r="P177" s="84"/>
    </row>
    <row r="178" spans="1:16" s="11" customFormat="1" ht="12.75" x14ac:dyDescent="0.2">
      <c r="A178" s="154" t="s">
        <v>34</v>
      </c>
      <c r="B178" s="155">
        <f t="shared" si="4"/>
        <v>6.8333333333333472</v>
      </c>
      <c r="C178" s="156">
        <v>21</v>
      </c>
      <c r="D178" s="150">
        <f t="shared" si="5"/>
        <v>165</v>
      </c>
      <c r="E178" s="82"/>
      <c r="F178" s="83"/>
      <c r="G178" s="83"/>
      <c r="H178" s="83"/>
      <c r="I178" s="83"/>
      <c r="J178" s="84"/>
      <c r="K178" s="85"/>
      <c r="L178" s="86"/>
      <c r="M178" s="86"/>
      <c r="N178" s="87"/>
      <c r="O178" s="82"/>
      <c r="P178" s="84"/>
    </row>
    <row r="179" spans="1:16" s="11" customFormat="1" ht="12.75" x14ac:dyDescent="0.2">
      <c r="A179" s="154" t="s">
        <v>34</v>
      </c>
      <c r="B179" s="155">
        <f t="shared" si="4"/>
        <v>6.8750000000000142</v>
      </c>
      <c r="C179" s="156">
        <v>22</v>
      </c>
      <c r="D179" s="150">
        <f t="shared" si="5"/>
        <v>166</v>
      </c>
      <c r="E179" s="82"/>
      <c r="F179" s="83"/>
      <c r="G179" s="83"/>
      <c r="H179" s="83"/>
      <c r="I179" s="83"/>
      <c r="J179" s="84"/>
      <c r="K179" s="85"/>
      <c r="L179" s="86"/>
      <c r="M179" s="86"/>
      <c r="N179" s="87"/>
      <c r="O179" s="82"/>
      <c r="P179" s="84"/>
    </row>
    <row r="180" spans="1:16" s="11" customFormat="1" ht="12.75" x14ac:dyDescent="0.2">
      <c r="A180" s="154" t="s">
        <v>34</v>
      </c>
      <c r="B180" s="155">
        <f t="shared" si="4"/>
        <v>6.9166666666666812</v>
      </c>
      <c r="C180" s="156">
        <v>23</v>
      </c>
      <c r="D180" s="150">
        <f t="shared" si="5"/>
        <v>167</v>
      </c>
      <c r="E180" s="82"/>
      <c r="F180" s="83"/>
      <c r="G180" s="83"/>
      <c r="H180" s="83"/>
      <c r="I180" s="83"/>
      <c r="J180" s="84"/>
      <c r="K180" s="85"/>
      <c r="L180" s="86"/>
      <c r="M180" s="86"/>
      <c r="N180" s="87"/>
      <c r="O180" s="82"/>
      <c r="P180" s="84"/>
    </row>
    <row r="181" spans="1:16" s="11" customFormat="1" ht="12.75" x14ac:dyDescent="0.2">
      <c r="A181" s="154" t="s">
        <v>34</v>
      </c>
      <c r="B181" s="155">
        <f t="shared" si="4"/>
        <v>6.9583333333333481</v>
      </c>
      <c r="C181" s="156">
        <v>24</v>
      </c>
      <c r="D181" s="150">
        <f t="shared" si="5"/>
        <v>168</v>
      </c>
      <c r="E181" s="103"/>
      <c r="F181" s="104"/>
      <c r="G181" s="104"/>
      <c r="H181" s="104"/>
      <c r="I181" s="104"/>
      <c r="J181" s="105"/>
      <c r="K181" s="106"/>
      <c r="L181" s="107"/>
      <c r="M181" s="107"/>
      <c r="N181" s="108"/>
      <c r="O181" s="103"/>
      <c r="P181" s="105"/>
    </row>
    <row r="182" spans="1:16" s="20" customFormat="1" ht="12.75" x14ac:dyDescent="0.2">
      <c r="A182" s="157"/>
      <c r="B182" s="158"/>
      <c r="C182" s="159"/>
      <c r="D182" s="160"/>
      <c r="E182" s="21"/>
      <c r="F182" s="21"/>
      <c r="G182" s="21"/>
      <c r="H182" s="21"/>
      <c r="I182" s="21"/>
      <c r="J182" s="21"/>
      <c r="K182" s="21"/>
      <c r="L182" s="21"/>
      <c r="M182" s="21"/>
      <c r="N182" s="21"/>
      <c r="O182" s="21"/>
      <c r="P182" s="21"/>
    </row>
    <row r="183" spans="1:16" s="11" customFormat="1" ht="12.75" x14ac:dyDescent="0.2">
      <c r="A183" s="154"/>
      <c r="B183" s="155"/>
      <c r="C183" s="155"/>
      <c r="D183" s="161" t="s">
        <v>35</v>
      </c>
      <c r="E183" s="22">
        <f>SUM(E14:E181)</f>
        <v>0</v>
      </c>
      <c r="F183" s="22">
        <f t="shared" ref="F183:P183" si="6">SUM(F14:F181)</f>
        <v>0</v>
      </c>
      <c r="G183" s="22">
        <f t="shared" si="6"/>
        <v>0</v>
      </c>
      <c r="H183" s="22">
        <f t="shared" si="6"/>
        <v>0</v>
      </c>
      <c r="I183" s="22">
        <f t="shared" si="6"/>
        <v>0</v>
      </c>
      <c r="J183" s="22">
        <f t="shared" si="6"/>
        <v>0</v>
      </c>
      <c r="K183" s="22">
        <f t="shared" si="6"/>
        <v>0</v>
      </c>
      <c r="L183" s="22">
        <f t="shared" si="6"/>
        <v>0</v>
      </c>
      <c r="M183" s="22">
        <f t="shared" si="6"/>
        <v>0</v>
      </c>
      <c r="N183" s="22">
        <f t="shared" si="6"/>
        <v>0</v>
      </c>
      <c r="O183" s="22">
        <f t="shared" si="6"/>
        <v>0</v>
      </c>
      <c r="P183" s="22">
        <f t="shared" si="6"/>
        <v>0</v>
      </c>
    </row>
    <row r="184" spans="1:16" s="11" customFormat="1" ht="12.75" x14ac:dyDescent="0.2">
      <c r="A184" s="154"/>
      <c r="B184" s="150"/>
      <c r="C184" s="150"/>
      <c r="D184" s="161" t="s">
        <v>36</v>
      </c>
      <c r="E184" s="22">
        <f>E183*(31/7)</f>
        <v>0</v>
      </c>
      <c r="F184" s="22">
        <f>F183*(28/7)</f>
        <v>0</v>
      </c>
      <c r="G184" s="22">
        <f>G183*(31/7)</f>
        <v>0</v>
      </c>
      <c r="H184" s="22">
        <f>H183*(30/7)</f>
        <v>0</v>
      </c>
      <c r="I184" s="22">
        <f>I183*(31/7)</f>
        <v>0</v>
      </c>
      <c r="J184" s="22">
        <f>J183*(30/7)</f>
        <v>0</v>
      </c>
      <c r="K184" s="22">
        <f>K183*(31/7)</f>
        <v>0</v>
      </c>
      <c r="L184" s="22">
        <f>L183*(31/7)</f>
        <v>0</v>
      </c>
      <c r="M184" s="22">
        <f>M183*(30/7)</f>
        <v>0</v>
      </c>
      <c r="N184" s="22">
        <f>N183*(31/7)</f>
        <v>0</v>
      </c>
      <c r="O184" s="22">
        <f>O183*(30/7)</f>
        <v>0</v>
      </c>
      <c r="P184" s="22">
        <f>P183*(31/7)</f>
        <v>0</v>
      </c>
    </row>
    <row r="185" spans="1:16" s="11" customFormat="1" ht="12.75" x14ac:dyDescent="0.2">
      <c r="A185" s="154"/>
      <c r="B185" s="150"/>
      <c r="C185" s="150"/>
      <c r="D185" s="161" t="s">
        <v>37</v>
      </c>
      <c r="E185" s="23" t="e">
        <f t="shared" ref="E185:P185" si="7">E184/SUM($E$184:$P$184)</f>
        <v>#DIV/0!</v>
      </c>
      <c r="F185" s="23" t="e">
        <f t="shared" si="7"/>
        <v>#DIV/0!</v>
      </c>
      <c r="G185" s="23" t="e">
        <f t="shared" si="7"/>
        <v>#DIV/0!</v>
      </c>
      <c r="H185" s="23" t="e">
        <f t="shared" si="7"/>
        <v>#DIV/0!</v>
      </c>
      <c r="I185" s="23" t="e">
        <f t="shared" si="7"/>
        <v>#DIV/0!</v>
      </c>
      <c r="J185" s="23" t="e">
        <f t="shared" si="7"/>
        <v>#DIV/0!</v>
      </c>
      <c r="K185" s="23" t="e">
        <f t="shared" si="7"/>
        <v>#DIV/0!</v>
      </c>
      <c r="L185" s="23" t="e">
        <f t="shared" si="7"/>
        <v>#DIV/0!</v>
      </c>
      <c r="M185" s="23" t="e">
        <f t="shared" si="7"/>
        <v>#DIV/0!</v>
      </c>
      <c r="N185" s="23" t="e">
        <f t="shared" si="7"/>
        <v>#DIV/0!</v>
      </c>
      <c r="O185" s="23" t="e">
        <f t="shared" si="7"/>
        <v>#DIV/0!</v>
      </c>
      <c r="P185" s="23" t="e">
        <f t="shared" si="7"/>
        <v>#DIV/0!</v>
      </c>
    </row>
    <row r="186" spans="1:16" s="11" customFormat="1" ht="12.75" x14ac:dyDescent="0.2">
      <c r="A186" s="154"/>
      <c r="B186" s="150"/>
      <c r="C186" s="150"/>
      <c r="D186" s="161"/>
      <c r="E186" s="24"/>
      <c r="F186" s="25"/>
      <c r="G186" s="25"/>
      <c r="H186" s="25"/>
      <c r="I186" s="25"/>
      <c r="J186" s="25"/>
      <c r="K186" s="25"/>
      <c r="L186" s="25"/>
      <c r="M186" s="25"/>
      <c r="N186" s="25"/>
      <c r="O186" s="25"/>
      <c r="P186" s="25"/>
    </row>
    <row r="187" spans="1:16" s="11" customFormat="1" ht="12.75" x14ac:dyDescent="0.2">
      <c r="A187" s="154"/>
      <c r="B187" s="150"/>
      <c r="C187" s="162"/>
      <c r="D187" s="162" t="s">
        <v>38</v>
      </c>
      <c r="E187" s="26" t="e">
        <f>SUM(E14:E19,E36:E43,E60:E67,E84:E91,E108:E115,E132:E181)*(31/7)/(SUM($E$14:$P$181)*(52.1428571/12))</f>
        <v>#DIV/0!</v>
      </c>
      <c r="F187" s="26" t="e">
        <f>SUM(F14:F19,F36:F43,F60:F67,F84:F91,F108:F115,F132:F181)*(28/7)/(SUM($E$14:$P$181)*(52.1428571/12))</f>
        <v>#DIV/0!</v>
      </c>
      <c r="G187" s="26" t="e">
        <f>SUM(G14:G19,G36:G43,G60:G67,G84:G91,G108:G115,G132:G181)*(31/7)/(SUM($E$14:$P$181)*(52.1428571/12))</f>
        <v>#DIV/0!</v>
      </c>
      <c r="H187" s="26" t="e">
        <f>SUM(H14:H19,H36:H43,H60:H67,H84:H91,H108:H115,H132:H181)*(30/7)/(SUM($E$14:$P$181)*(52.1428571/12))</f>
        <v>#DIV/0!</v>
      </c>
      <c r="I187" s="26" t="e">
        <f>SUM(I14:I19,I36:I43,I60:I67,I84:I91,I108:I115,I132:I181)*(31/7)/(SUM($E$14:$P$181)*(52.1428571/12))</f>
        <v>#DIV/0!</v>
      </c>
      <c r="J187" s="26" t="e">
        <f>SUM(J14:J19,J36:J43,J60:J67,J84:J91,J108:J115,J132:J181)*(30/7)/(SUM($E$14:$P$181)*(52.1428571/12))</f>
        <v>#DIV/0!</v>
      </c>
      <c r="K187" s="26"/>
      <c r="L187" s="26"/>
      <c r="M187" s="26"/>
      <c r="N187" s="26"/>
      <c r="O187" s="26" t="e">
        <f>SUM(O14:O19,O36:O43,O60:O67,O84:O91,O108:O115,O132:O181)*(30/7)/(SUM($E$14:$P$181)*(52.1428571/12))</f>
        <v>#DIV/0!</v>
      </c>
      <c r="P187" s="26" t="e">
        <f>SUM(P14:P19,P36:P43,P60:P67,P84:P91,P108:P115,P132:P181)*(31/7)/(SUM($E$14:$P$181)*(52.1428571/12))</f>
        <v>#DIV/0!</v>
      </c>
    </row>
    <row r="188" spans="1:16" s="11" customFormat="1" ht="12.75" x14ac:dyDescent="0.2">
      <c r="A188" s="154"/>
      <c r="B188" s="150"/>
      <c r="C188" s="163"/>
      <c r="D188" s="163" t="s">
        <v>39</v>
      </c>
      <c r="E188" s="27" t="e">
        <f>SUM(E20:E26,E44:E50,E68:E74,E92:E98,E116:E122,E83,E59,E35,E107,E131)*(31/7)/(SUM($E$14:$P$181)*(52.1428571/12))</f>
        <v>#DIV/0!</v>
      </c>
      <c r="F188" s="27" t="e">
        <f>SUM(F20:F26,F44:F50,F68:F74,F92:F98,F116:F122,F35,F59,F83,F107,F131)*(28/7)/(SUM($E$14:$P$181)*(52.1428571/12))</f>
        <v>#DIV/0!</v>
      </c>
      <c r="G188" s="27" t="e">
        <f>SUM(G20:G26,G44:G50,G68:G74,G92:G98,G116:G122,G35,G59,G83,G107,G131)*(31/7)/(SUM($E$14:$P$181)*(52.1428571/12))</f>
        <v>#DIV/0!</v>
      </c>
      <c r="H188" s="27" t="e">
        <f>SUM(H20:H26,H44:H50,H68:H74,H92:H98,H116:H122,H35,H59,H83,H107,H131)*(30/7)/(SUM($E$14:$P$181)*(52.1428571/12))</f>
        <v>#DIV/0!</v>
      </c>
      <c r="I188" s="27" t="e">
        <f>SUM(I20:I26,I44:I50,I68:I74,I92:I98,I116:I122,I35,I59,I83,I107,I131)*(31/7)/(SUM($E$14:$P$181)*(52.1428571/12))</f>
        <v>#DIV/0!</v>
      </c>
      <c r="J188" s="27" t="e">
        <f>SUM(J20:J26,J44:J50,J68:J74,J92:J98,J116:J122,J35,J59,J83,J107,J131)*(30/7)/(SUM($E$14:$P$181)*(52.1428571/12))</f>
        <v>#DIV/0!</v>
      </c>
      <c r="K188" s="27"/>
      <c r="L188" s="27"/>
      <c r="M188" s="27"/>
      <c r="N188" s="27"/>
      <c r="O188" s="27" t="e">
        <f>SUM(O20:O26,O44:O50,O68:O74,O92:O98,O116:O122,O36,O59,O83,O107,O131)*(30/7)/(SUM($E$14:$P$181)*(52.1428571/12))</f>
        <v>#DIV/0!</v>
      </c>
      <c r="P188" s="27" t="e">
        <f>SUM(P20:P26,P44:P50,P68:P74,P92:P98,P116:P122,P36,P59,P83,P107,P131)*(31/7)/(SUM($E$14:$P$181)*(52.1428571/12))</f>
        <v>#DIV/0!</v>
      </c>
    </row>
    <row r="189" spans="1:16" s="11" customFormat="1" ht="12.75" x14ac:dyDescent="0.2">
      <c r="A189" s="154"/>
      <c r="B189" s="150"/>
      <c r="C189" s="164"/>
      <c r="D189" s="164" t="s">
        <v>40</v>
      </c>
      <c r="E189" s="28" t="e">
        <f>SUM(E27:E34,E51:E58,E75:E82,E99:E106,E123:E130)*(31/7)/(SUM($E$14:$P$181)*(52.1428571/12))</f>
        <v>#DIV/0!</v>
      </c>
      <c r="F189" s="28" t="e">
        <f>SUM(F27:F34,F51:F58,F75:F82,F99:F106,F123:F130)*(28/7)/(SUM($E$14:$P$181)*(52.1428571/12))</f>
        <v>#DIV/0!</v>
      </c>
      <c r="G189" s="28" t="e">
        <f>SUM(G27:G34,G51:G58,G75:G82,G99:G106,G123:G130)*(31/7)/(SUM($E$14:$P$181)*(52.1428571/12))</f>
        <v>#DIV/0!</v>
      </c>
      <c r="H189" s="28" t="e">
        <f>SUM(H27:H34,H51:H58,H75:H82,H99:H106,H123:H130)*(30/7)/(SUM($E$14:$P$181)*(52.1428571/12))</f>
        <v>#DIV/0!</v>
      </c>
      <c r="I189" s="28" t="e">
        <f>SUM(I27:I34,I51:I58,I75:I82,I99:I106,I123:I130)*(31/7)/(SUM($E$14:$P$181)*(52.1428571/12))</f>
        <v>#DIV/0!</v>
      </c>
      <c r="J189" s="28" t="e">
        <f>SUM(J27:J34,J51:J58,J75:J82,J99:J106,J123:J130)*(30/7)/(SUM($E$14:$P$181)*(52.1428571/12))</f>
        <v>#DIV/0!</v>
      </c>
      <c r="K189" s="28"/>
      <c r="L189" s="28"/>
      <c r="M189" s="28"/>
      <c r="N189" s="28"/>
      <c r="O189" s="28" t="e">
        <f>SUM(O27:O34,O51:O58,O75:O82,O99:O106,O123:O130)*(30/7)/(SUM($E$14:$P$181)*(52.1428571/12))</f>
        <v>#DIV/0!</v>
      </c>
      <c r="P189" s="28" t="e">
        <f>SUM(P27:P34,P51:P58,P75:P82,P99:P106,P123:P130)*(31/7)/(SUM($E$14:$P$181)*(52.1428571/12))</f>
        <v>#DIV/0!</v>
      </c>
    </row>
    <row r="190" spans="1:16" s="11" customFormat="1" ht="12.75" x14ac:dyDescent="0.2">
      <c r="A190" s="150"/>
      <c r="B190" s="150"/>
      <c r="C190" s="165"/>
      <c r="D190" s="165" t="s">
        <v>41</v>
      </c>
      <c r="E190" s="29"/>
      <c r="F190" s="29"/>
      <c r="G190" s="29"/>
      <c r="H190" s="29"/>
      <c r="I190" s="29"/>
      <c r="J190" s="29"/>
      <c r="K190" s="29" t="e">
        <f>SUM(K14:K19,K37:K43,K61:K67,K85:K91,K109:K115,K133:K181)*(31/7)/(SUM($E$14:$P$181)*(52.1428571/12))</f>
        <v>#DIV/0!</v>
      </c>
      <c r="L190" s="29" t="e">
        <f>SUM(L14:L19,L37:L43,L61:L67,L85:L91,L109:L115,L133:L181)*(31/7)/(SUM($E$14:$P$181)*(52.1428571/12))</f>
        <v>#DIV/0!</v>
      </c>
      <c r="M190" s="29" t="e">
        <f>SUM(M14:M19,M37:M43,M61:M67,M85:M91,M109:M115,M133:M181)*(30/7)/(SUM($E$14:$P$181)*(52.1428571/12))</f>
        <v>#DIV/0!</v>
      </c>
      <c r="N190" s="29" t="e">
        <f>SUM(N14:N19,N37:N43,N61:N67,N85:N91,N109:N115,N133:N181)*(31/7)/(SUM($E$14:$P$181)*(52.1428571/12))</f>
        <v>#DIV/0!</v>
      </c>
      <c r="O190" s="29"/>
      <c r="P190" s="29"/>
    </row>
    <row r="191" spans="1:16" s="11" customFormat="1" ht="12.75" x14ac:dyDescent="0.2">
      <c r="A191" s="154"/>
      <c r="B191" s="150"/>
      <c r="C191" s="166"/>
      <c r="D191" s="166" t="s">
        <v>42</v>
      </c>
      <c r="E191" s="30"/>
      <c r="F191" s="30"/>
      <c r="G191" s="30"/>
      <c r="H191" s="30"/>
      <c r="I191" s="30"/>
      <c r="J191" s="30"/>
      <c r="K191" s="30" t="e">
        <f>SUM(K20:K24,K33:K36,K44:K48,K57:K60,K68:K72,K81:K84,K92:K96,K105:K108,K116:K120,K129:K132)*(31/7)/(SUM($E$14:$P$181)*(52.1428571/12))</f>
        <v>#DIV/0!</v>
      </c>
      <c r="L191" s="30" t="e">
        <f>SUM(L20:L24,L33:L36,L44:L48,L57:L60,L68:L72,L81:L84,L92:L96,L105:L108,L116:L120,L129:L132)*(31/7)/(SUM($E$14:$P$181)*(52.1428571/12))</f>
        <v>#DIV/0!</v>
      </c>
      <c r="M191" s="30" t="e">
        <f>SUM(M20:M24,M33:M36,M44:M48,M57:M60,M68:M72,M81:M84,M92:M96,M105:M108,M116:M120,M129:M132)*(30/7)/(SUM($E$14:$P$181)*(52.1428571/12))</f>
        <v>#DIV/0!</v>
      </c>
      <c r="N191" s="30" t="e">
        <f>SUM(N20:N24,N33:N36,N44:N48,N57:N60,N68:N72,N81:N84,N92:N96,N105:N108,N116:N120,N129:N132)*(31/7)/(SUM($E$14:$P$181)*(52.1428571/12))</f>
        <v>#DIV/0!</v>
      </c>
      <c r="O191" s="30"/>
      <c r="P191" s="30"/>
    </row>
    <row r="192" spans="1:16" s="11" customFormat="1" ht="12.75" x14ac:dyDescent="0.2">
      <c r="A192" s="154"/>
      <c r="B192" s="150"/>
      <c r="C192" s="167"/>
      <c r="D192" s="167" t="s">
        <v>43</v>
      </c>
      <c r="E192" s="31"/>
      <c r="F192" s="31"/>
      <c r="G192" s="31"/>
      <c r="H192" s="31"/>
      <c r="I192" s="31"/>
      <c r="J192" s="31"/>
      <c r="K192" s="31" t="e">
        <f>SUM(K25:K32,K49:K56,K73:K80,K97:K104,K121:K128)*(31/7)/(SUM($E$14:$P$181)*(52.1428571/12))</f>
        <v>#DIV/0!</v>
      </c>
      <c r="L192" s="31" t="e">
        <f>SUM(L25:L32,L49:L56,L73:L80,L97:L104,L121:L128)*(31/7)/(SUM($E$14:$P$181)*(52.1428571/12))</f>
        <v>#DIV/0!</v>
      </c>
      <c r="M192" s="31" t="e">
        <f>SUM(M25:M32,M49:M56,M73:M80,M97:M104,M121:M128)*(30/7)/(SUM($E$14:$P$181)*(52.1428571/12))</f>
        <v>#DIV/0!</v>
      </c>
      <c r="N192" s="31" t="e">
        <f>SUM(N25:N32,N49:N56,N73:N80,N97:N104,N121:N128)*(31/7)/(SUM($E$14:$P$181)*(52.1428571/12))</f>
        <v>#DIV/0!</v>
      </c>
      <c r="O192" s="31"/>
      <c r="P192" s="31"/>
    </row>
    <row r="193" spans="1:16" s="11" customFormat="1" ht="12.75" x14ac:dyDescent="0.2">
      <c r="A193" s="154"/>
      <c r="B193" s="150"/>
      <c r="C193" s="150"/>
      <c r="D193" s="150"/>
      <c r="E193" s="25"/>
      <c r="F193" s="25"/>
      <c r="G193" s="25"/>
      <c r="H193" s="25"/>
      <c r="I193" s="25"/>
      <c r="J193" s="25"/>
      <c r="K193" s="25"/>
      <c r="L193" s="25"/>
      <c r="M193" s="25"/>
      <c r="N193" s="25"/>
      <c r="O193" s="25"/>
      <c r="P193" s="25"/>
    </row>
    <row r="194" spans="1:16" s="11" customFormat="1" ht="25.5" x14ac:dyDescent="0.2">
      <c r="A194" s="154"/>
      <c r="B194" s="150"/>
      <c r="C194" s="150"/>
      <c r="D194" s="150"/>
      <c r="E194" s="32" t="s">
        <v>38</v>
      </c>
      <c r="F194" s="33" t="s">
        <v>39</v>
      </c>
      <c r="G194" s="34" t="s">
        <v>40</v>
      </c>
      <c r="H194" s="35" t="s">
        <v>41</v>
      </c>
      <c r="I194" s="36" t="s">
        <v>42</v>
      </c>
      <c r="J194" s="37" t="s">
        <v>43</v>
      </c>
      <c r="K194" s="38"/>
      <c r="L194" s="38"/>
      <c r="M194" s="38"/>
      <c r="N194" s="38"/>
      <c r="O194" s="38"/>
      <c r="P194" s="38"/>
    </row>
    <row r="195" spans="1:16" s="11" customFormat="1" ht="12.75" x14ac:dyDescent="0.2">
      <c r="A195" s="154"/>
      <c r="B195" s="150"/>
      <c r="C195" s="150"/>
      <c r="D195" s="161" t="s">
        <v>44</v>
      </c>
      <c r="E195" s="39">
        <f>IF(ISERR(SUM(E187:P187)),0,SUM(E187:P187))/0.997806</f>
        <v>0</v>
      </c>
      <c r="F195" s="40">
        <f>IF(ISERR(SUM(E188:P188)),0,SUM(E188:P188))/0.997806</f>
        <v>0</v>
      </c>
      <c r="G195" s="41">
        <f>IF(ISERR(SUM(E189:P189)),0,SUM(E189:P189))/0.997806</f>
        <v>0</v>
      </c>
      <c r="H195" s="42">
        <f>IF(ISERR(SUM(E190:P190)),0,SUM(E190:P190))/0.997806</f>
        <v>0</v>
      </c>
      <c r="I195" s="43">
        <f>IF(ISERR(SUM(E191:P191)),0,SUM(E191:P191))/0.997806</f>
        <v>0</v>
      </c>
      <c r="J195" s="44">
        <f>IF(ISERR(SUM(E192:P192)),0,SUM(E192:P192))/0.997806</f>
        <v>0</v>
      </c>
      <c r="K195" s="45"/>
      <c r="L195" s="131"/>
      <c r="M195" s="38"/>
      <c r="N195" s="38"/>
      <c r="O195" s="38"/>
      <c r="P195" s="38"/>
    </row>
    <row r="196" spans="1:16" s="11" customFormat="1" ht="12.75" x14ac:dyDescent="0.2">
      <c r="A196" s="154"/>
      <c r="B196" s="150"/>
      <c r="C196" s="150"/>
      <c r="D196" s="150"/>
    </row>
    <row r="197" spans="1:16" s="11" customFormat="1" ht="12.75" x14ac:dyDescent="0.2">
      <c r="A197" s="154"/>
      <c r="B197" s="150"/>
      <c r="C197" s="150" t="s">
        <v>81</v>
      </c>
      <c r="D197" s="168"/>
      <c r="E197" s="19"/>
    </row>
    <row r="198" spans="1:16" s="11" customFormat="1" ht="12.75" x14ac:dyDescent="0.2">
      <c r="A198" s="154"/>
      <c r="B198" s="150"/>
      <c r="C198" s="150"/>
      <c r="D198" s="150" t="s">
        <v>82</v>
      </c>
      <c r="E198" s="132">
        <v>0.40293971763267888</v>
      </c>
      <c r="F198" s="132">
        <v>0.17750084012449407</v>
      </c>
      <c r="G198" s="132">
        <v>0.19006821580312558</v>
      </c>
      <c r="H198" s="132">
        <v>0.11898241230522213</v>
      </c>
      <c r="I198" s="132">
        <v>5.8383185240958452E-2</v>
      </c>
      <c r="J198" s="132">
        <v>5.212528669426484E-2</v>
      </c>
    </row>
    <row r="199" spans="1:16" s="11" customFormat="1" ht="12.75" x14ac:dyDescent="0.2">
      <c r="A199" s="154"/>
      <c r="B199" s="150"/>
      <c r="C199" s="150"/>
      <c r="D199" s="150" t="s">
        <v>83</v>
      </c>
      <c r="E199" s="132">
        <v>0.3472928897586432</v>
      </c>
      <c r="F199" s="132">
        <v>0.13812785388127855</v>
      </c>
      <c r="G199" s="132">
        <v>0.17759295499021527</v>
      </c>
      <c r="H199" s="132">
        <v>0.16648727984344425</v>
      </c>
      <c r="I199" s="132">
        <v>9.0264187866927595E-2</v>
      </c>
      <c r="J199" s="132">
        <v>8.0234833659491203E-2</v>
      </c>
    </row>
    <row r="200" spans="1:16" s="11" customFormat="1" ht="12.75" x14ac:dyDescent="0.2">
      <c r="A200" s="154"/>
      <c r="B200" s="150"/>
      <c r="C200" s="150"/>
      <c r="D200" s="150"/>
    </row>
    <row r="201" spans="1:16" s="11" customFormat="1" ht="12.75" x14ac:dyDescent="0.2">
      <c r="A201" s="154"/>
      <c r="B201" s="150"/>
      <c r="C201" s="150"/>
      <c r="D201" s="150"/>
    </row>
    <row r="202" spans="1:16" s="11" customFormat="1" ht="12.75" x14ac:dyDescent="0.2">
      <c r="A202" s="19"/>
    </row>
    <row r="203" spans="1:16" s="11" customFormat="1" ht="12.75" x14ac:dyDescent="0.2">
      <c r="A203" s="19"/>
    </row>
    <row r="204" spans="1:16" s="11" customFormat="1" ht="12.75" x14ac:dyDescent="0.2">
      <c r="A204" s="19"/>
    </row>
    <row r="205" spans="1:16" s="11" customFormat="1" ht="12.75" x14ac:dyDescent="0.2">
      <c r="A205" s="19"/>
    </row>
    <row r="206" spans="1:16" s="11" customFormat="1" ht="12.75" x14ac:dyDescent="0.2">
      <c r="A206" s="19"/>
    </row>
    <row r="207" spans="1:16" s="11" customFormat="1" ht="12.75" x14ac:dyDescent="0.2">
      <c r="A207" s="19"/>
    </row>
    <row r="208" spans="1:16" s="11" customFormat="1" ht="12.75" x14ac:dyDescent="0.2">
      <c r="A208" s="19"/>
    </row>
    <row r="209" spans="1:1" s="11" customFormat="1" ht="12.75" x14ac:dyDescent="0.2">
      <c r="A209" s="19"/>
    </row>
    <row r="210" spans="1:1" s="11" customFormat="1" ht="12.75" x14ac:dyDescent="0.2">
      <c r="A210" s="19"/>
    </row>
    <row r="211" spans="1:1" s="11" customFormat="1" ht="12.75" x14ac:dyDescent="0.2">
      <c r="A211" s="19"/>
    </row>
    <row r="212" spans="1:1" s="11" customFormat="1" ht="12.75" x14ac:dyDescent="0.2">
      <c r="A212" s="19"/>
    </row>
    <row r="213" spans="1:1" s="11" customFormat="1" ht="12.75" x14ac:dyDescent="0.2">
      <c r="A213" s="19"/>
    </row>
    <row r="214" spans="1:1" s="11" customFormat="1" ht="12.75" x14ac:dyDescent="0.2">
      <c r="A214" s="19"/>
    </row>
    <row r="215" spans="1:1" s="11" customFormat="1" ht="12.75" x14ac:dyDescent="0.2">
      <c r="A215" s="19"/>
    </row>
    <row r="216" spans="1:1" s="11" customFormat="1" ht="12.75" x14ac:dyDescent="0.2">
      <c r="A216" s="19"/>
    </row>
    <row r="217" spans="1:1" s="11" customFormat="1" ht="12.75" x14ac:dyDescent="0.2">
      <c r="A217" s="19"/>
    </row>
    <row r="218" spans="1:1" s="11" customFormat="1" ht="12.75" x14ac:dyDescent="0.2">
      <c r="A218" s="19"/>
    </row>
    <row r="219" spans="1:1" s="11" customFormat="1" ht="12.75" x14ac:dyDescent="0.2">
      <c r="A219" s="19"/>
    </row>
    <row r="220" spans="1:1" s="11" customFormat="1" ht="12.75" x14ac:dyDescent="0.2">
      <c r="A220" s="19"/>
    </row>
    <row r="221" spans="1:1" s="11" customFormat="1" ht="12.75" x14ac:dyDescent="0.2">
      <c r="A221" s="19"/>
    </row>
    <row r="222" spans="1:1" s="11" customFormat="1" ht="12.75" x14ac:dyDescent="0.2">
      <c r="A222" s="19"/>
    </row>
    <row r="223" spans="1:1" s="11" customFormat="1" ht="12.75" x14ac:dyDescent="0.2">
      <c r="A223" s="19"/>
    </row>
    <row r="224" spans="1:1" s="11" customFormat="1" ht="12.75" x14ac:dyDescent="0.2">
      <c r="A224" s="19"/>
    </row>
    <row r="225" spans="1:1" s="11" customFormat="1" ht="12.75" x14ac:dyDescent="0.2">
      <c r="A225" s="19"/>
    </row>
    <row r="226" spans="1:1" s="11" customFormat="1" ht="12.75" x14ac:dyDescent="0.2">
      <c r="A226" s="19"/>
    </row>
    <row r="227" spans="1:1" s="11" customFormat="1" ht="12.75" x14ac:dyDescent="0.2">
      <c r="A227" s="19"/>
    </row>
    <row r="228" spans="1:1" s="11" customFormat="1" ht="12.75" x14ac:dyDescent="0.2">
      <c r="A228" s="19"/>
    </row>
    <row r="229" spans="1:1" s="11" customFormat="1" ht="12.75" x14ac:dyDescent="0.2">
      <c r="A229" s="19"/>
    </row>
    <row r="230" spans="1:1" s="11" customFormat="1" ht="12.75" x14ac:dyDescent="0.2">
      <c r="A230" s="19"/>
    </row>
    <row r="231" spans="1:1" s="11" customFormat="1" ht="12.75" x14ac:dyDescent="0.2">
      <c r="A231" s="19"/>
    </row>
    <row r="232" spans="1:1" s="11" customFormat="1" ht="12.75" x14ac:dyDescent="0.2">
      <c r="A232" s="19"/>
    </row>
    <row r="233" spans="1:1" s="11" customFormat="1" ht="12.75" x14ac:dyDescent="0.2">
      <c r="A233" s="19"/>
    </row>
    <row r="234" spans="1:1" s="11" customFormat="1" ht="12.75" x14ac:dyDescent="0.2">
      <c r="A234" s="19"/>
    </row>
    <row r="235" spans="1:1" s="5" customFormat="1" ht="12.75" x14ac:dyDescent="0.2">
      <c r="A235" s="8"/>
    </row>
    <row r="236" spans="1:1" s="5" customFormat="1" ht="12.75" x14ac:dyDescent="0.2">
      <c r="A236" s="8"/>
    </row>
    <row r="237" spans="1:1" s="5" customFormat="1" ht="12.75" x14ac:dyDescent="0.2">
      <c r="A237" s="8"/>
    </row>
    <row r="238" spans="1:1" s="5" customFormat="1" ht="12.75" x14ac:dyDescent="0.2">
      <c r="A238" s="8"/>
    </row>
    <row r="239" spans="1:1" s="5" customFormat="1" ht="12.75" x14ac:dyDescent="0.2">
      <c r="A239" s="8"/>
    </row>
    <row r="240" spans="1:1" s="5" customFormat="1" ht="12.75" x14ac:dyDescent="0.2">
      <c r="A240" s="8"/>
    </row>
    <row r="241" spans="1:1" s="5" customFormat="1" ht="12.75" x14ac:dyDescent="0.2">
      <c r="A241" s="8"/>
    </row>
    <row r="242" spans="1:1" s="5" customFormat="1" ht="12.75" x14ac:dyDescent="0.2">
      <c r="A242" s="8"/>
    </row>
    <row r="243" spans="1:1" s="5" customFormat="1" ht="12.75" x14ac:dyDescent="0.2">
      <c r="A243" s="8"/>
    </row>
    <row r="244" spans="1:1" s="5" customFormat="1" ht="12.75" x14ac:dyDescent="0.2">
      <c r="A244" s="8"/>
    </row>
    <row r="245" spans="1:1" s="5" customFormat="1" ht="12.75" x14ac:dyDescent="0.2">
      <c r="A245" s="8"/>
    </row>
    <row r="246" spans="1:1" s="5" customFormat="1" ht="12.75" x14ac:dyDescent="0.2">
      <c r="A246" s="8"/>
    </row>
    <row r="247" spans="1:1" s="5" customFormat="1" ht="12.75" x14ac:dyDescent="0.2">
      <c r="A247" s="8"/>
    </row>
    <row r="248" spans="1:1" s="5" customFormat="1" ht="12.75" x14ac:dyDescent="0.2">
      <c r="A248" s="8"/>
    </row>
    <row r="249" spans="1:1" s="5" customFormat="1" ht="12.75" x14ac:dyDescent="0.2">
      <c r="A249" s="8"/>
    </row>
    <row r="250" spans="1:1" s="5" customFormat="1" ht="12.75" x14ac:dyDescent="0.2">
      <c r="A250" s="8"/>
    </row>
    <row r="251" spans="1:1" s="5" customFormat="1" ht="12.75" x14ac:dyDescent="0.2">
      <c r="A251" s="8"/>
    </row>
    <row r="252" spans="1:1" s="5" customFormat="1" ht="12.75" x14ac:dyDescent="0.2">
      <c r="A252" s="8"/>
    </row>
    <row r="253" spans="1:1" s="5" customFormat="1" ht="12.75" x14ac:dyDescent="0.2">
      <c r="A253" s="8"/>
    </row>
    <row r="254" spans="1:1" s="5" customFormat="1" ht="12.75" x14ac:dyDescent="0.2">
      <c r="A254" s="8"/>
    </row>
    <row r="255" spans="1:1" s="5" customFormat="1" ht="12.75" x14ac:dyDescent="0.2">
      <c r="A255" s="8"/>
    </row>
    <row r="256" spans="1:1" s="5" customFormat="1" ht="12.75" x14ac:dyDescent="0.2">
      <c r="A256" s="8"/>
    </row>
    <row r="257" spans="1:1" s="5" customFormat="1" ht="12.75" x14ac:dyDescent="0.2">
      <c r="A257" s="8"/>
    </row>
    <row r="258" spans="1:1" s="5" customFormat="1" ht="12.75" x14ac:dyDescent="0.2">
      <c r="A258" s="8"/>
    </row>
    <row r="259" spans="1:1" s="5" customFormat="1" ht="12.75" x14ac:dyDescent="0.2">
      <c r="A259" s="8"/>
    </row>
    <row r="260" spans="1:1" s="5" customFormat="1" ht="12.75" x14ac:dyDescent="0.2">
      <c r="A260" s="8"/>
    </row>
    <row r="261" spans="1:1" s="5" customFormat="1" ht="12.75" x14ac:dyDescent="0.2">
      <c r="A261" s="8"/>
    </row>
    <row r="262" spans="1:1" s="5" customFormat="1" ht="12.75" x14ac:dyDescent="0.2">
      <c r="A262" s="8"/>
    </row>
    <row r="263" spans="1:1" s="5" customFormat="1" ht="12.75" x14ac:dyDescent="0.2">
      <c r="A263" s="8"/>
    </row>
  </sheetData>
  <sheetProtection selectLockedCells="1"/>
  <mergeCells count="8">
    <mergeCell ref="C9:D9"/>
    <mergeCell ref="A10:B10"/>
    <mergeCell ref="C10:D10"/>
    <mergeCell ref="E11:P11"/>
    <mergeCell ref="E12:J12"/>
    <mergeCell ref="K12:N12"/>
    <mergeCell ref="O12:P12"/>
    <mergeCell ref="M4:P9"/>
  </mergeCells>
  <pageMargins left="0.7" right="0.7" top="0.75" bottom="0.75" header="0.3" footer="0.3"/>
  <pageSetup scale="59" fitToHeight="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4"/>
  <sheetViews>
    <sheetView topLeftCell="Q49" workbookViewId="0">
      <selection activeCell="AB33" sqref="AB33"/>
    </sheetView>
  </sheetViews>
  <sheetFormatPr defaultRowHeight="15" x14ac:dyDescent="0.25"/>
  <cols>
    <col min="1" max="1" width="9.140625" style="47"/>
    <col min="2" max="2" width="14.7109375" style="47" customWidth="1"/>
    <col min="3" max="11" width="10.42578125" style="47" customWidth="1"/>
    <col min="12" max="12" width="9.140625" style="47"/>
    <col min="13" max="13" width="11" style="47" customWidth="1"/>
    <col min="14" max="22" width="9.140625" style="47"/>
    <col min="23" max="23" width="11.140625" style="47" customWidth="1"/>
    <col min="24" max="32" width="9.140625" style="47"/>
    <col min="33" max="33" width="10.28515625" style="47" customWidth="1"/>
    <col min="34" max="35" width="9.140625" style="47"/>
    <col min="36" max="36" width="14.28515625" style="47" customWidth="1"/>
    <col min="37" max="37" width="9.140625" style="47"/>
    <col min="38" max="38" width="11.85546875" style="47" customWidth="1"/>
    <col min="39" max="39" width="10.5703125" style="47" customWidth="1"/>
    <col min="40" max="16384" width="9.140625" style="47"/>
  </cols>
  <sheetData>
    <row r="1" spans="1:31" ht="15.75" x14ac:dyDescent="0.25">
      <c r="A1" s="228" t="s">
        <v>123</v>
      </c>
      <c r="Q1" s="229" t="s">
        <v>5</v>
      </c>
    </row>
    <row r="2" spans="1:31" ht="15.75" x14ac:dyDescent="0.25">
      <c r="A2" s="228" t="str">
        <f>"Non-Peaking, "&amp;IF(P23="Yes","Local","Non-Local")</f>
        <v>Non-Peaking, Non-Local</v>
      </c>
      <c r="Q2" s="230"/>
    </row>
    <row r="3" spans="1:31" ht="36.75" customHeight="1" x14ac:dyDescent="0.25">
      <c r="F3" s="277" t="s">
        <v>105</v>
      </c>
      <c r="G3" s="277"/>
      <c r="H3" s="277"/>
      <c r="I3" s="277"/>
      <c r="J3" s="277"/>
      <c r="K3" s="277"/>
      <c r="L3" s="277"/>
      <c r="M3" s="277"/>
    </row>
    <row r="4" spans="1:31" ht="26.25" customHeight="1" x14ac:dyDescent="0.25">
      <c r="E4" s="185" t="s">
        <v>85</v>
      </c>
      <c r="F4" s="186">
        <v>5</v>
      </c>
      <c r="G4" s="186">
        <v>6</v>
      </c>
      <c r="H4" s="186">
        <v>7</v>
      </c>
      <c r="I4" s="186">
        <v>8</v>
      </c>
      <c r="J4" s="186">
        <v>9</v>
      </c>
      <c r="K4" s="186">
        <v>10</v>
      </c>
      <c r="L4" s="187">
        <v>15</v>
      </c>
      <c r="M4" s="187">
        <v>20</v>
      </c>
      <c r="W4" s="190"/>
      <c r="X4" s="190"/>
      <c r="Y4" s="190"/>
      <c r="Z4" s="190"/>
      <c r="AA4" s="190"/>
      <c r="AB4" s="190"/>
      <c r="AC4" s="190"/>
      <c r="AD4" s="190"/>
      <c r="AE4" s="190"/>
    </row>
    <row r="5" spans="1:31" ht="15" customHeight="1" x14ac:dyDescent="0.25">
      <c r="E5" s="188">
        <v>2012</v>
      </c>
      <c r="F5" s="189">
        <v>69.308999999999997</v>
      </c>
      <c r="G5" s="189">
        <v>71.013800000000003</v>
      </c>
      <c r="H5" s="189">
        <v>72.593699999999998</v>
      </c>
      <c r="I5" s="189">
        <v>74.085999999999999</v>
      </c>
      <c r="J5" s="189">
        <v>75.512200000000007</v>
      </c>
      <c r="K5" s="189">
        <v>76.887500000000003</v>
      </c>
      <c r="L5" s="189">
        <v>83.528000000000006</v>
      </c>
      <c r="M5" s="189">
        <v>89.559399999999997</v>
      </c>
      <c r="W5" s="190"/>
      <c r="X5" s="190"/>
      <c r="Y5" s="190"/>
      <c r="Z5" s="190"/>
      <c r="AA5" s="190"/>
      <c r="AB5" s="190"/>
      <c r="AC5" s="190"/>
      <c r="AD5" s="190"/>
      <c r="AE5" s="190"/>
    </row>
    <row r="6" spans="1:31" ht="15" customHeight="1" x14ac:dyDescent="0.25">
      <c r="E6" s="186">
        <v>2013</v>
      </c>
      <c r="F6" s="191">
        <v>74.064999999999998</v>
      </c>
      <c r="G6" s="191">
        <v>75.551299999999998</v>
      </c>
      <c r="H6" s="191">
        <v>76.981700000000004</v>
      </c>
      <c r="I6" s="191">
        <v>78.368499999999997</v>
      </c>
      <c r="J6" s="191">
        <v>79.721199999999996</v>
      </c>
      <c r="K6" s="191">
        <v>81.043300000000002</v>
      </c>
      <c r="L6" s="191">
        <v>87.755700000000004</v>
      </c>
      <c r="M6" s="191">
        <v>93.757900000000006</v>
      </c>
      <c r="W6" s="190"/>
      <c r="X6" s="190"/>
      <c r="Y6" s="190"/>
      <c r="Z6" s="190"/>
      <c r="AA6" s="190"/>
      <c r="AB6" s="190"/>
      <c r="AC6" s="190"/>
      <c r="AD6" s="190"/>
      <c r="AE6" s="190"/>
    </row>
    <row r="7" spans="1:31" ht="15" customHeight="1" x14ac:dyDescent="0.25">
      <c r="E7" s="186">
        <v>2014</v>
      </c>
      <c r="F7" s="191">
        <v>77.631900000000002</v>
      </c>
      <c r="G7" s="191">
        <v>79.072100000000006</v>
      </c>
      <c r="H7" s="191">
        <v>80.476799999999997</v>
      </c>
      <c r="I7" s="191">
        <v>81.853899999999996</v>
      </c>
      <c r="J7" s="191">
        <v>83.205100000000002</v>
      </c>
      <c r="K7" s="191">
        <v>84.537700000000001</v>
      </c>
      <c r="L7" s="191">
        <v>91.503500000000003</v>
      </c>
      <c r="M7" s="191">
        <v>97.553600000000003</v>
      </c>
      <c r="W7" s="190"/>
      <c r="X7" s="190"/>
      <c r="Y7" s="190"/>
      <c r="Z7" s="190"/>
      <c r="AA7" s="190"/>
      <c r="AB7" s="190"/>
      <c r="AC7" s="190"/>
      <c r="AD7" s="190"/>
      <c r="AE7" s="190"/>
    </row>
    <row r="8" spans="1:31" ht="15" customHeight="1" x14ac:dyDescent="0.25">
      <c r="E8" s="186">
        <v>2015</v>
      </c>
      <c r="F8" s="191">
        <v>80.959100000000007</v>
      </c>
      <c r="G8" s="191">
        <v>82.393900000000002</v>
      </c>
      <c r="H8" s="191">
        <v>83.806100000000001</v>
      </c>
      <c r="I8" s="191">
        <v>85.195700000000002</v>
      </c>
      <c r="J8" s="191">
        <v>86.570099999999996</v>
      </c>
      <c r="K8" s="191">
        <v>88.039000000000001</v>
      </c>
      <c r="L8" s="191">
        <v>95.194000000000003</v>
      </c>
      <c r="M8" s="191">
        <v>101.31789999999999</v>
      </c>
      <c r="W8" s="190"/>
      <c r="X8" s="190"/>
      <c r="Y8" s="190"/>
      <c r="Z8" s="190"/>
      <c r="AA8" s="190"/>
      <c r="AB8" s="190"/>
      <c r="AC8" s="190"/>
      <c r="AD8" s="190"/>
      <c r="AE8" s="190"/>
    </row>
    <row r="9" spans="1:31" ht="15" customHeight="1" x14ac:dyDescent="0.25">
      <c r="E9" s="186">
        <v>2016</v>
      </c>
      <c r="F9" s="191">
        <v>84.141199999999998</v>
      </c>
      <c r="G9" s="191">
        <v>85.604500000000002</v>
      </c>
      <c r="H9" s="191">
        <v>87.045299999999997</v>
      </c>
      <c r="I9" s="191">
        <v>88.472099999999998</v>
      </c>
      <c r="J9" s="191">
        <v>90.011499999999998</v>
      </c>
      <c r="K9" s="191">
        <v>91.561999999999998</v>
      </c>
      <c r="L9" s="191">
        <v>98.832099999999997</v>
      </c>
      <c r="M9" s="191">
        <v>105.0908</v>
      </c>
      <c r="W9" s="190"/>
      <c r="X9" s="190"/>
      <c r="Y9" s="190"/>
      <c r="Z9" s="190"/>
      <c r="AA9" s="190"/>
      <c r="AB9" s="190"/>
      <c r="AC9" s="190"/>
      <c r="AD9" s="190"/>
      <c r="AE9" s="190"/>
    </row>
    <row r="10" spans="1:31" ht="15" customHeight="1" x14ac:dyDescent="0.25">
      <c r="E10" s="186">
        <v>2017</v>
      </c>
      <c r="F10" s="191">
        <v>87.038600000000002</v>
      </c>
      <c r="G10" s="191">
        <v>88.530699999999996</v>
      </c>
      <c r="H10" s="191">
        <v>90.010099999999994</v>
      </c>
      <c r="I10" s="191">
        <v>91.624799999999993</v>
      </c>
      <c r="J10" s="191">
        <v>93.251499999999993</v>
      </c>
      <c r="K10" s="191">
        <v>94.876999999999995</v>
      </c>
      <c r="L10" s="191">
        <v>102.22199999999999</v>
      </c>
      <c r="M10" s="191">
        <v>108.58920000000001</v>
      </c>
      <c r="W10" s="190"/>
      <c r="X10" s="190"/>
      <c r="Y10" s="190"/>
      <c r="Z10" s="190"/>
      <c r="AA10" s="190"/>
      <c r="AB10" s="190"/>
      <c r="AC10" s="190"/>
      <c r="AD10" s="190"/>
      <c r="AE10" s="190"/>
    </row>
    <row r="11" spans="1:31" ht="15" customHeight="1" x14ac:dyDescent="0.25">
      <c r="E11" s="186">
        <v>2018</v>
      </c>
      <c r="F11" s="189">
        <v>89.995000000000005</v>
      </c>
      <c r="G11" s="189">
        <v>91.530500000000004</v>
      </c>
      <c r="H11" s="189">
        <v>93.229900000000001</v>
      </c>
      <c r="I11" s="189">
        <v>94.941000000000003</v>
      </c>
      <c r="J11" s="189">
        <v>96.648899999999998</v>
      </c>
      <c r="K11" s="189">
        <v>98.310400000000001</v>
      </c>
      <c r="L11" s="189">
        <v>105.6957</v>
      </c>
      <c r="M11" s="189">
        <v>112.17749999999999</v>
      </c>
      <c r="W11" s="190"/>
      <c r="X11" s="190"/>
      <c r="Y11" s="190"/>
      <c r="Z11" s="190"/>
      <c r="AA11" s="190"/>
      <c r="AB11" s="190"/>
      <c r="AC11" s="190"/>
      <c r="AD11" s="190"/>
      <c r="AE11" s="190"/>
    </row>
    <row r="12" spans="1:31" ht="15" customHeight="1" x14ac:dyDescent="0.25">
      <c r="E12" s="186">
        <v>2019</v>
      </c>
      <c r="F12" s="191">
        <v>93.035799999999995</v>
      </c>
      <c r="G12" s="191">
        <v>94.833200000000005</v>
      </c>
      <c r="H12" s="191">
        <v>96.638300000000001</v>
      </c>
      <c r="I12" s="191">
        <v>98.436000000000007</v>
      </c>
      <c r="J12" s="191">
        <v>100.178</v>
      </c>
      <c r="K12" s="191">
        <v>101.85209999999999</v>
      </c>
      <c r="L12" s="191">
        <v>109.27200000000001</v>
      </c>
      <c r="M12" s="191">
        <v>115.8626</v>
      </c>
      <c r="W12" s="190"/>
      <c r="X12" s="190"/>
      <c r="Y12" s="190"/>
      <c r="Z12" s="190"/>
      <c r="AA12" s="190"/>
      <c r="AB12" s="190"/>
      <c r="AC12" s="190"/>
      <c r="AD12" s="190"/>
      <c r="AE12" s="190"/>
    </row>
    <row r="13" spans="1:31" ht="15" customHeight="1" x14ac:dyDescent="0.25">
      <c r="E13" s="186">
        <v>2020</v>
      </c>
      <c r="F13" s="191">
        <v>96.441900000000004</v>
      </c>
      <c r="G13" s="191">
        <v>98.353800000000007</v>
      </c>
      <c r="H13" s="191">
        <v>100.2497</v>
      </c>
      <c r="I13" s="191">
        <v>102.0766</v>
      </c>
      <c r="J13" s="191">
        <v>103.8244</v>
      </c>
      <c r="K13" s="191">
        <v>105.495</v>
      </c>
      <c r="L13" s="191">
        <v>112.958</v>
      </c>
      <c r="M13" s="191">
        <v>119.64700000000001</v>
      </c>
      <c r="W13" s="190"/>
      <c r="X13" s="190"/>
      <c r="Y13" s="190"/>
      <c r="Z13" s="190"/>
      <c r="AA13" s="190"/>
      <c r="AB13" s="190"/>
      <c r="AC13" s="190"/>
      <c r="AD13" s="190"/>
      <c r="AE13" s="190"/>
    </row>
    <row r="14" spans="1:31" ht="15" customHeight="1" x14ac:dyDescent="0.25">
      <c r="E14" s="186">
        <v>2021</v>
      </c>
      <c r="F14" s="191">
        <v>100.1049</v>
      </c>
      <c r="G14" s="191">
        <v>102.10769999999999</v>
      </c>
      <c r="H14" s="191">
        <v>104.0224</v>
      </c>
      <c r="I14" s="191">
        <v>105.8438</v>
      </c>
      <c r="J14" s="191">
        <v>107.578</v>
      </c>
      <c r="K14" s="191">
        <v>109.1593</v>
      </c>
      <c r="L14" s="191">
        <v>116.749</v>
      </c>
      <c r="M14" s="191">
        <v>123.53230000000001</v>
      </c>
      <c r="W14" s="190"/>
      <c r="X14" s="190"/>
      <c r="Y14" s="190"/>
      <c r="Z14" s="190"/>
      <c r="AA14" s="190"/>
      <c r="AB14" s="190"/>
      <c r="AC14" s="190"/>
      <c r="AD14" s="190"/>
      <c r="AE14" s="190"/>
    </row>
    <row r="15" spans="1:31" ht="15" customHeight="1" x14ac:dyDescent="0.25">
      <c r="E15" s="186">
        <v>2022</v>
      </c>
      <c r="F15" s="191">
        <v>104.03570000000001</v>
      </c>
      <c r="G15" s="191">
        <v>106.03740000000001</v>
      </c>
      <c r="H15" s="191">
        <v>107.92829999999999</v>
      </c>
      <c r="I15" s="191">
        <v>109.7209</v>
      </c>
      <c r="J15" s="191">
        <v>111.3421</v>
      </c>
      <c r="K15" s="191">
        <v>112.9858</v>
      </c>
      <c r="L15" s="191">
        <v>120.6648</v>
      </c>
      <c r="M15" s="191">
        <v>127.5179</v>
      </c>
      <c r="W15" s="190"/>
      <c r="X15" s="190"/>
      <c r="Y15" s="190"/>
      <c r="Z15" s="190"/>
      <c r="AA15" s="190"/>
      <c r="AB15" s="190"/>
      <c r="AC15" s="190"/>
      <c r="AD15" s="190"/>
      <c r="AE15" s="190"/>
    </row>
    <row r="16" spans="1:31" ht="15" customHeight="1" x14ac:dyDescent="0.25">
      <c r="E16" s="187">
        <v>2023</v>
      </c>
      <c r="F16" s="192">
        <v>108.1619</v>
      </c>
      <c r="G16" s="192">
        <v>110.1073</v>
      </c>
      <c r="H16" s="192">
        <v>111.94499999999999</v>
      </c>
      <c r="I16" s="192">
        <v>113.59180000000001</v>
      </c>
      <c r="J16" s="192">
        <v>115.27630000000001</v>
      </c>
      <c r="K16" s="192">
        <v>116.9091</v>
      </c>
      <c r="L16" s="192">
        <v>124.6829</v>
      </c>
      <c r="M16" s="192">
        <v>131.5985</v>
      </c>
      <c r="N16" s="194"/>
      <c r="W16" s="190"/>
      <c r="X16" s="190"/>
      <c r="Y16" s="190"/>
      <c r="Z16" s="190"/>
      <c r="AA16" s="190"/>
      <c r="AB16" s="190"/>
      <c r="AC16" s="190"/>
      <c r="AD16" s="190"/>
      <c r="AE16" s="190"/>
    </row>
    <row r="17" spans="2:39" ht="15" customHeight="1" x14ac:dyDescent="0.25">
      <c r="E17" s="193"/>
      <c r="F17" s="194"/>
      <c r="G17" s="194"/>
      <c r="H17" s="194"/>
      <c r="I17" s="194"/>
      <c r="J17" s="194"/>
      <c r="K17" s="194"/>
      <c r="L17" s="194"/>
      <c r="M17" s="194"/>
      <c r="N17" s="194"/>
      <c r="W17" s="190"/>
      <c r="X17" s="190"/>
      <c r="Y17" s="190"/>
      <c r="Z17" s="190"/>
      <c r="AA17" s="190"/>
      <c r="AB17" s="190"/>
      <c r="AC17" s="190"/>
      <c r="AD17" s="190"/>
      <c r="AE17" s="190"/>
    </row>
    <row r="18" spans="2:39" ht="15" customHeight="1" x14ac:dyDescent="0.25">
      <c r="C18" s="57" t="s">
        <v>102</v>
      </c>
      <c r="D18" s="47">
        <f>YEAR('Bid Form'!C20)</f>
        <v>1900</v>
      </c>
      <c r="E18" s="193"/>
      <c r="F18" s="57" t="s">
        <v>103</v>
      </c>
      <c r="G18" s="195">
        <f>'Bid Form'!$C$22</f>
        <v>0</v>
      </c>
      <c r="H18" s="194"/>
      <c r="I18" s="196" t="s">
        <v>104</v>
      </c>
      <c r="J18" s="194">
        <f ca="1">IF(AND(D18&gt;1900,G18&gt;0),OFFSET($E$4,D18-2011,MATCH(G18,$F$4:$M$4,0)),0)</f>
        <v>0</v>
      </c>
      <c r="K18" s="194"/>
      <c r="L18" s="194"/>
      <c r="M18" s="194"/>
      <c r="N18" s="194"/>
      <c r="W18" s="190"/>
      <c r="X18" s="190"/>
      <c r="Y18" s="190"/>
      <c r="Z18" s="190"/>
      <c r="AA18" s="190"/>
      <c r="AB18" s="190"/>
      <c r="AC18" s="190"/>
      <c r="AD18" s="190"/>
      <c r="AE18" s="190"/>
    </row>
    <row r="20" spans="2:39" x14ac:dyDescent="0.25">
      <c r="B20" s="11" t="s">
        <v>86</v>
      </c>
      <c r="C20" s="197"/>
      <c r="D20" s="198" t="s">
        <v>43</v>
      </c>
      <c r="E20" s="199"/>
      <c r="F20" s="199"/>
      <c r="G20" s="199"/>
      <c r="H20" s="200"/>
      <c r="I20" s="201" t="s">
        <v>40</v>
      </c>
      <c r="J20" s="199"/>
      <c r="K20" s="199"/>
      <c r="L20" s="199"/>
      <c r="M20" s="200"/>
      <c r="N20" s="201" t="s">
        <v>42</v>
      </c>
      <c r="O20" s="199"/>
      <c r="P20" s="199"/>
      <c r="Q20" s="199"/>
      <c r="R20" s="200"/>
      <c r="S20" s="201" t="s">
        <v>39</v>
      </c>
      <c r="T20" s="199"/>
      <c r="U20" s="199"/>
      <c r="V20" s="199"/>
      <c r="W20" s="200"/>
      <c r="X20" s="201" t="s">
        <v>41</v>
      </c>
      <c r="Y20" s="199"/>
      <c r="Z20" s="199"/>
      <c r="AA20" s="199"/>
      <c r="AB20" s="200"/>
      <c r="AC20" s="201" t="s">
        <v>38</v>
      </c>
      <c r="AD20" s="199"/>
      <c r="AE20" s="199"/>
      <c r="AF20" s="199"/>
      <c r="AG20" s="200"/>
      <c r="AH20" s="11"/>
      <c r="AI20" s="11"/>
      <c r="AJ20" s="11"/>
      <c r="AK20" s="11"/>
      <c r="AL20" s="11"/>
      <c r="AM20" s="11"/>
    </row>
    <row r="21" spans="2:39" ht="26.25" x14ac:dyDescent="0.25">
      <c r="B21" s="11"/>
      <c r="C21" s="202" t="s">
        <v>87</v>
      </c>
      <c r="D21" s="203" t="s">
        <v>88</v>
      </c>
      <c r="E21" s="204" t="s">
        <v>89</v>
      </c>
      <c r="F21" s="204" t="s">
        <v>90</v>
      </c>
      <c r="G21" s="204" t="s">
        <v>91</v>
      </c>
      <c r="H21" s="205" t="s">
        <v>92</v>
      </c>
      <c r="I21" s="203" t="s">
        <v>88</v>
      </c>
      <c r="J21" s="204" t="s">
        <v>89</v>
      </c>
      <c r="K21" s="204" t="s">
        <v>90</v>
      </c>
      <c r="L21" s="204" t="s">
        <v>93</v>
      </c>
      <c r="M21" s="205" t="s">
        <v>92</v>
      </c>
      <c r="N21" s="203" t="s">
        <v>88</v>
      </c>
      <c r="O21" s="204" t="s">
        <v>89</v>
      </c>
      <c r="P21" s="204" t="s">
        <v>90</v>
      </c>
      <c r="Q21" s="204" t="s">
        <v>93</v>
      </c>
      <c r="R21" s="205" t="s">
        <v>92</v>
      </c>
      <c r="S21" s="203" t="s">
        <v>88</v>
      </c>
      <c r="T21" s="204" t="s">
        <v>89</v>
      </c>
      <c r="U21" s="204" t="s">
        <v>90</v>
      </c>
      <c r="V21" s="204" t="s">
        <v>93</v>
      </c>
      <c r="W21" s="205" t="s">
        <v>92</v>
      </c>
      <c r="X21" s="203" t="s">
        <v>88</v>
      </c>
      <c r="Y21" s="204" t="s">
        <v>89</v>
      </c>
      <c r="Z21" s="204" t="s">
        <v>90</v>
      </c>
      <c r="AA21" s="204" t="s">
        <v>93</v>
      </c>
      <c r="AB21" s="205" t="s">
        <v>92</v>
      </c>
      <c r="AC21" s="203" t="s">
        <v>88</v>
      </c>
      <c r="AD21" s="204" t="s">
        <v>89</v>
      </c>
      <c r="AE21" s="204" t="s">
        <v>90</v>
      </c>
      <c r="AF21" s="204" t="s">
        <v>93</v>
      </c>
      <c r="AG21" s="205" t="s">
        <v>92</v>
      </c>
      <c r="AH21" s="202" t="s">
        <v>94</v>
      </c>
      <c r="AI21" s="202" t="s">
        <v>95</v>
      </c>
      <c r="AJ21" s="202" t="s">
        <v>96</v>
      </c>
      <c r="AK21" s="202" t="s">
        <v>97</v>
      </c>
      <c r="AL21" s="202" t="s">
        <v>98</v>
      </c>
      <c r="AM21" s="202" t="s">
        <v>99</v>
      </c>
    </row>
    <row r="22" spans="2:39" x14ac:dyDescent="0.25">
      <c r="B22" s="11"/>
      <c r="C22" s="206">
        <v>1</v>
      </c>
      <c r="D22" s="207">
        <f>'Bid Form'!N29</f>
        <v>0</v>
      </c>
      <c r="E22" s="208">
        <f ca="1">$J$18</f>
        <v>0</v>
      </c>
      <c r="F22" s="209">
        <v>2.5009999999999999</v>
      </c>
      <c r="G22" s="210">
        <f ca="1">F22*E22</f>
        <v>0</v>
      </c>
      <c r="H22" s="211">
        <f ca="1">G22*D22/1000</f>
        <v>0</v>
      </c>
      <c r="I22" s="212">
        <f>'Bid Form'!K29</f>
        <v>0</v>
      </c>
      <c r="J22" s="208">
        <f ca="1">$J$18</f>
        <v>0</v>
      </c>
      <c r="K22" s="209">
        <v>1.089</v>
      </c>
      <c r="L22" s="210">
        <f ca="1">K22*J22</f>
        <v>0</v>
      </c>
      <c r="M22" s="211">
        <f ca="1">L22*I22/1000</f>
        <v>0</v>
      </c>
      <c r="N22" s="212">
        <f>'Bid Form'!M29</f>
        <v>0</v>
      </c>
      <c r="O22" s="208">
        <f ca="1">$J$18</f>
        <v>0</v>
      </c>
      <c r="P22" s="209">
        <v>1.3420000000000001</v>
      </c>
      <c r="Q22" s="210">
        <f ca="1">P22*O22</f>
        <v>0</v>
      </c>
      <c r="R22" s="211">
        <f ca="1">Q22*N22/1000</f>
        <v>0</v>
      </c>
      <c r="S22" s="212">
        <f>'Bid Form'!J29</f>
        <v>0</v>
      </c>
      <c r="T22" s="208">
        <f ca="1">$J$18</f>
        <v>0</v>
      </c>
      <c r="U22" s="209">
        <v>0.94699999999999995</v>
      </c>
      <c r="V22" s="210">
        <f ca="1">U22*T22</f>
        <v>0</v>
      </c>
      <c r="W22" s="211">
        <f ca="1">V22*S22/1000</f>
        <v>0</v>
      </c>
      <c r="X22" s="212">
        <f>'Bid Form'!L29</f>
        <v>0</v>
      </c>
      <c r="Y22" s="208">
        <f ca="1">$J$18</f>
        <v>0</v>
      </c>
      <c r="Z22" s="209">
        <v>0.80100000000000005</v>
      </c>
      <c r="AA22" s="210">
        <f ca="1">Z22*Y22</f>
        <v>0</v>
      </c>
      <c r="AB22" s="211">
        <f ca="1">AA22*X22/1000</f>
        <v>0</v>
      </c>
      <c r="AC22" s="212">
        <f>'Bid Form'!I29</f>
        <v>0</v>
      </c>
      <c r="AD22" s="208">
        <f ca="1">$J$18</f>
        <v>0</v>
      </c>
      <c r="AE22" s="209">
        <v>0.67900000000000005</v>
      </c>
      <c r="AF22" s="210">
        <f ca="1">AE22*AD22</f>
        <v>0</v>
      </c>
      <c r="AG22" s="211">
        <f ca="1">AF22*AC22/1000</f>
        <v>0</v>
      </c>
      <c r="AH22" s="213">
        <f>SUM(AC22,X22,S22,N22,I22,D22)</f>
        <v>0</v>
      </c>
      <c r="AI22" s="213">
        <f ca="1">SUM(AG22,AB22,W22,R22,M22,H22)</f>
        <v>0</v>
      </c>
      <c r="AJ22" s="214">
        <f>IF(AH22=0,0,AI22*1000/AH22)</f>
        <v>0</v>
      </c>
      <c r="AK22" s="215">
        <v>1</v>
      </c>
      <c r="AL22" s="216">
        <f t="shared" ref="AL22:AL41" si="0">AH22/AK22</f>
        <v>0</v>
      </c>
      <c r="AM22" s="213">
        <f t="shared" ref="AM22:AM41" ca="1" si="1">AI22/AK22</f>
        <v>0</v>
      </c>
    </row>
    <row r="23" spans="2:39" x14ac:dyDescent="0.25">
      <c r="B23" s="11"/>
      <c r="C23" s="206">
        <v>2</v>
      </c>
      <c r="D23" s="207">
        <f>'Bid Form'!N30</f>
        <v>0</v>
      </c>
      <c r="E23" s="208">
        <f ca="1">E22</f>
        <v>0</v>
      </c>
      <c r="F23" s="209">
        <v>2.5009999999999999</v>
      </c>
      <c r="G23" s="210">
        <f t="shared" ref="G23:G41" ca="1" si="2">F23*E23</f>
        <v>0</v>
      </c>
      <c r="H23" s="211">
        <f t="shared" ref="H23:H41" ca="1" si="3">G23*D23/1000</f>
        <v>0</v>
      </c>
      <c r="I23" s="212">
        <f>'Bid Form'!K30</f>
        <v>0</v>
      </c>
      <c r="J23" s="208">
        <f ca="1">J22</f>
        <v>0</v>
      </c>
      <c r="K23" s="209">
        <v>1.089</v>
      </c>
      <c r="L23" s="210">
        <f t="shared" ref="L23:L41" ca="1" si="4">K23*J23</f>
        <v>0</v>
      </c>
      <c r="M23" s="211">
        <f t="shared" ref="M23:M41" ca="1" si="5">L23*I23/1000</f>
        <v>0</v>
      </c>
      <c r="N23" s="212">
        <f>'Bid Form'!M30</f>
        <v>0</v>
      </c>
      <c r="O23" s="208">
        <f ca="1">O22</f>
        <v>0</v>
      </c>
      <c r="P23" s="209">
        <v>1.3420000000000001</v>
      </c>
      <c r="Q23" s="210">
        <f t="shared" ref="Q23:Q41" ca="1" si="6">P23*O23</f>
        <v>0</v>
      </c>
      <c r="R23" s="211">
        <f t="shared" ref="R23:R41" ca="1" si="7">Q23*N23/1000</f>
        <v>0</v>
      </c>
      <c r="S23" s="212">
        <f>'Bid Form'!J30</f>
        <v>0</v>
      </c>
      <c r="T23" s="208">
        <f ca="1">T22</f>
        <v>0</v>
      </c>
      <c r="U23" s="209">
        <v>0.94699999999999995</v>
      </c>
      <c r="V23" s="210">
        <f t="shared" ref="V23:V41" ca="1" si="8">U23*T23</f>
        <v>0</v>
      </c>
      <c r="W23" s="211">
        <f t="shared" ref="W23:W41" ca="1" si="9">V23*S23/1000</f>
        <v>0</v>
      </c>
      <c r="X23" s="212">
        <f>'Bid Form'!L30</f>
        <v>0</v>
      </c>
      <c r="Y23" s="208">
        <f ca="1">Y22</f>
        <v>0</v>
      </c>
      <c r="Z23" s="209">
        <v>0.80100000000000005</v>
      </c>
      <c r="AA23" s="210">
        <f t="shared" ref="AA23:AA41" ca="1" si="10">Z23*Y23</f>
        <v>0</v>
      </c>
      <c r="AB23" s="211">
        <f t="shared" ref="AB23:AB41" ca="1" si="11">AA23*X23/1000</f>
        <v>0</v>
      </c>
      <c r="AC23" s="212">
        <f>'Bid Form'!I30</f>
        <v>0</v>
      </c>
      <c r="AD23" s="208">
        <f ca="1">AD22</f>
        <v>0</v>
      </c>
      <c r="AE23" s="209">
        <v>0.67900000000000005</v>
      </c>
      <c r="AF23" s="210">
        <f t="shared" ref="AF23:AF41" ca="1" si="12">AE23*AD23</f>
        <v>0</v>
      </c>
      <c r="AG23" s="211">
        <f t="shared" ref="AG23:AG41" ca="1" si="13">AF23*AC23/1000</f>
        <v>0</v>
      </c>
      <c r="AH23" s="213">
        <f t="shared" ref="AH23:AH41" si="14">SUM(AC23,X23,S23,N23,I23,D23)</f>
        <v>0</v>
      </c>
      <c r="AI23" s="213">
        <f t="shared" ref="AI23:AI41" ca="1" si="15">SUM(AG23,AB23,W23,R23,M23,H23)</f>
        <v>0</v>
      </c>
      <c r="AJ23" s="214">
        <f t="shared" ref="AJ23:AJ41" si="16">IF(AH23=0,0,AI23*1000/AH23)</f>
        <v>0</v>
      </c>
      <c r="AK23" s="215">
        <v>1.0840000000000001</v>
      </c>
      <c r="AL23" s="216">
        <f t="shared" si="0"/>
        <v>0</v>
      </c>
      <c r="AM23" s="213">
        <f t="shared" ca="1" si="1"/>
        <v>0</v>
      </c>
    </row>
    <row r="24" spans="2:39" x14ac:dyDescent="0.25">
      <c r="B24" s="11"/>
      <c r="C24" s="206">
        <v>3</v>
      </c>
      <c r="D24" s="207">
        <f>'Bid Form'!N31</f>
        <v>0</v>
      </c>
      <c r="E24" s="208">
        <f t="shared" ref="E24:E41" ca="1" si="17">E23</f>
        <v>0</v>
      </c>
      <c r="F24" s="209">
        <v>2.5009999999999999</v>
      </c>
      <c r="G24" s="210">
        <f t="shared" ca="1" si="2"/>
        <v>0</v>
      </c>
      <c r="H24" s="211">
        <f t="shared" ca="1" si="3"/>
        <v>0</v>
      </c>
      <c r="I24" s="212">
        <f>'Bid Form'!K31</f>
        <v>0</v>
      </c>
      <c r="J24" s="208">
        <f t="shared" ref="J24:J41" ca="1" si="18">J23</f>
        <v>0</v>
      </c>
      <c r="K24" s="209">
        <v>1.089</v>
      </c>
      <c r="L24" s="210">
        <f t="shared" ca="1" si="4"/>
        <v>0</v>
      </c>
      <c r="M24" s="211">
        <f t="shared" ca="1" si="5"/>
        <v>0</v>
      </c>
      <c r="N24" s="212">
        <f>'Bid Form'!M31</f>
        <v>0</v>
      </c>
      <c r="O24" s="208">
        <f t="shared" ref="O24:O41" ca="1" si="19">O23</f>
        <v>0</v>
      </c>
      <c r="P24" s="209">
        <v>1.3420000000000001</v>
      </c>
      <c r="Q24" s="210">
        <f t="shared" ca="1" si="6"/>
        <v>0</v>
      </c>
      <c r="R24" s="211">
        <f t="shared" ca="1" si="7"/>
        <v>0</v>
      </c>
      <c r="S24" s="212">
        <f>'Bid Form'!J31</f>
        <v>0</v>
      </c>
      <c r="T24" s="208">
        <f t="shared" ref="T24:T41" ca="1" si="20">T23</f>
        <v>0</v>
      </c>
      <c r="U24" s="209">
        <v>0.94699999999999995</v>
      </c>
      <c r="V24" s="210">
        <f t="shared" ca="1" si="8"/>
        <v>0</v>
      </c>
      <c r="W24" s="211">
        <f t="shared" ca="1" si="9"/>
        <v>0</v>
      </c>
      <c r="X24" s="212">
        <f>'Bid Form'!L31</f>
        <v>0</v>
      </c>
      <c r="Y24" s="208">
        <f t="shared" ref="Y24:Y41" ca="1" si="21">Y23</f>
        <v>0</v>
      </c>
      <c r="Z24" s="209">
        <v>0.80100000000000005</v>
      </c>
      <c r="AA24" s="210">
        <f t="shared" ca="1" si="10"/>
        <v>0</v>
      </c>
      <c r="AB24" s="211">
        <f t="shared" ca="1" si="11"/>
        <v>0</v>
      </c>
      <c r="AC24" s="212">
        <f>'Bid Form'!I31</f>
        <v>0</v>
      </c>
      <c r="AD24" s="208">
        <f t="shared" ref="AD24:AD41" ca="1" si="22">AD23</f>
        <v>0</v>
      </c>
      <c r="AE24" s="209">
        <v>0.67900000000000005</v>
      </c>
      <c r="AF24" s="210">
        <f t="shared" ca="1" si="12"/>
        <v>0</v>
      </c>
      <c r="AG24" s="211">
        <f t="shared" ca="1" si="13"/>
        <v>0</v>
      </c>
      <c r="AH24" s="213">
        <f t="shared" si="14"/>
        <v>0</v>
      </c>
      <c r="AI24" s="213">
        <f t="shared" ca="1" si="15"/>
        <v>0</v>
      </c>
      <c r="AJ24" s="214">
        <f t="shared" si="16"/>
        <v>0</v>
      </c>
      <c r="AK24" s="215">
        <v>1.175</v>
      </c>
      <c r="AL24" s="216">
        <f t="shared" si="0"/>
        <v>0</v>
      </c>
      <c r="AM24" s="213">
        <f t="shared" ca="1" si="1"/>
        <v>0</v>
      </c>
    </row>
    <row r="25" spans="2:39" x14ac:dyDescent="0.25">
      <c r="B25" s="11"/>
      <c r="C25" s="206">
        <v>4</v>
      </c>
      <c r="D25" s="207">
        <f>'Bid Form'!N32</f>
        <v>0</v>
      </c>
      <c r="E25" s="208">
        <f t="shared" ca="1" si="17"/>
        <v>0</v>
      </c>
      <c r="F25" s="209">
        <v>2.5009999999999999</v>
      </c>
      <c r="G25" s="210">
        <f t="shared" ca="1" si="2"/>
        <v>0</v>
      </c>
      <c r="H25" s="211">
        <f t="shared" ca="1" si="3"/>
        <v>0</v>
      </c>
      <c r="I25" s="212">
        <f>'Bid Form'!K32</f>
        <v>0</v>
      </c>
      <c r="J25" s="208">
        <f t="shared" ca="1" si="18"/>
        <v>0</v>
      </c>
      <c r="K25" s="209">
        <v>1.089</v>
      </c>
      <c r="L25" s="210">
        <f t="shared" ca="1" si="4"/>
        <v>0</v>
      </c>
      <c r="M25" s="211">
        <f t="shared" ca="1" si="5"/>
        <v>0</v>
      </c>
      <c r="N25" s="212">
        <f>'Bid Form'!M32</f>
        <v>0</v>
      </c>
      <c r="O25" s="208">
        <f t="shared" ca="1" si="19"/>
        <v>0</v>
      </c>
      <c r="P25" s="209">
        <v>1.3420000000000001</v>
      </c>
      <c r="Q25" s="210">
        <f t="shared" ca="1" si="6"/>
        <v>0</v>
      </c>
      <c r="R25" s="211">
        <f t="shared" ca="1" si="7"/>
        <v>0</v>
      </c>
      <c r="S25" s="212">
        <f>'Bid Form'!J32</f>
        <v>0</v>
      </c>
      <c r="T25" s="208">
        <f t="shared" ca="1" si="20"/>
        <v>0</v>
      </c>
      <c r="U25" s="209">
        <v>0.94699999999999995</v>
      </c>
      <c r="V25" s="210">
        <f t="shared" ca="1" si="8"/>
        <v>0</v>
      </c>
      <c r="W25" s="211">
        <f t="shared" ca="1" si="9"/>
        <v>0</v>
      </c>
      <c r="X25" s="212">
        <f>'Bid Form'!L32</f>
        <v>0</v>
      </c>
      <c r="Y25" s="208">
        <f t="shared" ca="1" si="21"/>
        <v>0</v>
      </c>
      <c r="Z25" s="209">
        <v>0.80100000000000005</v>
      </c>
      <c r="AA25" s="210">
        <f t="shared" ca="1" si="10"/>
        <v>0</v>
      </c>
      <c r="AB25" s="211">
        <f t="shared" ca="1" si="11"/>
        <v>0</v>
      </c>
      <c r="AC25" s="212">
        <f>'Bid Form'!I32</f>
        <v>0</v>
      </c>
      <c r="AD25" s="208">
        <f t="shared" ca="1" si="22"/>
        <v>0</v>
      </c>
      <c r="AE25" s="209">
        <v>0.67900000000000005</v>
      </c>
      <c r="AF25" s="210">
        <f t="shared" ca="1" si="12"/>
        <v>0</v>
      </c>
      <c r="AG25" s="211">
        <f t="shared" ca="1" si="13"/>
        <v>0</v>
      </c>
      <c r="AH25" s="213">
        <f t="shared" si="14"/>
        <v>0</v>
      </c>
      <c r="AI25" s="213">
        <f t="shared" ca="1" si="15"/>
        <v>0</v>
      </c>
      <c r="AJ25" s="214">
        <f t="shared" si="16"/>
        <v>0</v>
      </c>
      <c r="AK25" s="215">
        <v>1.274</v>
      </c>
      <c r="AL25" s="216">
        <f t="shared" si="0"/>
        <v>0</v>
      </c>
      <c r="AM25" s="213">
        <f t="shared" ca="1" si="1"/>
        <v>0</v>
      </c>
    </row>
    <row r="26" spans="2:39" x14ac:dyDescent="0.25">
      <c r="B26" s="11"/>
      <c r="C26" s="206">
        <v>5</v>
      </c>
      <c r="D26" s="207">
        <f>'Bid Form'!N33</f>
        <v>0</v>
      </c>
      <c r="E26" s="208">
        <f t="shared" ca="1" si="17"/>
        <v>0</v>
      </c>
      <c r="F26" s="209">
        <v>2.5009999999999999</v>
      </c>
      <c r="G26" s="210">
        <f t="shared" ca="1" si="2"/>
        <v>0</v>
      </c>
      <c r="H26" s="211">
        <f t="shared" ca="1" si="3"/>
        <v>0</v>
      </c>
      <c r="I26" s="212">
        <f>'Bid Form'!K33</f>
        <v>0</v>
      </c>
      <c r="J26" s="208">
        <f t="shared" ca="1" si="18"/>
        <v>0</v>
      </c>
      <c r="K26" s="209">
        <v>1.089</v>
      </c>
      <c r="L26" s="210">
        <f t="shared" ca="1" si="4"/>
        <v>0</v>
      </c>
      <c r="M26" s="211">
        <f t="shared" ca="1" si="5"/>
        <v>0</v>
      </c>
      <c r="N26" s="212">
        <f>'Bid Form'!M33</f>
        <v>0</v>
      </c>
      <c r="O26" s="208">
        <f t="shared" ca="1" si="19"/>
        <v>0</v>
      </c>
      <c r="P26" s="209">
        <v>1.3420000000000001</v>
      </c>
      <c r="Q26" s="210">
        <f t="shared" ca="1" si="6"/>
        <v>0</v>
      </c>
      <c r="R26" s="211">
        <f t="shared" ca="1" si="7"/>
        <v>0</v>
      </c>
      <c r="S26" s="212">
        <f>'Bid Form'!J33</f>
        <v>0</v>
      </c>
      <c r="T26" s="208">
        <f t="shared" ca="1" si="20"/>
        <v>0</v>
      </c>
      <c r="U26" s="209">
        <v>0.94699999999999995</v>
      </c>
      <c r="V26" s="210">
        <f t="shared" ca="1" si="8"/>
        <v>0</v>
      </c>
      <c r="W26" s="211">
        <f t="shared" ca="1" si="9"/>
        <v>0</v>
      </c>
      <c r="X26" s="212">
        <f>'Bid Form'!L33</f>
        <v>0</v>
      </c>
      <c r="Y26" s="208">
        <f t="shared" ca="1" si="21"/>
        <v>0</v>
      </c>
      <c r="Z26" s="209">
        <v>0.80100000000000005</v>
      </c>
      <c r="AA26" s="210">
        <f t="shared" ca="1" si="10"/>
        <v>0</v>
      </c>
      <c r="AB26" s="211">
        <f t="shared" ca="1" si="11"/>
        <v>0</v>
      </c>
      <c r="AC26" s="212">
        <f>'Bid Form'!I33</f>
        <v>0</v>
      </c>
      <c r="AD26" s="208">
        <f t="shared" ca="1" si="22"/>
        <v>0</v>
      </c>
      <c r="AE26" s="209">
        <v>0.67900000000000005</v>
      </c>
      <c r="AF26" s="210">
        <f t="shared" ca="1" si="12"/>
        <v>0</v>
      </c>
      <c r="AG26" s="211">
        <f t="shared" ca="1" si="13"/>
        <v>0</v>
      </c>
      <c r="AH26" s="213">
        <f t="shared" si="14"/>
        <v>0</v>
      </c>
      <c r="AI26" s="213">
        <f t="shared" ca="1" si="15"/>
        <v>0</v>
      </c>
      <c r="AJ26" s="214">
        <f t="shared" si="16"/>
        <v>0</v>
      </c>
      <c r="AK26" s="215">
        <v>1.381</v>
      </c>
      <c r="AL26" s="216">
        <f t="shared" si="0"/>
        <v>0</v>
      </c>
      <c r="AM26" s="213">
        <f t="shared" ca="1" si="1"/>
        <v>0</v>
      </c>
    </row>
    <row r="27" spans="2:39" x14ac:dyDescent="0.25">
      <c r="B27" s="11"/>
      <c r="C27" s="206">
        <v>6</v>
      </c>
      <c r="D27" s="207">
        <f>'Bid Form'!N34</f>
        <v>0</v>
      </c>
      <c r="E27" s="208">
        <f t="shared" ca="1" si="17"/>
        <v>0</v>
      </c>
      <c r="F27" s="209">
        <v>2.5009999999999999</v>
      </c>
      <c r="G27" s="210">
        <f t="shared" ca="1" si="2"/>
        <v>0</v>
      </c>
      <c r="H27" s="211">
        <f t="shared" ca="1" si="3"/>
        <v>0</v>
      </c>
      <c r="I27" s="212">
        <f>'Bid Form'!K34</f>
        <v>0</v>
      </c>
      <c r="J27" s="208">
        <f t="shared" ca="1" si="18"/>
        <v>0</v>
      </c>
      <c r="K27" s="209">
        <v>1.089</v>
      </c>
      <c r="L27" s="210">
        <f t="shared" ca="1" si="4"/>
        <v>0</v>
      </c>
      <c r="M27" s="211">
        <f t="shared" ca="1" si="5"/>
        <v>0</v>
      </c>
      <c r="N27" s="212">
        <f>'Bid Form'!M34</f>
        <v>0</v>
      </c>
      <c r="O27" s="208">
        <f t="shared" ca="1" si="19"/>
        <v>0</v>
      </c>
      <c r="P27" s="209">
        <v>1.3420000000000001</v>
      </c>
      <c r="Q27" s="210">
        <f t="shared" ca="1" si="6"/>
        <v>0</v>
      </c>
      <c r="R27" s="211">
        <f t="shared" ca="1" si="7"/>
        <v>0</v>
      </c>
      <c r="S27" s="212">
        <f>'Bid Form'!J34</f>
        <v>0</v>
      </c>
      <c r="T27" s="208">
        <f t="shared" ca="1" si="20"/>
        <v>0</v>
      </c>
      <c r="U27" s="209">
        <v>0.94699999999999995</v>
      </c>
      <c r="V27" s="210">
        <f t="shared" ca="1" si="8"/>
        <v>0</v>
      </c>
      <c r="W27" s="211">
        <f t="shared" ca="1" si="9"/>
        <v>0</v>
      </c>
      <c r="X27" s="212">
        <f>'Bid Form'!L34</f>
        <v>0</v>
      </c>
      <c r="Y27" s="208">
        <f t="shared" ca="1" si="21"/>
        <v>0</v>
      </c>
      <c r="Z27" s="209">
        <v>0.80100000000000005</v>
      </c>
      <c r="AA27" s="210">
        <f t="shared" ca="1" si="10"/>
        <v>0</v>
      </c>
      <c r="AB27" s="211">
        <f t="shared" ca="1" si="11"/>
        <v>0</v>
      </c>
      <c r="AC27" s="212">
        <f>'Bid Form'!I34</f>
        <v>0</v>
      </c>
      <c r="AD27" s="208">
        <f t="shared" ca="1" si="22"/>
        <v>0</v>
      </c>
      <c r="AE27" s="209">
        <v>0.67900000000000005</v>
      </c>
      <c r="AF27" s="210">
        <f t="shared" ca="1" si="12"/>
        <v>0</v>
      </c>
      <c r="AG27" s="211">
        <f t="shared" ca="1" si="13"/>
        <v>0</v>
      </c>
      <c r="AH27" s="213">
        <f t="shared" si="14"/>
        <v>0</v>
      </c>
      <c r="AI27" s="213">
        <f t="shared" ca="1" si="15"/>
        <v>0</v>
      </c>
      <c r="AJ27" s="214">
        <f t="shared" si="16"/>
        <v>0</v>
      </c>
      <c r="AK27" s="215">
        <v>1.4970000000000001</v>
      </c>
      <c r="AL27" s="216">
        <f t="shared" si="0"/>
        <v>0</v>
      </c>
      <c r="AM27" s="213">
        <f t="shared" ca="1" si="1"/>
        <v>0</v>
      </c>
    </row>
    <row r="28" spans="2:39" x14ac:dyDescent="0.25">
      <c r="B28" s="11"/>
      <c r="C28" s="206">
        <v>7</v>
      </c>
      <c r="D28" s="207">
        <f>'Bid Form'!N35</f>
        <v>0</v>
      </c>
      <c r="E28" s="208">
        <f t="shared" ca="1" si="17"/>
        <v>0</v>
      </c>
      <c r="F28" s="209">
        <v>2.5009999999999999</v>
      </c>
      <c r="G28" s="210">
        <f t="shared" ca="1" si="2"/>
        <v>0</v>
      </c>
      <c r="H28" s="211">
        <f t="shared" ca="1" si="3"/>
        <v>0</v>
      </c>
      <c r="I28" s="212">
        <f>'Bid Form'!K35</f>
        <v>0</v>
      </c>
      <c r="J28" s="208">
        <f t="shared" ca="1" si="18"/>
        <v>0</v>
      </c>
      <c r="K28" s="209">
        <v>1.089</v>
      </c>
      <c r="L28" s="210">
        <f t="shared" ca="1" si="4"/>
        <v>0</v>
      </c>
      <c r="M28" s="211">
        <f t="shared" ca="1" si="5"/>
        <v>0</v>
      </c>
      <c r="N28" s="212">
        <f>'Bid Form'!M35</f>
        <v>0</v>
      </c>
      <c r="O28" s="208">
        <f t="shared" ca="1" si="19"/>
        <v>0</v>
      </c>
      <c r="P28" s="209">
        <v>1.3420000000000001</v>
      </c>
      <c r="Q28" s="210">
        <f t="shared" ca="1" si="6"/>
        <v>0</v>
      </c>
      <c r="R28" s="211">
        <f t="shared" ca="1" si="7"/>
        <v>0</v>
      </c>
      <c r="S28" s="212">
        <f>'Bid Form'!J35</f>
        <v>0</v>
      </c>
      <c r="T28" s="208">
        <f t="shared" ca="1" si="20"/>
        <v>0</v>
      </c>
      <c r="U28" s="209">
        <v>0.94699999999999995</v>
      </c>
      <c r="V28" s="210">
        <f t="shared" ca="1" si="8"/>
        <v>0</v>
      </c>
      <c r="W28" s="211">
        <f t="shared" ca="1" si="9"/>
        <v>0</v>
      </c>
      <c r="X28" s="212">
        <f>'Bid Form'!L35</f>
        <v>0</v>
      </c>
      <c r="Y28" s="208">
        <f t="shared" ca="1" si="21"/>
        <v>0</v>
      </c>
      <c r="Z28" s="209">
        <v>0.80100000000000005</v>
      </c>
      <c r="AA28" s="210">
        <f t="shared" ca="1" si="10"/>
        <v>0</v>
      </c>
      <c r="AB28" s="211">
        <f t="shared" ca="1" si="11"/>
        <v>0</v>
      </c>
      <c r="AC28" s="212">
        <f>'Bid Form'!I35</f>
        <v>0</v>
      </c>
      <c r="AD28" s="208">
        <f t="shared" ca="1" si="22"/>
        <v>0</v>
      </c>
      <c r="AE28" s="209">
        <v>0.67900000000000005</v>
      </c>
      <c r="AF28" s="210">
        <f t="shared" ca="1" si="12"/>
        <v>0</v>
      </c>
      <c r="AG28" s="211">
        <f t="shared" ca="1" si="13"/>
        <v>0</v>
      </c>
      <c r="AH28" s="213">
        <f t="shared" si="14"/>
        <v>0</v>
      </c>
      <c r="AI28" s="213">
        <f t="shared" ca="1" si="15"/>
        <v>0</v>
      </c>
      <c r="AJ28" s="214">
        <f t="shared" si="16"/>
        <v>0</v>
      </c>
      <c r="AK28" s="215">
        <v>1.6220000000000001</v>
      </c>
      <c r="AL28" s="216">
        <f t="shared" si="0"/>
        <v>0</v>
      </c>
      <c r="AM28" s="213">
        <f t="shared" ca="1" si="1"/>
        <v>0</v>
      </c>
    </row>
    <row r="29" spans="2:39" x14ac:dyDescent="0.25">
      <c r="B29" s="11"/>
      <c r="C29" s="206">
        <v>8</v>
      </c>
      <c r="D29" s="207">
        <f>'Bid Form'!N36</f>
        <v>0</v>
      </c>
      <c r="E29" s="208">
        <f t="shared" ca="1" si="17"/>
        <v>0</v>
      </c>
      <c r="F29" s="209">
        <v>2.5009999999999999</v>
      </c>
      <c r="G29" s="210">
        <f t="shared" ca="1" si="2"/>
        <v>0</v>
      </c>
      <c r="H29" s="211">
        <f t="shared" ca="1" si="3"/>
        <v>0</v>
      </c>
      <c r="I29" s="212">
        <f>'Bid Form'!K36</f>
        <v>0</v>
      </c>
      <c r="J29" s="208">
        <f t="shared" ca="1" si="18"/>
        <v>0</v>
      </c>
      <c r="K29" s="209">
        <v>1.089</v>
      </c>
      <c r="L29" s="210">
        <f t="shared" ca="1" si="4"/>
        <v>0</v>
      </c>
      <c r="M29" s="211">
        <f t="shared" ca="1" si="5"/>
        <v>0</v>
      </c>
      <c r="N29" s="212">
        <f>'Bid Form'!M36</f>
        <v>0</v>
      </c>
      <c r="O29" s="208">
        <f t="shared" ca="1" si="19"/>
        <v>0</v>
      </c>
      <c r="P29" s="209">
        <v>1.3420000000000001</v>
      </c>
      <c r="Q29" s="210">
        <f t="shared" ca="1" si="6"/>
        <v>0</v>
      </c>
      <c r="R29" s="211">
        <f t="shared" ca="1" si="7"/>
        <v>0</v>
      </c>
      <c r="S29" s="212">
        <f>'Bid Form'!J36</f>
        <v>0</v>
      </c>
      <c r="T29" s="208">
        <f t="shared" ca="1" si="20"/>
        <v>0</v>
      </c>
      <c r="U29" s="209">
        <v>0.94699999999999995</v>
      </c>
      <c r="V29" s="210">
        <f t="shared" ca="1" si="8"/>
        <v>0</v>
      </c>
      <c r="W29" s="211">
        <f t="shared" ca="1" si="9"/>
        <v>0</v>
      </c>
      <c r="X29" s="212">
        <f>'Bid Form'!L36</f>
        <v>0</v>
      </c>
      <c r="Y29" s="208">
        <f t="shared" ca="1" si="21"/>
        <v>0</v>
      </c>
      <c r="Z29" s="209">
        <v>0.80100000000000005</v>
      </c>
      <c r="AA29" s="210">
        <f t="shared" ca="1" si="10"/>
        <v>0</v>
      </c>
      <c r="AB29" s="211">
        <f t="shared" ca="1" si="11"/>
        <v>0</v>
      </c>
      <c r="AC29" s="212">
        <f>'Bid Form'!I36</f>
        <v>0</v>
      </c>
      <c r="AD29" s="208">
        <f t="shared" ca="1" si="22"/>
        <v>0</v>
      </c>
      <c r="AE29" s="209">
        <v>0.67900000000000005</v>
      </c>
      <c r="AF29" s="210">
        <f t="shared" ca="1" si="12"/>
        <v>0</v>
      </c>
      <c r="AG29" s="211">
        <f t="shared" ca="1" si="13"/>
        <v>0</v>
      </c>
      <c r="AH29" s="213">
        <f t="shared" si="14"/>
        <v>0</v>
      </c>
      <c r="AI29" s="213">
        <f t="shared" ca="1" si="15"/>
        <v>0</v>
      </c>
      <c r="AJ29" s="214">
        <f t="shared" si="16"/>
        <v>0</v>
      </c>
      <c r="AK29" s="215">
        <v>1.7589999999999999</v>
      </c>
      <c r="AL29" s="216">
        <f t="shared" si="0"/>
        <v>0</v>
      </c>
      <c r="AM29" s="213">
        <f t="shared" ca="1" si="1"/>
        <v>0</v>
      </c>
    </row>
    <row r="30" spans="2:39" x14ac:dyDescent="0.25">
      <c r="B30" s="11"/>
      <c r="C30" s="206">
        <v>9</v>
      </c>
      <c r="D30" s="207">
        <f>'Bid Form'!N37</f>
        <v>0</v>
      </c>
      <c r="E30" s="208">
        <f t="shared" ca="1" si="17"/>
        <v>0</v>
      </c>
      <c r="F30" s="209">
        <v>2.5009999999999999</v>
      </c>
      <c r="G30" s="210">
        <f t="shared" ca="1" si="2"/>
        <v>0</v>
      </c>
      <c r="H30" s="211">
        <f t="shared" ca="1" si="3"/>
        <v>0</v>
      </c>
      <c r="I30" s="212">
        <f>'Bid Form'!K37</f>
        <v>0</v>
      </c>
      <c r="J30" s="208">
        <f t="shared" ca="1" si="18"/>
        <v>0</v>
      </c>
      <c r="K30" s="209">
        <v>1.089</v>
      </c>
      <c r="L30" s="210">
        <f t="shared" ca="1" si="4"/>
        <v>0</v>
      </c>
      <c r="M30" s="211">
        <f t="shared" ca="1" si="5"/>
        <v>0</v>
      </c>
      <c r="N30" s="212">
        <f>'Bid Form'!M37</f>
        <v>0</v>
      </c>
      <c r="O30" s="208">
        <f t="shared" ca="1" si="19"/>
        <v>0</v>
      </c>
      <c r="P30" s="209">
        <v>1.3420000000000001</v>
      </c>
      <c r="Q30" s="210">
        <f t="shared" ca="1" si="6"/>
        <v>0</v>
      </c>
      <c r="R30" s="211">
        <f t="shared" ca="1" si="7"/>
        <v>0</v>
      </c>
      <c r="S30" s="212">
        <f>'Bid Form'!J37</f>
        <v>0</v>
      </c>
      <c r="T30" s="208">
        <f t="shared" ca="1" si="20"/>
        <v>0</v>
      </c>
      <c r="U30" s="209">
        <v>0.94699999999999995</v>
      </c>
      <c r="V30" s="210">
        <f t="shared" ca="1" si="8"/>
        <v>0</v>
      </c>
      <c r="W30" s="211">
        <f t="shared" ca="1" si="9"/>
        <v>0</v>
      </c>
      <c r="X30" s="212">
        <f>'Bid Form'!L37</f>
        <v>0</v>
      </c>
      <c r="Y30" s="208">
        <f t="shared" ca="1" si="21"/>
        <v>0</v>
      </c>
      <c r="Z30" s="209">
        <v>0.80100000000000005</v>
      </c>
      <c r="AA30" s="210">
        <f t="shared" ca="1" si="10"/>
        <v>0</v>
      </c>
      <c r="AB30" s="211">
        <f t="shared" ca="1" si="11"/>
        <v>0</v>
      </c>
      <c r="AC30" s="212">
        <f>'Bid Form'!I37</f>
        <v>0</v>
      </c>
      <c r="AD30" s="208">
        <f t="shared" ca="1" si="22"/>
        <v>0</v>
      </c>
      <c r="AE30" s="209">
        <v>0.67900000000000005</v>
      </c>
      <c r="AF30" s="210">
        <f t="shared" ca="1" si="12"/>
        <v>0</v>
      </c>
      <c r="AG30" s="211">
        <f t="shared" ca="1" si="13"/>
        <v>0</v>
      </c>
      <c r="AH30" s="213">
        <f t="shared" si="14"/>
        <v>0</v>
      </c>
      <c r="AI30" s="213">
        <f t="shared" ca="1" si="15"/>
        <v>0</v>
      </c>
      <c r="AJ30" s="214">
        <f t="shared" si="16"/>
        <v>0</v>
      </c>
      <c r="AK30" s="215">
        <v>1.9059999999999999</v>
      </c>
      <c r="AL30" s="216">
        <f t="shared" si="0"/>
        <v>0</v>
      </c>
      <c r="AM30" s="213">
        <f t="shared" ca="1" si="1"/>
        <v>0</v>
      </c>
    </row>
    <row r="31" spans="2:39" x14ac:dyDescent="0.25">
      <c r="B31" s="11"/>
      <c r="C31" s="206">
        <v>10</v>
      </c>
      <c r="D31" s="207">
        <f>'Bid Form'!N38</f>
        <v>0</v>
      </c>
      <c r="E31" s="208">
        <f t="shared" ca="1" si="17"/>
        <v>0</v>
      </c>
      <c r="F31" s="209">
        <v>2.5009999999999999</v>
      </c>
      <c r="G31" s="210">
        <f t="shared" ca="1" si="2"/>
        <v>0</v>
      </c>
      <c r="H31" s="211">
        <f t="shared" ca="1" si="3"/>
        <v>0</v>
      </c>
      <c r="I31" s="212">
        <f>'Bid Form'!K38</f>
        <v>0</v>
      </c>
      <c r="J31" s="208">
        <f t="shared" ca="1" si="18"/>
        <v>0</v>
      </c>
      <c r="K31" s="209">
        <v>1.089</v>
      </c>
      <c r="L31" s="210">
        <f t="shared" ca="1" si="4"/>
        <v>0</v>
      </c>
      <c r="M31" s="211">
        <f t="shared" ca="1" si="5"/>
        <v>0</v>
      </c>
      <c r="N31" s="212">
        <f>'Bid Form'!M38</f>
        <v>0</v>
      </c>
      <c r="O31" s="208">
        <f t="shared" ca="1" si="19"/>
        <v>0</v>
      </c>
      <c r="P31" s="209">
        <v>1.3420000000000001</v>
      </c>
      <c r="Q31" s="210">
        <f t="shared" ca="1" si="6"/>
        <v>0</v>
      </c>
      <c r="R31" s="211">
        <f t="shared" ca="1" si="7"/>
        <v>0</v>
      </c>
      <c r="S31" s="212">
        <f>'Bid Form'!J38</f>
        <v>0</v>
      </c>
      <c r="T31" s="208">
        <f t="shared" ca="1" si="20"/>
        <v>0</v>
      </c>
      <c r="U31" s="209">
        <v>0.94699999999999995</v>
      </c>
      <c r="V31" s="210">
        <f t="shared" ca="1" si="8"/>
        <v>0</v>
      </c>
      <c r="W31" s="211">
        <f t="shared" ca="1" si="9"/>
        <v>0</v>
      </c>
      <c r="X31" s="212">
        <f>'Bid Form'!L38</f>
        <v>0</v>
      </c>
      <c r="Y31" s="208">
        <f t="shared" ca="1" si="21"/>
        <v>0</v>
      </c>
      <c r="Z31" s="209">
        <v>0.80100000000000005</v>
      </c>
      <c r="AA31" s="210">
        <f t="shared" ca="1" si="10"/>
        <v>0</v>
      </c>
      <c r="AB31" s="211">
        <f t="shared" ca="1" si="11"/>
        <v>0</v>
      </c>
      <c r="AC31" s="212">
        <f>'Bid Form'!I38</f>
        <v>0</v>
      </c>
      <c r="AD31" s="208">
        <f t="shared" ca="1" si="22"/>
        <v>0</v>
      </c>
      <c r="AE31" s="209">
        <v>0.67900000000000005</v>
      </c>
      <c r="AF31" s="210">
        <f t="shared" ca="1" si="12"/>
        <v>0</v>
      </c>
      <c r="AG31" s="211">
        <f t="shared" ca="1" si="13"/>
        <v>0</v>
      </c>
      <c r="AH31" s="213">
        <f t="shared" si="14"/>
        <v>0</v>
      </c>
      <c r="AI31" s="213">
        <f t="shared" ca="1" si="15"/>
        <v>0</v>
      </c>
      <c r="AJ31" s="214">
        <f t="shared" si="16"/>
        <v>0</v>
      </c>
      <c r="AK31" s="215">
        <v>2.0670000000000002</v>
      </c>
      <c r="AL31" s="216">
        <f t="shared" si="0"/>
        <v>0</v>
      </c>
      <c r="AM31" s="213">
        <f t="shared" ca="1" si="1"/>
        <v>0</v>
      </c>
    </row>
    <row r="32" spans="2:39" x14ac:dyDescent="0.25">
      <c r="B32" s="11"/>
      <c r="C32" s="206">
        <v>11</v>
      </c>
      <c r="D32" s="207">
        <f>'Bid Form'!N39</f>
        <v>0</v>
      </c>
      <c r="E32" s="208">
        <f t="shared" ca="1" si="17"/>
        <v>0</v>
      </c>
      <c r="F32" s="209">
        <v>2.5009999999999999</v>
      </c>
      <c r="G32" s="210">
        <f t="shared" ca="1" si="2"/>
        <v>0</v>
      </c>
      <c r="H32" s="211">
        <f t="shared" ca="1" si="3"/>
        <v>0</v>
      </c>
      <c r="I32" s="212">
        <f>'Bid Form'!K39</f>
        <v>0</v>
      </c>
      <c r="J32" s="208">
        <f t="shared" ca="1" si="18"/>
        <v>0</v>
      </c>
      <c r="K32" s="209">
        <v>1.089</v>
      </c>
      <c r="L32" s="210">
        <f t="shared" ca="1" si="4"/>
        <v>0</v>
      </c>
      <c r="M32" s="211">
        <f t="shared" ca="1" si="5"/>
        <v>0</v>
      </c>
      <c r="N32" s="212">
        <f>'Bid Form'!M39</f>
        <v>0</v>
      </c>
      <c r="O32" s="208">
        <f t="shared" ca="1" si="19"/>
        <v>0</v>
      </c>
      <c r="P32" s="209">
        <v>1.3420000000000001</v>
      </c>
      <c r="Q32" s="210">
        <f t="shared" ca="1" si="6"/>
        <v>0</v>
      </c>
      <c r="R32" s="211">
        <f t="shared" ca="1" si="7"/>
        <v>0</v>
      </c>
      <c r="S32" s="212">
        <f>'Bid Form'!J39</f>
        <v>0</v>
      </c>
      <c r="T32" s="208">
        <f t="shared" ca="1" si="20"/>
        <v>0</v>
      </c>
      <c r="U32" s="209">
        <v>0.94699999999999995</v>
      </c>
      <c r="V32" s="210">
        <f t="shared" ca="1" si="8"/>
        <v>0</v>
      </c>
      <c r="W32" s="211">
        <f t="shared" ca="1" si="9"/>
        <v>0</v>
      </c>
      <c r="X32" s="212">
        <f>'Bid Form'!L39</f>
        <v>0</v>
      </c>
      <c r="Y32" s="208">
        <f t="shared" ca="1" si="21"/>
        <v>0</v>
      </c>
      <c r="Z32" s="209">
        <v>0.80100000000000005</v>
      </c>
      <c r="AA32" s="210">
        <f t="shared" ca="1" si="10"/>
        <v>0</v>
      </c>
      <c r="AB32" s="211">
        <f t="shared" ca="1" si="11"/>
        <v>0</v>
      </c>
      <c r="AC32" s="212">
        <f>'Bid Form'!I39</f>
        <v>0</v>
      </c>
      <c r="AD32" s="208">
        <f t="shared" ca="1" si="22"/>
        <v>0</v>
      </c>
      <c r="AE32" s="209">
        <v>0.67900000000000005</v>
      </c>
      <c r="AF32" s="210">
        <f t="shared" ca="1" si="12"/>
        <v>0</v>
      </c>
      <c r="AG32" s="211">
        <f t="shared" ca="1" si="13"/>
        <v>0</v>
      </c>
      <c r="AH32" s="213">
        <f t="shared" si="14"/>
        <v>0</v>
      </c>
      <c r="AI32" s="213">
        <f t="shared" ca="1" si="15"/>
        <v>0</v>
      </c>
      <c r="AJ32" s="214">
        <f t="shared" si="16"/>
        <v>0</v>
      </c>
      <c r="AK32" s="215">
        <v>2.2400000000000002</v>
      </c>
      <c r="AL32" s="216">
        <f t="shared" si="0"/>
        <v>0</v>
      </c>
      <c r="AM32" s="213">
        <f t="shared" ca="1" si="1"/>
        <v>0</v>
      </c>
    </row>
    <row r="33" spans="2:39" x14ac:dyDescent="0.25">
      <c r="B33" s="11"/>
      <c r="C33" s="206">
        <v>12</v>
      </c>
      <c r="D33" s="207">
        <f>'Bid Form'!N40</f>
        <v>0</v>
      </c>
      <c r="E33" s="208">
        <f t="shared" ca="1" si="17"/>
        <v>0</v>
      </c>
      <c r="F33" s="209">
        <v>2.5009999999999999</v>
      </c>
      <c r="G33" s="210">
        <f t="shared" ca="1" si="2"/>
        <v>0</v>
      </c>
      <c r="H33" s="211">
        <f t="shared" ca="1" si="3"/>
        <v>0</v>
      </c>
      <c r="I33" s="212">
        <f>'Bid Form'!K40</f>
        <v>0</v>
      </c>
      <c r="J33" s="208">
        <f t="shared" ca="1" si="18"/>
        <v>0</v>
      </c>
      <c r="K33" s="209">
        <v>1.089</v>
      </c>
      <c r="L33" s="210">
        <f t="shared" ca="1" si="4"/>
        <v>0</v>
      </c>
      <c r="M33" s="211">
        <f t="shared" ca="1" si="5"/>
        <v>0</v>
      </c>
      <c r="N33" s="212">
        <f>'Bid Form'!M40</f>
        <v>0</v>
      </c>
      <c r="O33" s="208">
        <f t="shared" ca="1" si="19"/>
        <v>0</v>
      </c>
      <c r="P33" s="209">
        <v>1.3420000000000001</v>
      </c>
      <c r="Q33" s="210">
        <f t="shared" ca="1" si="6"/>
        <v>0</v>
      </c>
      <c r="R33" s="211">
        <f t="shared" ca="1" si="7"/>
        <v>0</v>
      </c>
      <c r="S33" s="212">
        <f>'Bid Form'!J40</f>
        <v>0</v>
      </c>
      <c r="T33" s="208">
        <f t="shared" ca="1" si="20"/>
        <v>0</v>
      </c>
      <c r="U33" s="209">
        <v>0.94699999999999995</v>
      </c>
      <c r="V33" s="210">
        <f t="shared" ca="1" si="8"/>
        <v>0</v>
      </c>
      <c r="W33" s="211">
        <f t="shared" ca="1" si="9"/>
        <v>0</v>
      </c>
      <c r="X33" s="212">
        <f>'Bid Form'!L40</f>
        <v>0</v>
      </c>
      <c r="Y33" s="208">
        <f t="shared" ca="1" si="21"/>
        <v>0</v>
      </c>
      <c r="Z33" s="209">
        <v>0.80100000000000005</v>
      </c>
      <c r="AA33" s="210">
        <f t="shared" ca="1" si="10"/>
        <v>0</v>
      </c>
      <c r="AB33" s="211">
        <f t="shared" ca="1" si="11"/>
        <v>0</v>
      </c>
      <c r="AC33" s="212">
        <f>'Bid Form'!I40</f>
        <v>0</v>
      </c>
      <c r="AD33" s="208">
        <f t="shared" ca="1" si="22"/>
        <v>0</v>
      </c>
      <c r="AE33" s="209">
        <v>0.67900000000000005</v>
      </c>
      <c r="AF33" s="210">
        <f t="shared" ca="1" si="12"/>
        <v>0</v>
      </c>
      <c r="AG33" s="211">
        <f t="shared" ca="1" si="13"/>
        <v>0</v>
      </c>
      <c r="AH33" s="213">
        <f t="shared" si="14"/>
        <v>0</v>
      </c>
      <c r="AI33" s="213">
        <f t="shared" ca="1" si="15"/>
        <v>0</v>
      </c>
      <c r="AJ33" s="214">
        <f t="shared" si="16"/>
        <v>0</v>
      </c>
      <c r="AK33" s="215">
        <v>2.4279999999999999</v>
      </c>
      <c r="AL33" s="216">
        <f t="shared" si="0"/>
        <v>0</v>
      </c>
      <c r="AM33" s="213">
        <f t="shared" ca="1" si="1"/>
        <v>0</v>
      </c>
    </row>
    <row r="34" spans="2:39" x14ac:dyDescent="0.25">
      <c r="B34" s="11"/>
      <c r="C34" s="206">
        <v>13</v>
      </c>
      <c r="D34" s="207">
        <f>'Bid Form'!N41</f>
        <v>0</v>
      </c>
      <c r="E34" s="208">
        <f t="shared" ca="1" si="17"/>
        <v>0</v>
      </c>
      <c r="F34" s="209">
        <v>2.5009999999999999</v>
      </c>
      <c r="G34" s="210">
        <f t="shared" ca="1" si="2"/>
        <v>0</v>
      </c>
      <c r="H34" s="211">
        <f t="shared" ca="1" si="3"/>
        <v>0</v>
      </c>
      <c r="I34" s="212">
        <f>'Bid Form'!K41</f>
        <v>0</v>
      </c>
      <c r="J34" s="208">
        <f t="shared" ca="1" si="18"/>
        <v>0</v>
      </c>
      <c r="K34" s="209">
        <v>1.089</v>
      </c>
      <c r="L34" s="210">
        <f t="shared" ca="1" si="4"/>
        <v>0</v>
      </c>
      <c r="M34" s="211">
        <f t="shared" ca="1" si="5"/>
        <v>0</v>
      </c>
      <c r="N34" s="212">
        <f>'Bid Form'!M41</f>
        <v>0</v>
      </c>
      <c r="O34" s="208">
        <f t="shared" ca="1" si="19"/>
        <v>0</v>
      </c>
      <c r="P34" s="209">
        <v>1.3420000000000001</v>
      </c>
      <c r="Q34" s="210">
        <f t="shared" ca="1" si="6"/>
        <v>0</v>
      </c>
      <c r="R34" s="211">
        <f t="shared" ca="1" si="7"/>
        <v>0</v>
      </c>
      <c r="S34" s="212">
        <f>'Bid Form'!J41</f>
        <v>0</v>
      </c>
      <c r="T34" s="208">
        <f t="shared" ca="1" si="20"/>
        <v>0</v>
      </c>
      <c r="U34" s="209">
        <v>0.94699999999999995</v>
      </c>
      <c r="V34" s="210">
        <f t="shared" ca="1" si="8"/>
        <v>0</v>
      </c>
      <c r="W34" s="211">
        <f t="shared" ca="1" si="9"/>
        <v>0</v>
      </c>
      <c r="X34" s="212">
        <f>'Bid Form'!L41</f>
        <v>0</v>
      </c>
      <c r="Y34" s="208">
        <f t="shared" ca="1" si="21"/>
        <v>0</v>
      </c>
      <c r="Z34" s="209">
        <v>0.80100000000000005</v>
      </c>
      <c r="AA34" s="210">
        <f t="shared" ca="1" si="10"/>
        <v>0</v>
      </c>
      <c r="AB34" s="211">
        <f t="shared" ca="1" si="11"/>
        <v>0</v>
      </c>
      <c r="AC34" s="212">
        <f>'Bid Form'!I41</f>
        <v>0</v>
      </c>
      <c r="AD34" s="208">
        <f t="shared" ca="1" si="22"/>
        <v>0</v>
      </c>
      <c r="AE34" s="209">
        <v>0.67900000000000005</v>
      </c>
      <c r="AF34" s="210">
        <f t="shared" ca="1" si="12"/>
        <v>0</v>
      </c>
      <c r="AG34" s="211">
        <f t="shared" ca="1" si="13"/>
        <v>0</v>
      </c>
      <c r="AH34" s="213">
        <f t="shared" si="14"/>
        <v>0</v>
      </c>
      <c r="AI34" s="213">
        <f t="shared" ca="1" si="15"/>
        <v>0</v>
      </c>
      <c r="AJ34" s="214">
        <f t="shared" si="16"/>
        <v>0</v>
      </c>
      <c r="AK34" s="215">
        <v>2.6320000000000001</v>
      </c>
      <c r="AL34" s="216">
        <f t="shared" si="0"/>
        <v>0</v>
      </c>
      <c r="AM34" s="213">
        <f t="shared" ca="1" si="1"/>
        <v>0</v>
      </c>
    </row>
    <row r="35" spans="2:39" x14ac:dyDescent="0.25">
      <c r="B35" s="11"/>
      <c r="C35" s="206">
        <v>14</v>
      </c>
      <c r="D35" s="207">
        <f>'Bid Form'!N42</f>
        <v>0</v>
      </c>
      <c r="E35" s="208">
        <f t="shared" ca="1" si="17"/>
        <v>0</v>
      </c>
      <c r="F35" s="209">
        <v>2.5009999999999999</v>
      </c>
      <c r="G35" s="210">
        <f t="shared" ca="1" si="2"/>
        <v>0</v>
      </c>
      <c r="H35" s="211">
        <f t="shared" ca="1" si="3"/>
        <v>0</v>
      </c>
      <c r="I35" s="212">
        <f>'Bid Form'!K42</f>
        <v>0</v>
      </c>
      <c r="J35" s="208">
        <f t="shared" ca="1" si="18"/>
        <v>0</v>
      </c>
      <c r="K35" s="209">
        <v>1.089</v>
      </c>
      <c r="L35" s="210">
        <f t="shared" ca="1" si="4"/>
        <v>0</v>
      </c>
      <c r="M35" s="211">
        <f t="shared" ca="1" si="5"/>
        <v>0</v>
      </c>
      <c r="N35" s="212">
        <f>'Bid Form'!M42</f>
        <v>0</v>
      </c>
      <c r="O35" s="208">
        <f t="shared" ca="1" si="19"/>
        <v>0</v>
      </c>
      <c r="P35" s="209">
        <v>1.3420000000000001</v>
      </c>
      <c r="Q35" s="210">
        <f t="shared" ca="1" si="6"/>
        <v>0</v>
      </c>
      <c r="R35" s="211">
        <f t="shared" ca="1" si="7"/>
        <v>0</v>
      </c>
      <c r="S35" s="212">
        <f>'Bid Form'!J42</f>
        <v>0</v>
      </c>
      <c r="T35" s="208">
        <f t="shared" ca="1" si="20"/>
        <v>0</v>
      </c>
      <c r="U35" s="209">
        <v>0.94699999999999995</v>
      </c>
      <c r="V35" s="210">
        <f t="shared" ca="1" si="8"/>
        <v>0</v>
      </c>
      <c r="W35" s="211">
        <f t="shared" ca="1" si="9"/>
        <v>0</v>
      </c>
      <c r="X35" s="212">
        <f>'Bid Form'!L42</f>
        <v>0</v>
      </c>
      <c r="Y35" s="208">
        <f t="shared" ca="1" si="21"/>
        <v>0</v>
      </c>
      <c r="Z35" s="209">
        <v>0.80100000000000005</v>
      </c>
      <c r="AA35" s="210">
        <f t="shared" ca="1" si="10"/>
        <v>0</v>
      </c>
      <c r="AB35" s="211">
        <f t="shared" ca="1" si="11"/>
        <v>0</v>
      </c>
      <c r="AC35" s="212">
        <f>'Bid Form'!I42</f>
        <v>0</v>
      </c>
      <c r="AD35" s="208">
        <f t="shared" ca="1" si="22"/>
        <v>0</v>
      </c>
      <c r="AE35" s="209">
        <v>0.67900000000000005</v>
      </c>
      <c r="AF35" s="210">
        <f t="shared" ca="1" si="12"/>
        <v>0</v>
      </c>
      <c r="AG35" s="211">
        <f t="shared" ca="1" si="13"/>
        <v>0</v>
      </c>
      <c r="AH35" s="213">
        <f t="shared" si="14"/>
        <v>0</v>
      </c>
      <c r="AI35" s="213">
        <f t="shared" ca="1" si="15"/>
        <v>0</v>
      </c>
      <c r="AJ35" s="214">
        <f t="shared" si="16"/>
        <v>0</v>
      </c>
      <c r="AK35" s="215">
        <v>2.8540000000000001</v>
      </c>
      <c r="AL35" s="216">
        <f t="shared" si="0"/>
        <v>0</v>
      </c>
      <c r="AM35" s="213">
        <f t="shared" ca="1" si="1"/>
        <v>0</v>
      </c>
    </row>
    <row r="36" spans="2:39" x14ac:dyDescent="0.25">
      <c r="B36" s="11"/>
      <c r="C36" s="206">
        <v>15</v>
      </c>
      <c r="D36" s="207">
        <f>'Bid Form'!N43</f>
        <v>0</v>
      </c>
      <c r="E36" s="208">
        <f t="shared" ca="1" si="17"/>
        <v>0</v>
      </c>
      <c r="F36" s="209">
        <v>2.5009999999999999</v>
      </c>
      <c r="G36" s="210">
        <f t="shared" ca="1" si="2"/>
        <v>0</v>
      </c>
      <c r="H36" s="211">
        <f t="shared" ca="1" si="3"/>
        <v>0</v>
      </c>
      <c r="I36" s="212">
        <f>'Bid Form'!K43</f>
        <v>0</v>
      </c>
      <c r="J36" s="208">
        <f t="shared" ca="1" si="18"/>
        <v>0</v>
      </c>
      <c r="K36" s="209">
        <v>1.089</v>
      </c>
      <c r="L36" s="210">
        <f t="shared" ca="1" si="4"/>
        <v>0</v>
      </c>
      <c r="M36" s="211">
        <f t="shared" ca="1" si="5"/>
        <v>0</v>
      </c>
      <c r="N36" s="212">
        <f>'Bid Form'!M43</f>
        <v>0</v>
      </c>
      <c r="O36" s="208">
        <f t="shared" ca="1" si="19"/>
        <v>0</v>
      </c>
      <c r="P36" s="209">
        <v>1.3420000000000001</v>
      </c>
      <c r="Q36" s="210">
        <f t="shared" ca="1" si="6"/>
        <v>0</v>
      </c>
      <c r="R36" s="211">
        <f t="shared" ca="1" si="7"/>
        <v>0</v>
      </c>
      <c r="S36" s="212">
        <f>'Bid Form'!J43</f>
        <v>0</v>
      </c>
      <c r="T36" s="208">
        <f t="shared" ca="1" si="20"/>
        <v>0</v>
      </c>
      <c r="U36" s="209">
        <v>0.94699999999999995</v>
      </c>
      <c r="V36" s="210">
        <f t="shared" ca="1" si="8"/>
        <v>0</v>
      </c>
      <c r="W36" s="211">
        <f t="shared" ca="1" si="9"/>
        <v>0</v>
      </c>
      <c r="X36" s="212">
        <f>'Bid Form'!L43</f>
        <v>0</v>
      </c>
      <c r="Y36" s="208">
        <f t="shared" ca="1" si="21"/>
        <v>0</v>
      </c>
      <c r="Z36" s="209">
        <v>0.80100000000000005</v>
      </c>
      <c r="AA36" s="210">
        <f t="shared" ca="1" si="10"/>
        <v>0</v>
      </c>
      <c r="AB36" s="211">
        <f t="shared" ca="1" si="11"/>
        <v>0</v>
      </c>
      <c r="AC36" s="212">
        <f>'Bid Form'!I43</f>
        <v>0</v>
      </c>
      <c r="AD36" s="208">
        <f t="shared" ca="1" si="22"/>
        <v>0</v>
      </c>
      <c r="AE36" s="209">
        <v>0.67900000000000005</v>
      </c>
      <c r="AF36" s="210">
        <f t="shared" ca="1" si="12"/>
        <v>0</v>
      </c>
      <c r="AG36" s="211">
        <f t="shared" ca="1" si="13"/>
        <v>0</v>
      </c>
      <c r="AH36" s="213">
        <f t="shared" si="14"/>
        <v>0</v>
      </c>
      <c r="AI36" s="213">
        <f t="shared" ca="1" si="15"/>
        <v>0</v>
      </c>
      <c r="AJ36" s="214">
        <f t="shared" si="16"/>
        <v>0</v>
      </c>
      <c r="AK36" s="215">
        <v>3.093</v>
      </c>
      <c r="AL36" s="216">
        <f t="shared" si="0"/>
        <v>0</v>
      </c>
      <c r="AM36" s="213">
        <f t="shared" ca="1" si="1"/>
        <v>0</v>
      </c>
    </row>
    <row r="37" spans="2:39" x14ac:dyDescent="0.25">
      <c r="B37" s="11"/>
      <c r="C37" s="206">
        <v>16</v>
      </c>
      <c r="D37" s="207">
        <f>'Bid Form'!N44</f>
        <v>0</v>
      </c>
      <c r="E37" s="208">
        <f t="shared" ca="1" si="17"/>
        <v>0</v>
      </c>
      <c r="F37" s="209">
        <v>2.5009999999999999</v>
      </c>
      <c r="G37" s="210">
        <f t="shared" ca="1" si="2"/>
        <v>0</v>
      </c>
      <c r="H37" s="211">
        <f t="shared" ca="1" si="3"/>
        <v>0</v>
      </c>
      <c r="I37" s="212">
        <f>'Bid Form'!K44</f>
        <v>0</v>
      </c>
      <c r="J37" s="208">
        <f t="shared" ca="1" si="18"/>
        <v>0</v>
      </c>
      <c r="K37" s="209">
        <v>1.089</v>
      </c>
      <c r="L37" s="210">
        <f t="shared" ca="1" si="4"/>
        <v>0</v>
      </c>
      <c r="M37" s="211">
        <f t="shared" ca="1" si="5"/>
        <v>0</v>
      </c>
      <c r="N37" s="212">
        <f>'Bid Form'!M44</f>
        <v>0</v>
      </c>
      <c r="O37" s="208">
        <f t="shared" ca="1" si="19"/>
        <v>0</v>
      </c>
      <c r="P37" s="209">
        <v>1.3420000000000001</v>
      </c>
      <c r="Q37" s="210">
        <f t="shared" ca="1" si="6"/>
        <v>0</v>
      </c>
      <c r="R37" s="211">
        <f t="shared" ca="1" si="7"/>
        <v>0</v>
      </c>
      <c r="S37" s="212">
        <f>'Bid Form'!J44</f>
        <v>0</v>
      </c>
      <c r="T37" s="208">
        <f t="shared" ca="1" si="20"/>
        <v>0</v>
      </c>
      <c r="U37" s="209">
        <v>0.94699999999999995</v>
      </c>
      <c r="V37" s="210">
        <f t="shared" ca="1" si="8"/>
        <v>0</v>
      </c>
      <c r="W37" s="211">
        <f t="shared" ca="1" si="9"/>
        <v>0</v>
      </c>
      <c r="X37" s="212">
        <f>'Bid Form'!L44</f>
        <v>0</v>
      </c>
      <c r="Y37" s="208">
        <f t="shared" ca="1" si="21"/>
        <v>0</v>
      </c>
      <c r="Z37" s="209">
        <v>0.80100000000000005</v>
      </c>
      <c r="AA37" s="210">
        <f t="shared" ca="1" si="10"/>
        <v>0</v>
      </c>
      <c r="AB37" s="211">
        <f t="shared" ca="1" si="11"/>
        <v>0</v>
      </c>
      <c r="AC37" s="212">
        <f>'Bid Form'!I44</f>
        <v>0</v>
      </c>
      <c r="AD37" s="208">
        <f t="shared" ca="1" si="22"/>
        <v>0</v>
      </c>
      <c r="AE37" s="209">
        <v>0.67900000000000005</v>
      </c>
      <c r="AF37" s="210">
        <f t="shared" ca="1" si="12"/>
        <v>0</v>
      </c>
      <c r="AG37" s="211">
        <f t="shared" ca="1" si="13"/>
        <v>0</v>
      </c>
      <c r="AH37" s="213">
        <f t="shared" si="14"/>
        <v>0</v>
      </c>
      <c r="AI37" s="213">
        <f t="shared" ca="1" si="15"/>
        <v>0</v>
      </c>
      <c r="AJ37" s="214">
        <f t="shared" si="16"/>
        <v>0</v>
      </c>
      <c r="AK37" s="215">
        <v>3.3530000000000002</v>
      </c>
      <c r="AL37" s="216">
        <f t="shared" si="0"/>
        <v>0</v>
      </c>
      <c r="AM37" s="213">
        <f t="shared" ca="1" si="1"/>
        <v>0</v>
      </c>
    </row>
    <row r="38" spans="2:39" x14ac:dyDescent="0.25">
      <c r="B38" s="11"/>
      <c r="C38" s="206">
        <v>17</v>
      </c>
      <c r="D38" s="207">
        <f>'Bid Form'!N45</f>
        <v>0</v>
      </c>
      <c r="E38" s="208">
        <f t="shared" ca="1" si="17"/>
        <v>0</v>
      </c>
      <c r="F38" s="209">
        <v>2.5009999999999999</v>
      </c>
      <c r="G38" s="210">
        <f t="shared" ca="1" si="2"/>
        <v>0</v>
      </c>
      <c r="H38" s="211">
        <f t="shared" ca="1" si="3"/>
        <v>0</v>
      </c>
      <c r="I38" s="212">
        <f>'Bid Form'!K45</f>
        <v>0</v>
      </c>
      <c r="J38" s="208">
        <f t="shared" ca="1" si="18"/>
        <v>0</v>
      </c>
      <c r="K38" s="209">
        <v>1.089</v>
      </c>
      <c r="L38" s="210">
        <f t="shared" ca="1" si="4"/>
        <v>0</v>
      </c>
      <c r="M38" s="211">
        <f t="shared" ca="1" si="5"/>
        <v>0</v>
      </c>
      <c r="N38" s="212">
        <f>'Bid Form'!M45</f>
        <v>0</v>
      </c>
      <c r="O38" s="208">
        <f t="shared" ca="1" si="19"/>
        <v>0</v>
      </c>
      <c r="P38" s="209">
        <v>1.3420000000000001</v>
      </c>
      <c r="Q38" s="210">
        <f t="shared" ca="1" si="6"/>
        <v>0</v>
      </c>
      <c r="R38" s="211">
        <f t="shared" ca="1" si="7"/>
        <v>0</v>
      </c>
      <c r="S38" s="212">
        <f>'Bid Form'!J45</f>
        <v>0</v>
      </c>
      <c r="T38" s="208">
        <f t="shared" ca="1" si="20"/>
        <v>0</v>
      </c>
      <c r="U38" s="209">
        <v>0.94699999999999995</v>
      </c>
      <c r="V38" s="210">
        <f t="shared" ca="1" si="8"/>
        <v>0</v>
      </c>
      <c r="W38" s="211">
        <f t="shared" ca="1" si="9"/>
        <v>0</v>
      </c>
      <c r="X38" s="212">
        <f>'Bid Form'!L45</f>
        <v>0</v>
      </c>
      <c r="Y38" s="208">
        <f t="shared" ca="1" si="21"/>
        <v>0</v>
      </c>
      <c r="Z38" s="209">
        <v>0.80100000000000005</v>
      </c>
      <c r="AA38" s="210">
        <f t="shared" ca="1" si="10"/>
        <v>0</v>
      </c>
      <c r="AB38" s="211">
        <f t="shared" ca="1" si="11"/>
        <v>0</v>
      </c>
      <c r="AC38" s="212">
        <f>'Bid Form'!I45</f>
        <v>0</v>
      </c>
      <c r="AD38" s="208">
        <f t="shared" ca="1" si="22"/>
        <v>0</v>
      </c>
      <c r="AE38" s="209">
        <v>0.67900000000000005</v>
      </c>
      <c r="AF38" s="210">
        <f t="shared" ca="1" si="12"/>
        <v>0</v>
      </c>
      <c r="AG38" s="211">
        <f t="shared" ca="1" si="13"/>
        <v>0</v>
      </c>
      <c r="AH38" s="213">
        <f t="shared" si="14"/>
        <v>0</v>
      </c>
      <c r="AI38" s="213">
        <f t="shared" ca="1" si="15"/>
        <v>0</v>
      </c>
      <c r="AJ38" s="214">
        <f t="shared" si="16"/>
        <v>0</v>
      </c>
      <c r="AK38" s="215">
        <v>3.6349999999999998</v>
      </c>
      <c r="AL38" s="216">
        <f t="shared" si="0"/>
        <v>0</v>
      </c>
      <c r="AM38" s="213">
        <f t="shared" ca="1" si="1"/>
        <v>0</v>
      </c>
    </row>
    <row r="39" spans="2:39" x14ac:dyDescent="0.25">
      <c r="B39" s="11"/>
      <c r="C39" s="206">
        <v>18</v>
      </c>
      <c r="D39" s="207">
        <f>'Bid Form'!N46</f>
        <v>0</v>
      </c>
      <c r="E39" s="208">
        <f t="shared" ca="1" si="17"/>
        <v>0</v>
      </c>
      <c r="F39" s="209">
        <v>2.5009999999999999</v>
      </c>
      <c r="G39" s="210">
        <f t="shared" ca="1" si="2"/>
        <v>0</v>
      </c>
      <c r="H39" s="211">
        <f t="shared" ca="1" si="3"/>
        <v>0</v>
      </c>
      <c r="I39" s="212">
        <f>'Bid Form'!K46</f>
        <v>0</v>
      </c>
      <c r="J39" s="208">
        <f t="shared" ca="1" si="18"/>
        <v>0</v>
      </c>
      <c r="K39" s="209">
        <v>1.089</v>
      </c>
      <c r="L39" s="210">
        <f t="shared" ca="1" si="4"/>
        <v>0</v>
      </c>
      <c r="M39" s="211">
        <f t="shared" ca="1" si="5"/>
        <v>0</v>
      </c>
      <c r="N39" s="212">
        <f>'Bid Form'!M46</f>
        <v>0</v>
      </c>
      <c r="O39" s="208">
        <f t="shared" ca="1" si="19"/>
        <v>0</v>
      </c>
      <c r="P39" s="209">
        <v>1.3420000000000001</v>
      </c>
      <c r="Q39" s="210">
        <f t="shared" ca="1" si="6"/>
        <v>0</v>
      </c>
      <c r="R39" s="211">
        <f t="shared" ca="1" si="7"/>
        <v>0</v>
      </c>
      <c r="S39" s="212">
        <f>'Bid Form'!J46</f>
        <v>0</v>
      </c>
      <c r="T39" s="208">
        <f t="shared" ca="1" si="20"/>
        <v>0</v>
      </c>
      <c r="U39" s="209">
        <v>0.94699999999999995</v>
      </c>
      <c r="V39" s="210">
        <f t="shared" ca="1" si="8"/>
        <v>0</v>
      </c>
      <c r="W39" s="211">
        <f t="shared" ca="1" si="9"/>
        <v>0</v>
      </c>
      <c r="X39" s="212">
        <f>'Bid Form'!L46</f>
        <v>0</v>
      </c>
      <c r="Y39" s="208">
        <f t="shared" ca="1" si="21"/>
        <v>0</v>
      </c>
      <c r="Z39" s="209">
        <v>0.80100000000000005</v>
      </c>
      <c r="AA39" s="210">
        <f t="shared" ca="1" si="10"/>
        <v>0</v>
      </c>
      <c r="AB39" s="211">
        <f t="shared" ca="1" si="11"/>
        <v>0</v>
      </c>
      <c r="AC39" s="212">
        <f>'Bid Form'!I46</f>
        <v>0</v>
      </c>
      <c r="AD39" s="208">
        <f t="shared" ca="1" si="22"/>
        <v>0</v>
      </c>
      <c r="AE39" s="209">
        <v>0.67900000000000005</v>
      </c>
      <c r="AF39" s="210">
        <f t="shared" ca="1" si="12"/>
        <v>0</v>
      </c>
      <c r="AG39" s="211">
        <f t="shared" ca="1" si="13"/>
        <v>0</v>
      </c>
      <c r="AH39" s="213">
        <f t="shared" si="14"/>
        <v>0</v>
      </c>
      <c r="AI39" s="213">
        <f t="shared" ca="1" si="15"/>
        <v>0</v>
      </c>
      <c r="AJ39" s="214">
        <f t="shared" si="16"/>
        <v>0</v>
      </c>
      <c r="AK39" s="215">
        <v>3.94</v>
      </c>
      <c r="AL39" s="216">
        <f t="shared" si="0"/>
        <v>0</v>
      </c>
      <c r="AM39" s="213">
        <f t="shared" ca="1" si="1"/>
        <v>0</v>
      </c>
    </row>
    <row r="40" spans="2:39" x14ac:dyDescent="0.25">
      <c r="B40" s="11"/>
      <c r="C40" s="206">
        <v>19</v>
      </c>
      <c r="D40" s="207">
        <f>'Bid Form'!N47</f>
        <v>0</v>
      </c>
      <c r="E40" s="208">
        <f t="shared" ca="1" si="17"/>
        <v>0</v>
      </c>
      <c r="F40" s="209">
        <v>2.5009999999999999</v>
      </c>
      <c r="G40" s="210">
        <f t="shared" ca="1" si="2"/>
        <v>0</v>
      </c>
      <c r="H40" s="211">
        <f t="shared" ca="1" si="3"/>
        <v>0</v>
      </c>
      <c r="I40" s="212">
        <f>'Bid Form'!K47</f>
        <v>0</v>
      </c>
      <c r="J40" s="208">
        <f t="shared" ca="1" si="18"/>
        <v>0</v>
      </c>
      <c r="K40" s="209">
        <v>1.089</v>
      </c>
      <c r="L40" s="210">
        <f t="shared" ca="1" si="4"/>
        <v>0</v>
      </c>
      <c r="M40" s="211">
        <f t="shared" ca="1" si="5"/>
        <v>0</v>
      </c>
      <c r="N40" s="212">
        <f>'Bid Form'!M47</f>
        <v>0</v>
      </c>
      <c r="O40" s="208">
        <f t="shared" ca="1" si="19"/>
        <v>0</v>
      </c>
      <c r="P40" s="209">
        <v>1.3420000000000001</v>
      </c>
      <c r="Q40" s="210">
        <f t="shared" ca="1" si="6"/>
        <v>0</v>
      </c>
      <c r="R40" s="211">
        <f t="shared" ca="1" si="7"/>
        <v>0</v>
      </c>
      <c r="S40" s="212">
        <f>'Bid Form'!J47</f>
        <v>0</v>
      </c>
      <c r="T40" s="208">
        <f t="shared" ca="1" si="20"/>
        <v>0</v>
      </c>
      <c r="U40" s="209">
        <v>0.94699999999999995</v>
      </c>
      <c r="V40" s="210">
        <f t="shared" ca="1" si="8"/>
        <v>0</v>
      </c>
      <c r="W40" s="211">
        <f t="shared" ca="1" si="9"/>
        <v>0</v>
      </c>
      <c r="X40" s="212">
        <f>'Bid Form'!L47</f>
        <v>0</v>
      </c>
      <c r="Y40" s="208">
        <f t="shared" ca="1" si="21"/>
        <v>0</v>
      </c>
      <c r="Z40" s="209">
        <v>0.80100000000000005</v>
      </c>
      <c r="AA40" s="210">
        <f t="shared" ca="1" si="10"/>
        <v>0</v>
      </c>
      <c r="AB40" s="211">
        <f t="shared" ca="1" si="11"/>
        <v>0</v>
      </c>
      <c r="AC40" s="212">
        <f>'Bid Form'!I47</f>
        <v>0</v>
      </c>
      <c r="AD40" s="208">
        <f t="shared" ca="1" si="22"/>
        <v>0</v>
      </c>
      <c r="AE40" s="209">
        <v>0.67900000000000005</v>
      </c>
      <c r="AF40" s="210">
        <f t="shared" ca="1" si="12"/>
        <v>0</v>
      </c>
      <c r="AG40" s="211">
        <f t="shared" ca="1" si="13"/>
        <v>0</v>
      </c>
      <c r="AH40" s="213">
        <f t="shared" si="14"/>
        <v>0</v>
      </c>
      <c r="AI40" s="213">
        <f t="shared" ca="1" si="15"/>
        <v>0</v>
      </c>
      <c r="AJ40" s="214">
        <f t="shared" si="16"/>
        <v>0</v>
      </c>
      <c r="AK40" s="215">
        <v>4.2709999999999999</v>
      </c>
      <c r="AL40" s="216">
        <f t="shared" si="0"/>
        <v>0</v>
      </c>
      <c r="AM40" s="213">
        <f t="shared" ca="1" si="1"/>
        <v>0</v>
      </c>
    </row>
    <row r="41" spans="2:39" x14ac:dyDescent="0.25">
      <c r="B41" s="11"/>
      <c r="C41" s="206">
        <v>20</v>
      </c>
      <c r="D41" s="217">
        <f>'Bid Form'!N48</f>
        <v>0</v>
      </c>
      <c r="E41" s="218">
        <f t="shared" ca="1" si="17"/>
        <v>0</v>
      </c>
      <c r="F41" s="219">
        <v>2.5009999999999999</v>
      </c>
      <c r="G41" s="220">
        <f t="shared" ca="1" si="2"/>
        <v>0</v>
      </c>
      <c r="H41" s="221">
        <f t="shared" ca="1" si="3"/>
        <v>0</v>
      </c>
      <c r="I41" s="222">
        <f>'Bid Form'!K48</f>
        <v>0</v>
      </c>
      <c r="J41" s="218">
        <f t="shared" ca="1" si="18"/>
        <v>0</v>
      </c>
      <c r="K41" s="219">
        <v>1.089</v>
      </c>
      <c r="L41" s="220">
        <f t="shared" ca="1" si="4"/>
        <v>0</v>
      </c>
      <c r="M41" s="221">
        <f t="shared" ca="1" si="5"/>
        <v>0</v>
      </c>
      <c r="N41" s="222">
        <f>'Bid Form'!M48</f>
        <v>0</v>
      </c>
      <c r="O41" s="218">
        <f t="shared" ca="1" si="19"/>
        <v>0</v>
      </c>
      <c r="P41" s="219">
        <v>1.3420000000000001</v>
      </c>
      <c r="Q41" s="220">
        <f t="shared" ca="1" si="6"/>
        <v>0</v>
      </c>
      <c r="R41" s="221">
        <f t="shared" ca="1" si="7"/>
        <v>0</v>
      </c>
      <c r="S41" s="222">
        <f>'Bid Form'!J48</f>
        <v>0</v>
      </c>
      <c r="T41" s="218">
        <f t="shared" ca="1" si="20"/>
        <v>0</v>
      </c>
      <c r="U41" s="219">
        <v>0.94699999999999995</v>
      </c>
      <c r="V41" s="220">
        <f t="shared" ca="1" si="8"/>
        <v>0</v>
      </c>
      <c r="W41" s="221">
        <f t="shared" ca="1" si="9"/>
        <v>0</v>
      </c>
      <c r="X41" s="222">
        <f>'Bid Form'!L48</f>
        <v>0</v>
      </c>
      <c r="Y41" s="218">
        <f t="shared" ca="1" si="21"/>
        <v>0</v>
      </c>
      <c r="Z41" s="219">
        <v>0.80100000000000005</v>
      </c>
      <c r="AA41" s="220">
        <f t="shared" ca="1" si="10"/>
        <v>0</v>
      </c>
      <c r="AB41" s="221">
        <f t="shared" ca="1" si="11"/>
        <v>0</v>
      </c>
      <c r="AC41" s="222">
        <f>'Bid Form'!I48</f>
        <v>0</v>
      </c>
      <c r="AD41" s="218">
        <f t="shared" ca="1" si="22"/>
        <v>0</v>
      </c>
      <c r="AE41" s="219">
        <v>0.67900000000000005</v>
      </c>
      <c r="AF41" s="220">
        <f t="shared" ca="1" si="12"/>
        <v>0</v>
      </c>
      <c r="AG41" s="221">
        <f t="shared" ca="1" si="13"/>
        <v>0</v>
      </c>
      <c r="AH41" s="213">
        <f t="shared" si="14"/>
        <v>0</v>
      </c>
      <c r="AI41" s="213">
        <f t="shared" ca="1" si="15"/>
        <v>0</v>
      </c>
      <c r="AJ41" s="214">
        <f t="shared" si="16"/>
        <v>0</v>
      </c>
      <c r="AK41" s="215">
        <v>4.63</v>
      </c>
      <c r="AL41" s="216">
        <f t="shared" si="0"/>
        <v>0</v>
      </c>
      <c r="AM41" s="213">
        <f t="shared" ca="1" si="1"/>
        <v>0</v>
      </c>
    </row>
    <row r="42" spans="2:39" x14ac:dyDescent="0.25">
      <c r="B42" s="11"/>
      <c r="C42" s="223" t="s">
        <v>106</v>
      </c>
      <c r="D42" s="11"/>
      <c r="E42" s="11"/>
      <c r="F42" s="11"/>
      <c r="G42" s="11"/>
      <c r="H42" s="224">
        <f ca="1">SUM(H22:H41)</f>
        <v>0</v>
      </c>
      <c r="I42" s="224"/>
      <c r="J42" s="224"/>
      <c r="K42" s="224"/>
      <c r="L42" s="224"/>
      <c r="M42" s="224">
        <f ca="1">SUM(M22:M41)</f>
        <v>0</v>
      </c>
      <c r="N42" s="224"/>
      <c r="O42" s="224"/>
      <c r="P42" s="224"/>
      <c r="Q42" s="224"/>
      <c r="R42" s="224">
        <f ca="1">SUM(R22:R41)</f>
        <v>0</v>
      </c>
      <c r="S42" s="224"/>
      <c r="T42" s="224"/>
      <c r="U42" s="224"/>
      <c r="V42" s="224"/>
      <c r="W42" s="224">
        <f ca="1">SUM(W22:W41)</f>
        <v>0</v>
      </c>
      <c r="X42" s="224"/>
      <c r="Y42" s="224"/>
      <c r="Z42" s="224"/>
      <c r="AA42" s="224"/>
      <c r="AB42" s="224">
        <f ca="1">SUM(AB22:AB41)</f>
        <v>0</v>
      </c>
      <c r="AC42" s="224"/>
      <c r="AD42" s="224"/>
      <c r="AE42" s="224"/>
      <c r="AF42" s="224"/>
      <c r="AG42" s="224">
        <f ca="1">SUM(AG22:AG41)</f>
        <v>0</v>
      </c>
      <c r="AH42" s="11"/>
      <c r="AI42" s="11"/>
      <c r="AJ42" s="11"/>
      <c r="AK42" s="11"/>
      <c r="AL42" s="225">
        <f>SUM(AL22:AL41)</f>
        <v>0</v>
      </c>
      <c r="AM42" s="213">
        <f ca="1">SUM(AM22:AM41)</f>
        <v>0</v>
      </c>
    </row>
    <row r="43" spans="2:39" x14ac:dyDescent="0.25">
      <c r="B43" s="11"/>
      <c r="C43" s="223" t="s">
        <v>107</v>
      </c>
      <c r="D43" s="11"/>
      <c r="E43" s="11"/>
      <c r="F43" s="11"/>
      <c r="G43" s="11"/>
      <c r="H43" s="226">
        <f ca="1">SUMPRODUCT(H22:H41,$AK$22:$AK$41^-1)</f>
        <v>0</v>
      </c>
      <c r="I43" s="224"/>
      <c r="J43" s="224"/>
      <c r="K43" s="224"/>
      <c r="L43" s="224"/>
      <c r="M43" s="226">
        <f ca="1">SUMPRODUCT(M22:M41,$AK$22:$AK$41^-1)</f>
        <v>0</v>
      </c>
      <c r="N43" s="224"/>
      <c r="O43" s="224"/>
      <c r="P43" s="224"/>
      <c r="Q43" s="224"/>
      <c r="R43" s="226">
        <f ca="1">SUMPRODUCT(R22:R41,$AK$22:$AK$41^-1)</f>
        <v>0</v>
      </c>
      <c r="S43" s="224"/>
      <c r="T43" s="224"/>
      <c r="U43" s="224"/>
      <c r="V43" s="224"/>
      <c r="W43" s="226">
        <f ca="1">SUMPRODUCT(W22:W41,$AK$22:$AK$41^-1)</f>
        <v>0</v>
      </c>
      <c r="X43" s="224"/>
      <c r="Y43" s="224"/>
      <c r="Z43" s="224"/>
      <c r="AA43" s="224"/>
      <c r="AB43" s="226">
        <f ca="1">SUMPRODUCT(AB22:AB41,$AK$22:$AK$41^-1)</f>
        <v>0</v>
      </c>
      <c r="AC43" s="224"/>
      <c r="AD43" s="224"/>
      <c r="AE43" s="224"/>
      <c r="AF43" s="224"/>
      <c r="AG43" s="226">
        <f ca="1">SUMPRODUCT(AG22:AG41,$AK$22:$AK$41^-1)</f>
        <v>0</v>
      </c>
      <c r="AH43" s="11"/>
      <c r="AI43" s="11"/>
      <c r="AJ43" s="11"/>
      <c r="AK43" s="11"/>
    </row>
    <row r="44" spans="2:39" x14ac:dyDescent="0.2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2:39" x14ac:dyDescent="0.25">
      <c r="B45" s="11" t="s">
        <v>100</v>
      </c>
      <c r="C45" s="197"/>
      <c r="D45" s="198" t="s">
        <v>43</v>
      </c>
      <c r="E45" s="199"/>
      <c r="F45" s="199"/>
      <c r="G45" s="199"/>
      <c r="H45" s="200"/>
      <c r="I45" s="201" t="s">
        <v>40</v>
      </c>
      <c r="J45" s="199"/>
      <c r="K45" s="199"/>
      <c r="L45" s="199"/>
      <c r="M45" s="200"/>
      <c r="N45" s="201" t="s">
        <v>42</v>
      </c>
      <c r="O45" s="199"/>
      <c r="P45" s="199"/>
      <c r="Q45" s="199"/>
      <c r="R45" s="200"/>
      <c r="S45" s="201" t="s">
        <v>39</v>
      </c>
      <c r="T45" s="199"/>
      <c r="U45" s="199"/>
      <c r="V45" s="199"/>
      <c r="W45" s="200"/>
      <c r="X45" s="201" t="s">
        <v>41</v>
      </c>
      <c r="Y45" s="199"/>
      <c r="Z45" s="199"/>
      <c r="AA45" s="199"/>
      <c r="AB45" s="200"/>
      <c r="AC45" s="201" t="s">
        <v>38</v>
      </c>
      <c r="AD45" s="199"/>
      <c r="AE45" s="199"/>
      <c r="AF45" s="199"/>
      <c r="AG45" s="200"/>
      <c r="AH45" s="11"/>
      <c r="AI45" s="11"/>
      <c r="AJ45" s="11"/>
      <c r="AK45" s="11"/>
      <c r="AL45" s="11"/>
      <c r="AM45" s="11"/>
    </row>
    <row r="46" spans="2:39" ht="26.25" x14ac:dyDescent="0.25">
      <c r="B46" s="11"/>
      <c r="C46" s="202" t="s">
        <v>87</v>
      </c>
      <c r="D46" s="203" t="s">
        <v>88</v>
      </c>
      <c r="E46" s="204" t="s">
        <v>89</v>
      </c>
      <c r="F46" s="204" t="s">
        <v>90</v>
      </c>
      <c r="G46" s="204" t="s">
        <v>91</v>
      </c>
      <c r="H46" s="205" t="s">
        <v>92</v>
      </c>
      <c r="I46" s="203" t="s">
        <v>88</v>
      </c>
      <c r="J46" s="204" t="s">
        <v>89</v>
      </c>
      <c r="K46" s="204" t="s">
        <v>90</v>
      </c>
      <c r="L46" s="204" t="s">
        <v>93</v>
      </c>
      <c r="M46" s="205" t="s">
        <v>92</v>
      </c>
      <c r="N46" s="203" t="s">
        <v>88</v>
      </c>
      <c r="O46" s="204" t="s">
        <v>89</v>
      </c>
      <c r="P46" s="204" t="s">
        <v>90</v>
      </c>
      <c r="Q46" s="204" t="s">
        <v>93</v>
      </c>
      <c r="R46" s="205" t="s">
        <v>92</v>
      </c>
      <c r="S46" s="203" t="s">
        <v>88</v>
      </c>
      <c r="T46" s="204" t="s">
        <v>89</v>
      </c>
      <c r="U46" s="204" t="s">
        <v>90</v>
      </c>
      <c r="V46" s="204" t="s">
        <v>93</v>
      </c>
      <c r="W46" s="205" t="s">
        <v>92</v>
      </c>
      <c r="X46" s="203" t="s">
        <v>88</v>
      </c>
      <c r="Y46" s="204" t="s">
        <v>89</v>
      </c>
      <c r="Z46" s="204" t="s">
        <v>90</v>
      </c>
      <c r="AA46" s="204" t="s">
        <v>93</v>
      </c>
      <c r="AB46" s="205" t="s">
        <v>92</v>
      </c>
      <c r="AC46" s="203" t="s">
        <v>88</v>
      </c>
      <c r="AD46" s="204" t="s">
        <v>89</v>
      </c>
      <c r="AE46" s="204" t="s">
        <v>90</v>
      </c>
      <c r="AF46" s="204" t="s">
        <v>93</v>
      </c>
      <c r="AG46" s="205" t="s">
        <v>92</v>
      </c>
      <c r="AH46" s="202" t="s">
        <v>94</v>
      </c>
      <c r="AI46" s="202" t="s">
        <v>95</v>
      </c>
      <c r="AJ46" s="202" t="s">
        <v>96</v>
      </c>
      <c r="AK46" s="202" t="s">
        <v>97</v>
      </c>
      <c r="AL46" s="202" t="s">
        <v>98</v>
      </c>
      <c r="AM46" s="202" t="s">
        <v>99</v>
      </c>
    </row>
    <row r="47" spans="2:39" x14ac:dyDescent="0.25">
      <c r="B47" s="11"/>
      <c r="C47" s="206">
        <v>1</v>
      </c>
      <c r="D47" s="212">
        <f>D22</f>
        <v>0</v>
      </c>
      <c r="E47" s="208">
        <f ca="1">E22</f>
        <v>0</v>
      </c>
      <c r="F47" s="209">
        <v>1.5309999999999999</v>
      </c>
      <c r="G47" s="210">
        <f ca="1">F47*E47</f>
        <v>0</v>
      </c>
      <c r="H47" s="211">
        <f ca="1">G47*D47/1000</f>
        <v>0</v>
      </c>
      <c r="I47" s="212">
        <f>I22</f>
        <v>0</v>
      </c>
      <c r="J47" s="208">
        <f ca="1">J22</f>
        <v>0</v>
      </c>
      <c r="K47" s="209">
        <v>1.1919999999999999</v>
      </c>
      <c r="L47" s="210">
        <f ca="1">K47*J47</f>
        <v>0</v>
      </c>
      <c r="M47" s="211">
        <f ca="1">L47*I47/1000</f>
        <v>0</v>
      </c>
      <c r="N47" s="212">
        <f>N22</f>
        <v>0</v>
      </c>
      <c r="O47" s="208">
        <f ca="1">O22</f>
        <v>0</v>
      </c>
      <c r="P47" s="209">
        <v>1.181</v>
      </c>
      <c r="Q47" s="210">
        <f ca="1">P47*O47</f>
        <v>0</v>
      </c>
      <c r="R47" s="211">
        <f ca="1">Q47*N47/1000</f>
        <v>0</v>
      </c>
      <c r="S47" s="212">
        <f>S22</f>
        <v>0</v>
      </c>
      <c r="T47" s="208">
        <f ca="1">T22</f>
        <v>0</v>
      </c>
      <c r="U47" s="209">
        <v>1.0780000000000001</v>
      </c>
      <c r="V47" s="210">
        <f ca="1">U47*T47</f>
        <v>0</v>
      </c>
      <c r="W47" s="211">
        <f ca="1">V47*S47/1000</f>
        <v>0</v>
      </c>
      <c r="X47" s="212">
        <f>X22</f>
        <v>0</v>
      </c>
      <c r="Y47" s="208">
        <f ca="1">Y22</f>
        <v>0</v>
      </c>
      <c r="Z47" s="209">
        <v>0.9</v>
      </c>
      <c r="AA47" s="210">
        <f ca="1">Z47*Y47</f>
        <v>0</v>
      </c>
      <c r="AB47" s="211">
        <f ca="1">AA47*X47/1000</f>
        <v>0</v>
      </c>
      <c r="AC47" s="212">
        <f>AC22</f>
        <v>0</v>
      </c>
      <c r="AD47" s="208">
        <f ca="1">AD22</f>
        <v>0</v>
      </c>
      <c r="AE47" s="209">
        <v>0.77400000000000002</v>
      </c>
      <c r="AF47" s="210">
        <f ca="1">AE47*AD47</f>
        <v>0</v>
      </c>
      <c r="AG47" s="211">
        <f ca="1">AF47*AC47/1000</f>
        <v>0</v>
      </c>
      <c r="AH47" s="213">
        <f>SUM(AC47,X47,S47,N47,I47,D47)</f>
        <v>0</v>
      </c>
      <c r="AI47" s="213">
        <f ca="1">SUM(AG47,AB47,W47,R47,M47,H47)</f>
        <v>0</v>
      </c>
      <c r="AJ47" s="214">
        <f>IF(AH47=0,0,AI47*1000/AH47)</f>
        <v>0</v>
      </c>
      <c r="AK47" s="215">
        <v>1</v>
      </c>
      <c r="AL47" s="216">
        <f t="shared" ref="AL47:AL66" si="23">AH47/AK47</f>
        <v>0</v>
      </c>
      <c r="AM47" s="213">
        <f t="shared" ref="AM47:AM66" ca="1" si="24">AI47/AK47</f>
        <v>0</v>
      </c>
    </row>
    <row r="48" spans="2:39" x14ac:dyDescent="0.25">
      <c r="B48" s="11"/>
      <c r="C48" s="206">
        <v>2</v>
      </c>
      <c r="D48" s="212">
        <f t="shared" ref="D48:D66" si="25">D23</f>
        <v>0</v>
      </c>
      <c r="E48" s="208">
        <f t="shared" ref="E48:E66" ca="1" si="26">E23</f>
        <v>0</v>
      </c>
      <c r="F48" s="209">
        <v>1.5309999999999999</v>
      </c>
      <c r="G48" s="210">
        <f t="shared" ref="G48:G66" ca="1" si="27">F48*E48</f>
        <v>0</v>
      </c>
      <c r="H48" s="211">
        <f t="shared" ref="H48:H66" ca="1" si="28">G48*D48/1000</f>
        <v>0</v>
      </c>
      <c r="I48" s="212">
        <f t="shared" ref="I48:I66" si="29">I23</f>
        <v>0</v>
      </c>
      <c r="J48" s="208">
        <f t="shared" ref="J48:J66" ca="1" si="30">J23</f>
        <v>0</v>
      </c>
      <c r="K48" s="209">
        <v>1.1919999999999999</v>
      </c>
      <c r="L48" s="210">
        <f t="shared" ref="L48:L66" ca="1" si="31">K48*J48</f>
        <v>0</v>
      </c>
      <c r="M48" s="211">
        <f t="shared" ref="M48:M66" ca="1" si="32">L48*I48/1000</f>
        <v>0</v>
      </c>
      <c r="N48" s="212">
        <f t="shared" ref="N48:N66" si="33">N23</f>
        <v>0</v>
      </c>
      <c r="O48" s="208">
        <f t="shared" ref="O48:O66" ca="1" si="34">O23</f>
        <v>0</v>
      </c>
      <c r="P48" s="209">
        <v>1.181</v>
      </c>
      <c r="Q48" s="210">
        <f t="shared" ref="Q48:Q66" ca="1" si="35">P48*O48</f>
        <v>0</v>
      </c>
      <c r="R48" s="211">
        <f t="shared" ref="R48:R66" ca="1" si="36">Q48*N48/1000</f>
        <v>0</v>
      </c>
      <c r="S48" s="212">
        <f t="shared" ref="S48:S66" si="37">S23</f>
        <v>0</v>
      </c>
      <c r="T48" s="208">
        <f t="shared" ref="T48:T66" ca="1" si="38">T23</f>
        <v>0</v>
      </c>
      <c r="U48" s="209">
        <v>1.0780000000000001</v>
      </c>
      <c r="V48" s="210">
        <f t="shared" ref="V48:V66" ca="1" si="39">U48*T48</f>
        <v>0</v>
      </c>
      <c r="W48" s="211">
        <f t="shared" ref="W48:W66" ca="1" si="40">V48*S48/1000</f>
        <v>0</v>
      </c>
      <c r="X48" s="212">
        <f t="shared" ref="X48:X66" si="41">X23</f>
        <v>0</v>
      </c>
      <c r="Y48" s="208">
        <f t="shared" ref="Y48:Y66" ca="1" si="42">Y23</f>
        <v>0</v>
      </c>
      <c r="Z48" s="209">
        <v>0.9</v>
      </c>
      <c r="AA48" s="210">
        <f t="shared" ref="AA48:AA66" ca="1" si="43">Z48*Y48</f>
        <v>0</v>
      </c>
      <c r="AB48" s="211">
        <f t="shared" ref="AB48:AB66" ca="1" si="44">AA48*X48/1000</f>
        <v>0</v>
      </c>
      <c r="AC48" s="212">
        <f t="shared" ref="AC48:AC66" si="45">AC23</f>
        <v>0</v>
      </c>
      <c r="AD48" s="208">
        <f t="shared" ref="AD48:AD66" ca="1" si="46">AD23</f>
        <v>0</v>
      </c>
      <c r="AE48" s="209">
        <v>0.77400000000000002</v>
      </c>
      <c r="AF48" s="210">
        <f t="shared" ref="AF48:AF66" ca="1" si="47">AE48*AD48</f>
        <v>0</v>
      </c>
      <c r="AG48" s="211">
        <f t="shared" ref="AG48:AG66" ca="1" si="48">AF48*AC48/1000</f>
        <v>0</v>
      </c>
      <c r="AH48" s="213">
        <f t="shared" ref="AH48:AH66" si="49">SUM(AC48,X48,S48,N48,I48,D48)</f>
        <v>0</v>
      </c>
      <c r="AI48" s="213">
        <f t="shared" ref="AI48:AI66" ca="1" si="50">SUM(AG48,AB48,W48,R48,M48,H48)</f>
        <v>0</v>
      </c>
      <c r="AJ48" s="214">
        <f t="shared" ref="AJ48:AJ66" si="51">IF(AH48=0,0,AI48*1000/AH48)</f>
        <v>0</v>
      </c>
      <c r="AK48" s="215">
        <v>1.0840000000000001</v>
      </c>
      <c r="AL48" s="216">
        <f t="shared" si="23"/>
        <v>0</v>
      </c>
      <c r="AM48" s="213">
        <f t="shared" ca="1" si="24"/>
        <v>0</v>
      </c>
    </row>
    <row r="49" spans="2:39" x14ac:dyDescent="0.25">
      <c r="B49" s="11"/>
      <c r="C49" s="206">
        <v>3</v>
      </c>
      <c r="D49" s="212">
        <f t="shared" si="25"/>
        <v>0</v>
      </c>
      <c r="E49" s="208">
        <f t="shared" ca="1" si="26"/>
        <v>0</v>
      </c>
      <c r="F49" s="209">
        <v>1.5309999999999999</v>
      </c>
      <c r="G49" s="210">
        <f t="shared" ca="1" si="27"/>
        <v>0</v>
      </c>
      <c r="H49" s="211">
        <f t="shared" ca="1" si="28"/>
        <v>0</v>
      </c>
      <c r="I49" s="212">
        <f t="shared" si="29"/>
        <v>0</v>
      </c>
      <c r="J49" s="208">
        <f t="shared" ca="1" si="30"/>
        <v>0</v>
      </c>
      <c r="K49" s="209">
        <v>1.1919999999999999</v>
      </c>
      <c r="L49" s="210">
        <f t="shared" ca="1" si="31"/>
        <v>0</v>
      </c>
      <c r="M49" s="211">
        <f t="shared" ca="1" si="32"/>
        <v>0</v>
      </c>
      <c r="N49" s="212">
        <f t="shared" si="33"/>
        <v>0</v>
      </c>
      <c r="O49" s="208">
        <f t="shared" ca="1" si="34"/>
        <v>0</v>
      </c>
      <c r="P49" s="209">
        <v>1.181</v>
      </c>
      <c r="Q49" s="210">
        <f t="shared" ca="1" si="35"/>
        <v>0</v>
      </c>
      <c r="R49" s="211">
        <f t="shared" ca="1" si="36"/>
        <v>0</v>
      </c>
      <c r="S49" s="212">
        <f t="shared" si="37"/>
        <v>0</v>
      </c>
      <c r="T49" s="208">
        <f t="shared" ca="1" si="38"/>
        <v>0</v>
      </c>
      <c r="U49" s="209">
        <v>1.0780000000000001</v>
      </c>
      <c r="V49" s="210">
        <f t="shared" ca="1" si="39"/>
        <v>0</v>
      </c>
      <c r="W49" s="211">
        <f t="shared" ca="1" si="40"/>
        <v>0</v>
      </c>
      <c r="X49" s="212">
        <f t="shared" si="41"/>
        <v>0</v>
      </c>
      <c r="Y49" s="208">
        <f t="shared" ca="1" si="42"/>
        <v>0</v>
      </c>
      <c r="Z49" s="209">
        <v>0.9</v>
      </c>
      <c r="AA49" s="210">
        <f t="shared" ca="1" si="43"/>
        <v>0</v>
      </c>
      <c r="AB49" s="211">
        <f t="shared" ca="1" si="44"/>
        <v>0</v>
      </c>
      <c r="AC49" s="212">
        <f t="shared" si="45"/>
        <v>0</v>
      </c>
      <c r="AD49" s="208">
        <f t="shared" ca="1" si="46"/>
        <v>0</v>
      </c>
      <c r="AE49" s="209">
        <v>0.77400000000000002</v>
      </c>
      <c r="AF49" s="210">
        <f t="shared" ca="1" si="47"/>
        <v>0</v>
      </c>
      <c r="AG49" s="211">
        <f t="shared" ca="1" si="48"/>
        <v>0</v>
      </c>
      <c r="AH49" s="213">
        <f t="shared" si="49"/>
        <v>0</v>
      </c>
      <c r="AI49" s="213">
        <f t="shared" ca="1" si="50"/>
        <v>0</v>
      </c>
      <c r="AJ49" s="214">
        <f t="shared" si="51"/>
        <v>0</v>
      </c>
      <c r="AK49" s="215">
        <v>1.175</v>
      </c>
      <c r="AL49" s="216">
        <f t="shared" si="23"/>
        <v>0</v>
      </c>
      <c r="AM49" s="213">
        <f t="shared" ca="1" si="24"/>
        <v>0</v>
      </c>
    </row>
    <row r="50" spans="2:39" x14ac:dyDescent="0.25">
      <c r="B50" s="11"/>
      <c r="C50" s="206">
        <v>4</v>
      </c>
      <c r="D50" s="212">
        <f t="shared" si="25"/>
        <v>0</v>
      </c>
      <c r="E50" s="208">
        <f t="shared" ca="1" si="26"/>
        <v>0</v>
      </c>
      <c r="F50" s="209">
        <v>1.5309999999999999</v>
      </c>
      <c r="G50" s="210">
        <f t="shared" ca="1" si="27"/>
        <v>0</v>
      </c>
      <c r="H50" s="211">
        <f t="shared" ca="1" si="28"/>
        <v>0</v>
      </c>
      <c r="I50" s="212">
        <f t="shared" si="29"/>
        <v>0</v>
      </c>
      <c r="J50" s="208">
        <f t="shared" ca="1" si="30"/>
        <v>0</v>
      </c>
      <c r="K50" s="209">
        <v>1.1919999999999999</v>
      </c>
      <c r="L50" s="210">
        <f t="shared" ca="1" si="31"/>
        <v>0</v>
      </c>
      <c r="M50" s="211">
        <f t="shared" ca="1" si="32"/>
        <v>0</v>
      </c>
      <c r="N50" s="212">
        <f t="shared" si="33"/>
        <v>0</v>
      </c>
      <c r="O50" s="208">
        <f t="shared" ca="1" si="34"/>
        <v>0</v>
      </c>
      <c r="P50" s="209">
        <v>1.181</v>
      </c>
      <c r="Q50" s="210">
        <f t="shared" ca="1" si="35"/>
        <v>0</v>
      </c>
      <c r="R50" s="211">
        <f t="shared" ca="1" si="36"/>
        <v>0</v>
      </c>
      <c r="S50" s="212">
        <f t="shared" si="37"/>
        <v>0</v>
      </c>
      <c r="T50" s="208">
        <f t="shared" ca="1" si="38"/>
        <v>0</v>
      </c>
      <c r="U50" s="209">
        <v>1.0780000000000001</v>
      </c>
      <c r="V50" s="210">
        <f t="shared" ca="1" si="39"/>
        <v>0</v>
      </c>
      <c r="W50" s="211">
        <f t="shared" ca="1" si="40"/>
        <v>0</v>
      </c>
      <c r="X50" s="212">
        <f t="shared" si="41"/>
        <v>0</v>
      </c>
      <c r="Y50" s="208">
        <f t="shared" ca="1" si="42"/>
        <v>0</v>
      </c>
      <c r="Z50" s="209">
        <v>0.9</v>
      </c>
      <c r="AA50" s="210">
        <f t="shared" ca="1" si="43"/>
        <v>0</v>
      </c>
      <c r="AB50" s="211">
        <f t="shared" ca="1" si="44"/>
        <v>0</v>
      </c>
      <c r="AC50" s="212">
        <f t="shared" si="45"/>
        <v>0</v>
      </c>
      <c r="AD50" s="208">
        <f t="shared" ca="1" si="46"/>
        <v>0</v>
      </c>
      <c r="AE50" s="209">
        <v>0.77400000000000002</v>
      </c>
      <c r="AF50" s="210">
        <f t="shared" ca="1" si="47"/>
        <v>0</v>
      </c>
      <c r="AG50" s="211">
        <f t="shared" ca="1" si="48"/>
        <v>0</v>
      </c>
      <c r="AH50" s="213">
        <f t="shared" si="49"/>
        <v>0</v>
      </c>
      <c r="AI50" s="213">
        <f t="shared" ca="1" si="50"/>
        <v>0</v>
      </c>
      <c r="AJ50" s="214">
        <f t="shared" si="51"/>
        <v>0</v>
      </c>
      <c r="AK50" s="215">
        <v>1.274</v>
      </c>
      <c r="AL50" s="216">
        <f t="shared" si="23"/>
        <v>0</v>
      </c>
      <c r="AM50" s="213">
        <f t="shared" ca="1" si="24"/>
        <v>0</v>
      </c>
    </row>
    <row r="51" spans="2:39" x14ac:dyDescent="0.25">
      <c r="B51" s="11"/>
      <c r="C51" s="206">
        <v>5</v>
      </c>
      <c r="D51" s="212">
        <f t="shared" si="25"/>
        <v>0</v>
      </c>
      <c r="E51" s="208">
        <f t="shared" ca="1" si="26"/>
        <v>0</v>
      </c>
      <c r="F51" s="209">
        <v>1.5309999999999999</v>
      </c>
      <c r="G51" s="210">
        <f t="shared" ca="1" si="27"/>
        <v>0</v>
      </c>
      <c r="H51" s="211">
        <f t="shared" ca="1" si="28"/>
        <v>0</v>
      </c>
      <c r="I51" s="212">
        <f t="shared" si="29"/>
        <v>0</v>
      </c>
      <c r="J51" s="208">
        <f t="shared" ca="1" si="30"/>
        <v>0</v>
      </c>
      <c r="K51" s="209">
        <v>1.1919999999999999</v>
      </c>
      <c r="L51" s="210">
        <f t="shared" ca="1" si="31"/>
        <v>0</v>
      </c>
      <c r="M51" s="211">
        <f t="shared" ca="1" si="32"/>
        <v>0</v>
      </c>
      <c r="N51" s="212">
        <f t="shared" si="33"/>
        <v>0</v>
      </c>
      <c r="O51" s="208">
        <f t="shared" ca="1" si="34"/>
        <v>0</v>
      </c>
      <c r="P51" s="209">
        <v>1.181</v>
      </c>
      <c r="Q51" s="210">
        <f t="shared" ca="1" si="35"/>
        <v>0</v>
      </c>
      <c r="R51" s="211">
        <f t="shared" ca="1" si="36"/>
        <v>0</v>
      </c>
      <c r="S51" s="212">
        <f t="shared" si="37"/>
        <v>0</v>
      </c>
      <c r="T51" s="208">
        <f t="shared" ca="1" si="38"/>
        <v>0</v>
      </c>
      <c r="U51" s="209">
        <v>1.0780000000000001</v>
      </c>
      <c r="V51" s="210">
        <f t="shared" ca="1" si="39"/>
        <v>0</v>
      </c>
      <c r="W51" s="211">
        <f t="shared" ca="1" si="40"/>
        <v>0</v>
      </c>
      <c r="X51" s="212">
        <f t="shared" si="41"/>
        <v>0</v>
      </c>
      <c r="Y51" s="208">
        <f t="shared" ca="1" si="42"/>
        <v>0</v>
      </c>
      <c r="Z51" s="209">
        <v>0.9</v>
      </c>
      <c r="AA51" s="210">
        <f t="shared" ca="1" si="43"/>
        <v>0</v>
      </c>
      <c r="AB51" s="211">
        <f t="shared" ca="1" si="44"/>
        <v>0</v>
      </c>
      <c r="AC51" s="212">
        <f t="shared" si="45"/>
        <v>0</v>
      </c>
      <c r="AD51" s="208">
        <f t="shared" ca="1" si="46"/>
        <v>0</v>
      </c>
      <c r="AE51" s="209">
        <v>0.77400000000000002</v>
      </c>
      <c r="AF51" s="210">
        <f t="shared" ca="1" si="47"/>
        <v>0</v>
      </c>
      <c r="AG51" s="211">
        <f t="shared" ca="1" si="48"/>
        <v>0</v>
      </c>
      <c r="AH51" s="213">
        <f t="shared" si="49"/>
        <v>0</v>
      </c>
      <c r="AI51" s="213">
        <f t="shared" ca="1" si="50"/>
        <v>0</v>
      </c>
      <c r="AJ51" s="214">
        <f t="shared" si="51"/>
        <v>0</v>
      </c>
      <c r="AK51" s="215">
        <v>1.381</v>
      </c>
      <c r="AL51" s="216">
        <f t="shared" si="23"/>
        <v>0</v>
      </c>
      <c r="AM51" s="213">
        <f t="shared" ca="1" si="24"/>
        <v>0</v>
      </c>
    </row>
    <row r="52" spans="2:39" x14ac:dyDescent="0.25">
      <c r="B52" s="11"/>
      <c r="C52" s="206">
        <v>6</v>
      </c>
      <c r="D52" s="212">
        <f t="shared" si="25"/>
        <v>0</v>
      </c>
      <c r="E52" s="208">
        <f t="shared" ca="1" si="26"/>
        <v>0</v>
      </c>
      <c r="F52" s="209">
        <v>1.5309999999999999</v>
      </c>
      <c r="G52" s="210">
        <f t="shared" ca="1" si="27"/>
        <v>0</v>
      </c>
      <c r="H52" s="211">
        <f t="shared" ca="1" si="28"/>
        <v>0</v>
      </c>
      <c r="I52" s="212">
        <f t="shared" si="29"/>
        <v>0</v>
      </c>
      <c r="J52" s="208">
        <f t="shared" ca="1" si="30"/>
        <v>0</v>
      </c>
      <c r="K52" s="209">
        <v>1.1919999999999999</v>
      </c>
      <c r="L52" s="210">
        <f t="shared" ca="1" si="31"/>
        <v>0</v>
      </c>
      <c r="M52" s="211">
        <f t="shared" ca="1" si="32"/>
        <v>0</v>
      </c>
      <c r="N52" s="212">
        <f t="shared" si="33"/>
        <v>0</v>
      </c>
      <c r="O52" s="208">
        <f t="shared" ca="1" si="34"/>
        <v>0</v>
      </c>
      <c r="P52" s="209">
        <v>1.181</v>
      </c>
      <c r="Q52" s="210">
        <f t="shared" ca="1" si="35"/>
        <v>0</v>
      </c>
      <c r="R52" s="211">
        <f t="shared" ca="1" si="36"/>
        <v>0</v>
      </c>
      <c r="S52" s="212">
        <f t="shared" si="37"/>
        <v>0</v>
      </c>
      <c r="T52" s="208">
        <f t="shared" ca="1" si="38"/>
        <v>0</v>
      </c>
      <c r="U52" s="209">
        <v>1.0780000000000001</v>
      </c>
      <c r="V52" s="210">
        <f t="shared" ca="1" si="39"/>
        <v>0</v>
      </c>
      <c r="W52" s="211">
        <f t="shared" ca="1" si="40"/>
        <v>0</v>
      </c>
      <c r="X52" s="212">
        <f t="shared" si="41"/>
        <v>0</v>
      </c>
      <c r="Y52" s="208">
        <f t="shared" ca="1" si="42"/>
        <v>0</v>
      </c>
      <c r="Z52" s="209">
        <v>0.9</v>
      </c>
      <c r="AA52" s="210">
        <f t="shared" ca="1" si="43"/>
        <v>0</v>
      </c>
      <c r="AB52" s="211">
        <f t="shared" ca="1" si="44"/>
        <v>0</v>
      </c>
      <c r="AC52" s="212">
        <f t="shared" si="45"/>
        <v>0</v>
      </c>
      <c r="AD52" s="208">
        <f t="shared" ca="1" si="46"/>
        <v>0</v>
      </c>
      <c r="AE52" s="209">
        <v>0.77400000000000002</v>
      </c>
      <c r="AF52" s="210">
        <f t="shared" ca="1" si="47"/>
        <v>0</v>
      </c>
      <c r="AG52" s="211">
        <f t="shared" ca="1" si="48"/>
        <v>0</v>
      </c>
      <c r="AH52" s="213">
        <f t="shared" si="49"/>
        <v>0</v>
      </c>
      <c r="AI52" s="213">
        <f t="shared" ca="1" si="50"/>
        <v>0</v>
      </c>
      <c r="AJ52" s="214">
        <f t="shared" si="51"/>
        <v>0</v>
      </c>
      <c r="AK52" s="215">
        <v>1.4970000000000001</v>
      </c>
      <c r="AL52" s="216">
        <f t="shared" si="23"/>
        <v>0</v>
      </c>
      <c r="AM52" s="213">
        <f t="shared" ca="1" si="24"/>
        <v>0</v>
      </c>
    </row>
    <row r="53" spans="2:39" x14ac:dyDescent="0.25">
      <c r="B53" s="11"/>
      <c r="C53" s="206">
        <v>7</v>
      </c>
      <c r="D53" s="212">
        <f t="shared" si="25"/>
        <v>0</v>
      </c>
      <c r="E53" s="208">
        <f t="shared" ca="1" si="26"/>
        <v>0</v>
      </c>
      <c r="F53" s="209">
        <v>1.5309999999999999</v>
      </c>
      <c r="G53" s="210">
        <f t="shared" ca="1" si="27"/>
        <v>0</v>
      </c>
      <c r="H53" s="211">
        <f t="shared" ca="1" si="28"/>
        <v>0</v>
      </c>
      <c r="I53" s="212">
        <f t="shared" si="29"/>
        <v>0</v>
      </c>
      <c r="J53" s="208">
        <f t="shared" ca="1" si="30"/>
        <v>0</v>
      </c>
      <c r="K53" s="209">
        <v>1.1919999999999999</v>
      </c>
      <c r="L53" s="210">
        <f t="shared" ca="1" si="31"/>
        <v>0</v>
      </c>
      <c r="M53" s="211">
        <f t="shared" ca="1" si="32"/>
        <v>0</v>
      </c>
      <c r="N53" s="212">
        <f t="shared" si="33"/>
        <v>0</v>
      </c>
      <c r="O53" s="208">
        <f t="shared" ca="1" si="34"/>
        <v>0</v>
      </c>
      <c r="P53" s="209">
        <v>1.181</v>
      </c>
      <c r="Q53" s="210">
        <f t="shared" ca="1" si="35"/>
        <v>0</v>
      </c>
      <c r="R53" s="211">
        <f t="shared" ca="1" si="36"/>
        <v>0</v>
      </c>
      <c r="S53" s="212">
        <f t="shared" si="37"/>
        <v>0</v>
      </c>
      <c r="T53" s="208">
        <f t="shared" ca="1" si="38"/>
        <v>0</v>
      </c>
      <c r="U53" s="209">
        <v>1.0780000000000001</v>
      </c>
      <c r="V53" s="210">
        <f t="shared" ca="1" si="39"/>
        <v>0</v>
      </c>
      <c r="W53" s="211">
        <f t="shared" ca="1" si="40"/>
        <v>0</v>
      </c>
      <c r="X53" s="212">
        <f t="shared" si="41"/>
        <v>0</v>
      </c>
      <c r="Y53" s="208">
        <f t="shared" ca="1" si="42"/>
        <v>0</v>
      </c>
      <c r="Z53" s="209">
        <v>0.9</v>
      </c>
      <c r="AA53" s="210">
        <f t="shared" ca="1" si="43"/>
        <v>0</v>
      </c>
      <c r="AB53" s="211">
        <f t="shared" ca="1" si="44"/>
        <v>0</v>
      </c>
      <c r="AC53" s="212">
        <f t="shared" si="45"/>
        <v>0</v>
      </c>
      <c r="AD53" s="208">
        <f t="shared" ca="1" si="46"/>
        <v>0</v>
      </c>
      <c r="AE53" s="209">
        <v>0.77400000000000002</v>
      </c>
      <c r="AF53" s="210">
        <f t="shared" ca="1" si="47"/>
        <v>0</v>
      </c>
      <c r="AG53" s="211">
        <f t="shared" ca="1" si="48"/>
        <v>0</v>
      </c>
      <c r="AH53" s="213">
        <f t="shared" si="49"/>
        <v>0</v>
      </c>
      <c r="AI53" s="213">
        <f t="shared" ca="1" si="50"/>
        <v>0</v>
      </c>
      <c r="AJ53" s="214">
        <f t="shared" si="51"/>
        <v>0</v>
      </c>
      <c r="AK53" s="215">
        <v>1.6220000000000001</v>
      </c>
      <c r="AL53" s="216">
        <f t="shared" si="23"/>
        <v>0</v>
      </c>
      <c r="AM53" s="213">
        <f t="shared" ca="1" si="24"/>
        <v>0</v>
      </c>
    </row>
    <row r="54" spans="2:39" x14ac:dyDescent="0.25">
      <c r="B54" s="11"/>
      <c r="C54" s="206">
        <v>8</v>
      </c>
      <c r="D54" s="212">
        <f t="shared" si="25"/>
        <v>0</v>
      </c>
      <c r="E54" s="208">
        <f t="shared" ca="1" si="26"/>
        <v>0</v>
      </c>
      <c r="F54" s="209">
        <v>1.5309999999999999</v>
      </c>
      <c r="G54" s="210">
        <f t="shared" ca="1" si="27"/>
        <v>0</v>
      </c>
      <c r="H54" s="211">
        <f t="shared" ca="1" si="28"/>
        <v>0</v>
      </c>
      <c r="I54" s="212">
        <f t="shared" si="29"/>
        <v>0</v>
      </c>
      <c r="J54" s="208">
        <f t="shared" ca="1" si="30"/>
        <v>0</v>
      </c>
      <c r="K54" s="209">
        <v>1.1919999999999999</v>
      </c>
      <c r="L54" s="210">
        <f t="shared" ca="1" si="31"/>
        <v>0</v>
      </c>
      <c r="M54" s="211">
        <f t="shared" ca="1" si="32"/>
        <v>0</v>
      </c>
      <c r="N54" s="212">
        <f t="shared" si="33"/>
        <v>0</v>
      </c>
      <c r="O54" s="208">
        <f t="shared" ca="1" si="34"/>
        <v>0</v>
      </c>
      <c r="P54" s="209">
        <v>1.181</v>
      </c>
      <c r="Q54" s="210">
        <f t="shared" ca="1" si="35"/>
        <v>0</v>
      </c>
      <c r="R54" s="211">
        <f t="shared" ca="1" si="36"/>
        <v>0</v>
      </c>
      <c r="S54" s="212">
        <f t="shared" si="37"/>
        <v>0</v>
      </c>
      <c r="T54" s="208">
        <f t="shared" ca="1" si="38"/>
        <v>0</v>
      </c>
      <c r="U54" s="209">
        <v>1.0780000000000001</v>
      </c>
      <c r="V54" s="210">
        <f t="shared" ca="1" si="39"/>
        <v>0</v>
      </c>
      <c r="W54" s="211">
        <f t="shared" ca="1" si="40"/>
        <v>0</v>
      </c>
      <c r="X54" s="212">
        <f t="shared" si="41"/>
        <v>0</v>
      </c>
      <c r="Y54" s="208">
        <f t="shared" ca="1" si="42"/>
        <v>0</v>
      </c>
      <c r="Z54" s="209">
        <v>0.9</v>
      </c>
      <c r="AA54" s="210">
        <f t="shared" ca="1" si="43"/>
        <v>0</v>
      </c>
      <c r="AB54" s="211">
        <f t="shared" ca="1" si="44"/>
        <v>0</v>
      </c>
      <c r="AC54" s="212">
        <f t="shared" si="45"/>
        <v>0</v>
      </c>
      <c r="AD54" s="208">
        <f t="shared" ca="1" si="46"/>
        <v>0</v>
      </c>
      <c r="AE54" s="209">
        <v>0.77400000000000002</v>
      </c>
      <c r="AF54" s="210">
        <f t="shared" ca="1" si="47"/>
        <v>0</v>
      </c>
      <c r="AG54" s="211">
        <f t="shared" ca="1" si="48"/>
        <v>0</v>
      </c>
      <c r="AH54" s="213">
        <f t="shared" si="49"/>
        <v>0</v>
      </c>
      <c r="AI54" s="213">
        <f t="shared" ca="1" si="50"/>
        <v>0</v>
      </c>
      <c r="AJ54" s="214">
        <f t="shared" si="51"/>
        <v>0</v>
      </c>
      <c r="AK54" s="215">
        <v>1.7589999999999999</v>
      </c>
      <c r="AL54" s="216">
        <f t="shared" si="23"/>
        <v>0</v>
      </c>
      <c r="AM54" s="213">
        <f t="shared" ca="1" si="24"/>
        <v>0</v>
      </c>
    </row>
    <row r="55" spans="2:39" x14ac:dyDescent="0.25">
      <c r="B55" s="11"/>
      <c r="C55" s="206">
        <v>9</v>
      </c>
      <c r="D55" s="212">
        <f t="shared" si="25"/>
        <v>0</v>
      </c>
      <c r="E55" s="208">
        <f t="shared" ca="1" si="26"/>
        <v>0</v>
      </c>
      <c r="F55" s="209">
        <v>1.5309999999999999</v>
      </c>
      <c r="G55" s="210">
        <f t="shared" ca="1" si="27"/>
        <v>0</v>
      </c>
      <c r="H55" s="211">
        <f t="shared" ca="1" si="28"/>
        <v>0</v>
      </c>
      <c r="I55" s="212">
        <f t="shared" si="29"/>
        <v>0</v>
      </c>
      <c r="J55" s="208">
        <f t="shared" ca="1" si="30"/>
        <v>0</v>
      </c>
      <c r="K55" s="209">
        <v>1.1919999999999999</v>
      </c>
      <c r="L55" s="210">
        <f t="shared" ca="1" si="31"/>
        <v>0</v>
      </c>
      <c r="M55" s="211">
        <f t="shared" ca="1" si="32"/>
        <v>0</v>
      </c>
      <c r="N55" s="212">
        <f t="shared" si="33"/>
        <v>0</v>
      </c>
      <c r="O55" s="208">
        <f t="shared" ca="1" si="34"/>
        <v>0</v>
      </c>
      <c r="P55" s="209">
        <v>1.181</v>
      </c>
      <c r="Q55" s="210">
        <f t="shared" ca="1" si="35"/>
        <v>0</v>
      </c>
      <c r="R55" s="211">
        <f t="shared" ca="1" si="36"/>
        <v>0</v>
      </c>
      <c r="S55" s="212">
        <f t="shared" si="37"/>
        <v>0</v>
      </c>
      <c r="T55" s="208">
        <f t="shared" ca="1" si="38"/>
        <v>0</v>
      </c>
      <c r="U55" s="209">
        <v>1.0780000000000001</v>
      </c>
      <c r="V55" s="210">
        <f t="shared" ca="1" si="39"/>
        <v>0</v>
      </c>
      <c r="W55" s="211">
        <f t="shared" ca="1" si="40"/>
        <v>0</v>
      </c>
      <c r="X55" s="212">
        <f t="shared" si="41"/>
        <v>0</v>
      </c>
      <c r="Y55" s="208">
        <f t="shared" ca="1" si="42"/>
        <v>0</v>
      </c>
      <c r="Z55" s="209">
        <v>0.9</v>
      </c>
      <c r="AA55" s="210">
        <f t="shared" ca="1" si="43"/>
        <v>0</v>
      </c>
      <c r="AB55" s="211">
        <f t="shared" ca="1" si="44"/>
        <v>0</v>
      </c>
      <c r="AC55" s="212">
        <f t="shared" si="45"/>
        <v>0</v>
      </c>
      <c r="AD55" s="208">
        <f t="shared" ca="1" si="46"/>
        <v>0</v>
      </c>
      <c r="AE55" s="209">
        <v>0.77400000000000002</v>
      </c>
      <c r="AF55" s="210">
        <f t="shared" ca="1" si="47"/>
        <v>0</v>
      </c>
      <c r="AG55" s="211">
        <f t="shared" ca="1" si="48"/>
        <v>0</v>
      </c>
      <c r="AH55" s="213">
        <f t="shared" si="49"/>
        <v>0</v>
      </c>
      <c r="AI55" s="213">
        <f t="shared" ca="1" si="50"/>
        <v>0</v>
      </c>
      <c r="AJ55" s="214">
        <f t="shared" si="51"/>
        <v>0</v>
      </c>
      <c r="AK55" s="215">
        <v>1.9059999999999999</v>
      </c>
      <c r="AL55" s="216">
        <f t="shared" si="23"/>
        <v>0</v>
      </c>
      <c r="AM55" s="213">
        <f t="shared" ca="1" si="24"/>
        <v>0</v>
      </c>
    </row>
    <row r="56" spans="2:39" x14ac:dyDescent="0.25">
      <c r="B56" s="11"/>
      <c r="C56" s="206">
        <v>10</v>
      </c>
      <c r="D56" s="212">
        <f t="shared" si="25"/>
        <v>0</v>
      </c>
      <c r="E56" s="208">
        <f t="shared" ca="1" si="26"/>
        <v>0</v>
      </c>
      <c r="F56" s="209">
        <v>1.5309999999999999</v>
      </c>
      <c r="G56" s="210">
        <f t="shared" ca="1" si="27"/>
        <v>0</v>
      </c>
      <c r="H56" s="211">
        <f t="shared" ca="1" si="28"/>
        <v>0</v>
      </c>
      <c r="I56" s="212">
        <f t="shared" si="29"/>
        <v>0</v>
      </c>
      <c r="J56" s="208">
        <f t="shared" ca="1" si="30"/>
        <v>0</v>
      </c>
      <c r="K56" s="209">
        <v>1.1919999999999999</v>
      </c>
      <c r="L56" s="210">
        <f t="shared" ca="1" si="31"/>
        <v>0</v>
      </c>
      <c r="M56" s="211">
        <f t="shared" ca="1" si="32"/>
        <v>0</v>
      </c>
      <c r="N56" s="212">
        <f t="shared" si="33"/>
        <v>0</v>
      </c>
      <c r="O56" s="208">
        <f t="shared" ca="1" si="34"/>
        <v>0</v>
      </c>
      <c r="P56" s="209">
        <v>1.181</v>
      </c>
      <c r="Q56" s="210">
        <f t="shared" ca="1" si="35"/>
        <v>0</v>
      </c>
      <c r="R56" s="211">
        <f t="shared" ca="1" si="36"/>
        <v>0</v>
      </c>
      <c r="S56" s="212">
        <f t="shared" si="37"/>
        <v>0</v>
      </c>
      <c r="T56" s="208">
        <f t="shared" ca="1" si="38"/>
        <v>0</v>
      </c>
      <c r="U56" s="209">
        <v>1.0780000000000001</v>
      </c>
      <c r="V56" s="210">
        <f t="shared" ca="1" si="39"/>
        <v>0</v>
      </c>
      <c r="W56" s="211">
        <f t="shared" ca="1" si="40"/>
        <v>0</v>
      </c>
      <c r="X56" s="212">
        <f t="shared" si="41"/>
        <v>0</v>
      </c>
      <c r="Y56" s="208">
        <f t="shared" ca="1" si="42"/>
        <v>0</v>
      </c>
      <c r="Z56" s="209">
        <v>0.9</v>
      </c>
      <c r="AA56" s="210">
        <f t="shared" ca="1" si="43"/>
        <v>0</v>
      </c>
      <c r="AB56" s="211">
        <f t="shared" ca="1" si="44"/>
        <v>0</v>
      </c>
      <c r="AC56" s="212">
        <f t="shared" si="45"/>
        <v>0</v>
      </c>
      <c r="AD56" s="208">
        <f t="shared" ca="1" si="46"/>
        <v>0</v>
      </c>
      <c r="AE56" s="209">
        <v>0.77400000000000002</v>
      </c>
      <c r="AF56" s="210">
        <f t="shared" ca="1" si="47"/>
        <v>0</v>
      </c>
      <c r="AG56" s="211">
        <f t="shared" ca="1" si="48"/>
        <v>0</v>
      </c>
      <c r="AH56" s="213">
        <f t="shared" si="49"/>
        <v>0</v>
      </c>
      <c r="AI56" s="213">
        <f t="shared" ca="1" si="50"/>
        <v>0</v>
      </c>
      <c r="AJ56" s="214">
        <f t="shared" si="51"/>
        <v>0</v>
      </c>
      <c r="AK56" s="215">
        <v>2.0670000000000002</v>
      </c>
      <c r="AL56" s="216">
        <f t="shared" si="23"/>
        <v>0</v>
      </c>
      <c r="AM56" s="213">
        <f t="shared" ca="1" si="24"/>
        <v>0</v>
      </c>
    </row>
    <row r="57" spans="2:39" x14ac:dyDescent="0.25">
      <c r="B57" s="11"/>
      <c r="C57" s="206">
        <v>11</v>
      </c>
      <c r="D57" s="212">
        <f t="shared" si="25"/>
        <v>0</v>
      </c>
      <c r="E57" s="208">
        <f t="shared" ca="1" si="26"/>
        <v>0</v>
      </c>
      <c r="F57" s="209">
        <v>1.5309999999999999</v>
      </c>
      <c r="G57" s="210">
        <f t="shared" ca="1" si="27"/>
        <v>0</v>
      </c>
      <c r="H57" s="211">
        <f t="shared" ca="1" si="28"/>
        <v>0</v>
      </c>
      <c r="I57" s="212">
        <f t="shared" si="29"/>
        <v>0</v>
      </c>
      <c r="J57" s="208">
        <f t="shared" ca="1" si="30"/>
        <v>0</v>
      </c>
      <c r="K57" s="209">
        <v>1.1919999999999999</v>
      </c>
      <c r="L57" s="210">
        <f t="shared" ca="1" si="31"/>
        <v>0</v>
      </c>
      <c r="M57" s="211">
        <f t="shared" ca="1" si="32"/>
        <v>0</v>
      </c>
      <c r="N57" s="212">
        <f t="shared" si="33"/>
        <v>0</v>
      </c>
      <c r="O57" s="208">
        <f t="shared" ca="1" si="34"/>
        <v>0</v>
      </c>
      <c r="P57" s="209">
        <v>1.181</v>
      </c>
      <c r="Q57" s="210">
        <f t="shared" ca="1" si="35"/>
        <v>0</v>
      </c>
      <c r="R57" s="211">
        <f t="shared" ca="1" si="36"/>
        <v>0</v>
      </c>
      <c r="S57" s="212">
        <f t="shared" si="37"/>
        <v>0</v>
      </c>
      <c r="T57" s="208">
        <f t="shared" ca="1" si="38"/>
        <v>0</v>
      </c>
      <c r="U57" s="209">
        <v>1.0780000000000001</v>
      </c>
      <c r="V57" s="210">
        <f t="shared" ca="1" si="39"/>
        <v>0</v>
      </c>
      <c r="W57" s="211">
        <f t="shared" ca="1" si="40"/>
        <v>0</v>
      </c>
      <c r="X57" s="212">
        <f t="shared" si="41"/>
        <v>0</v>
      </c>
      <c r="Y57" s="208">
        <f t="shared" ca="1" si="42"/>
        <v>0</v>
      </c>
      <c r="Z57" s="209">
        <v>0.9</v>
      </c>
      <c r="AA57" s="210">
        <f t="shared" ca="1" si="43"/>
        <v>0</v>
      </c>
      <c r="AB57" s="211">
        <f t="shared" ca="1" si="44"/>
        <v>0</v>
      </c>
      <c r="AC57" s="212">
        <f t="shared" si="45"/>
        <v>0</v>
      </c>
      <c r="AD57" s="208">
        <f t="shared" ca="1" si="46"/>
        <v>0</v>
      </c>
      <c r="AE57" s="209">
        <v>0.77400000000000002</v>
      </c>
      <c r="AF57" s="210">
        <f t="shared" ca="1" si="47"/>
        <v>0</v>
      </c>
      <c r="AG57" s="211">
        <f t="shared" ca="1" si="48"/>
        <v>0</v>
      </c>
      <c r="AH57" s="213">
        <f t="shared" si="49"/>
        <v>0</v>
      </c>
      <c r="AI57" s="213">
        <f t="shared" ca="1" si="50"/>
        <v>0</v>
      </c>
      <c r="AJ57" s="214">
        <f t="shared" si="51"/>
        <v>0</v>
      </c>
      <c r="AK57" s="215">
        <v>2.2400000000000002</v>
      </c>
      <c r="AL57" s="216">
        <f t="shared" si="23"/>
        <v>0</v>
      </c>
      <c r="AM57" s="213">
        <f t="shared" ca="1" si="24"/>
        <v>0</v>
      </c>
    </row>
    <row r="58" spans="2:39" x14ac:dyDescent="0.25">
      <c r="B58" s="11"/>
      <c r="C58" s="206">
        <v>12</v>
      </c>
      <c r="D58" s="212">
        <f t="shared" si="25"/>
        <v>0</v>
      </c>
      <c r="E58" s="208">
        <f t="shared" ca="1" si="26"/>
        <v>0</v>
      </c>
      <c r="F58" s="209">
        <v>1.5309999999999999</v>
      </c>
      <c r="G58" s="210">
        <f t="shared" ca="1" si="27"/>
        <v>0</v>
      </c>
      <c r="H58" s="211">
        <f t="shared" ca="1" si="28"/>
        <v>0</v>
      </c>
      <c r="I58" s="212">
        <f t="shared" si="29"/>
        <v>0</v>
      </c>
      <c r="J58" s="208">
        <f t="shared" ca="1" si="30"/>
        <v>0</v>
      </c>
      <c r="K58" s="209">
        <v>1.1919999999999999</v>
      </c>
      <c r="L58" s="210">
        <f t="shared" ca="1" si="31"/>
        <v>0</v>
      </c>
      <c r="M58" s="211">
        <f t="shared" ca="1" si="32"/>
        <v>0</v>
      </c>
      <c r="N58" s="212">
        <f t="shared" si="33"/>
        <v>0</v>
      </c>
      <c r="O58" s="208">
        <f t="shared" ca="1" si="34"/>
        <v>0</v>
      </c>
      <c r="P58" s="209">
        <v>1.181</v>
      </c>
      <c r="Q58" s="210">
        <f t="shared" ca="1" si="35"/>
        <v>0</v>
      </c>
      <c r="R58" s="211">
        <f t="shared" ca="1" si="36"/>
        <v>0</v>
      </c>
      <c r="S58" s="212">
        <f t="shared" si="37"/>
        <v>0</v>
      </c>
      <c r="T58" s="208">
        <f t="shared" ca="1" si="38"/>
        <v>0</v>
      </c>
      <c r="U58" s="209">
        <v>1.0780000000000001</v>
      </c>
      <c r="V58" s="210">
        <f t="shared" ca="1" si="39"/>
        <v>0</v>
      </c>
      <c r="W58" s="211">
        <f t="shared" ca="1" si="40"/>
        <v>0</v>
      </c>
      <c r="X58" s="212">
        <f t="shared" si="41"/>
        <v>0</v>
      </c>
      <c r="Y58" s="208">
        <f t="shared" ca="1" si="42"/>
        <v>0</v>
      </c>
      <c r="Z58" s="209">
        <v>0.9</v>
      </c>
      <c r="AA58" s="210">
        <f t="shared" ca="1" si="43"/>
        <v>0</v>
      </c>
      <c r="AB58" s="211">
        <f t="shared" ca="1" si="44"/>
        <v>0</v>
      </c>
      <c r="AC58" s="212">
        <f t="shared" si="45"/>
        <v>0</v>
      </c>
      <c r="AD58" s="208">
        <f t="shared" ca="1" si="46"/>
        <v>0</v>
      </c>
      <c r="AE58" s="209">
        <v>0.77400000000000002</v>
      </c>
      <c r="AF58" s="210">
        <f t="shared" ca="1" si="47"/>
        <v>0</v>
      </c>
      <c r="AG58" s="211">
        <f t="shared" ca="1" si="48"/>
        <v>0</v>
      </c>
      <c r="AH58" s="213">
        <f t="shared" si="49"/>
        <v>0</v>
      </c>
      <c r="AI58" s="213">
        <f t="shared" ca="1" si="50"/>
        <v>0</v>
      </c>
      <c r="AJ58" s="214">
        <f t="shared" si="51"/>
        <v>0</v>
      </c>
      <c r="AK58" s="215">
        <v>2.4279999999999999</v>
      </c>
      <c r="AL58" s="216">
        <f t="shared" si="23"/>
        <v>0</v>
      </c>
      <c r="AM58" s="213">
        <f t="shared" ca="1" si="24"/>
        <v>0</v>
      </c>
    </row>
    <row r="59" spans="2:39" x14ac:dyDescent="0.25">
      <c r="B59" s="11"/>
      <c r="C59" s="206">
        <v>13</v>
      </c>
      <c r="D59" s="212">
        <f t="shared" si="25"/>
        <v>0</v>
      </c>
      <c r="E59" s="208">
        <f t="shared" ca="1" si="26"/>
        <v>0</v>
      </c>
      <c r="F59" s="209">
        <v>1.5309999999999999</v>
      </c>
      <c r="G59" s="210">
        <f t="shared" ca="1" si="27"/>
        <v>0</v>
      </c>
      <c r="H59" s="211">
        <f t="shared" ca="1" si="28"/>
        <v>0</v>
      </c>
      <c r="I59" s="212">
        <f t="shared" si="29"/>
        <v>0</v>
      </c>
      <c r="J59" s="208">
        <f t="shared" ca="1" si="30"/>
        <v>0</v>
      </c>
      <c r="K59" s="209">
        <v>1.1919999999999999</v>
      </c>
      <c r="L59" s="210">
        <f t="shared" ca="1" si="31"/>
        <v>0</v>
      </c>
      <c r="M59" s="211">
        <f t="shared" ca="1" si="32"/>
        <v>0</v>
      </c>
      <c r="N59" s="212">
        <f t="shared" si="33"/>
        <v>0</v>
      </c>
      <c r="O59" s="208">
        <f t="shared" ca="1" si="34"/>
        <v>0</v>
      </c>
      <c r="P59" s="209">
        <v>1.181</v>
      </c>
      <c r="Q59" s="210">
        <f t="shared" ca="1" si="35"/>
        <v>0</v>
      </c>
      <c r="R59" s="211">
        <f t="shared" ca="1" si="36"/>
        <v>0</v>
      </c>
      <c r="S59" s="212">
        <f t="shared" si="37"/>
        <v>0</v>
      </c>
      <c r="T59" s="208">
        <f t="shared" ca="1" si="38"/>
        <v>0</v>
      </c>
      <c r="U59" s="209">
        <v>1.0780000000000001</v>
      </c>
      <c r="V59" s="210">
        <f t="shared" ca="1" si="39"/>
        <v>0</v>
      </c>
      <c r="W59" s="211">
        <f t="shared" ca="1" si="40"/>
        <v>0</v>
      </c>
      <c r="X59" s="212">
        <f t="shared" si="41"/>
        <v>0</v>
      </c>
      <c r="Y59" s="208">
        <f t="shared" ca="1" si="42"/>
        <v>0</v>
      </c>
      <c r="Z59" s="209">
        <v>0.9</v>
      </c>
      <c r="AA59" s="210">
        <f t="shared" ca="1" si="43"/>
        <v>0</v>
      </c>
      <c r="AB59" s="211">
        <f t="shared" ca="1" si="44"/>
        <v>0</v>
      </c>
      <c r="AC59" s="212">
        <f t="shared" si="45"/>
        <v>0</v>
      </c>
      <c r="AD59" s="208">
        <f t="shared" ca="1" si="46"/>
        <v>0</v>
      </c>
      <c r="AE59" s="209">
        <v>0.77400000000000002</v>
      </c>
      <c r="AF59" s="210">
        <f t="shared" ca="1" si="47"/>
        <v>0</v>
      </c>
      <c r="AG59" s="211">
        <f t="shared" ca="1" si="48"/>
        <v>0</v>
      </c>
      <c r="AH59" s="213">
        <f t="shared" si="49"/>
        <v>0</v>
      </c>
      <c r="AI59" s="213">
        <f t="shared" ca="1" si="50"/>
        <v>0</v>
      </c>
      <c r="AJ59" s="214">
        <f t="shared" si="51"/>
        <v>0</v>
      </c>
      <c r="AK59" s="215">
        <v>2.6320000000000001</v>
      </c>
      <c r="AL59" s="216">
        <f t="shared" si="23"/>
        <v>0</v>
      </c>
      <c r="AM59" s="213">
        <f t="shared" ca="1" si="24"/>
        <v>0</v>
      </c>
    </row>
    <row r="60" spans="2:39" x14ac:dyDescent="0.25">
      <c r="B60" s="11"/>
      <c r="C60" s="206">
        <v>14</v>
      </c>
      <c r="D60" s="212">
        <f t="shared" si="25"/>
        <v>0</v>
      </c>
      <c r="E60" s="208">
        <f t="shared" ca="1" si="26"/>
        <v>0</v>
      </c>
      <c r="F60" s="209">
        <v>1.5309999999999999</v>
      </c>
      <c r="G60" s="210">
        <f t="shared" ca="1" si="27"/>
        <v>0</v>
      </c>
      <c r="H60" s="211">
        <f t="shared" ca="1" si="28"/>
        <v>0</v>
      </c>
      <c r="I60" s="212">
        <f t="shared" si="29"/>
        <v>0</v>
      </c>
      <c r="J60" s="208">
        <f t="shared" ca="1" si="30"/>
        <v>0</v>
      </c>
      <c r="K60" s="209">
        <v>1.1919999999999999</v>
      </c>
      <c r="L60" s="210">
        <f t="shared" ca="1" si="31"/>
        <v>0</v>
      </c>
      <c r="M60" s="211">
        <f t="shared" ca="1" si="32"/>
        <v>0</v>
      </c>
      <c r="N60" s="212">
        <f t="shared" si="33"/>
        <v>0</v>
      </c>
      <c r="O60" s="208">
        <f t="shared" ca="1" si="34"/>
        <v>0</v>
      </c>
      <c r="P60" s="209">
        <v>1.181</v>
      </c>
      <c r="Q60" s="210">
        <f t="shared" ca="1" si="35"/>
        <v>0</v>
      </c>
      <c r="R60" s="211">
        <f t="shared" ca="1" si="36"/>
        <v>0</v>
      </c>
      <c r="S60" s="212">
        <f t="shared" si="37"/>
        <v>0</v>
      </c>
      <c r="T60" s="208">
        <f t="shared" ca="1" si="38"/>
        <v>0</v>
      </c>
      <c r="U60" s="209">
        <v>1.0780000000000001</v>
      </c>
      <c r="V60" s="210">
        <f t="shared" ca="1" si="39"/>
        <v>0</v>
      </c>
      <c r="W60" s="211">
        <f t="shared" ca="1" si="40"/>
        <v>0</v>
      </c>
      <c r="X60" s="212">
        <f t="shared" si="41"/>
        <v>0</v>
      </c>
      <c r="Y60" s="208">
        <f t="shared" ca="1" si="42"/>
        <v>0</v>
      </c>
      <c r="Z60" s="209">
        <v>0.9</v>
      </c>
      <c r="AA60" s="210">
        <f t="shared" ca="1" si="43"/>
        <v>0</v>
      </c>
      <c r="AB60" s="211">
        <f t="shared" ca="1" si="44"/>
        <v>0</v>
      </c>
      <c r="AC60" s="212">
        <f t="shared" si="45"/>
        <v>0</v>
      </c>
      <c r="AD60" s="208">
        <f t="shared" ca="1" si="46"/>
        <v>0</v>
      </c>
      <c r="AE60" s="209">
        <v>0.77400000000000002</v>
      </c>
      <c r="AF60" s="210">
        <f t="shared" ca="1" si="47"/>
        <v>0</v>
      </c>
      <c r="AG60" s="211">
        <f t="shared" ca="1" si="48"/>
        <v>0</v>
      </c>
      <c r="AH60" s="213">
        <f t="shared" si="49"/>
        <v>0</v>
      </c>
      <c r="AI60" s="213">
        <f t="shared" ca="1" si="50"/>
        <v>0</v>
      </c>
      <c r="AJ60" s="214">
        <f t="shared" si="51"/>
        <v>0</v>
      </c>
      <c r="AK60" s="215">
        <v>2.8540000000000001</v>
      </c>
      <c r="AL60" s="216">
        <f t="shared" si="23"/>
        <v>0</v>
      </c>
      <c r="AM60" s="213">
        <f t="shared" ca="1" si="24"/>
        <v>0</v>
      </c>
    </row>
    <row r="61" spans="2:39" x14ac:dyDescent="0.25">
      <c r="B61" s="11"/>
      <c r="C61" s="206">
        <v>15</v>
      </c>
      <c r="D61" s="212">
        <f t="shared" si="25"/>
        <v>0</v>
      </c>
      <c r="E61" s="208">
        <f t="shared" ca="1" si="26"/>
        <v>0</v>
      </c>
      <c r="F61" s="209">
        <v>1.5309999999999999</v>
      </c>
      <c r="G61" s="210">
        <f t="shared" ca="1" si="27"/>
        <v>0</v>
      </c>
      <c r="H61" s="211">
        <f t="shared" ca="1" si="28"/>
        <v>0</v>
      </c>
      <c r="I61" s="212">
        <f t="shared" si="29"/>
        <v>0</v>
      </c>
      <c r="J61" s="208">
        <f t="shared" ca="1" si="30"/>
        <v>0</v>
      </c>
      <c r="K61" s="209">
        <v>1.1919999999999999</v>
      </c>
      <c r="L61" s="210">
        <f t="shared" ca="1" si="31"/>
        <v>0</v>
      </c>
      <c r="M61" s="211">
        <f t="shared" ca="1" si="32"/>
        <v>0</v>
      </c>
      <c r="N61" s="212">
        <f t="shared" si="33"/>
        <v>0</v>
      </c>
      <c r="O61" s="208">
        <f t="shared" ca="1" si="34"/>
        <v>0</v>
      </c>
      <c r="P61" s="209">
        <v>1.181</v>
      </c>
      <c r="Q61" s="210">
        <f t="shared" ca="1" si="35"/>
        <v>0</v>
      </c>
      <c r="R61" s="211">
        <f t="shared" ca="1" si="36"/>
        <v>0</v>
      </c>
      <c r="S61" s="212">
        <f t="shared" si="37"/>
        <v>0</v>
      </c>
      <c r="T61" s="208">
        <f t="shared" ca="1" si="38"/>
        <v>0</v>
      </c>
      <c r="U61" s="209">
        <v>1.0780000000000001</v>
      </c>
      <c r="V61" s="210">
        <f t="shared" ca="1" si="39"/>
        <v>0</v>
      </c>
      <c r="W61" s="211">
        <f t="shared" ca="1" si="40"/>
        <v>0</v>
      </c>
      <c r="X61" s="212">
        <f t="shared" si="41"/>
        <v>0</v>
      </c>
      <c r="Y61" s="208">
        <f t="shared" ca="1" si="42"/>
        <v>0</v>
      </c>
      <c r="Z61" s="209">
        <v>0.9</v>
      </c>
      <c r="AA61" s="210">
        <f t="shared" ca="1" si="43"/>
        <v>0</v>
      </c>
      <c r="AB61" s="211">
        <f t="shared" ca="1" si="44"/>
        <v>0</v>
      </c>
      <c r="AC61" s="212">
        <f t="shared" si="45"/>
        <v>0</v>
      </c>
      <c r="AD61" s="208">
        <f t="shared" ca="1" si="46"/>
        <v>0</v>
      </c>
      <c r="AE61" s="209">
        <v>0.77400000000000002</v>
      </c>
      <c r="AF61" s="210">
        <f t="shared" ca="1" si="47"/>
        <v>0</v>
      </c>
      <c r="AG61" s="211">
        <f t="shared" ca="1" si="48"/>
        <v>0</v>
      </c>
      <c r="AH61" s="213">
        <f t="shared" si="49"/>
        <v>0</v>
      </c>
      <c r="AI61" s="213">
        <f t="shared" ca="1" si="50"/>
        <v>0</v>
      </c>
      <c r="AJ61" s="214">
        <f t="shared" si="51"/>
        <v>0</v>
      </c>
      <c r="AK61" s="215">
        <v>3.093</v>
      </c>
      <c r="AL61" s="216">
        <f t="shared" si="23"/>
        <v>0</v>
      </c>
      <c r="AM61" s="213">
        <f t="shared" ca="1" si="24"/>
        <v>0</v>
      </c>
    </row>
    <row r="62" spans="2:39" x14ac:dyDescent="0.25">
      <c r="B62" s="11"/>
      <c r="C62" s="206">
        <v>16</v>
      </c>
      <c r="D62" s="212">
        <f t="shared" si="25"/>
        <v>0</v>
      </c>
      <c r="E62" s="208">
        <f t="shared" ca="1" si="26"/>
        <v>0</v>
      </c>
      <c r="F62" s="209">
        <v>1.5309999999999999</v>
      </c>
      <c r="G62" s="210">
        <f t="shared" ca="1" si="27"/>
        <v>0</v>
      </c>
      <c r="H62" s="211">
        <f t="shared" ca="1" si="28"/>
        <v>0</v>
      </c>
      <c r="I62" s="212">
        <f t="shared" si="29"/>
        <v>0</v>
      </c>
      <c r="J62" s="208">
        <f t="shared" ca="1" si="30"/>
        <v>0</v>
      </c>
      <c r="K62" s="209">
        <v>1.1919999999999999</v>
      </c>
      <c r="L62" s="210">
        <f t="shared" ca="1" si="31"/>
        <v>0</v>
      </c>
      <c r="M62" s="211">
        <f t="shared" ca="1" si="32"/>
        <v>0</v>
      </c>
      <c r="N62" s="212">
        <f t="shared" si="33"/>
        <v>0</v>
      </c>
      <c r="O62" s="208">
        <f t="shared" ca="1" si="34"/>
        <v>0</v>
      </c>
      <c r="P62" s="209">
        <v>1.181</v>
      </c>
      <c r="Q62" s="210">
        <f t="shared" ca="1" si="35"/>
        <v>0</v>
      </c>
      <c r="R62" s="211">
        <f t="shared" ca="1" si="36"/>
        <v>0</v>
      </c>
      <c r="S62" s="212">
        <f t="shared" si="37"/>
        <v>0</v>
      </c>
      <c r="T62" s="208">
        <f t="shared" ca="1" si="38"/>
        <v>0</v>
      </c>
      <c r="U62" s="209">
        <v>1.0780000000000001</v>
      </c>
      <c r="V62" s="210">
        <f t="shared" ca="1" si="39"/>
        <v>0</v>
      </c>
      <c r="W62" s="211">
        <f t="shared" ca="1" si="40"/>
        <v>0</v>
      </c>
      <c r="X62" s="212">
        <f t="shared" si="41"/>
        <v>0</v>
      </c>
      <c r="Y62" s="208">
        <f t="shared" ca="1" si="42"/>
        <v>0</v>
      </c>
      <c r="Z62" s="209">
        <v>0.9</v>
      </c>
      <c r="AA62" s="210">
        <f t="shared" ca="1" si="43"/>
        <v>0</v>
      </c>
      <c r="AB62" s="211">
        <f t="shared" ca="1" si="44"/>
        <v>0</v>
      </c>
      <c r="AC62" s="212">
        <f t="shared" si="45"/>
        <v>0</v>
      </c>
      <c r="AD62" s="208">
        <f t="shared" ca="1" si="46"/>
        <v>0</v>
      </c>
      <c r="AE62" s="209">
        <v>0.77400000000000002</v>
      </c>
      <c r="AF62" s="210">
        <f t="shared" ca="1" si="47"/>
        <v>0</v>
      </c>
      <c r="AG62" s="211">
        <f t="shared" ca="1" si="48"/>
        <v>0</v>
      </c>
      <c r="AH62" s="213">
        <f t="shared" si="49"/>
        <v>0</v>
      </c>
      <c r="AI62" s="213">
        <f t="shared" ca="1" si="50"/>
        <v>0</v>
      </c>
      <c r="AJ62" s="214">
        <f t="shared" si="51"/>
        <v>0</v>
      </c>
      <c r="AK62" s="215">
        <v>3.3530000000000002</v>
      </c>
      <c r="AL62" s="216">
        <f t="shared" si="23"/>
        <v>0</v>
      </c>
      <c r="AM62" s="213">
        <f t="shared" ca="1" si="24"/>
        <v>0</v>
      </c>
    </row>
    <row r="63" spans="2:39" x14ac:dyDescent="0.25">
      <c r="B63" s="11"/>
      <c r="C63" s="206">
        <v>17</v>
      </c>
      <c r="D63" s="212">
        <f t="shared" si="25"/>
        <v>0</v>
      </c>
      <c r="E63" s="208">
        <f t="shared" ca="1" si="26"/>
        <v>0</v>
      </c>
      <c r="F63" s="209">
        <v>1.5309999999999999</v>
      </c>
      <c r="G63" s="210">
        <f t="shared" ca="1" si="27"/>
        <v>0</v>
      </c>
      <c r="H63" s="211">
        <f t="shared" ca="1" si="28"/>
        <v>0</v>
      </c>
      <c r="I63" s="212">
        <f t="shared" si="29"/>
        <v>0</v>
      </c>
      <c r="J63" s="208">
        <f t="shared" ca="1" si="30"/>
        <v>0</v>
      </c>
      <c r="K63" s="209">
        <v>1.1919999999999999</v>
      </c>
      <c r="L63" s="210">
        <f t="shared" ca="1" si="31"/>
        <v>0</v>
      </c>
      <c r="M63" s="211">
        <f t="shared" ca="1" si="32"/>
        <v>0</v>
      </c>
      <c r="N63" s="212">
        <f t="shared" si="33"/>
        <v>0</v>
      </c>
      <c r="O63" s="208">
        <f t="shared" ca="1" si="34"/>
        <v>0</v>
      </c>
      <c r="P63" s="209">
        <v>1.181</v>
      </c>
      <c r="Q63" s="210">
        <f t="shared" ca="1" si="35"/>
        <v>0</v>
      </c>
      <c r="R63" s="211">
        <f t="shared" ca="1" si="36"/>
        <v>0</v>
      </c>
      <c r="S63" s="212">
        <f t="shared" si="37"/>
        <v>0</v>
      </c>
      <c r="T63" s="208">
        <f t="shared" ca="1" si="38"/>
        <v>0</v>
      </c>
      <c r="U63" s="209">
        <v>1.0780000000000001</v>
      </c>
      <c r="V63" s="210">
        <f t="shared" ca="1" si="39"/>
        <v>0</v>
      </c>
      <c r="W63" s="211">
        <f t="shared" ca="1" si="40"/>
        <v>0</v>
      </c>
      <c r="X63" s="212">
        <f t="shared" si="41"/>
        <v>0</v>
      </c>
      <c r="Y63" s="208">
        <f t="shared" ca="1" si="42"/>
        <v>0</v>
      </c>
      <c r="Z63" s="209">
        <v>0.9</v>
      </c>
      <c r="AA63" s="210">
        <f t="shared" ca="1" si="43"/>
        <v>0</v>
      </c>
      <c r="AB63" s="211">
        <f t="shared" ca="1" si="44"/>
        <v>0</v>
      </c>
      <c r="AC63" s="212">
        <f t="shared" si="45"/>
        <v>0</v>
      </c>
      <c r="AD63" s="208">
        <f t="shared" ca="1" si="46"/>
        <v>0</v>
      </c>
      <c r="AE63" s="209">
        <v>0.77400000000000002</v>
      </c>
      <c r="AF63" s="210">
        <f t="shared" ca="1" si="47"/>
        <v>0</v>
      </c>
      <c r="AG63" s="211">
        <f t="shared" ca="1" si="48"/>
        <v>0</v>
      </c>
      <c r="AH63" s="213">
        <f t="shared" si="49"/>
        <v>0</v>
      </c>
      <c r="AI63" s="213">
        <f t="shared" ca="1" si="50"/>
        <v>0</v>
      </c>
      <c r="AJ63" s="214">
        <f t="shared" si="51"/>
        <v>0</v>
      </c>
      <c r="AK63" s="215">
        <v>3.6349999999999998</v>
      </c>
      <c r="AL63" s="216">
        <f t="shared" si="23"/>
        <v>0</v>
      </c>
      <c r="AM63" s="213">
        <f t="shared" ca="1" si="24"/>
        <v>0</v>
      </c>
    </row>
    <row r="64" spans="2:39" x14ac:dyDescent="0.25">
      <c r="B64" s="11"/>
      <c r="C64" s="206">
        <v>18</v>
      </c>
      <c r="D64" s="212">
        <f t="shared" si="25"/>
        <v>0</v>
      </c>
      <c r="E64" s="208">
        <f t="shared" ca="1" si="26"/>
        <v>0</v>
      </c>
      <c r="F64" s="209">
        <v>1.5309999999999999</v>
      </c>
      <c r="G64" s="210">
        <f t="shared" ca="1" si="27"/>
        <v>0</v>
      </c>
      <c r="H64" s="211">
        <f t="shared" ca="1" si="28"/>
        <v>0</v>
      </c>
      <c r="I64" s="212">
        <f t="shared" si="29"/>
        <v>0</v>
      </c>
      <c r="J64" s="208">
        <f t="shared" ca="1" si="30"/>
        <v>0</v>
      </c>
      <c r="K64" s="209">
        <v>1.1919999999999999</v>
      </c>
      <c r="L64" s="210">
        <f t="shared" ca="1" si="31"/>
        <v>0</v>
      </c>
      <c r="M64" s="211">
        <f t="shared" ca="1" si="32"/>
        <v>0</v>
      </c>
      <c r="N64" s="212">
        <f t="shared" si="33"/>
        <v>0</v>
      </c>
      <c r="O64" s="208">
        <f t="shared" ca="1" si="34"/>
        <v>0</v>
      </c>
      <c r="P64" s="209">
        <v>1.181</v>
      </c>
      <c r="Q64" s="210">
        <f t="shared" ca="1" si="35"/>
        <v>0</v>
      </c>
      <c r="R64" s="211">
        <f t="shared" ca="1" si="36"/>
        <v>0</v>
      </c>
      <c r="S64" s="212">
        <f t="shared" si="37"/>
        <v>0</v>
      </c>
      <c r="T64" s="208">
        <f t="shared" ca="1" si="38"/>
        <v>0</v>
      </c>
      <c r="U64" s="209">
        <v>1.0780000000000001</v>
      </c>
      <c r="V64" s="210">
        <f t="shared" ca="1" si="39"/>
        <v>0</v>
      </c>
      <c r="W64" s="211">
        <f t="shared" ca="1" si="40"/>
        <v>0</v>
      </c>
      <c r="X64" s="212">
        <f t="shared" si="41"/>
        <v>0</v>
      </c>
      <c r="Y64" s="208">
        <f t="shared" ca="1" si="42"/>
        <v>0</v>
      </c>
      <c r="Z64" s="209">
        <v>0.9</v>
      </c>
      <c r="AA64" s="210">
        <f t="shared" ca="1" si="43"/>
        <v>0</v>
      </c>
      <c r="AB64" s="211">
        <f t="shared" ca="1" si="44"/>
        <v>0</v>
      </c>
      <c r="AC64" s="212">
        <f t="shared" si="45"/>
        <v>0</v>
      </c>
      <c r="AD64" s="208">
        <f t="shared" ca="1" si="46"/>
        <v>0</v>
      </c>
      <c r="AE64" s="209">
        <v>0.77400000000000002</v>
      </c>
      <c r="AF64" s="210">
        <f t="shared" ca="1" si="47"/>
        <v>0</v>
      </c>
      <c r="AG64" s="211">
        <f t="shared" ca="1" si="48"/>
        <v>0</v>
      </c>
      <c r="AH64" s="213">
        <f t="shared" si="49"/>
        <v>0</v>
      </c>
      <c r="AI64" s="213">
        <f t="shared" ca="1" si="50"/>
        <v>0</v>
      </c>
      <c r="AJ64" s="214">
        <f t="shared" si="51"/>
        <v>0</v>
      </c>
      <c r="AK64" s="215">
        <v>3.94</v>
      </c>
      <c r="AL64" s="216">
        <f t="shared" si="23"/>
        <v>0</v>
      </c>
      <c r="AM64" s="213">
        <f t="shared" ca="1" si="24"/>
        <v>0</v>
      </c>
    </row>
    <row r="65" spans="2:39" x14ac:dyDescent="0.25">
      <c r="B65" s="11"/>
      <c r="C65" s="206">
        <v>19</v>
      </c>
      <c r="D65" s="212">
        <f t="shared" si="25"/>
        <v>0</v>
      </c>
      <c r="E65" s="208">
        <f t="shared" ca="1" si="26"/>
        <v>0</v>
      </c>
      <c r="F65" s="209">
        <v>1.5309999999999999</v>
      </c>
      <c r="G65" s="210">
        <f t="shared" ca="1" si="27"/>
        <v>0</v>
      </c>
      <c r="H65" s="211">
        <f t="shared" ca="1" si="28"/>
        <v>0</v>
      </c>
      <c r="I65" s="212">
        <f t="shared" si="29"/>
        <v>0</v>
      </c>
      <c r="J65" s="208">
        <f t="shared" ca="1" si="30"/>
        <v>0</v>
      </c>
      <c r="K65" s="209">
        <v>1.1919999999999999</v>
      </c>
      <c r="L65" s="210">
        <f t="shared" ca="1" si="31"/>
        <v>0</v>
      </c>
      <c r="M65" s="211">
        <f t="shared" ca="1" si="32"/>
        <v>0</v>
      </c>
      <c r="N65" s="212">
        <f t="shared" si="33"/>
        <v>0</v>
      </c>
      <c r="O65" s="208">
        <f t="shared" ca="1" si="34"/>
        <v>0</v>
      </c>
      <c r="P65" s="209">
        <v>1.181</v>
      </c>
      <c r="Q65" s="210">
        <f t="shared" ca="1" si="35"/>
        <v>0</v>
      </c>
      <c r="R65" s="211">
        <f t="shared" ca="1" si="36"/>
        <v>0</v>
      </c>
      <c r="S65" s="212">
        <f t="shared" si="37"/>
        <v>0</v>
      </c>
      <c r="T65" s="208">
        <f t="shared" ca="1" si="38"/>
        <v>0</v>
      </c>
      <c r="U65" s="209">
        <v>1.0780000000000001</v>
      </c>
      <c r="V65" s="210">
        <f t="shared" ca="1" si="39"/>
        <v>0</v>
      </c>
      <c r="W65" s="211">
        <f t="shared" ca="1" si="40"/>
        <v>0</v>
      </c>
      <c r="X65" s="212">
        <f t="shared" si="41"/>
        <v>0</v>
      </c>
      <c r="Y65" s="208">
        <f t="shared" ca="1" si="42"/>
        <v>0</v>
      </c>
      <c r="Z65" s="209">
        <v>0.9</v>
      </c>
      <c r="AA65" s="210">
        <f t="shared" ca="1" si="43"/>
        <v>0</v>
      </c>
      <c r="AB65" s="211">
        <f t="shared" ca="1" si="44"/>
        <v>0</v>
      </c>
      <c r="AC65" s="212">
        <f t="shared" si="45"/>
        <v>0</v>
      </c>
      <c r="AD65" s="208">
        <f t="shared" ca="1" si="46"/>
        <v>0</v>
      </c>
      <c r="AE65" s="209">
        <v>0.77400000000000002</v>
      </c>
      <c r="AF65" s="210">
        <f t="shared" ca="1" si="47"/>
        <v>0</v>
      </c>
      <c r="AG65" s="211">
        <f t="shared" ca="1" si="48"/>
        <v>0</v>
      </c>
      <c r="AH65" s="213">
        <f t="shared" si="49"/>
        <v>0</v>
      </c>
      <c r="AI65" s="213">
        <f t="shared" ca="1" si="50"/>
        <v>0</v>
      </c>
      <c r="AJ65" s="214">
        <f t="shared" si="51"/>
        <v>0</v>
      </c>
      <c r="AK65" s="215">
        <v>4.2709999999999999</v>
      </c>
      <c r="AL65" s="216">
        <f t="shared" si="23"/>
        <v>0</v>
      </c>
      <c r="AM65" s="213">
        <f t="shared" ca="1" si="24"/>
        <v>0</v>
      </c>
    </row>
    <row r="66" spans="2:39" x14ac:dyDescent="0.25">
      <c r="B66" s="11"/>
      <c r="C66" s="206">
        <v>20</v>
      </c>
      <c r="D66" s="222">
        <f t="shared" si="25"/>
        <v>0</v>
      </c>
      <c r="E66" s="218">
        <f t="shared" ca="1" si="26"/>
        <v>0</v>
      </c>
      <c r="F66" s="219">
        <v>1.5309999999999999</v>
      </c>
      <c r="G66" s="220">
        <f t="shared" ca="1" si="27"/>
        <v>0</v>
      </c>
      <c r="H66" s="221">
        <f t="shared" ca="1" si="28"/>
        <v>0</v>
      </c>
      <c r="I66" s="222">
        <f t="shared" si="29"/>
        <v>0</v>
      </c>
      <c r="J66" s="218">
        <f t="shared" ca="1" si="30"/>
        <v>0</v>
      </c>
      <c r="K66" s="219">
        <v>1.1919999999999999</v>
      </c>
      <c r="L66" s="220">
        <f t="shared" ca="1" si="31"/>
        <v>0</v>
      </c>
      <c r="M66" s="221">
        <f t="shared" ca="1" si="32"/>
        <v>0</v>
      </c>
      <c r="N66" s="222">
        <f t="shared" si="33"/>
        <v>0</v>
      </c>
      <c r="O66" s="218">
        <f t="shared" ca="1" si="34"/>
        <v>0</v>
      </c>
      <c r="P66" s="219">
        <v>1.181</v>
      </c>
      <c r="Q66" s="220">
        <f t="shared" ca="1" si="35"/>
        <v>0</v>
      </c>
      <c r="R66" s="221">
        <f t="shared" ca="1" si="36"/>
        <v>0</v>
      </c>
      <c r="S66" s="222">
        <f t="shared" si="37"/>
        <v>0</v>
      </c>
      <c r="T66" s="218">
        <f t="shared" ca="1" si="38"/>
        <v>0</v>
      </c>
      <c r="U66" s="219">
        <v>1.0780000000000001</v>
      </c>
      <c r="V66" s="220">
        <f t="shared" ca="1" si="39"/>
        <v>0</v>
      </c>
      <c r="W66" s="221">
        <f t="shared" ca="1" si="40"/>
        <v>0</v>
      </c>
      <c r="X66" s="222">
        <f t="shared" si="41"/>
        <v>0</v>
      </c>
      <c r="Y66" s="218">
        <f t="shared" ca="1" si="42"/>
        <v>0</v>
      </c>
      <c r="Z66" s="219">
        <v>0.9</v>
      </c>
      <c r="AA66" s="220">
        <f t="shared" ca="1" si="43"/>
        <v>0</v>
      </c>
      <c r="AB66" s="221">
        <f t="shared" ca="1" si="44"/>
        <v>0</v>
      </c>
      <c r="AC66" s="222">
        <f t="shared" si="45"/>
        <v>0</v>
      </c>
      <c r="AD66" s="218">
        <f t="shared" ca="1" si="46"/>
        <v>0</v>
      </c>
      <c r="AE66" s="219">
        <v>0.77400000000000002</v>
      </c>
      <c r="AF66" s="220">
        <f t="shared" ca="1" si="47"/>
        <v>0</v>
      </c>
      <c r="AG66" s="221">
        <f t="shared" ca="1" si="48"/>
        <v>0</v>
      </c>
      <c r="AH66" s="213">
        <f t="shared" si="49"/>
        <v>0</v>
      </c>
      <c r="AI66" s="213">
        <f t="shared" ca="1" si="50"/>
        <v>0</v>
      </c>
      <c r="AJ66" s="214">
        <f t="shared" si="51"/>
        <v>0</v>
      </c>
      <c r="AK66" s="215">
        <v>4.63</v>
      </c>
      <c r="AL66" s="216">
        <f t="shared" si="23"/>
        <v>0</v>
      </c>
      <c r="AM66" s="213">
        <f t="shared" ca="1" si="24"/>
        <v>0</v>
      </c>
    </row>
    <row r="67" spans="2:39" x14ac:dyDescent="0.25">
      <c r="B67" s="11"/>
      <c r="C67" s="223" t="s">
        <v>108</v>
      </c>
      <c r="D67" s="11"/>
      <c r="E67" s="11"/>
      <c r="F67" s="11"/>
      <c r="G67" s="11"/>
      <c r="H67" s="224">
        <f ca="1">SUM(H47:H66)</f>
        <v>0</v>
      </c>
      <c r="I67" s="11"/>
      <c r="J67" s="11"/>
      <c r="K67" s="11"/>
      <c r="L67" s="11"/>
      <c r="M67" s="224">
        <f ca="1">SUM(M47:M66)</f>
        <v>0</v>
      </c>
      <c r="N67" s="11"/>
      <c r="O67" s="11"/>
      <c r="P67" s="11"/>
      <c r="Q67" s="11"/>
      <c r="R67" s="224">
        <f ca="1">SUM(R47:R66)</f>
        <v>0</v>
      </c>
      <c r="S67" s="11"/>
      <c r="T67" s="11"/>
      <c r="U67" s="11"/>
      <c r="V67" s="11"/>
      <c r="W67" s="224">
        <f ca="1">SUM(W47:W66)</f>
        <v>0</v>
      </c>
      <c r="X67" s="11"/>
      <c r="Y67" s="11"/>
      <c r="Z67" s="11"/>
      <c r="AA67" s="11"/>
      <c r="AB67" s="224">
        <f ca="1">SUM(AB47:AB66)</f>
        <v>0</v>
      </c>
      <c r="AC67" s="11"/>
      <c r="AD67" s="11"/>
      <c r="AE67" s="11"/>
      <c r="AF67" s="11"/>
      <c r="AG67" s="224">
        <f ca="1">SUM(AG47:AG66)</f>
        <v>0</v>
      </c>
      <c r="AH67" s="11"/>
      <c r="AI67" s="11"/>
      <c r="AJ67" s="11"/>
      <c r="AK67" s="11"/>
      <c r="AL67" s="11"/>
      <c r="AM67" s="11"/>
    </row>
    <row r="68" spans="2:39" x14ac:dyDescent="0.25">
      <c r="B68" s="11"/>
      <c r="C68" s="223" t="s">
        <v>109</v>
      </c>
      <c r="D68" s="11"/>
      <c r="E68" s="11"/>
      <c r="F68" s="11"/>
      <c r="G68" s="11"/>
      <c r="H68" s="226">
        <f ca="1">SUMPRODUCT(H47:H66,$AK$47:$AK$66^-1)</f>
        <v>0</v>
      </c>
      <c r="I68" s="224"/>
      <c r="J68" s="224"/>
      <c r="K68" s="224"/>
      <c r="L68" s="224"/>
      <c r="M68" s="226">
        <f ca="1">SUMPRODUCT(M47:M66,$AK$47:$AK$66^-1)</f>
        <v>0</v>
      </c>
      <c r="N68" s="224"/>
      <c r="O68" s="224"/>
      <c r="P68" s="224"/>
      <c r="Q68" s="224"/>
      <c r="R68" s="226">
        <f ca="1">SUMPRODUCT(R47:R66,$AK$47:$AK$66^-1)</f>
        <v>0</v>
      </c>
      <c r="S68" s="224"/>
      <c r="T68" s="224"/>
      <c r="U68" s="224"/>
      <c r="V68" s="224"/>
      <c r="W68" s="226">
        <f ca="1">SUMPRODUCT(W47:W66,$AK$47:$AK$66^-1)</f>
        <v>0</v>
      </c>
      <c r="X68" s="224"/>
      <c r="Y68" s="224"/>
      <c r="Z68" s="224"/>
      <c r="AA68" s="224"/>
      <c r="AB68" s="226">
        <f ca="1">SUMPRODUCT(AB47:AB66,$AK$47:$AK$66^-1)</f>
        <v>0</v>
      </c>
      <c r="AC68" s="224"/>
      <c r="AD68" s="224"/>
      <c r="AE68" s="224"/>
      <c r="AF68" s="224"/>
      <c r="AG68" s="226">
        <f ca="1">SUMPRODUCT(AG47:AG66,$AK$47:$AK$66^-1)</f>
        <v>0</v>
      </c>
      <c r="AH68" s="224"/>
      <c r="AI68" s="224"/>
      <c r="AJ68" s="224"/>
      <c r="AK68" s="224"/>
      <c r="AL68" s="224">
        <f>SUM(AL47:AL66)</f>
        <v>0</v>
      </c>
      <c r="AM68" s="224">
        <f ca="1">SUM(AM47:AM66)</f>
        <v>0</v>
      </c>
    </row>
    <row r="69" spans="2:39" x14ac:dyDescent="0.25">
      <c r="B69" s="11"/>
      <c r="C69" s="223" t="s">
        <v>110</v>
      </c>
      <c r="D69" s="11"/>
      <c r="E69" s="11"/>
      <c r="F69" s="11"/>
      <c r="G69" s="11"/>
      <c r="H69" s="224">
        <f ca="1">H43-H68</f>
        <v>0</v>
      </c>
      <c r="I69" s="11"/>
      <c r="J69" s="11"/>
      <c r="K69" s="11"/>
      <c r="L69" s="11"/>
      <c r="M69" s="224">
        <f ca="1">M43-M68</f>
        <v>0</v>
      </c>
      <c r="N69" s="11"/>
      <c r="O69" s="11"/>
      <c r="P69" s="11"/>
      <c r="Q69" s="11"/>
      <c r="R69" s="224">
        <f ca="1">R43-R68</f>
        <v>0</v>
      </c>
      <c r="S69" s="11"/>
      <c r="T69" s="11"/>
      <c r="U69" s="11"/>
      <c r="V69" s="11"/>
      <c r="W69" s="224">
        <f ca="1">W43-W68</f>
        <v>0</v>
      </c>
      <c r="X69" s="11"/>
      <c r="Y69" s="11"/>
      <c r="Z69" s="11"/>
      <c r="AA69" s="11"/>
      <c r="AB69" s="224">
        <f ca="1">AB43-AB68</f>
        <v>0</v>
      </c>
      <c r="AC69" s="11"/>
      <c r="AD69" s="11"/>
      <c r="AE69" s="11"/>
      <c r="AF69" s="11"/>
      <c r="AG69" s="224">
        <f ca="1">AG43-AG68</f>
        <v>0</v>
      </c>
      <c r="AH69" s="11"/>
      <c r="AI69" s="11"/>
      <c r="AJ69" s="11"/>
      <c r="AK69" s="11"/>
      <c r="AL69" s="224">
        <f>AL68/1000</f>
        <v>0</v>
      </c>
      <c r="AM69" s="11"/>
    </row>
    <row r="70" spans="2:39" x14ac:dyDescent="0.25">
      <c r="B70" s="11"/>
      <c r="C70" s="223" t="s">
        <v>111</v>
      </c>
      <c r="D70" s="11"/>
      <c r="E70" s="11"/>
      <c r="F70" s="11"/>
      <c r="G70" s="11"/>
      <c r="H70" s="224">
        <f ca="1">MAX(H69,0)</f>
        <v>0</v>
      </c>
      <c r="I70" s="11"/>
      <c r="J70" s="11"/>
      <c r="K70" s="11"/>
      <c r="L70" s="11"/>
      <c r="M70" s="224">
        <f ca="1">MAX(M69,0)</f>
        <v>0</v>
      </c>
      <c r="N70" s="11"/>
      <c r="O70" s="11"/>
      <c r="P70" s="11"/>
      <c r="Q70" s="11"/>
      <c r="R70" s="224">
        <f ca="1">MAX(R69,0)</f>
        <v>0</v>
      </c>
      <c r="S70" s="11"/>
      <c r="T70" s="11"/>
      <c r="U70" s="11"/>
      <c r="V70" s="11"/>
      <c r="W70" s="224">
        <f ca="1">MAX(W69,0)</f>
        <v>0</v>
      </c>
      <c r="X70" s="11"/>
      <c r="Y70" s="11"/>
      <c r="Z70" s="11"/>
      <c r="AA70" s="11"/>
      <c r="AB70" s="224">
        <f ca="1">MAX(AB69,0)</f>
        <v>0</v>
      </c>
      <c r="AC70" s="11"/>
      <c r="AD70" s="11"/>
      <c r="AE70" s="11"/>
      <c r="AF70" s="11"/>
      <c r="AG70" s="224">
        <f ca="1">MAX(AG69,0)</f>
        <v>0</v>
      </c>
      <c r="AH70" s="11"/>
      <c r="AI70" s="11"/>
      <c r="AJ70" s="11"/>
      <c r="AK70" s="11"/>
      <c r="AL70" s="11"/>
      <c r="AM70" s="224">
        <f ca="1">SUM(H70:AK70)</f>
        <v>0</v>
      </c>
    </row>
    <row r="71" spans="2:39" x14ac:dyDescent="0.2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row>
    <row r="72" spans="2:39" x14ac:dyDescent="0.2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223" t="s">
        <v>119</v>
      </c>
      <c r="AM72" s="227" t="e">
        <f ca="1">AM70*1000/AL68</f>
        <v>#DIV/0!</v>
      </c>
    </row>
    <row r="73" spans="2:39" x14ac:dyDescent="0.2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223" t="s">
        <v>101</v>
      </c>
      <c r="AM73" s="227" t="e">
        <f ca="1">AM72*0.6</f>
        <v>#DIV/0!</v>
      </c>
    </row>
    <row r="74" spans="2:39" x14ac:dyDescent="0.25">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224"/>
    </row>
  </sheetData>
  <mergeCells count="1">
    <mergeCell ref="F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Bid Form</vt:lpstr>
      <vt:lpstr>Delivery Profile</vt:lpstr>
      <vt:lpstr>Deliverability Calculation</vt:lpstr>
      <vt:lpstr>'Delivery Profile'!Print_Area</vt:lpstr>
      <vt:lpstr>'Delivery Profile'!Print_Titles</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Hillary Hebert</cp:lastModifiedBy>
  <cp:lastPrinted>2011-02-25T21:30:31Z</cp:lastPrinted>
  <dcterms:created xsi:type="dcterms:W3CDTF">2010-10-08T22:09:46Z</dcterms:created>
  <dcterms:modified xsi:type="dcterms:W3CDTF">2012-11-13T20:36:57Z</dcterms:modified>
</cp:coreProperties>
</file>