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CE\Flex Alert\Models\SDGE\3_Ex Post Protocols\"/>
    </mc:Choice>
  </mc:AlternateContent>
  <bookViews>
    <workbookView xWindow="0" yWindow="75" windowWidth="19035" windowHeight="11760"/>
  </bookViews>
  <sheets>
    <sheet name="Table" sheetId="4" r:id="rId1"/>
    <sheet name="Lookups" sheetId="2" state="hidden" r:id="rId2"/>
    <sheet name="Data" sheetId="1" state="hidden" r:id="rId3"/>
  </sheets>
  <externalReferences>
    <externalReference r:id="rId4"/>
  </externalReferences>
  <definedNames>
    <definedName name="_xlnm._FilterDatabase" localSheetId="2" hidden="1">Data!$A$1:$GA$7393</definedName>
    <definedName name="All">Table!$B$10</definedName>
    <definedName name="Called">[1]Lookups!$D$9</definedName>
    <definedName name="_xlnm.Criteria">Lookups!$B$3:$C$4</definedName>
    <definedName name="custgrp">Table!$B$10</definedName>
    <definedName name="custgrp_list">Lookups!$H$4:$H$6</definedName>
    <definedName name="data">Data!$A$1:$FX$30889</definedName>
    <definedName name="date">Table!$B$9</definedName>
    <definedName name="Enrollment">Table!$G$3</definedName>
    <definedName name="evt_dates">Lookups!$G$4:$G$5</definedName>
    <definedName name="expost_protocol_wide" localSheetId="2">Data!$A$1:$FR$7</definedName>
    <definedName name="lca">Table!$B$11</definedName>
    <definedName name="lca_list">Lookups!$I$4</definedName>
    <definedName name="notice">[1]Table!$B$8</definedName>
    <definedName name="_xlnm.Print_Area" localSheetId="0">Table!$A$2:$N$35</definedName>
    <definedName name="Result_type">Table!$B$8</definedName>
    <definedName name="Result_type_list">Lookups!$F$4:$F$5</definedName>
    <definedName name="summer">Lookups!$G$37</definedName>
  </definedNames>
  <calcPr calcId="152511"/>
</workbook>
</file>

<file path=xl/calcChain.xml><?xml version="1.0" encoding="utf-8"?>
<calcChain xmlns="http://schemas.openxmlformats.org/spreadsheetml/2006/main">
  <c r="G5" i="4" l="1"/>
  <c r="H32" i="4"/>
  <c r="G32" i="4"/>
  <c r="F32" i="4"/>
  <c r="N9" i="2" l="1"/>
  <c r="N10" i="2"/>
  <c r="N11" i="2"/>
  <c r="N12" i="2"/>
  <c r="N13" i="2"/>
  <c r="N14" i="2"/>
  <c r="N15" i="2"/>
  <c r="N16" i="2"/>
  <c r="N17" i="2"/>
  <c r="N18" i="2"/>
  <c r="N19" i="2"/>
  <c r="N27" i="2"/>
  <c r="N28" i="2"/>
  <c r="N29" i="2"/>
  <c r="N30" i="2"/>
  <c r="N31" i="2"/>
  <c r="N32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I32" i="2"/>
  <c r="I31" i="2"/>
  <c r="I30" i="2"/>
  <c r="I29" i="2"/>
  <c r="I28" i="2"/>
  <c r="I27" i="2"/>
  <c r="I19" i="2"/>
  <c r="I18" i="2"/>
  <c r="I17" i="2"/>
  <c r="I16" i="2"/>
  <c r="I15" i="2"/>
  <c r="I14" i="2"/>
  <c r="I13" i="2"/>
  <c r="I12" i="2"/>
  <c r="I11" i="2"/>
  <c r="I10" i="2"/>
  <c r="I9" i="2"/>
  <c r="H10" i="2"/>
  <c r="H11" i="2"/>
  <c r="H12" i="2"/>
  <c r="H13" i="2"/>
  <c r="H14" i="2"/>
  <c r="H15" i="2"/>
  <c r="H16" i="2"/>
  <c r="H17" i="2"/>
  <c r="H18" i="2"/>
  <c r="H19" i="2"/>
  <c r="H27" i="2"/>
  <c r="H28" i="2"/>
  <c r="H29" i="2"/>
  <c r="H30" i="2"/>
  <c r="H31" i="2"/>
  <c r="H32" i="2"/>
  <c r="H9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7" i="2"/>
  <c r="G27" i="2"/>
  <c r="F28" i="2"/>
  <c r="G28" i="2"/>
  <c r="F29" i="2"/>
  <c r="G29" i="2"/>
  <c r="F30" i="2"/>
  <c r="G30" i="2"/>
  <c r="F31" i="2"/>
  <c r="G31" i="2"/>
  <c r="F32" i="2"/>
  <c r="G32" i="2"/>
  <c r="E32" i="2"/>
  <c r="E10" i="2"/>
  <c r="E11" i="2"/>
  <c r="E12" i="2"/>
  <c r="E13" i="2"/>
  <c r="E14" i="2"/>
  <c r="E15" i="2"/>
  <c r="E16" i="2"/>
  <c r="E17" i="2"/>
  <c r="E18" i="2"/>
  <c r="E19" i="2"/>
  <c r="E27" i="2"/>
  <c r="E28" i="2"/>
  <c r="E29" i="2"/>
  <c r="E30" i="2"/>
  <c r="E31" i="2"/>
  <c r="E9" i="2"/>
  <c r="B4" i="2" l="1"/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J32" i="4" l="1"/>
  <c r="J6" i="4"/>
  <c r="H5" i="4"/>
  <c r="F5" i="4"/>
  <c r="C4" i="2" l="1"/>
  <c r="G3" i="4" l="1"/>
  <c r="I29" i="4" l="1"/>
  <c r="C30" i="2" s="1"/>
  <c r="I17" i="4"/>
  <c r="C18" i="2" s="1"/>
  <c r="I21" i="4"/>
  <c r="C22" i="2" s="1"/>
  <c r="H22" i="2" s="1"/>
  <c r="I9" i="4"/>
  <c r="C10" i="2" s="1"/>
  <c r="I28" i="4"/>
  <c r="I24" i="4"/>
  <c r="C25" i="2" s="1"/>
  <c r="H25" i="2" s="1"/>
  <c r="I20" i="4"/>
  <c r="C21" i="2" s="1"/>
  <c r="H21" i="2" s="1"/>
  <c r="I16" i="4"/>
  <c r="C17" i="2" s="1"/>
  <c r="I12" i="4"/>
  <c r="I8" i="4"/>
  <c r="C9" i="2" s="1"/>
  <c r="I31" i="4"/>
  <c r="C32" i="2" s="1"/>
  <c r="I27" i="4"/>
  <c r="C28" i="2" s="1"/>
  <c r="I23" i="4"/>
  <c r="C24" i="2" s="1"/>
  <c r="H24" i="2" s="1"/>
  <c r="I19" i="4"/>
  <c r="C20" i="2" s="1"/>
  <c r="H20" i="2" s="1"/>
  <c r="I15" i="4"/>
  <c r="C16" i="2" s="1"/>
  <c r="I11" i="4"/>
  <c r="C12" i="2" s="1"/>
  <c r="I30" i="4"/>
  <c r="C31" i="2" s="1"/>
  <c r="I26" i="4"/>
  <c r="C27" i="2" s="1"/>
  <c r="I22" i="4"/>
  <c r="C23" i="2" s="1"/>
  <c r="H23" i="2" s="1"/>
  <c r="I18" i="4"/>
  <c r="C19" i="2" s="1"/>
  <c r="I14" i="4"/>
  <c r="C15" i="2" s="1"/>
  <c r="I10" i="4"/>
  <c r="C11" i="2" s="1"/>
  <c r="I25" i="4"/>
  <c r="C26" i="2" s="1"/>
  <c r="H26" i="2" s="1"/>
  <c r="I13" i="4"/>
  <c r="C14" i="2" s="1"/>
  <c r="F9" i="4"/>
  <c r="N31" i="4"/>
  <c r="N27" i="4"/>
  <c r="N23" i="4"/>
  <c r="M24" i="2" s="1"/>
  <c r="N19" i="4"/>
  <c r="M20" i="2" s="1"/>
  <c r="N15" i="4"/>
  <c r="N11" i="4"/>
  <c r="M31" i="4"/>
  <c r="M27" i="4"/>
  <c r="M23" i="4"/>
  <c r="L24" i="2" s="1"/>
  <c r="M19" i="4"/>
  <c r="L20" i="2" s="1"/>
  <c r="M15" i="4"/>
  <c r="M11" i="4"/>
  <c r="K31" i="4"/>
  <c r="K27" i="4"/>
  <c r="K23" i="4"/>
  <c r="J24" i="2" s="1"/>
  <c r="K19" i="4"/>
  <c r="J20" i="2" s="1"/>
  <c r="K15" i="4"/>
  <c r="K11" i="4"/>
  <c r="J27" i="4"/>
  <c r="J19" i="4"/>
  <c r="I20" i="2" s="1"/>
  <c r="J11" i="4"/>
  <c r="H31" i="4"/>
  <c r="L31" i="4" s="1"/>
  <c r="H23" i="4"/>
  <c r="H11" i="4"/>
  <c r="L11" i="4" s="1"/>
  <c r="F27" i="4"/>
  <c r="F19" i="4"/>
  <c r="E20" i="2" s="1"/>
  <c r="N25" i="4"/>
  <c r="M26" i="2" s="1"/>
  <c r="N13" i="4"/>
  <c r="M25" i="4"/>
  <c r="L26" i="2" s="1"/>
  <c r="M13" i="4"/>
  <c r="K25" i="4"/>
  <c r="J26" i="2" s="1"/>
  <c r="K13" i="4"/>
  <c r="J29" i="4"/>
  <c r="J17" i="4"/>
  <c r="H29" i="4"/>
  <c r="L29" i="4" s="1"/>
  <c r="H17" i="4"/>
  <c r="L17" i="4" s="1"/>
  <c r="F29" i="4"/>
  <c r="F17" i="4"/>
  <c r="N30" i="4"/>
  <c r="N26" i="4"/>
  <c r="N22" i="4"/>
  <c r="M23" i="2" s="1"/>
  <c r="N18" i="4"/>
  <c r="N14" i="4"/>
  <c r="N10" i="4"/>
  <c r="M30" i="4"/>
  <c r="M26" i="4"/>
  <c r="M22" i="4"/>
  <c r="L23" i="2" s="1"/>
  <c r="M18" i="4"/>
  <c r="M14" i="4"/>
  <c r="M10" i="4"/>
  <c r="K30" i="4"/>
  <c r="K26" i="4"/>
  <c r="K22" i="4"/>
  <c r="J23" i="2" s="1"/>
  <c r="K18" i="4"/>
  <c r="K14" i="4"/>
  <c r="K10" i="4"/>
  <c r="J30" i="4"/>
  <c r="J26" i="4"/>
  <c r="J22" i="4"/>
  <c r="I23" i="2" s="1"/>
  <c r="J18" i="4"/>
  <c r="J14" i="4"/>
  <c r="J10" i="4"/>
  <c r="H30" i="4"/>
  <c r="L30" i="4" s="1"/>
  <c r="H26" i="4"/>
  <c r="L26" i="4" s="1"/>
  <c r="H22" i="4"/>
  <c r="H18" i="4"/>
  <c r="L18" i="4" s="1"/>
  <c r="H14" i="4"/>
  <c r="L14" i="4" s="1"/>
  <c r="H10" i="4"/>
  <c r="L10" i="4" s="1"/>
  <c r="F30" i="4"/>
  <c r="F26" i="4"/>
  <c r="F22" i="4"/>
  <c r="E23" i="2" s="1"/>
  <c r="F18" i="4"/>
  <c r="F14" i="4"/>
  <c r="F10" i="4"/>
  <c r="N21" i="4"/>
  <c r="M22" i="2" s="1"/>
  <c r="N9" i="4"/>
  <c r="M17" i="4"/>
  <c r="K29" i="4"/>
  <c r="K17" i="4"/>
  <c r="J25" i="4"/>
  <c r="I26" i="2" s="1"/>
  <c r="J13" i="4"/>
  <c r="H25" i="4"/>
  <c r="H13" i="4"/>
  <c r="L13" i="4" s="1"/>
  <c r="F25" i="4"/>
  <c r="E26" i="2" s="1"/>
  <c r="F13" i="4"/>
  <c r="C29" i="2"/>
  <c r="C13" i="2"/>
  <c r="N28" i="4"/>
  <c r="N24" i="4"/>
  <c r="M25" i="2" s="1"/>
  <c r="N20" i="4"/>
  <c r="M21" i="2" s="1"/>
  <c r="N16" i="4"/>
  <c r="N12" i="4"/>
  <c r="N8" i="4"/>
  <c r="M28" i="4"/>
  <c r="M24" i="4"/>
  <c r="L25" i="2" s="1"/>
  <c r="M20" i="4"/>
  <c r="L21" i="2" s="1"/>
  <c r="M16" i="4"/>
  <c r="M12" i="4"/>
  <c r="M8" i="4"/>
  <c r="K28" i="4"/>
  <c r="K24" i="4"/>
  <c r="J25" i="2" s="1"/>
  <c r="K20" i="4"/>
  <c r="J21" i="2" s="1"/>
  <c r="K16" i="4"/>
  <c r="K12" i="4"/>
  <c r="K8" i="4"/>
  <c r="J28" i="4"/>
  <c r="J24" i="4"/>
  <c r="I25" i="2" s="1"/>
  <c r="J20" i="4"/>
  <c r="I21" i="2" s="1"/>
  <c r="J16" i="4"/>
  <c r="J12" i="4"/>
  <c r="J8" i="4"/>
  <c r="H28" i="4"/>
  <c r="L28" i="4" s="1"/>
  <c r="H24" i="4"/>
  <c r="H20" i="4"/>
  <c r="H16" i="4"/>
  <c r="L16" i="4" s="1"/>
  <c r="H12" i="4"/>
  <c r="L12" i="4" s="1"/>
  <c r="H8" i="4"/>
  <c r="L8" i="4" s="1"/>
  <c r="F28" i="4"/>
  <c r="F24" i="4"/>
  <c r="E25" i="2" s="1"/>
  <c r="F20" i="4"/>
  <c r="E21" i="2" s="1"/>
  <c r="F16" i="4"/>
  <c r="F12" i="4"/>
  <c r="J31" i="4"/>
  <c r="J23" i="4"/>
  <c r="I24" i="2" s="1"/>
  <c r="J15" i="4"/>
  <c r="H27" i="4"/>
  <c r="L27" i="4" s="1"/>
  <c r="H19" i="4"/>
  <c r="G20" i="2" s="1"/>
  <c r="H15" i="4"/>
  <c r="L15" i="4" s="1"/>
  <c r="F31" i="4"/>
  <c r="F23" i="4"/>
  <c r="E24" i="2" s="1"/>
  <c r="F15" i="4"/>
  <c r="F11" i="4"/>
  <c r="G11" i="4" s="1"/>
  <c r="N29" i="4"/>
  <c r="N17" i="4"/>
  <c r="M29" i="4"/>
  <c r="M21" i="4"/>
  <c r="L22" i="2" s="1"/>
  <c r="M9" i="4"/>
  <c r="K21" i="4"/>
  <c r="J22" i="2" s="1"/>
  <c r="K9" i="4"/>
  <c r="J21" i="4"/>
  <c r="I22" i="2" s="1"/>
  <c r="J9" i="4"/>
  <c r="H21" i="4"/>
  <c r="H9" i="4"/>
  <c r="L9" i="4" s="1"/>
  <c r="F21" i="4"/>
  <c r="E22" i="2" s="1"/>
  <c r="F8" i="4"/>
  <c r="L23" i="4" l="1"/>
  <c r="K24" i="2" s="1"/>
  <c r="N24" i="2" s="1"/>
  <c r="G24" i="2"/>
  <c r="H33" i="2"/>
  <c r="L20" i="4"/>
  <c r="K21" i="2" s="1"/>
  <c r="N21" i="2" s="1"/>
  <c r="G21" i="2"/>
  <c r="L25" i="4"/>
  <c r="K26" i="2" s="1"/>
  <c r="N26" i="2" s="1"/>
  <c r="G26" i="2"/>
  <c r="E33" i="2"/>
  <c r="L21" i="4"/>
  <c r="K22" i="2" s="1"/>
  <c r="N22" i="2" s="1"/>
  <c r="G22" i="2"/>
  <c r="L24" i="4"/>
  <c r="K25" i="2" s="1"/>
  <c r="N25" i="2" s="1"/>
  <c r="G25" i="2"/>
  <c r="L22" i="4"/>
  <c r="K23" i="2" s="1"/>
  <c r="N23" i="2" s="1"/>
  <c r="G23" i="2"/>
  <c r="G23" i="4"/>
  <c r="F24" i="2" s="1"/>
  <c r="L19" i="4"/>
  <c r="K20" i="2" s="1"/>
  <c r="N20" i="2" s="1"/>
  <c r="G8" i="4"/>
  <c r="G31" i="4"/>
  <c r="G16" i="4"/>
  <c r="G20" i="4"/>
  <c r="F21" i="2" s="1"/>
  <c r="G18" i="4"/>
  <c r="G25" i="4"/>
  <c r="F26" i="2" s="1"/>
  <c r="G22" i="4"/>
  <c r="F23" i="2" s="1"/>
  <c r="G10" i="4"/>
  <c r="G26" i="4"/>
  <c r="G12" i="4"/>
  <c r="G28" i="4"/>
  <c r="G15" i="4"/>
  <c r="G24" i="4"/>
  <c r="F25" i="2" s="1"/>
  <c r="G14" i="4"/>
  <c r="G30" i="4"/>
  <c r="G17" i="4"/>
  <c r="G13" i="4"/>
  <c r="G29" i="4"/>
  <c r="G19" i="4"/>
  <c r="F20" i="2" s="1"/>
  <c r="G27" i="4"/>
  <c r="G9" i="4"/>
  <c r="I34" i="4"/>
  <c r="G21" i="4"/>
  <c r="F22" i="2" s="1"/>
  <c r="H34" i="4"/>
  <c r="F34" i="4"/>
  <c r="A1" i="4" s="1"/>
  <c r="N33" i="2" l="1"/>
  <c r="G33" i="2"/>
  <c r="F33" i="2"/>
  <c r="G34" i="4"/>
  <c r="M33" i="2" l="1"/>
  <c r="J33" i="2"/>
  <c r="I33" i="2"/>
  <c r="L33" i="2"/>
  <c r="K33" i="2"/>
</calcChain>
</file>

<file path=xl/connections.xml><?xml version="1.0" encoding="utf-8"?>
<connections xmlns="http://schemas.openxmlformats.org/spreadsheetml/2006/main">
  <connection id="1" name="expost_protocol_wide" type="6" refreshedVersion="5" deleted="1" background="1" saveData="1">
    <textPr codePage="437" sourceFile="P:\SCE\Flex Alert\Models\SDGE\3_Ex Post Protocols\expost_protocol_wide.txt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<sst xmlns="http://schemas.openxmlformats.org/spreadsheetml/2006/main" count="261" uniqueCount="222">
  <si>
    <t>Utility</t>
  </si>
  <si>
    <t>Program</t>
  </si>
  <si>
    <t>DayType</t>
  </si>
  <si>
    <t>LCA</t>
  </si>
  <si>
    <t>Enrolled</t>
  </si>
  <si>
    <t>All</t>
  </si>
  <si>
    <t>Typical Event Day</t>
  </si>
  <si>
    <t>Aggregate Impact</t>
  </si>
  <si>
    <t xml:space="preserve"> Number of Accounts Enrolled:</t>
  </si>
  <si>
    <t>Hour Ending</t>
  </si>
  <si>
    <t>10th%ile</t>
  </si>
  <si>
    <t>30th%ile</t>
  </si>
  <si>
    <t>50th%ile</t>
  </si>
  <si>
    <t>70th%ile</t>
  </si>
  <si>
    <t>90th%ile</t>
  </si>
  <si>
    <t>DR Program:</t>
  </si>
  <si>
    <t>10th</t>
  </si>
  <si>
    <t>30th</t>
  </si>
  <si>
    <t>50th</t>
  </si>
  <si>
    <t>70th</t>
  </si>
  <si>
    <t>90th</t>
  </si>
  <si>
    <t>Daily</t>
  </si>
  <si>
    <t>n/a</t>
  </si>
  <si>
    <t>Local Capacity Area:</t>
  </si>
  <si>
    <t>Utility:</t>
  </si>
  <si>
    <t>Type of Results:</t>
  </si>
  <si>
    <t>Average per Enrolled Customer</t>
  </si>
  <si>
    <t>Day Type: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</si>
  <si>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</si>
  <si>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</si>
  <si>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</si>
  <si>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</si>
  <si>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</si>
  <si>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</si>
  <si>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</si>
  <si>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</si>
  <si>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</si>
  <si>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</si>
  <si>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</si>
  <si>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</si>
  <si>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</si>
  <si>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</si>
  <si>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</si>
  <si>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</si>
  <si>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</si>
  <si>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</si>
  <si>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</si>
  <si>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</si>
  <si>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</si>
  <si>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</si>
  <si>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</si>
  <si>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</si>
  <si>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</si>
  <si>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</si>
  <si>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</si>
  <si>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</si>
  <si>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</si>
  <si>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</si>
  <si>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</si>
  <si>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</si>
  <si>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</si>
  <si>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</si>
  <si>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</si>
  <si>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</si>
  <si>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</si>
  <si>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</si>
  <si>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</si>
  <si>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</si>
  <si>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</si>
  <si>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</si>
  <si>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</si>
  <si>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</si>
  <si>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</si>
  <si>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</si>
  <si>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</si>
  <si>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</si>
  <si>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</si>
  <si>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</si>
  <si>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</si>
  <si>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</si>
  <si>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</si>
  <si>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</si>
  <si>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</si>
  <si>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</si>
  <si>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</si>
  <si>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</si>
  <si>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</si>
  <si>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</si>
  <si>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</si>
  <si>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</si>
  <si>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</si>
  <si>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</si>
  <si>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</si>
  <si>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</si>
  <si>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</si>
  <si>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</si>
  <si>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</si>
  <si>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</si>
  <si>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</si>
  <si>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</si>
  <si>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</si>
  <si>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</si>
  <si>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</si>
  <si>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</si>
  <si>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</si>
  <si>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</si>
  <si>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</si>
  <si>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</si>
  <si>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</si>
  <si>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</si>
  <si>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</si>
  <si>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</si>
  <si>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</si>
  <si>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</si>
  <si>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</si>
  <si>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</si>
  <si>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</si>
  <si>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</si>
  <si>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</si>
  <si>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</si>
  <si>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</si>
  <si>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</si>
  <si>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</si>
  <si>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</si>
  <si>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</si>
  <si>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</si>
  <si>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</si>
  <si>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</si>
  <si>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</si>
  <si>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</si>
  <si>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</si>
  <si>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</si>
  <si>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</si>
  <si>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</si>
  <si>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</si>
  <si>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</si>
  <si>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</si>
  <si>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</si>
  <si>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</si>
  <si>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</si>
  <si>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</si>
  <si>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</si>
  <si>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</si>
  <si>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</si>
  <si>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</si>
  <si>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</si>
  <si>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</si>
  <si>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</si>
  <si>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</si>
  <si>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</si>
  <si>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</si>
  <si>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</si>
  <si>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</si>
  <si>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</si>
  <si>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</si>
  <si>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</si>
  <si>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</si>
  <si>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</si>
  <si>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</si>
  <si>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</si>
  <si>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</si>
  <si>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</si>
  <si>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</si>
  <si>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</si>
  <si>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</si>
  <si>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</si>
  <si>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</si>
  <si>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</si>
  <si>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</si>
  <si>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</si>
  <si>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</si>
  <si>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</si>
  <si>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</si>
  <si>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</si>
  <si>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</si>
  <si>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</si>
  <si>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</si>
  <si>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</si>
  <si>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</si>
  <si>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</si>
  <si>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</si>
  <si>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</si>
  <si>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</si>
  <si>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</si>
  <si>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</si>
  <si>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</si>
  <si>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</si>
  <si>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</si>
  <si>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</si>
  <si>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</si>
  <si>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</si>
  <si>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</si>
  <si>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</si>
  <si>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</si>
  <si>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</si>
  <si>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</si>
  <si>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</si>
  <si>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t>Result type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</si>
  <si>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</si>
  <si>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</si>
  <si>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Industry</t>
  </si>
  <si>
    <t>Climate</t>
  </si>
  <si>
    <t>San Diego Gas &amp; Electric</t>
  </si>
  <si>
    <t>Peak Time Rebate (non-Alert customers only)</t>
  </si>
  <si>
    <t>Coastal</t>
  </si>
  <si>
    <t>Inland</t>
  </si>
  <si>
    <t>Climate Zone:</t>
  </si>
  <si>
    <t>Event flag</t>
  </si>
  <si>
    <t>avg ref</t>
  </si>
  <si>
    <t>avg obs</t>
  </si>
  <si>
    <t>avg LI</t>
  </si>
  <si>
    <t>CDH</t>
  </si>
  <si>
    <t>avg 10</t>
  </si>
  <si>
    <t>avg30</t>
  </si>
  <si>
    <t>avg50</t>
  </si>
  <si>
    <t>avg70</t>
  </si>
  <si>
    <t>avg90</t>
  </si>
  <si>
    <t>std dev</t>
  </si>
  <si>
    <t>Event Hours</t>
  </si>
  <si>
    <t>By Period:</t>
  </si>
  <si>
    <t>Event Hours:</t>
  </si>
  <si>
    <t>Hours Ending 12 to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</si>
</sst>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[$-409]mmmm\ d\,\ yyyy;@"/>
    <numFmt numFmtId="166" formatCode="0.0%"/>
    <numFmt numFmtId="167" formatCode="0.0"/>
    <numFmt numFmtId="168" formatCode="0.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name val="Franklin Gothic Demi Cond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56"/>
      </left>
      <right/>
      <top/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56"/>
      </left>
      <right style="medium">
        <color indexed="9"/>
      </right>
      <top style="medium">
        <color indexed="56"/>
      </top>
      <bottom style="medium">
        <color indexed="9"/>
      </bottom>
      <diagonal/>
    </border>
    <border>
      <left style="medium">
        <color indexed="56"/>
      </left>
      <right style="medium">
        <color indexed="9"/>
      </right>
      <top style="medium">
        <color indexed="9"/>
      </top>
      <bottom/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wrapText="1" indent="1"/>
    </xf>
    <xf numFmtId="0" fontId="10" fillId="2" borderId="3" xfId="0" applyFont="1" applyFill="1" applyBorder="1" applyAlignment="1">
      <alignment horizontal="right" wrapText="1" indent="1"/>
    </xf>
    <xf numFmtId="49" fontId="9" fillId="0" borderId="0" xfId="0" applyNumberFormat="1" applyFont="1" applyBorder="1" applyAlignment="1">
      <alignment horizontal="left" wrapText="1"/>
    </xf>
    <xf numFmtId="0" fontId="8" fillId="0" borderId="0" xfId="0" applyFont="1"/>
    <xf numFmtId="0" fontId="12" fillId="0" borderId="0" xfId="0" applyFont="1" applyBorder="1" applyAlignment="1">
      <alignment horizontal="left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0" borderId="0" xfId="0" applyFont="1" applyFill="1" applyBorder="1"/>
    <xf numFmtId="0" fontId="13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Continuous"/>
    </xf>
    <xf numFmtId="0" fontId="14" fillId="2" borderId="6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3" fontId="0" fillId="0" borderId="0" xfId="0" applyNumberFormat="1"/>
    <xf numFmtId="0" fontId="16" fillId="2" borderId="0" xfId="0" applyFont="1" applyFill="1" applyAlignment="1">
      <alignment horizontal="left"/>
    </xf>
    <xf numFmtId="15" fontId="0" fillId="0" borderId="0" xfId="0" applyNumberFormat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0" fillId="0" borderId="0" xfId="0" applyFill="1" applyBorder="1"/>
    <xf numFmtId="15" fontId="0" fillId="0" borderId="0" xfId="0" applyNumberFormat="1" applyFill="1" applyBorder="1" applyAlignment="1">
      <alignment horizontal="left"/>
    </xf>
    <xf numFmtId="0" fontId="6" fillId="2" borderId="10" xfId="0" applyFont="1" applyFill="1" applyBorder="1" applyAlignment="1">
      <alignment horizontal="centerContinuous"/>
    </xf>
    <xf numFmtId="0" fontId="7" fillId="2" borderId="11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7" fillId="2" borderId="14" xfId="0" applyFont="1" applyFill="1" applyBorder="1" applyAlignment="1">
      <alignment horizontal="centerContinuous"/>
    </xf>
    <xf numFmtId="0" fontId="7" fillId="2" borderId="15" xfId="0" applyFont="1" applyFill="1" applyBorder="1" applyAlignment="1">
      <alignment horizontal="centerContinuous"/>
    </xf>
    <xf numFmtId="11" fontId="0" fillId="0" borderId="0" xfId="0" applyNumberFormat="1"/>
    <xf numFmtId="49" fontId="9" fillId="0" borderId="1" xfId="0" quotePrefix="1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3" fontId="0" fillId="0" borderId="21" xfId="0" applyNumberFormat="1" applyBorder="1" applyAlignment="1">
      <alignment horizontal="center" vertical="center"/>
    </xf>
    <xf numFmtId="164" fontId="0" fillId="0" borderId="0" xfId="0" applyNumberFormat="1"/>
    <xf numFmtId="166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right"/>
    </xf>
    <xf numFmtId="0" fontId="15" fillId="0" borderId="0" xfId="0" applyFont="1"/>
    <xf numFmtId="164" fontId="4" fillId="0" borderId="0" xfId="0" applyNumberFormat="1" applyFont="1" applyBorder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14" fontId="0" fillId="0" borderId="0" xfId="0" applyNumberFormat="1"/>
    <xf numFmtId="0" fontId="0" fillId="0" borderId="0" xfId="0" applyBorder="1" applyAlignment="1">
      <alignment horizontal="right"/>
    </xf>
    <xf numFmtId="2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8" fillId="0" borderId="0" xfId="0" applyFont="1" applyFill="1" applyBorder="1" applyAlignment="1">
      <alignment horizontal="left"/>
    </xf>
    <xf numFmtId="167" fontId="1" fillId="0" borderId="0" xfId="0" applyNumberFormat="1" applyFont="1"/>
    <xf numFmtId="15" fontId="1" fillId="0" borderId="0" xfId="0" applyNumberFormat="1" applyFont="1" applyFill="1" applyBorder="1" applyAlignment="1">
      <alignment horizontal="left"/>
    </xf>
    <xf numFmtId="0" fontId="4" fillId="3" borderId="18" xfId="0" applyFont="1" applyFill="1" applyBorder="1" applyAlignment="1">
      <alignment horizontal="center" vertical="center"/>
    </xf>
    <xf numFmtId="164" fontId="11" fillId="3" borderId="19" xfId="0" applyNumberFormat="1" applyFont="1" applyFill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2" borderId="13" xfId="0" applyFont="1" applyFill="1" applyBorder="1" applyAlignment="1">
      <alignment horizontal="centerContinuous"/>
    </xf>
    <xf numFmtId="168" fontId="1" fillId="0" borderId="0" xfId="0" applyNumberFormat="1" applyFont="1"/>
    <xf numFmtId="168" fontId="0" fillId="0" borderId="0" xfId="0" applyNumberFormat="1"/>
    <xf numFmtId="2" fontId="5" fillId="2" borderId="5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2" fontId="5" fillId="2" borderId="5" xfId="0" quotePrefix="1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wrapText="1"/>
    </xf>
    <xf numFmtId="0" fontId="5" fillId="2" borderId="22" xfId="0" quotePrefix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4">
    <dxf>
      <fill>
        <patternFill>
          <bgColor rgb="FFFFFF00"/>
        </patternFill>
      </fill>
    </dxf>
    <dxf>
      <fill>
        <patternFill>
          <bgColor rgb="FFFF33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(MWh/hour)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535.7441</c:v>
                </c:pt>
                <c:pt idx="1">
                  <c:v>469.76549999999997</c:v>
                </c:pt>
                <c:pt idx="2">
                  <c:v>425.51319999999998</c:v>
                </c:pt>
                <c:pt idx="3">
                  <c:v>397.09899999999999</c:v>
                </c:pt>
                <c:pt idx="4">
                  <c:v>374.62189999999998</c:v>
                </c:pt>
                <c:pt idx="5">
                  <c:v>364.66070000000002</c:v>
                </c:pt>
                <c:pt idx="6">
                  <c:v>380.51319999999998</c:v>
                </c:pt>
                <c:pt idx="7">
                  <c:v>402.49189999999999</c:v>
                </c:pt>
                <c:pt idx="8">
                  <c:v>477.4624</c:v>
                </c:pt>
                <c:pt idx="9">
                  <c:v>582.55830000000003</c:v>
                </c:pt>
                <c:pt idx="10">
                  <c:v>709.68129999999996</c:v>
                </c:pt>
                <c:pt idx="11">
                  <c:v>803.12850000000003</c:v>
                </c:pt>
                <c:pt idx="12">
                  <c:v>842.17110000000002</c:v>
                </c:pt>
                <c:pt idx="13">
                  <c:v>851.67830000000004</c:v>
                </c:pt>
                <c:pt idx="14">
                  <c:v>865.803</c:v>
                </c:pt>
                <c:pt idx="15">
                  <c:v>894.84590000000003</c:v>
                </c:pt>
                <c:pt idx="16">
                  <c:v>900.20100000000002</c:v>
                </c:pt>
                <c:pt idx="17">
                  <c:v>857.15769999999998</c:v>
                </c:pt>
                <c:pt idx="18">
                  <c:v>777.18079999999998</c:v>
                </c:pt>
                <c:pt idx="19">
                  <c:v>763.98969999999997</c:v>
                </c:pt>
                <c:pt idx="20">
                  <c:v>730.43629999999996</c:v>
                </c:pt>
                <c:pt idx="21">
                  <c:v>682.91859999999997</c:v>
                </c:pt>
                <c:pt idx="22">
                  <c:v>629.14840000000004</c:v>
                </c:pt>
                <c:pt idx="23">
                  <c:v>551.19230000000005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Event Day Load (MWh/hour)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536.72078729999998</c:v>
                </c:pt>
                <c:pt idx="1">
                  <c:v>472.97382499999998</c:v>
                </c:pt>
                <c:pt idx="2">
                  <c:v>430.34342699999996</c:v>
                </c:pt>
                <c:pt idx="3">
                  <c:v>398.23237699999999</c:v>
                </c:pt>
                <c:pt idx="4">
                  <c:v>376.02479199999999</c:v>
                </c:pt>
                <c:pt idx="5">
                  <c:v>368.82332100000002</c:v>
                </c:pt>
                <c:pt idx="6">
                  <c:v>378.494528</c:v>
                </c:pt>
                <c:pt idx="7">
                  <c:v>417.0591</c:v>
                </c:pt>
                <c:pt idx="8">
                  <c:v>497.74022000000002</c:v>
                </c:pt>
                <c:pt idx="9">
                  <c:v>591.68734500000005</c:v>
                </c:pt>
                <c:pt idx="10">
                  <c:v>680.46677999999997</c:v>
                </c:pt>
                <c:pt idx="11">
                  <c:v>757.76701000000003</c:v>
                </c:pt>
                <c:pt idx="12">
                  <c:v>797.84582999999998</c:v>
                </c:pt>
                <c:pt idx="13">
                  <c:v>826.41563000000008</c:v>
                </c:pt>
                <c:pt idx="14">
                  <c:v>850.79243999999994</c:v>
                </c:pt>
                <c:pt idx="15">
                  <c:v>871.17113000000006</c:v>
                </c:pt>
                <c:pt idx="16">
                  <c:v>882.10643000000005</c:v>
                </c:pt>
                <c:pt idx="17">
                  <c:v>837.33167000000003</c:v>
                </c:pt>
                <c:pt idx="18">
                  <c:v>768.80201</c:v>
                </c:pt>
                <c:pt idx="19">
                  <c:v>737.57403999999997</c:v>
                </c:pt>
                <c:pt idx="20">
                  <c:v>729.24778099999992</c:v>
                </c:pt>
                <c:pt idx="21">
                  <c:v>685.52520700000002</c:v>
                </c:pt>
                <c:pt idx="22">
                  <c:v>611.42753000000005</c:v>
                </c:pt>
                <c:pt idx="23">
                  <c:v>532.93434000000002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272304"/>
        <c:axId val="1088272864"/>
      </c:scatterChart>
      <c:valAx>
        <c:axId val="1088272304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1088272864"/>
        <c:crosses val="autoZero"/>
        <c:crossBetween val="midCat"/>
        <c:majorUnit val="1"/>
      </c:valAx>
      <c:valAx>
        <c:axId val="10882728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10882723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56029</xdr:rowOff>
    </xdr:from>
    <xdr:to>
      <xdr:col>3</xdr:col>
      <xdr:colOff>628650</xdr:colOff>
      <xdr:row>33</xdr:row>
      <xdr:rowOff>209550</xdr:rowOff>
    </xdr:to>
    <xdr:graphicFrame macro="">
      <xdr:nvGraphicFramePr>
        <xdr:cNvPr id="1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E/Aggregator/Aggregator%202013/Models/Ex%20Post%20Protocol%20Tables/SDGE%20CBP%20Ex%20Post%20Protocol%20Table%20Generator%202013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Lookups"/>
      <sheetName val="Data"/>
    </sheetNames>
    <sheetDataSet>
      <sheetData sheetId="0">
        <row r="8">
          <cell r="B8" t="str">
            <v>DA 1-4 Hour</v>
          </cell>
        </row>
      </sheetData>
      <sheetData sheetId="1">
        <row r="9">
          <cell r="D9">
            <v>143</v>
          </cell>
        </row>
      </sheetData>
      <sheetData sheetId="2"/>
    </sheetDataSet>
  </externalBook>
</externalLink>
</file>

<file path=xl/queryTables/queryTable1.xml><?xml version="1.0" encoding="utf-8"?>
<queryTable xmlns="http://schemas.openxmlformats.org/spreadsheetml/2006/main" name="expost_protocol_wid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zoomScale="85" zoomScaleNormal="85" workbookViewId="0">
      <selection activeCell="A2" sqref="A2"/>
    </sheetView>
  </sheetViews>
  <sheetFormatPr defaultRowHeight="12.75" x14ac:dyDescent="0.2"/>
  <cols>
    <col min="1" max="1" width="27" bestFit="1" customWidth="1"/>
    <col min="2" max="2" width="31.5703125" customWidth="1"/>
    <col min="3" max="3" width="24" customWidth="1"/>
    <col min="4" max="4" width="10.28515625" customWidth="1"/>
    <col min="5" max="5" width="17.85546875" customWidth="1"/>
    <col min="6" max="6" width="16.140625" customWidth="1"/>
    <col min="7" max="7" width="13.28515625" customWidth="1"/>
    <col min="8" max="8" width="13" customWidth="1"/>
    <col min="9" max="9" width="15.5703125" customWidth="1"/>
    <col min="10" max="14" width="11.42578125" customWidth="1"/>
    <col min="16" max="16" width="9.140625" customWidth="1"/>
  </cols>
  <sheetData>
    <row r="1" spans="1:14" ht="17.25" customHeight="1" x14ac:dyDescent="0.25">
      <c r="A1" s="2" t="str">
        <f>IF(ISERROR(F34)=TRUE,"",IF(AND(F34=0,Enrollment&lt;&gt;0),"Table removed for confidentiality reasons.",""))</f>
        <v/>
      </c>
      <c r="B1" s="2"/>
      <c r="C1" s="2"/>
      <c r="I1" s="3"/>
      <c r="J1" s="3"/>
      <c r="K1" s="52"/>
      <c r="L1" s="54"/>
    </row>
    <row r="2" spans="1:14" ht="17.25" customHeight="1" thickBot="1" x14ac:dyDescent="0.3">
      <c r="C2" s="4"/>
      <c r="D2" s="4"/>
      <c r="I2" s="51"/>
      <c r="J2" s="3"/>
      <c r="K2" s="52"/>
      <c r="L2" s="54"/>
    </row>
    <row r="3" spans="1:14" ht="17.25" customHeight="1" thickTop="1" thickBot="1" x14ac:dyDescent="0.3">
      <c r="C3" s="4"/>
      <c r="D3" s="4"/>
      <c r="F3" s="3" t="s">
        <v>8</v>
      </c>
      <c r="G3" s="46">
        <f>DGET(data,"Enrolled",_xlnm.Criteria)</f>
        <v>473132</v>
      </c>
      <c r="I3" s="70" t="s">
        <v>220</v>
      </c>
      <c r="J3" s="69" t="s">
        <v>221</v>
      </c>
      <c r="K3" s="53"/>
    </row>
    <row r="4" spans="1:14" ht="17.25" customHeight="1" thickTop="1" thickBot="1" x14ac:dyDescent="0.25">
      <c r="C4" s="4"/>
      <c r="D4" s="4"/>
    </row>
    <row r="5" spans="1:14" ht="17.25" customHeight="1" thickBot="1" x14ac:dyDescent="0.3">
      <c r="C5" s="4"/>
      <c r="D5" s="4"/>
      <c r="E5" s="77" t="s">
        <v>9</v>
      </c>
      <c r="F5" s="77" t="str">
        <f>"Estimated Reference Load ("&amp;IF(Result_type="Aggregate impact","MWh","kWh")&amp;"/hour)"</f>
        <v>Estimated Reference Load (MWh/hour)</v>
      </c>
      <c r="G5" s="77" t="str">
        <f>"Observed Event Day Load ("&amp;IF(Result_type="Aggregate Impact","MWh/hour)","kWh/hour)")</f>
        <v>Observed Event Day Load (MWh/hour)</v>
      </c>
      <c r="H5" s="77" t="str">
        <f>"Estimated Load Impact ("&amp;IF(Result_type="Aggregate Impact","MWh/hour)","kWh/hour)")</f>
        <v>Estimated Load Impact (MWh/hour)</v>
      </c>
      <c r="I5" s="80" t="s">
        <v>172</v>
      </c>
      <c r="J5" s="32"/>
      <c r="K5" s="33"/>
      <c r="L5" s="33"/>
      <c r="M5" s="33"/>
      <c r="N5" s="34"/>
    </row>
    <row r="6" spans="1:14" ht="17.25" customHeight="1" thickBot="1" x14ac:dyDescent="0.35">
      <c r="A6" s="44" t="s">
        <v>24</v>
      </c>
      <c r="B6" s="6" t="s">
        <v>202</v>
      </c>
      <c r="C6" s="4"/>
      <c r="D6" s="4"/>
      <c r="E6" s="78"/>
      <c r="F6" s="78"/>
      <c r="G6" s="78"/>
      <c r="H6" s="78"/>
      <c r="I6" s="78"/>
      <c r="J6" s="71" t="str">
        <f>"Uncertainty Adjusted Impact ("&amp;IF(Result_type="Aggregate Impact","MWh/hr)- Percentiles","kWh/hr)- Percentiles")</f>
        <v>Uncertainty Adjusted Impact (MWh/hr)- Percentiles</v>
      </c>
      <c r="K6" s="35"/>
      <c r="L6" s="35"/>
      <c r="M6" s="35"/>
      <c r="N6" s="36"/>
    </row>
    <row r="7" spans="1:14" ht="39" customHeight="1" thickBot="1" x14ac:dyDescent="0.25">
      <c r="A7" s="45" t="s">
        <v>15</v>
      </c>
      <c r="B7" s="38" t="s">
        <v>203</v>
      </c>
      <c r="C7" s="4"/>
      <c r="D7" s="4"/>
      <c r="E7" s="79"/>
      <c r="F7" s="79"/>
      <c r="G7" s="79"/>
      <c r="H7" s="79"/>
      <c r="I7" s="79"/>
      <c r="J7" s="7" t="s">
        <v>10</v>
      </c>
      <c r="K7" s="7" t="s">
        <v>11</v>
      </c>
      <c r="L7" s="7" t="s">
        <v>12</v>
      </c>
      <c r="M7" s="7" t="s">
        <v>13</v>
      </c>
      <c r="N7" s="8" t="s">
        <v>14</v>
      </c>
    </row>
    <row r="8" spans="1:14" ht="17.25" customHeight="1" thickBot="1" x14ac:dyDescent="0.25">
      <c r="A8" s="44" t="s">
        <v>25</v>
      </c>
      <c r="B8" s="6" t="s">
        <v>7</v>
      </c>
      <c r="C8" s="9"/>
      <c r="D8" s="9"/>
      <c r="E8" s="39">
        <v>1</v>
      </c>
      <c r="F8" s="42">
        <f>IF(Enrollment=0,"n/a",DGET(data,"Ref_hr1",_xlnm.Criteria)/IF(Result_type="Aggregate Impact",1,Enrollment/1000))</f>
        <v>535.7441</v>
      </c>
      <c r="G8" s="42">
        <f t="shared" ref="G8:G31" si="0">IF(Enrollment=0,"n/a",F8-H8)</f>
        <v>536.72078729999998</v>
      </c>
      <c r="H8" s="42">
        <f>IF(Enrollment=0,"n/a",DGET(data,"Pctile50_hr1",_xlnm.Criteria)/IF(Result_type="Aggregate Impact",1,Enrollment/1000))</f>
        <v>-0.97668730000000004</v>
      </c>
      <c r="I8" s="42">
        <f>IF(Enrollment=0,"n/a",DGET(data,"Temp_hr1",_xlnm.Criteria))</f>
        <v>75.830765999999997</v>
      </c>
      <c r="J8" s="42">
        <f>IF(Enrollment=0,"n/a",DGET(data,"Pctile10_hr1",_xlnm.Criteria)/IF(Result_type="Aggregate Impact",1,Enrollment/1000))</f>
        <v>-14.02665</v>
      </c>
      <c r="K8" s="42">
        <f>IF(Enrollment=0,"n/a",DGET(data,"Pctile30_hr1",_xlnm.Criteria)/IF(Result_type="Aggregate Impact",1,Enrollment/1000))</f>
        <v>-6.3166260000000003</v>
      </c>
      <c r="L8" s="42">
        <f>H8</f>
        <v>-0.97668730000000004</v>
      </c>
      <c r="M8" s="42">
        <f>IF(Enrollment=0,"n/a",DGET(data,"Pctile70_hr1",_xlnm.Criteria)/IF(Result_type="Aggregate Impact",1,Enrollment/1000))</f>
        <v>4.363251</v>
      </c>
      <c r="N8" s="42">
        <f>IF(Enrollment=0,"n/a",DGET(data,"Pctile90_hr1",_xlnm.Criteria)/IF(Result_type="Aggregate Impact",1,Enrollment/1000))</f>
        <v>12.073270000000001</v>
      </c>
    </row>
    <row r="9" spans="1:14" ht="17.25" customHeight="1" thickBot="1" x14ac:dyDescent="0.25">
      <c r="A9" s="44" t="s">
        <v>27</v>
      </c>
      <c r="B9" s="12">
        <v>41517</v>
      </c>
      <c r="C9" s="11"/>
      <c r="D9" s="11"/>
      <c r="E9" s="40">
        <v>2</v>
      </c>
      <c r="F9" s="43">
        <f>IF(Enrollment=0,"n/a",DGET(data,"Ref_hr2",_xlnm.Criteria)/IF(Result_type="Aggregate Impact",1,Enrollment/1000))</f>
        <v>469.76549999999997</v>
      </c>
      <c r="G9" s="43">
        <f t="shared" si="0"/>
        <v>472.97382499999998</v>
      </c>
      <c r="H9" s="43">
        <f>IF(Enrollment=0,"n/a",DGET(data,"Pctile50_hr2",_xlnm.Criteria)/IF(Result_type="Aggregate Impact",1,Enrollment/1000))</f>
        <v>-3.2083249999999999</v>
      </c>
      <c r="I9" s="43">
        <f>IF(Enrollment=0,"n/a",DGET(data,"Temp_hr2",_xlnm.Criteria))</f>
        <v>75.808380999999997</v>
      </c>
      <c r="J9" s="43">
        <f>IF(Enrollment=0,"n/a",DGET(data,"Pctile10_hr2",_xlnm.Criteria)/IF(Result_type="Aggregate Impact",1,Enrollment/1000))</f>
        <v>-15.728249999999999</v>
      </c>
      <c r="K9" s="43">
        <f>IF(Enrollment=0,"n/a",DGET(data,"Pctile30_hr2",_xlnm.Criteria)/IF(Result_type="Aggregate Impact",1,Enrollment/1000))</f>
        <v>-8.3313790000000001</v>
      </c>
      <c r="L9" s="43">
        <f t="shared" ref="L9:L31" si="1">H9</f>
        <v>-3.2083249999999999</v>
      </c>
      <c r="M9" s="43">
        <f>IF(Enrollment=0,"n/a",DGET(data,"Pctile70_hr2",_xlnm.Criteria)/IF(Result_type="Aggregate Impact",1,Enrollment/1000))</f>
        <v>1.9147289999999999</v>
      </c>
      <c r="N9" s="43">
        <f>IF(Enrollment=0,"n/a",DGET(data,"Pctile90_hr2",_xlnm.Criteria)/IF(Result_type="Aggregate Impact",1,Enrollment/1000))</f>
        <v>9.3116040000000009</v>
      </c>
    </row>
    <row r="10" spans="1:14" ht="17.25" customHeight="1" thickBot="1" x14ac:dyDescent="0.25">
      <c r="A10" s="44" t="s">
        <v>206</v>
      </c>
      <c r="B10" s="28" t="s">
        <v>205</v>
      </c>
      <c r="C10" s="13"/>
      <c r="D10" s="13"/>
      <c r="E10" s="40">
        <v>3</v>
      </c>
      <c r="F10" s="43">
        <f>IF(Enrollment=0,"n/a",DGET(data,"Ref_hr3",_xlnm.Criteria)/IF(Result_type="Aggregate Impact",1,Enrollment/1000))</f>
        <v>425.51319999999998</v>
      </c>
      <c r="G10" s="43">
        <f t="shared" si="0"/>
        <v>430.34342699999996</v>
      </c>
      <c r="H10" s="43">
        <f>IF(Enrollment=0,"n/a",DGET(data,"Pctile50_hr3",_xlnm.Criteria)/IF(Result_type="Aggregate Impact",1,Enrollment/1000))</f>
        <v>-4.8302269999999998</v>
      </c>
      <c r="I10" s="43">
        <f>IF(Enrollment=0,"n/a",DGET(data,"Temp_hr3",_xlnm.Criteria))</f>
        <v>75.264510999999999</v>
      </c>
      <c r="J10" s="43">
        <f>IF(Enrollment=0,"n/a",DGET(data,"Pctile10_hr3",_xlnm.Criteria)/IF(Result_type="Aggregate Impact",1,Enrollment/1000))</f>
        <v>-18.30067</v>
      </c>
      <c r="K10" s="43">
        <f>IF(Enrollment=0,"n/a",DGET(data,"Pctile30_hr3",_xlnm.Criteria)/IF(Result_type="Aggregate Impact",1,Enrollment/1000))</f>
        <v>-10.342219999999999</v>
      </c>
      <c r="L10" s="43">
        <f t="shared" si="1"/>
        <v>-4.8302269999999998</v>
      </c>
      <c r="M10" s="43">
        <f>IF(Enrollment=0,"n/a",DGET(data,"Pctile70_hr3",_xlnm.Criteria)/IF(Result_type="Aggregate Impact",1,Enrollment/1000))</f>
        <v>0.68177069999999995</v>
      </c>
      <c r="N10" s="43">
        <f>IF(Enrollment=0,"n/a",DGET(data,"Pctile90_hr3",_xlnm.Criteria)/IF(Result_type="Aggregate Impact",1,Enrollment/1000))</f>
        <v>8.6402199999999993</v>
      </c>
    </row>
    <row r="11" spans="1:14" ht="17.25" customHeight="1" thickBot="1" x14ac:dyDescent="0.25">
      <c r="A11" s="45" t="s">
        <v>23</v>
      </c>
      <c r="B11" s="59" t="s">
        <v>5</v>
      </c>
      <c r="C11" s="14"/>
      <c r="D11" s="14"/>
      <c r="E11" s="40">
        <v>4</v>
      </c>
      <c r="F11" s="43">
        <f>IF(Enrollment=0,"n/a",DGET(data,"Ref_hr4",_xlnm.Criteria)/IF(Result_type="Aggregate Impact",1,Enrollment/1000))</f>
        <v>397.09899999999999</v>
      </c>
      <c r="G11" s="43">
        <f t="shared" si="0"/>
        <v>398.23237699999999</v>
      </c>
      <c r="H11" s="43">
        <f>IF(Enrollment=0,"n/a",DGET(data,"Pctile50_hr4",_xlnm.Criteria)/IF(Result_type="Aggregate Impact",1,Enrollment/1000))</f>
        <v>-1.1333770000000001</v>
      </c>
      <c r="I11" s="43">
        <f>IF(Enrollment=0,"n/a",DGET(data,"Temp_hr4",_xlnm.Criteria))</f>
        <v>74.965436999999994</v>
      </c>
      <c r="J11" s="43">
        <f>IF(Enrollment=0,"n/a",DGET(data,"Pctile10_hr4",_xlnm.Criteria)/IF(Result_type="Aggregate Impact",1,Enrollment/1000))</f>
        <v>-13.719390000000001</v>
      </c>
      <c r="K11" s="43">
        <f>IF(Enrollment=0,"n/a",DGET(data,"Pctile30_hr4",_xlnm.Criteria)/IF(Result_type="Aggregate Impact",1,Enrollment/1000))</f>
        <v>-6.2834709999999996</v>
      </c>
      <c r="L11" s="43">
        <f t="shared" si="1"/>
        <v>-1.1333770000000001</v>
      </c>
      <c r="M11" s="43">
        <f>IF(Enrollment=0,"n/a",DGET(data,"Pctile70_hr4",_xlnm.Criteria)/IF(Result_type="Aggregate Impact",1,Enrollment/1000))</f>
        <v>4.0167169999999999</v>
      </c>
      <c r="N11" s="43">
        <f>IF(Enrollment=0,"n/a",DGET(data,"Pctile90_hr4",_xlnm.Criteria)/IF(Result_type="Aggregate Impact",1,Enrollment/1000))</f>
        <v>11.452629999999999</v>
      </c>
    </row>
    <row r="12" spans="1:14" ht="17.25" customHeight="1" x14ac:dyDescent="0.2">
      <c r="C12" s="14"/>
      <c r="D12" s="14"/>
      <c r="E12" s="40">
        <v>5</v>
      </c>
      <c r="F12" s="43">
        <f>IF(Enrollment=0,"n/a",DGET(data,"Ref_hr5",_xlnm.Criteria)/IF(Result_type="Aggregate Impact",1,Enrollment/1000))</f>
        <v>374.62189999999998</v>
      </c>
      <c r="G12" s="43">
        <f t="shared" si="0"/>
        <v>376.02479199999999</v>
      </c>
      <c r="H12" s="43">
        <f>IF(Enrollment=0,"n/a",DGET(data,"Pctile50_hr5",_xlnm.Criteria)/IF(Result_type="Aggregate Impact",1,Enrollment/1000))</f>
        <v>-1.402892</v>
      </c>
      <c r="I12" s="43">
        <f>IF(Enrollment=0,"n/a",DGET(data,"Temp_hr5",_xlnm.Criteria))</f>
        <v>74.033918999999997</v>
      </c>
      <c r="J12" s="43">
        <f>IF(Enrollment=0,"n/a",DGET(data,"Pctile10_hr5",_xlnm.Criteria)/IF(Result_type="Aggregate Impact",1,Enrollment/1000))</f>
        <v>-12.183669999999999</v>
      </c>
      <c r="K12" s="43">
        <f>IF(Enrollment=0,"n/a",DGET(data,"Pctile30_hr5",_xlnm.Criteria)/IF(Result_type="Aggregate Impact",1,Enrollment/1000))</f>
        <v>-5.8143010000000004</v>
      </c>
      <c r="L12" s="43">
        <f t="shared" si="1"/>
        <v>-1.402892</v>
      </c>
      <c r="M12" s="43">
        <f>IF(Enrollment=0,"n/a",DGET(data,"Pctile70_hr5",_xlnm.Criteria)/IF(Result_type="Aggregate Impact",1,Enrollment/1000))</f>
        <v>3.0085169999999999</v>
      </c>
      <c r="N12" s="43">
        <f>IF(Enrollment=0,"n/a",DGET(data,"Pctile90_hr5",_xlnm.Criteria)/IF(Result_type="Aggregate Impact",1,Enrollment/1000))</f>
        <v>9.3778919999999992</v>
      </c>
    </row>
    <row r="13" spans="1:14" ht="17.25" customHeight="1" x14ac:dyDescent="0.2">
      <c r="D13" s="4"/>
      <c r="E13" s="40">
        <v>6</v>
      </c>
      <c r="F13" s="43">
        <f>IF(Enrollment=0,"n/a",DGET(data,"Ref_hr6",_xlnm.Criteria)/IF(Result_type="Aggregate Impact",1,Enrollment/1000))</f>
        <v>364.66070000000002</v>
      </c>
      <c r="G13" s="43">
        <f t="shared" si="0"/>
        <v>368.82332100000002</v>
      </c>
      <c r="H13" s="43">
        <f>IF(Enrollment=0,"n/a",DGET(data,"Pctile50_hr6",_xlnm.Criteria)/IF(Result_type="Aggregate Impact",1,Enrollment/1000))</f>
        <v>-4.1626209999999997</v>
      </c>
      <c r="I13" s="43">
        <f>IF(Enrollment=0,"n/a",DGET(data,"Temp_hr6",_xlnm.Criteria))</f>
        <v>73.640868999999995</v>
      </c>
      <c r="J13" s="43">
        <f>IF(Enrollment=0,"n/a",DGET(data,"Pctile10_hr6",_xlnm.Criteria)/IF(Result_type="Aggregate Impact",1,Enrollment/1000))</f>
        <v>-18.127700000000001</v>
      </c>
      <c r="K13" s="43">
        <f>IF(Enrollment=0,"n/a",DGET(data,"Pctile30_hr6",_xlnm.Criteria)/IF(Result_type="Aggregate Impact",1,Enrollment/1000))</f>
        <v>-9.8770190000000007</v>
      </c>
      <c r="L13" s="43">
        <f t="shared" si="1"/>
        <v>-4.1626209999999997</v>
      </c>
      <c r="M13" s="43">
        <f>IF(Enrollment=0,"n/a",DGET(data,"Pctile70_hr6",_xlnm.Criteria)/IF(Result_type="Aggregate Impact",1,Enrollment/1000))</f>
        <v>1.551777</v>
      </c>
      <c r="N13" s="43">
        <f>IF(Enrollment=0,"n/a",DGET(data,"Pctile90_hr6",_xlnm.Criteria)/IF(Result_type="Aggregate Impact",1,Enrollment/1000))</f>
        <v>9.8024609999999992</v>
      </c>
    </row>
    <row r="14" spans="1:14" ht="16.5" x14ac:dyDescent="0.2">
      <c r="D14" s="4"/>
      <c r="E14" s="40">
        <v>7</v>
      </c>
      <c r="F14" s="43">
        <f>IF(Enrollment=0,"n/a",DGET(data,"Ref_hr7",_xlnm.Criteria)/IF(Result_type="Aggregate Impact",1,Enrollment/1000))</f>
        <v>380.51319999999998</v>
      </c>
      <c r="G14" s="43">
        <f t="shared" si="0"/>
        <v>378.494528</v>
      </c>
      <c r="H14" s="43">
        <f>IF(Enrollment=0,"n/a",DGET(data,"Pctile50_hr7",_xlnm.Criteria)/IF(Result_type="Aggregate Impact",1,Enrollment/1000))</f>
        <v>2.018672</v>
      </c>
      <c r="I14" s="43">
        <f>IF(Enrollment=0,"n/a",DGET(data,"Temp_hr7",_xlnm.Criteria))</f>
        <v>74.513589999999994</v>
      </c>
      <c r="J14" s="43">
        <f>IF(Enrollment=0,"n/a",DGET(data,"Pctile10_hr7",_xlnm.Criteria)/IF(Result_type="Aggregate Impact",1,Enrollment/1000))</f>
        <v>-15.175420000000001</v>
      </c>
      <c r="K14" s="43">
        <f>IF(Enrollment=0,"n/a",DGET(data,"Pctile30_hr7",_xlnm.Criteria)/IF(Result_type="Aggregate Impact",1,Enrollment/1000))</f>
        <v>-5.0170110000000001</v>
      </c>
      <c r="L14" s="43">
        <f t="shared" si="1"/>
        <v>2.018672</v>
      </c>
      <c r="M14" s="43">
        <f>IF(Enrollment=0,"n/a",DGET(data,"Pctile70_hr7",_xlnm.Criteria)/IF(Result_type="Aggregate Impact",1,Enrollment/1000))</f>
        <v>9.0543549999999993</v>
      </c>
      <c r="N14" s="43">
        <f>IF(Enrollment=0,"n/a",DGET(data,"Pctile90_hr7",_xlnm.Criteria)/IF(Result_type="Aggregate Impact",1,Enrollment/1000))</f>
        <v>19.212759999999999</v>
      </c>
    </row>
    <row r="15" spans="1:14" ht="16.5" x14ac:dyDescent="0.2">
      <c r="A15" s="15"/>
      <c r="C15" s="4"/>
      <c r="D15" s="4"/>
      <c r="E15" s="40">
        <v>8</v>
      </c>
      <c r="F15" s="43">
        <f>IF(Enrollment=0,"n/a",DGET(data,"Ref_hr8",_xlnm.Criteria)/IF(Result_type="Aggregate Impact",1,Enrollment/1000))</f>
        <v>402.49189999999999</v>
      </c>
      <c r="G15" s="43">
        <f t="shared" si="0"/>
        <v>417.0591</v>
      </c>
      <c r="H15" s="43">
        <f>IF(Enrollment=0,"n/a",DGET(data,"Pctile50_hr8",_xlnm.Criteria)/IF(Result_type="Aggregate Impact",1,Enrollment/1000))</f>
        <v>-14.5672</v>
      </c>
      <c r="I15" s="43">
        <f>IF(Enrollment=0,"n/a",DGET(data,"Temp_hr8",_xlnm.Criteria))</f>
        <v>77.707222999999999</v>
      </c>
      <c r="J15" s="43">
        <f>IF(Enrollment=0,"n/a",DGET(data,"Pctile10_hr8",_xlnm.Criteria)/IF(Result_type="Aggregate Impact",1,Enrollment/1000))</f>
        <v>-25.981349999999999</v>
      </c>
      <c r="K15" s="43">
        <f>IF(Enrollment=0,"n/a",DGET(data,"Pctile30_hr8",_xlnm.Criteria)/IF(Result_type="Aggregate Impact",1,Enrollment/1000))</f>
        <v>-19.237780000000001</v>
      </c>
      <c r="L15" s="43">
        <f t="shared" si="1"/>
        <v>-14.5672</v>
      </c>
      <c r="M15" s="43">
        <f>IF(Enrollment=0,"n/a",DGET(data,"Pctile70_hr8",_xlnm.Criteria)/IF(Result_type="Aggregate Impact",1,Enrollment/1000))</f>
        <v>-9.8966200000000004</v>
      </c>
      <c r="N15" s="43">
        <f>IF(Enrollment=0,"n/a",DGET(data,"Pctile90_hr8",_xlnm.Criteria)/IF(Result_type="Aggregate Impact",1,Enrollment/1000))</f>
        <v>-3.1530469999999999</v>
      </c>
    </row>
    <row r="16" spans="1:14" ht="16.5" x14ac:dyDescent="0.2">
      <c r="C16" s="4"/>
      <c r="D16" s="4"/>
      <c r="E16" s="40">
        <v>9</v>
      </c>
      <c r="F16" s="43">
        <f>IF(Enrollment=0,"n/a",DGET(data,"Ref_hr9",_xlnm.Criteria)/IF(Result_type="Aggregate Impact",1,Enrollment/1000))</f>
        <v>477.4624</v>
      </c>
      <c r="G16" s="43">
        <f t="shared" si="0"/>
        <v>497.74022000000002</v>
      </c>
      <c r="H16" s="43">
        <f>IF(Enrollment=0,"n/a",DGET(data,"Pctile50_hr9",_xlnm.Criteria)/IF(Result_type="Aggregate Impact",1,Enrollment/1000))</f>
        <v>-20.277819999999998</v>
      </c>
      <c r="I16" s="43">
        <f>IF(Enrollment=0,"n/a",DGET(data,"Temp_hr9",_xlnm.Criteria))</f>
        <v>80.902726000000001</v>
      </c>
      <c r="J16" s="43">
        <f>IF(Enrollment=0,"n/a",DGET(data,"Pctile10_hr9",_xlnm.Criteria)/IF(Result_type="Aggregate Impact",1,Enrollment/1000))</f>
        <v>-31.582450000000001</v>
      </c>
      <c r="K16" s="43">
        <f>IF(Enrollment=0,"n/a",DGET(data,"Pctile30_hr9",_xlnm.Criteria)/IF(Result_type="Aggregate Impact",1,Enrollment/1000))</f>
        <v>-24.903590000000001</v>
      </c>
      <c r="L16" s="43">
        <f t="shared" si="1"/>
        <v>-20.277819999999998</v>
      </c>
      <c r="M16" s="43">
        <f>IF(Enrollment=0,"n/a",DGET(data,"Pctile70_hr9",_xlnm.Criteria)/IF(Result_type="Aggregate Impact",1,Enrollment/1000))</f>
        <v>-15.652060000000001</v>
      </c>
      <c r="N16" s="43">
        <f>IF(Enrollment=0,"n/a",DGET(data,"Pctile90_hr9",_xlnm.Criteria)/IF(Result_type="Aggregate Impact",1,Enrollment/1000))</f>
        <v>-8.9731919999999992</v>
      </c>
    </row>
    <row r="17" spans="3:23" ht="16.5" x14ac:dyDescent="0.2">
      <c r="C17" s="4"/>
      <c r="D17" s="4"/>
      <c r="E17" s="40">
        <v>10</v>
      </c>
      <c r="F17" s="43">
        <f>IF(Enrollment=0,"n/a",DGET(data,"Ref_hr10",_xlnm.Criteria)/IF(Result_type="Aggregate Impact",1,Enrollment/1000))</f>
        <v>582.55830000000003</v>
      </c>
      <c r="G17" s="43">
        <f t="shared" si="0"/>
        <v>591.68734500000005</v>
      </c>
      <c r="H17" s="43">
        <f>IF(Enrollment=0,"n/a",DGET(data,"Pctile50_hr10",_xlnm.Criteria)/IF(Result_type="Aggregate Impact",1,Enrollment/1000))</f>
        <v>-9.1290449999999996</v>
      </c>
      <c r="I17" s="43">
        <f>IF(Enrollment=0,"n/a",DGET(data,"Temp_hr10",_xlnm.Criteria))</f>
        <v>82.968986000000001</v>
      </c>
      <c r="J17" s="43">
        <f>IF(Enrollment=0,"n/a",DGET(data,"Pctile10_hr10",_xlnm.Criteria)/IF(Result_type="Aggregate Impact",1,Enrollment/1000))</f>
        <v>-23.49823</v>
      </c>
      <c r="K17" s="43">
        <f>IF(Enrollment=0,"n/a",DGET(data,"Pctile30_hr10",_xlnm.Criteria)/IF(Result_type="Aggregate Impact",1,Enrollment/1000))</f>
        <v>-15.008800000000001</v>
      </c>
      <c r="L17" s="43">
        <f t="shared" si="1"/>
        <v>-9.1290449999999996</v>
      </c>
      <c r="M17" s="43">
        <f>IF(Enrollment=0,"n/a",DGET(data,"Pctile70_hr10",_xlnm.Criteria)/IF(Result_type="Aggregate Impact",1,Enrollment/1000))</f>
        <v>-3.2492909999999999</v>
      </c>
      <c r="N17" s="43">
        <f>IF(Enrollment=0,"n/a",DGET(data,"Pctile90_hr10",_xlnm.Criteria)/IF(Result_type="Aggregate Impact",1,Enrollment/1000))</f>
        <v>5.2401390000000001</v>
      </c>
    </row>
    <row r="18" spans="3:23" ht="16.5" x14ac:dyDescent="0.2">
      <c r="C18" s="4"/>
      <c r="D18" s="4"/>
      <c r="E18" s="40">
        <v>11</v>
      </c>
      <c r="F18" s="43">
        <f>IF(Enrollment=0,"n/a",DGET(data,"Ref_hr11",_xlnm.Criteria)/IF(Result_type="Aggregate Impact",1,Enrollment/1000))</f>
        <v>709.68129999999996</v>
      </c>
      <c r="G18" s="43">
        <f t="shared" si="0"/>
        <v>680.46677999999997</v>
      </c>
      <c r="H18" s="43">
        <f>IF(Enrollment=0,"n/a",DGET(data,"Pctile50_hr11",_xlnm.Criteria)/IF(Result_type="Aggregate Impact",1,Enrollment/1000))</f>
        <v>29.21452</v>
      </c>
      <c r="I18" s="43">
        <f>IF(Enrollment=0,"n/a",DGET(data,"Temp_hr11",_xlnm.Criteria))</f>
        <v>85.591835000000003</v>
      </c>
      <c r="J18" s="43">
        <f>IF(Enrollment=0,"n/a",DGET(data,"Pctile10_hr11",_xlnm.Criteria)/IF(Result_type="Aggregate Impact",1,Enrollment/1000))</f>
        <v>14.165279999999999</v>
      </c>
      <c r="K18" s="43">
        <f>IF(Enrollment=0,"n/a",DGET(data,"Pctile30_hr11",_xlnm.Criteria)/IF(Result_type="Aggregate Impact",1,Enrollment/1000))</f>
        <v>23.05649</v>
      </c>
      <c r="L18" s="43">
        <f t="shared" si="1"/>
        <v>29.21452</v>
      </c>
      <c r="M18" s="43">
        <f>IF(Enrollment=0,"n/a",DGET(data,"Pctile70_hr11",_xlnm.Criteria)/IF(Result_type="Aggregate Impact",1,Enrollment/1000))</f>
        <v>35.372540000000001</v>
      </c>
      <c r="N18" s="43">
        <f>IF(Enrollment=0,"n/a",DGET(data,"Pctile90_hr11",_xlnm.Criteria)/IF(Result_type="Aggregate Impact",1,Enrollment/1000))</f>
        <v>44.263750000000002</v>
      </c>
      <c r="S18" s="47"/>
      <c r="T18" s="47"/>
      <c r="U18" s="47"/>
      <c r="V18" s="47"/>
      <c r="W18" s="47"/>
    </row>
    <row r="19" spans="3:23" ht="16.5" x14ac:dyDescent="0.2">
      <c r="C19" s="4"/>
      <c r="D19" s="4"/>
      <c r="E19" s="64">
        <v>12</v>
      </c>
      <c r="F19" s="65">
        <f>IF(Enrollment=0,"n/a",DGET(data,"Ref_hr12",_xlnm.Criteria)/IF(Result_type="Aggregate Impact",1,Enrollment/1000))</f>
        <v>803.12850000000003</v>
      </c>
      <c r="G19" s="65">
        <f t="shared" si="0"/>
        <v>757.76701000000003</v>
      </c>
      <c r="H19" s="65">
        <f>IF(Enrollment=0,"n/a",DGET(data,"Pctile50_hr12",_xlnm.Criteria)/IF(Result_type="Aggregate Impact",1,Enrollment/1000))</f>
        <v>45.361490000000003</v>
      </c>
      <c r="I19" s="65">
        <f>IF(Enrollment=0,"n/a",DGET(data,"Temp_hr12",_xlnm.Criteria))</f>
        <v>87.000280000000004</v>
      </c>
      <c r="J19" s="65">
        <f>IF(Enrollment=0,"n/a",DGET(data,"Pctile10_hr12",_xlnm.Criteria)/IF(Result_type="Aggregate Impact",1,Enrollment/1000))</f>
        <v>32.475650000000002</v>
      </c>
      <c r="K19" s="65">
        <f>IF(Enrollment=0,"n/a",DGET(data,"Pctile30_hr12",_xlnm.Criteria)/IF(Result_type="Aggregate Impact",1,Enrollment/1000))</f>
        <v>40.088709999999999</v>
      </c>
      <c r="L19" s="65">
        <f t="shared" si="1"/>
        <v>45.361490000000003</v>
      </c>
      <c r="M19" s="65">
        <f>IF(Enrollment=0,"n/a",DGET(data,"Pctile70_hr12",_xlnm.Criteria)/IF(Result_type="Aggregate Impact",1,Enrollment/1000))</f>
        <v>50.634270000000001</v>
      </c>
      <c r="N19" s="65">
        <f>IF(Enrollment=0,"n/a",DGET(data,"Pctile90_hr12",_xlnm.Criteria)/IF(Result_type="Aggregate Impact",1,Enrollment/1000))</f>
        <v>58.247320000000002</v>
      </c>
      <c r="S19" s="47"/>
      <c r="T19" s="47"/>
      <c r="U19" s="47"/>
      <c r="V19" s="47"/>
      <c r="W19" s="47"/>
    </row>
    <row r="20" spans="3:23" ht="16.5" x14ac:dyDescent="0.2">
      <c r="C20" s="4"/>
      <c r="D20" s="4"/>
      <c r="E20" s="64">
        <v>13</v>
      </c>
      <c r="F20" s="65">
        <f>IF(Enrollment=0,"n/a",DGET(data,"Ref_hr13",_xlnm.Criteria)/IF(Result_type="Aggregate Impact",1,Enrollment/1000))</f>
        <v>842.17110000000002</v>
      </c>
      <c r="G20" s="65">
        <f t="shared" si="0"/>
        <v>797.84582999999998</v>
      </c>
      <c r="H20" s="65">
        <f>IF(Enrollment=0,"n/a",DGET(data,"Pctile50_hr13",_xlnm.Criteria)/IF(Result_type="Aggregate Impact",1,Enrollment/1000))</f>
        <v>44.325270000000003</v>
      </c>
      <c r="I20" s="65">
        <f>IF(Enrollment=0,"n/a",DGET(data,"Temp_hr13",_xlnm.Criteria))</f>
        <v>86.786520999999993</v>
      </c>
      <c r="J20" s="65">
        <f>IF(Enrollment=0,"n/a",DGET(data,"Pctile10_hr13",_xlnm.Criteria)/IF(Result_type="Aggregate Impact",1,Enrollment/1000))</f>
        <v>25.077539999999999</v>
      </c>
      <c r="K20" s="65">
        <f>IF(Enrollment=0,"n/a",DGET(data,"Pctile30_hr13",_xlnm.Criteria)/IF(Result_type="Aggregate Impact",1,Enrollment/1000))</f>
        <v>36.449249999999999</v>
      </c>
      <c r="L20" s="65">
        <f t="shared" si="1"/>
        <v>44.325270000000003</v>
      </c>
      <c r="M20" s="65">
        <f>IF(Enrollment=0,"n/a",DGET(data,"Pctile70_hr13",_xlnm.Criteria)/IF(Result_type="Aggregate Impact",1,Enrollment/1000))</f>
        <v>52.201279999999997</v>
      </c>
      <c r="N20" s="65">
        <f>IF(Enrollment=0,"n/a",DGET(data,"Pctile90_hr13",_xlnm.Criteria)/IF(Result_type="Aggregate Impact",1,Enrollment/1000))</f>
        <v>63.572989999999997</v>
      </c>
      <c r="S20" s="47"/>
      <c r="T20" s="47"/>
      <c r="U20" s="47"/>
      <c r="V20" s="47"/>
      <c r="W20" s="47"/>
    </row>
    <row r="21" spans="3:23" ht="16.5" x14ac:dyDescent="0.2">
      <c r="C21" s="4"/>
      <c r="D21" s="4"/>
      <c r="E21" s="64">
        <v>14</v>
      </c>
      <c r="F21" s="65">
        <f>IF(Enrollment=0,"n/a",DGET(data,"Ref_hr14",_xlnm.Criteria)/IF(Result_type="Aggregate Impact",1,Enrollment/1000))</f>
        <v>851.67830000000004</v>
      </c>
      <c r="G21" s="65">
        <f t="shared" si="0"/>
        <v>826.41563000000008</v>
      </c>
      <c r="H21" s="65">
        <f>IF(Enrollment=0,"n/a",DGET(data,"Pctile50_hr14",_xlnm.Criteria)/IF(Result_type="Aggregate Impact",1,Enrollment/1000))</f>
        <v>25.26267</v>
      </c>
      <c r="I21" s="65">
        <f>IF(Enrollment=0,"n/a",DGET(data,"Temp_hr14",_xlnm.Criteria))</f>
        <v>86.896702000000005</v>
      </c>
      <c r="J21" s="65">
        <f>IF(Enrollment=0,"n/a",DGET(data,"Pctile10_hr14",_xlnm.Criteria)/IF(Result_type="Aggregate Impact",1,Enrollment/1000))</f>
        <v>10.291969999999999</v>
      </c>
      <c r="K21" s="65">
        <f>IF(Enrollment=0,"n/a",DGET(data,"Pctile30_hr14",_xlnm.Criteria)/IF(Result_type="Aggregate Impact",1,Enrollment/1000))</f>
        <v>19.136780000000002</v>
      </c>
      <c r="L21" s="65">
        <f t="shared" si="1"/>
        <v>25.26267</v>
      </c>
      <c r="M21" s="65">
        <f>IF(Enrollment=0,"n/a",DGET(data,"Pctile70_hr14",_xlnm.Criteria)/IF(Result_type="Aggregate Impact",1,Enrollment/1000))</f>
        <v>31.388570000000001</v>
      </c>
      <c r="N21" s="65">
        <f>IF(Enrollment=0,"n/a",DGET(data,"Pctile90_hr14",_xlnm.Criteria)/IF(Result_type="Aggregate Impact",1,Enrollment/1000))</f>
        <v>40.233379999999997</v>
      </c>
      <c r="S21" s="47"/>
      <c r="T21" s="47"/>
      <c r="U21" s="47"/>
      <c r="V21" s="47"/>
      <c r="W21" s="47"/>
    </row>
    <row r="22" spans="3:23" ht="16.5" x14ac:dyDescent="0.2">
      <c r="C22" s="4"/>
      <c r="D22" s="4"/>
      <c r="E22" s="64">
        <v>15</v>
      </c>
      <c r="F22" s="65">
        <f>IF(Enrollment=0,"n/a",DGET(data,"Ref_hr15",_xlnm.Criteria)/IF(Result_type="Aggregate Impact",1,Enrollment/1000))</f>
        <v>865.803</v>
      </c>
      <c r="G22" s="65">
        <f t="shared" si="0"/>
        <v>850.79243999999994</v>
      </c>
      <c r="H22" s="65">
        <f>IF(Enrollment=0,"n/a",DGET(data,"Pctile50_hr15",_xlnm.Criteria)/IF(Result_type="Aggregate Impact",1,Enrollment/1000))</f>
        <v>15.01056</v>
      </c>
      <c r="I22" s="65">
        <f>IF(Enrollment=0,"n/a",DGET(data,"Temp_hr15",_xlnm.Criteria))</f>
        <v>86.598602</v>
      </c>
      <c r="J22" s="65">
        <f>IF(Enrollment=0,"n/a",DGET(data,"Pctile10_hr15",_xlnm.Criteria)/IF(Result_type="Aggregate Impact",1,Enrollment/1000))</f>
        <v>-5.7777440000000002</v>
      </c>
      <c r="K22" s="65">
        <f>IF(Enrollment=0,"n/a",DGET(data,"Pctile30_hr15",_xlnm.Criteria)/IF(Result_type="Aggregate Impact",1,Enrollment/1000))</f>
        <v>6.5041520000000004</v>
      </c>
      <c r="L22" s="65">
        <f t="shared" si="1"/>
        <v>15.01056</v>
      </c>
      <c r="M22" s="65">
        <f>IF(Enrollment=0,"n/a",DGET(data,"Pctile70_hr15",_xlnm.Criteria)/IF(Result_type="Aggregate Impact",1,Enrollment/1000))</f>
        <v>23.516960000000001</v>
      </c>
      <c r="N22" s="65">
        <f>IF(Enrollment=0,"n/a",DGET(data,"Pctile90_hr15",_xlnm.Criteria)/IF(Result_type="Aggregate Impact",1,Enrollment/1000))</f>
        <v>35.798859999999998</v>
      </c>
      <c r="S22" s="47"/>
      <c r="T22" s="47"/>
      <c r="U22" s="47"/>
      <c r="V22" s="47"/>
      <c r="W22" s="47"/>
    </row>
    <row r="23" spans="3:23" ht="16.5" x14ac:dyDescent="0.2">
      <c r="C23" s="4"/>
      <c r="D23" s="4"/>
      <c r="E23" s="64">
        <v>16</v>
      </c>
      <c r="F23" s="65">
        <f>IF(Enrollment=0,"n/a",DGET(data,"Ref_hr16",_xlnm.Criteria)/IF(Result_type="Aggregate Impact",1,Enrollment/1000))</f>
        <v>894.84590000000003</v>
      </c>
      <c r="G23" s="65">
        <f t="shared" si="0"/>
        <v>871.17113000000006</v>
      </c>
      <c r="H23" s="65">
        <f>IF(Enrollment=0,"n/a",DGET(data,"Pctile50_hr16",_xlnm.Criteria)/IF(Result_type="Aggregate Impact",1,Enrollment/1000))</f>
        <v>23.674769999999999</v>
      </c>
      <c r="I23" s="65">
        <f>IF(Enrollment=0,"n/a",DGET(data,"Temp_hr16",_xlnm.Criteria))</f>
        <v>86.378354000000002</v>
      </c>
      <c r="J23" s="65">
        <f>IF(Enrollment=0,"n/a",DGET(data,"Pctile10_hr16",_xlnm.Criteria)/IF(Result_type="Aggregate Impact",1,Enrollment/1000))</f>
        <v>-5.210966</v>
      </c>
      <c r="K23" s="65">
        <f>IF(Enrollment=0,"n/a",DGET(data,"Pctile30_hr16",_xlnm.Criteria)/IF(Result_type="Aggregate Impact",1,Enrollment/1000))</f>
        <v>11.85496</v>
      </c>
      <c r="L23" s="65">
        <f t="shared" si="1"/>
        <v>23.674769999999999</v>
      </c>
      <c r="M23" s="65">
        <f>IF(Enrollment=0,"n/a",DGET(data,"Pctile70_hr16",_xlnm.Criteria)/IF(Result_type="Aggregate Impact",1,Enrollment/1000))</f>
        <v>35.494579999999999</v>
      </c>
      <c r="N23" s="65">
        <f>IF(Enrollment=0,"n/a",DGET(data,"Pctile90_hr16",_xlnm.Criteria)/IF(Result_type="Aggregate Impact",1,Enrollment/1000))</f>
        <v>52.560499999999998</v>
      </c>
      <c r="S23" s="47"/>
      <c r="T23" s="47"/>
      <c r="U23" s="47"/>
      <c r="V23" s="47"/>
      <c r="W23" s="47"/>
    </row>
    <row r="24" spans="3:23" ht="16.5" x14ac:dyDescent="0.2">
      <c r="C24" s="4"/>
      <c r="D24" s="4"/>
      <c r="E24" s="64">
        <v>17</v>
      </c>
      <c r="F24" s="65">
        <f>IF(Enrollment=0,"n/a",DGET(data,"Ref_hr17",_xlnm.Criteria)/IF(Result_type="Aggregate Impact",1,Enrollment/1000))</f>
        <v>900.20100000000002</v>
      </c>
      <c r="G24" s="65">
        <f t="shared" si="0"/>
        <v>882.10643000000005</v>
      </c>
      <c r="H24" s="65">
        <f>IF(Enrollment=0,"n/a",DGET(data,"Pctile50_hr17",_xlnm.Criteria)/IF(Result_type="Aggregate Impact",1,Enrollment/1000))</f>
        <v>18.094570000000001</v>
      </c>
      <c r="I24" s="65">
        <f>IF(Enrollment=0,"n/a",DGET(data,"Temp_hr17",_xlnm.Criteria))</f>
        <v>84.838865999999996</v>
      </c>
      <c r="J24" s="65">
        <f>IF(Enrollment=0,"n/a",DGET(data,"Pctile10_hr17",_xlnm.Criteria)/IF(Result_type="Aggregate Impact",1,Enrollment/1000))</f>
        <v>-13.61347</v>
      </c>
      <c r="K24" s="65">
        <f>IF(Enrollment=0,"n/a",DGET(data,"Pctile30_hr17",_xlnm.Criteria)/IF(Result_type="Aggregate Impact",1,Enrollment/1000))</f>
        <v>5.1198969999999999</v>
      </c>
      <c r="L24" s="65">
        <f t="shared" si="1"/>
        <v>18.094570000000001</v>
      </c>
      <c r="M24" s="65">
        <f>IF(Enrollment=0,"n/a",DGET(data,"Pctile70_hr17",_xlnm.Criteria)/IF(Result_type="Aggregate Impact",1,Enrollment/1000))</f>
        <v>31.069240000000001</v>
      </c>
      <c r="N24" s="65">
        <f>IF(Enrollment=0,"n/a",DGET(data,"Pctile90_hr17",_xlnm.Criteria)/IF(Result_type="Aggregate Impact",1,Enrollment/1000))</f>
        <v>49.802610000000001</v>
      </c>
      <c r="S24" s="47"/>
      <c r="T24" s="47"/>
      <c r="U24" s="47"/>
      <c r="V24" s="47"/>
      <c r="W24" s="47"/>
    </row>
    <row r="25" spans="3:23" ht="16.5" x14ac:dyDescent="0.2">
      <c r="C25" s="4"/>
      <c r="D25" s="4"/>
      <c r="E25" s="64">
        <v>18</v>
      </c>
      <c r="F25" s="65">
        <f>IF(Enrollment=0,"n/a",DGET(data,"Ref_hr18",_xlnm.Criteria)/IF(Result_type="Aggregate Impact",1,Enrollment/1000))</f>
        <v>857.15769999999998</v>
      </c>
      <c r="G25" s="65">
        <f t="shared" si="0"/>
        <v>837.33167000000003</v>
      </c>
      <c r="H25" s="65">
        <f>IF(Enrollment=0,"n/a",DGET(data,"Pctile50_hr18",_xlnm.Criteria)/IF(Result_type="Aggregate Impact",1,Enrollment/1000))</f>
        <v>19.826029999999999</v>
      </c>
      <c r="I25" s="65">
        <f>IF(Enrollment=0,"n/a",DGET(data,"Temp_hr18",_xlnm.Criteria))</f>
        <v>80.977458999999996</v>
      </c>
      <c r="J25" s="65">
        <f>IF(Enrollment=0,"n/a",DGET(data,"Pctile10_hr18",_xlnm.Criteria)/IF(Result_type="Aggregate Impact",1,Enrollment/1000))</f>
        <v>-11.1092</v>
      </c>
      <c r="K25" s="65">
        <f>IF(Enrollment=0,"n/a",DGET(data,"Pctile30_hr18",_xlnm.Criteria)/IF(Result_type="Aggregate Impact",1,Enrollment/1000))</f>
        <v>7.1675820000000003</v>
      </c>
      <c r="L25" s="65">
        <f t="shared" si="1"/>
        <v>19.826029999999999</v>
      </c>
      <c r="M25" s="65">
        <f>IF(Enrollment=0,"n/a",DGET(data,"Pctile70_hr18",_xlnm.Criteria)/IF(Result_type="Aggregate Impact",1,Enrollment/1000))</f>
        <v>32.484470000000002</v>
      </c>
      <c r="N25" s="65">
        <f>IF(Enrollment=0,"n/a",DGET(data,"Pctile90_hr18",_xlnm.Criteria)/IF(Result_type="Aggregate Impact",1,Enrollment/1000))</f>
        <v>50.761249999999997</v>
      </c>
      <c r="S25" s="47"/>
      <c r="T25" s="47"/>
      <c r="U25" s="47"/>
      <c r="V25" s="47"/>
      <c r="W25" s="47"/>
    </row>
    <row r="26" spans="3:23" ht="16.5" x14ac:dyDescent="0.2">
      <c r="C26" s="4"/>
      <c r="D26" s="4"/>
      <c r="E26" s="40">
        <v>19</v>
      </c>
      <c r="F26" s="43">
        <f>IF(Enrollment=0,"n/a",DGET(data,"Ref_hr19",_xlnm.Criteria)/IF(Result_type="Aggregate Impact",1,Enrollment/1000))</f>
        <v>777.18079999999998</v>
      </c>
      <c r="G26" s="43">
        <f t="shared" si="0"/>
        <v>768.80201</v>
      </c>
      <c r="H26" s="43">
        <f>IF(Enrollment=0,"n/a",DGET(data,"Pctile50_hr19",_xlnm.Criteria)/IF(Result_type="Aggregate Impact",1,Enrollment/1000))</f>
        <v>8.3787900000000004</v>
      </c>
      <c r="I26" s="43">
        <f>IF(Enrollment=0,"n/a",DGET(data,"Temp_hr19",_xlnm.Criteria))</f>
        <v>78.686673999999996</v>
      </c>
      <c r="J26" s="43">
        <f>IF(Enrollment=0,"n/a",DGET(data,"Pctile10_hr19",_xlnm.Criteria)/IF(Result_type="Aggregate Impact",1,Enrollment/1000))</f>
        <v>-17.362960000000001</v>
      </c>
      <c r="K26" s="43">
        <f>IF(Enrollment=0,"n/a",DGET(data,"Pctile30_hr19",_xlnm.Criteria)/IF(Result_type="Aggregate Impact",1,Enrollment/1000))</f>
        <v>-2.1545239999999999</v>
      </c>
      <c r="L26" s="43">
        <f t="shared" si="1"/>
        <v>8.3787900000000004</v>
      </c>
      <c r="M26" s="43">
        <f>IF(Enrollment=0,"n/a",DGET(data,"Pctile70_hr19",_xlnm.Criteria)/IF(Result_type="Aggregate Impact",1,Enrollment/1000))</f>
        <v>18.912099999999999</v>
      </c>
      <c r="N26" s="43">
        <f>IF(Enrollment=0,"n/a",DGET(data,"Pctile90_hr19",_xlnm.Criteria)/IF(Result_type="Aggregate Impact",1,Enrollment/1000))</f>
        <v>34.120539999999998</v>
      </c>
      <c r="S26" s="47"/>
      <c r="T26" s="47"/>
      <c r="U26" s="47"/>
      <c r="V26" s="47"/>
      <c r="W26" s="47"/>
    </row>
    <row r="27" spans="3:23" ht="16.5" x14ac:dyDescent="0.2">
      <c r="C27" s="4"/>
      <c r="D27" s="4"/>
      <c r="E27" s="40">
        <v>20</v>
      </c>
      <c r="F27" s="43">
        <f>IF(Enrollment=0,"n/a",DGET(data,"Ref_hr20",_xlnm.Criteria)/IF(Result_type="Aggregate Impact",1,Enrollment/1000))</f>
        <v>763.98969999999997</v>
      </c>
      <c r="G27" s="43">
        <f t="shared" si="0"/>
        <v>737.57403999999997</v>
      </c>
      <c r="H27" s="43">
        <f>IF(Enrollment=0,"n/a",DGET(data,"Pctile50_hr20",_xlnm.Criteria)/IF(Result_type="Aggregate Impact",1,Enrollment/1000))</f>
        <v>26.415659999999999</v>
      </c>
      <c r="I27" s="43">
        <f>IF(Enrollment=0,"n/a",DGET(data,"Temp_hr20",_xlnm.Criteria))</f>
        <v>75.912825999999995</v>
      </c>
      <c r="J27" s="43">
        <f>IF(Enrollment=0,"n/a",DGET(data,"Pctile10_hr20",_xlnm.Criteria)/IF(Result_type="Aggregate Impact",1,Enrollment/1000))</f>
        <v>-10.381600000000001</v>
      </c>
      <c r="K27" s="43">
        <f>IF(Enrollment=0,"n/a",DGET(data,"Pctile30_hr20",_xlnm.Criteria)/IF(Result_type="Aggregate Impact",1,Enrollment/1000))</f>
        <v>11.35852</v>
      </c>
      <c r="L27" s="43">
        <f t="shared" si="1"/>
        <v>26.415659999999999</v>
      </c>
      <c r="M27" s="43">
        <f>IF(Enrollment=0,"n/a",DGET(data,"Pctile70_hr20",_xlnm.Criteria)/IF(Result_type="Aggregate Impact",1,Enrollment/1000))</f>
        <v>41.472799999999999</v>
      </c>
      <c r="N27" s="43">
        <f>IF(Enrollment=0,"n/a",DGET(data,"Pctile90_hr20",_xlnm.Criteria)/IF(Result_type="Aggregate Impact",1,Enrollment/1000))</f>
        <v>63.212919999999997</v>
      </c>
      <c r="S27" s="47"/>
      <c r="T27" s="47"/>
      <c r="U27" s="47"/>
      <c r="V27" s="47"/>
      <c r="W27" s="47"/>
    </row>
    <row r="28" spans="3:23" ht="16.5" x14ac:dyDescent="0.2">
      <c r="C28" s="4"/>
      <c r="D28" s="4"/>
      <c r="E28" s="40">
        <v>21</v>
      </c>
      <c r="F28" s="43">
        <f>IF(Enrollment=0,"n/a",DGET(data,"Ref_hr21",_xlnm.Criteria)/IF(Result_type="Aggregate Impact",1,Enrollment/1000))</f>
        <v>730.43629999999996</v>
      </c>
      <c r="G28" s="43">
        <f t="shared" si="0"/>
        <v>729.24778099999992</v>
      </c>
      <c r="H28" s="43">
        <f>IF(Enrollment=0,"n/a",DGET(data,"Pctile50_hr21",_xlnm.Criteria)/IF(Result_type="Aggregate Impact",1,Enrollment/1000))</f>
        <v>1.1885190000000001</v>
      </c>
      <c r="I28" s="43">
        <f>IF(Enrollment=0,"n/a",DGET(data,"Temp_hr21",_xlnm.Criteria))</f>
        <v>77.204849999999993</v>
      </c>
      <c r="J28" s="43">
        <f>IF(Enrollment=0,"n/a",DGET(data,"Pctile10_hr21",_xlnm.Criteria)/IF(Result_type="Aggregate Impact",1,Enrollment/1000))</f>
        <v>-26.63936</v>
      </c>
      <c r="K28" s="43">
        <f>IF(Enrollment=0,"n/a",DGET(data,"Pctile30_hr21",_xlnm.Criteria)/IF(Result_type="Aggregate Impact",1,Enrollment/1000))</f>
        <v>-10.19842</v>
      </c>
      <c r="L28" s="43">
        <f t="shared" si="1"/>
        <v>1.1885190000000001</v>
      </c>
      <c r="M28" s="43">
        <f>IF(Enrollment=0,"n/a",DGET(data,"Pctile70_hr21",_xlnm.Criteria)/IF(Result_type="Aggregate Impact",1,Enrollment/1000))</f>
        <v>12.57546</v>
      </c>
      <c r="N28" s="43">
        <f>IF(Enrollment=0,"n/a",DGET(data,"Pctile90_hr21",_xlnm.Criteria)/IF(Result_type="Aggregate Impact",1,Enrollment/1000))</f>
        <v>29.016390000000001</v>
      </c>
      <c r="S28" s="47"/>
      <c r="T28" s="47"/>
      <c r="U28" s="47"/>
      <c r="V28" s="47"/>
      <c r="W28" s="47"/>
    </row>
    <row r="29" spans="3:23" ht="16.5" x14ac:dyDescent="0.2">
      <c r="C29" s="4"/>
      <c r="D29" s="4"/>
      <c r="E29" s="40">
        <v>22</v>
      </c>
      <c r="F29" s="43">
        <f>IF(Enrollment=0,"n/a",DGET(data,"Ref_hr22",_xlnm.Criteria)/IF(Result_type="Aggregate Impact",1,Enrollment/1000))</f>
        <v>682.91859999999997</v>
      </c>
      <c r="G29" s="43">
        <f t="shared" si="0"/>
        <v>685.52520700000002</v>
      </c>
      <c r="H29" s="43">
        <f>IF(Enrollment=0,"n/a",DGET(data,"Pctile50_hr22",_xlnm.Criteria)/IF(Result_type="Aggregate Impact",1,Enrollment/1000))</f>
        <v>-2.6066069999999999</v>
      </c>
      <c r="I29" s="43">
        <f>IF(Enrollment=0,"n/a",DGET(data,"Temp_hr22",_xlnm.Criteria))</f>
        <v>75.004827000000006</v>
      </c>
      <c r="J29" s="43">
        <f>IF(Enrollment=0,"n/a",DGET(data,"Pctile10_hr22",_xlnm.Criteria)/IF(Result_type="Aggregate Impact",1,Enrollment/1000))</f>
        <v>-15.74789</v>
      </c>
      <c r="K29" s="43">
        <f>IF(Enrollment=0,"n/a",DGET(data,"Pctile30_hr22",_xlnm.Criteria)/IF(Result_type="Aggregate Impact",1,Enrollment/1000))</f>
        <v>-7.9839130000000003</v>
      </c>
      <c r="L29" s="43">
        <f t="shared" si="1"/>
        <v>-2.6066069999999999</v>
      </c>
      <c r="M29" s="43">
        <f>IF(Enrollment=0,"n/a",DGET(data,"Pctile70_hr22",_xlnm.Criteria)/IF(Result_type="Aggregate Impact",1,Enrollment/1000))</f>
        <v>2.7707000000000002</v>
      </c>
      <c r="N29" s="43">
        <f>IF(Enrollment=0,"n/a",DGET(data,"Pctile90_hr22",_xlnm.Criteria)/IF(Result_type="Aggregate Impact",1,Enrollment/1000))</f>
        <v>10.53468</v>
      </c>
    </row>
    <row r="30" spans="3:23" ht="16.5" x14ac:dyDescent="0.2">
      <c r="C30" s="4"/>
      <c r="D30" s="4"/>
      <c r="E30" s="40">
        <v>23</v>
      </c>
      <c r="F30" s="43">
        <f>IF(Enrollment=0,"n/a",DGET(data,"Ref_hr23",_xlnm.Criteria)/IF(Result_type="Aggregate Impact",1,Enrollment/1000))</f>
        <v>629.14840000000004</v>
      </c>
      <c r="G30" s="43">
        <f t="shared" si="0"/>
        <v>611.42753000000005</v>
      </c>
      <c r="H30" s="43">
        <f>IF(Enrollment=0,"n/a",DGET(data,"Pctile50_hr23",_xlnm.Criteria)/IF(Result_type="Aggregate Impact",1,Enrollment/1000))</f>
        <v>17.720870000000001</v>
      </c>
      <c r="I30" s="43">
        <f>IF(Enrollment=0,"n/a",DGET(data,"Temp_hr23",_xlnm.Criteria))</f>
        <v>74.457981000000004</v>
      </c>
      <c r="J30" s="43">
        <f>IF(Enrollment=0,"n/a",DGET(data,"Pctile10_hr23",_xlnm.Criteria)/IF(Result_type="Aggregate Impact",1,Enrollment/1000))</f>
        <v>-1.6762630000000001</v>
      </c>
      <c r="K30" s="43">
        <f>IF(Enrollment=0,"n/a",DGET(data,"Pctile30_hr23",_xlnm.Criteria)/IF(Result_type="Aggregate Impact",1,Enrollment/1000))</f>
        <v>9.7837189999999996</v>
      </c>
      <c r="L30" s="43">
        <f t="shared" si="1"/>
        <v>17.720870000000001</v>
      </c>
      <c r="M30" s="43">
        <f>IF(Enrollment=0,"n/a",DGET(data,"Pctile70_hr23",_xlnm.Criteria)/IF(Result_type="Aggregate Impact",1,Enrollment/1000))</f>
        <v>25.65802</v>
      </c>
      <c r="N30" s="43">
        <f>IF(Enrollment=0,"n/a",DGET(data,"Pctile90_hr23",_xlnm.Criteria)/IF(Result_type="Aggregate Impact",1,Enrollment/1000))</f>
        <v>37.118000000000002</v>
      </c>
    </row>
    <row r="31" spans="3:23" ht="16.5" x14ac:dyDescent="0.2">
      <c r="C31" s="4"/>
      <c r="D31" s="4"/>
      <c r="E31" s="41">
        <v>24</v>
      </c>
      <c r="F31" s="43">
        <f>IF(Enrollment=0,"n/a",DGET(data,"Ref_hr24",_xlnm.Criteria)/IF(Result_type="Aggregate Impact",1,Enrollment/1000))</f>
        <v>551.19230000000005</v>
      </c>
      <c r="G31" s="43">
        <f t="shared" si="0"/>
        <v>532.93434000000002</v>
      </c>
      <c r="H31" s="43">
        <f>IF(Enrollment=0,"n/a",DGET(data,"Pctile50_hr24",_xlnm.Criteria)/IF(Result_type="Aggregate Impact",1,Enrollment/1000))</f>
        <v>18.257960000000001</v>
      </c>
      <c r="I31" s="43">
        <f>IF(Enrollment=0,"n/a",DGET(data,"Temp_hr24",_xlnm.Criteria))</f>
        <v>73.873219000000006</v>
      </c>
      <c r="J31" s="43">
        <f>IF(Enrollment=0,"n/a",DGET(data,"Pctile10_hr24",_xlnm.Criteria)/IF(Result_type="Aggregate Impact",1,Enrollment/1000))</f>
        <v>-8.4334240000000005</v>
      </c>
      <c r="K31" s="43">
        <f>IF(Enrollment=0,"n/a",DGET(data,"Pctile30_hr24",_xlnm.Criteria)/IF(Result_type="Aggregate Impact",1,Enrollment/1000))</f>
        <v>7.3360640000000004</v>
      </c>
      <c r="L31" s="43">
        <f t="shared" si="1"/>
        <v>18.257960000000001</v>
      </c>
      <c r="M31" s="43">
        <f>IF(Enrollment=0,"n/a",DGET(data,"Pctile70_hr24",_xlnm.Criteria)/IF(Result_type="Aggregate Impact",1,Enrollment/1000))</f>
        <v>29.179860000000001</v>
      </c>
      <c r="N31" s="43">
        <f>IF(Enrollment=0,"n/a",DGET(data,"Pctile90_hr24",_xlnm.Criteria)/IF(Result_type="Aggregate Impact",1,Enrollment/1000))</f>
        <v>44.949350000000003</v>
      </c>
    </row>
    <row r="32" spans="3:23" ht="49.5" customHeight="1" thickBot="1" x14ac:dyDescent="0.35">
      <c r="C32" s="4"/>
      <c r="D32" s="4"/>
      <c r="E32" s="16"/>
      <c r="F32" s="74" t="str">
        <f>"Estimated Reference
Energy Use
("&amp;IF(Result_type="Aggregate Impact","MWh)","kWh)")</f>
        <v>Estimated Reference
Energy Use
(MWh)</v>
      </c>
      <c r="G32" s="74" t="str">
        <f>"Observed 
Event Day Energy Use ("&amp;IF(Result_type="Aggregate Impact","MWh)","kWh)")</f>
        <v>Observed 
Event Day Energy Use (MWh)</v>
      </c>
      <c r="H32" s="74" t="str">
        <f>"Estiamted 
Change in Energy Use ("&amp;IF(Result_type="Aggregate Impact","MWh)","kWh)")</f>
        <v>Estiamted 
Change in Energy Use (MWh)</v>
      </c>
      <c r="I32" s="76" t="s">
        <v>198</v>
      </c>
      <c r="J32" s="68" t="str">
        <f>"Uncertainty Adjusted Impact ("&amp;IF(Result_type="Aggregate Impact","MWh/hour) - Percentiles","kWh/hour) - Percentiles")</f>
        <v>Uncertainty Adjusted Impact (MWh/hour) - Percentiles</v>
      </c>
      <c r="K32" s="17"/>
      <c r="L32" s="17"/>
      <c r="M32" s="17"/>
      <c r="N32" s="18"/>
    </row>
    <row r="33" spans="3:14" ht="16.5" x14ac:dyDescent="0.3">
      <c r="C33" s="4"/>
      <c r="D33" s="4"/>
      <c r="E33" s="67" t="s">
        <v>219</v>
      </c>
      <c r="F33" s="75"/>
      <c r="G33" s="75"/>
      <c r="H33" s="75"/>
      <c r="I33" s="75"/>
      <c r="J33" s="19" t="s">
        <v>16</v>
      </c>
      <c r="K33" s="19" t="s">
        <v>17</v>
      </c>
      <c r="L33" s="19" t="s">
        <v>18</v>
      </c>
      <c r="M33" s="19" t="s">
        <v>19</v>
      </c>
      <c r="N33" s="20" t="s">
        <v>20</v>
      </c>
    </row>
    <row r="34" spans="3:14" ht="17.25" thickBot="1" x14ac:dyDescent="0.35">
      <c r="C34" s="4"/>
      <c r="D34" s="4"/>
      <c r="E34" s="21" t="s">
        <v>21</v>
      </c>
      <c r="F34" s="22">
        <f>SUM(F8:F31)</f>
        <v>15269.963099999997</v>
      </c>
      <c r="G34" s="23">
        <f>SUM(G8:G31)</f>
        <v>15037.507550300001</v>
      </c>
      <c r="H34" s="23">
        <f>SUM(H8:H31)</f>
        <v>232.45554970000003</v>
      </c>
      <c r="I34" s="24">
        <f>IF(Enrollment=0,"n/a",SUM(Lookups!C9:C32))</f>
        <v>110.36038899999998</v>
      </c>
      <c r="J34" s="24" t="s">
        <v>22</v>
      </c>
      <c r="K34" s="24" t="s">
        <v>22</v>
      </c>
      <c r="L34" s="24" t="s">
        <v>22</v>
      </c>
      <c r="M34" s="24" t="s">
        <v>22</v>
      </c>
      <c r="N34" s="24" t="s">
        <v>22</v>
      </c>
    </row>
    <row r="35" spans="3:14" ht="17.25" thickBot="1" x14ac:dyDescent="0.35">
      <c r="E35" s="21" t="s">
        <v>218</v>
      </c>
      <c r="F35" s="22">
        <v>859.28364285714281</v>
      </c>
      <c r="G35" s="23">
        <v>831.91859142857152</v>
      </c>
      <c r="H35" s="23">
        <v>27.36505142857143</v>
      </c>
      <c r="I35" s="24">
        <v>74.476783999999995</v>
      </c>
      <c r="J35" s="24">
        <v>18.341758815801683</v>
      </c>
      <c r="K35" s="24">
        <v>23.672793231812623</v>
      </c>
      <c r="L35" s="24">
        <v>27.36505142857143</v>
      </c>
      <c r="M35" s="24">
        <v>31.057309625330234</v>
      </c>
      <c r="N35" s="66">
        <v>36.388344041341178</v>
      </c>
    </row>
    <row r="36" spans="3:14" x14ac:dyDescent="0.2">
      <c r="E36" s="25"/>
      <c r="F36" s="47"/>
      <c r="G36" s="47"/>
      <c r="H36" s="47"/>
      <c r="I36" s="47"/>
      <c r="J36" s="48"/>
    </row>
    <row r="37" spans="3:14" x14ac:dyDescent="0.2">
      <c r="E37" s="25"/>
      <c r="F37" s="47"/>
      <c r="G37" s="47"/>
      <c r="H37" s="47"/>
      <c r="I37" s="48"/>
    </row>
    <row r="38" spans="3:14" x14ac:dyDescent="0.2">
      <c r="E38" s="25"/>
      <c r="F38" s="47"/>
      <c r="G38" s="47"/>
      <c r="H38" s="47"/>
      <c r="I38" s="47"/>
    </row>
    <row r="40" spans="3:14" x14ac:dyDescent="0.2">
      <c r="E40" s="25"/>
      <c r="F40" s="47"/>
      <c r="G40" s="47"/>
      <c r="H40" s="47"/>
      <c r="I40" s="48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C1">
    <cfRule type="expression" dxfId="3" priority="18" stopIfTrue="1">
      <formula>#REF!&lt;&gt;""</formula>
    </cfRule>
  </conditionalFormatting>
  <conditionalFormatting sqref="A1:B1">
    <cfRule type="expression" dxfId="2" priority="19" stopIfTrue="1">
      <formula>$A$1&lt;&gt;""</formula>
    </cfRule>
  </conditionalFormatting>
  <conditionalFormatting sqref="B10:B11">
    <cfRule type="expression" dxfId="1" priority="12">
      <formula>size_lca_flag=1</formula>
    </cfRule>
  </conditionalFormatting>
  <conditionalFormatting sqref="C2">
    <cfRule type="expression" dxfId="0" priority="11">
      <formula>size_lca_flag=1</formula>
    </cfRule>
  </conditionalFormatting>
  <dataValidations count="4">
    <dataValidation type="list" allowBlank="1" showInputMessage="1" showErrorMessage="1" sqref="B11">
      <formula1>lca_list</formula1>
    </dataValidation>
    <dataValidation type="list" allowBlank="1" showInputMessage="1" showErrorMessage="1" sqref="B9">
      <formula1>evt_dates</formula1>
    </dataValidation>
    <dataValidation type="list" allowBlank="1" showInputMessage="1" showErrorMessage="1" sqref="B8">
      <formula1>Result_type_list</formula1>
    </dataValidation>
    <dataValidation type="list" allowBlank="1" showInputMessage="1" showErrorMessage="1" sqref="B10">
      <formula1>custgrp_list</formula1>
    </dataValidation>
  </dataValidations>
  <pageMargins left="0.75" right="0.75" top="1" bottom="1" header="0.5" footer="0.5"/>
  <pageSetup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0"/>
  <sheetViews>
    <sheetView workbookViewId="0">
      <selection activeCell="D20" sqref="D20"/>
    </sheetView>
  </sheetViews>
  <sheetFormatPr defaultRowHeight="12.75" x14ac:dyDescent="0.2"/>
  <cols>
    <col min="1" max="1" width="16.85546875" customWidth="1"/>
    <col min="2" max="2" width="19.5703125" customWidth="1"/>
    <col min="3" max="3" width="19.28515625" customWidth="1"/>
    <col min="6" max="6" width="16.85546875" customWidth="1"/>
    <col min="7" max="7" width="19.5703125" bestFit="1" customWidth="1"/>
    <col min="8" max="8" width="19" bestFit="1" customWidth="1"/>
    <col min="9" max="10" width="12.85546875" customWidth="1"/>
    <col min="11" max="11" width="17.85546875" customWidth="1"/>
    <col min="12" max="12" width="31" bestFit="1" customWidth="1"/>
  </cols>
  <sheetData>
    <row r="3" spans="1:14" ht="13.5" x14ac:dyDescent="0.25">
      <c r="A3" s="29"/>
      <c r="B3" s="26" t="s">
        <v>201</v>
      </c>
      <c r="C3" s="26" t="s">
        <v>2</v>
      </c>
      <c r="F3" s="10" t="s">
        <v>197</v>
      </c>
      <c r="G3" s="10" t="s">
        <v>2</v>
      </c>
      <c r="H3" s="10" t="s">
        <v>201</v>
      </c>
      <c r="I3" s="10" t="s">
        <v>3</v>
      </c>
      <c r="J3" s="10"/>
      <c r="M3" s="10"/>
    </row>
    <row r="4" spans="1:14" x14ac:dyDescent="0.2">
      <c r="A4" s="30"/>
      <c r="B4" t="str">
        <f>custgrp</f>
        <v>Inland</v>
      </c>
      <c r="C4" s="27">
        <f>date</f>
        <v>41517</v>
      </c>
      <c r="F4" s="4" t="s">
        <v>7</v>
      </c>
      <c r="G4" s="57">
        <v>41517</v>
      </c>
      <c r="H4" s="49" t="s">
        <v>204</v>
      </c>
      <c r="I4" t="s">
        <v>5</v>
      </c>
      <c r="J4" s="1"/>
    </row>
    <row r="5" spans="1:14" ht="13.5" x14ac:dyDescent="0.25">
      <c r="A5" s="29"/>
      <c r="B5" s="29"/>
      <c r="C5" s="29"/>
      <c r="F5" s="1" t="s">
        <v>26</v>
      </c>
      <c r="G5" s="58" t="s">
        <v>6</v>
      </c>
      <c r="H5" s="49" t="s">
        <v>205</v>
      </c>
      <c r="J5" s="1"/>
    </row>
    <row r="6" spans="1:14" x14ac:dyDescent="0.2">
      <c r="A6" s="30"/>
      <c r="B6" s="30"/>
      <c r="C6" s="31"/>
      <c r="H6" s="49" t="s">
        <v>5</v>
      </c>
    </row>
    <row r="7" spans="1:14" ht="13.5" x14ac:dyDescent="0.25">
      <c r="A7" s="29"/>
      <c r="B7" s="29"/>
      <c r="C7" s="29"/>
    </row>
    <row r="8" spans="1:14" x14ac:dyDescent="0.2">
      <c r="A8" s="30"/>
      <c r="C8" s="55" t="s">
        <v>199</v>
      </c>
      <c r="D8" t="s">
        <v>207</v>
      </c>
      <c r="E8" t="s">
        <v>208</v>
      </c>
      <c r="F8" t="s">
        <v>209</v>
      </c>
      <c r="G8" t="s">
        <v>210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t="s">
        <v>216</v>
      </c>
      <c r="N8" t="s">
        <v>217</v>
      </c>
    </row>
    <row r="9" spans="1:14" ht="13.5" x14ac:dyDescent="0.25">
      <c r="A9" s="29"/>
      <c r="B9">
        <v>1</v>
      </c>
      <c r="C9" s="56">
        <f>MAX(0,Table!I8-75)</f>
        <v>0.83076599999999701</v>
      </c>
      <c r="E9" t="str">
        <f>IF($D9=1,Table!F8,"")</f>
        <v/>
      </c>
      <c r="F9" t="str">
        <f>IF($D9=1,Table!G8,"")</f>
        <v/>
      </c>
      <c r="G9" t="str">
        <f>IF($D9=1,Table!H8,"")</f>
        <v/>
      </c>
      <c r="H9" t="str">
        <f>IF($D9=1,C9,"")</f>
        <v/>
      </c>
      <c r="I9" t="str">
        <f>IF($D9=1,Table!J8,"")</f>
        <v/>
      </c>
      <c r="J9" t="str">
        <f>IF($D9=1,Table!K8,"")</f>
        <v/>
      </c>
      <c r="K9" t="str">
        <f>IF($D9=1,Table!L8,"")</f>
        <v/>
      </c>
      <c r="L9" t="str">
        <f>IF($D9=1,Table!M8,"")</f>
        <v/>
      </c>
      <c r="M9" t="str">
        <f>IF($D9=1,Table!N8,"")</f>
        <v/>
      </c>
      <c r="N9" t="str">
        <f t="shared" ref="N9:N19" si="0">IF(D9=1,((J9-K9)/NORMSINV(0.3))^2,"")</f>
        <v/>
      </c>
    </row>
    <row r="10" spans="1:14" x14ac:dyDescent="0.2">
      <c r="A10" s="30"/>
      <c r="B10">
        <f>B9+1</f>
        <v>2</v>
      </c>
      <c r="C10" s="56">
        <f>MAX(0,Table!I9-75)</f>
        <v>0.80838099999999713</v>
      </c>
      <c r="E10" t="str">
        <f>IF($D10=1,Table!F9,"")</f>
        <v/>
      </c>
      <c r="F10" t="str">
        <f>IF($D10=1,Table!G9,"")</f>
        <v/>
      </c>
      <c r="G10" t="str">
        <f>IF($D10=1,Table!H9,"")</f>
        <v/>
      </c>
      <c r="H10" t="str">
        <f t="shared" ref="H10:H32" si="1">IF($D10=1,C10,"")</f>
        <v/>
      </c>
      <c r="I10" t="str">
        <f>IF($D10=1,Table!J9,"")</f>
        <v/>
      </c>
      <c r="J10" t="str">
        <f>IF($D10=1,Table!K9,"")</f>
        <v/>
      </c>
      <c r="K10" t="str">
        <f>IF($D10=1,Table!L9,"")</f>
        <v/>
      </c>
      <c r="L10" t="str">
        <f>IF($D10=1,Table!M9,"")</f>
        <v/>
      </c>
      <c r="M10" t="str">
        <f>IF($D10=1,Table!N9,"")</f>
        <v/>
      </c>
      <c r="N10" t="str">
        <f t="shared" si="0"/>
        <v/>
      </c>
    </row>
    <row r="11" spans="1:14" ht="13.5" x14ac:dyDescent="0.25">
      <c r="A11" s="29"/>
      <c r="B11">
        <f t="shared" ref="B11:B32" si="2">B10+1</f>
        <v>3</v>
      </c>
      <c r="C11" s="56">
        <f>MAX(0,Table!I10-75)</f>
        <v>0.26451099999999883</v>
      </c>
      <c r="E11" t="str">
        <f>IF($D11=1,Table!F10,"")</f>
        <v/>
      </c>
      <c r="F11" t="str">
        <f>IF($D11=1,Table!G10,"")</f>
        <v/>
      </c>
      <c r="G11" t="str">
        <f>IF($D11=1,Table!H10,"")</f>
        <v/>
      </c>
      <c r="H11" t="str">
        <f t="shared" si="1"/>
        <v/>
      </c>
      <c r="I11" t="str">
        <f>IF($D11=1,Table!J10,"")</f>
        <v/>
      </c>
      <c r="J11" t="str">
        <f>IF($D11=1,Table!K10,"")</f>
        <v/>
      </c>
      <c r="K11" t="str">
        <f>IF($D11=1,Table!L10,"")</f>
        <v/>
      </c>
      <c r="L11" t="str">
        <f>IF($D11=1,Table!M10,"")</f>
        <v/>
      </c>
      <c r="M11" t="str">
        <f>IF($D11=1,Table!N10,"")</f>
        <v/>
      </c>
      <c r="N11" t="str">
        <f t="shared" si="0"/>
        <v/>
      </c>
    </row>
    <row r="12" spans="1:14" x14ac:dyDescent="0.2">
      <c r="A12" s="30"/>
      <c r="B12">
        <f t="shared" si="2"/>
        <v>4</v>
      </c>
      <c r="C12" s="56">
        <f>MAX(0,Table!I11-75)</f>
        <v>0</v>
      </c>
      <c r="E12" t="str">
        <f>IF($D12=1,Table!F11,"")</f>
        <v/>
      </c>
      <c r="F12" t="str">
        <f>IF($D12=1,Table!G11,"")</f>
        <v/>
      </c>
      <c r="G12" t="str">
        <f>IF($D12=1,Table!H11,"")</f>
        <v/>
      </c>
      <c r="H12" t="str">
        <f t="shared" si="1"/>
        <v/>
      </c>
      <c r="I12" t="str">
        <f>IF($D12=1,Table!J11,"")</f>
        <v/>
      </c>
      <c r="J12" t="str">
        <f>IF($D12=1,Table!K11,"")</f>
        <v/>
      </c>
      <c r="K12" t="str">
        <f>IF($D12=1,Table!L11,"")</f>
        <v/>
      </c>
      <c r="L12" t="str">
        <f>IF($D12=1,Table!M11,"")</f>
        <v/>
      </c>
      <c r="M12" t="str">
        <f>IF($D12=1,Table!N11,"")</f>
        <v/>
      </c>
      <c r="N12" t="str">
        <f t="shared" si="0"/>
        <v/>
      </c>
    </row>
    <row r="13" spans="1:14" ht="13.5" x14ac:dyDescent="0.25">
      <c r="A13" s="29"/>
      <c r="B13">
        <f t="shared" si="2"/>
        <v>5</v>
      </c>
      <c r="C13" s="56">
        <f>MAX(0,Table!I12-75)</f>
        <v>0</v>
      </c>
      <c r="E13" t="str">
        <f>IF($D13=1,Table!F12,"")</f>
        <v/>
      </c>
      <c r="F13" t="str">
        <f>IF($D13=1,Table!G12,"")</f>
        <v/>
      </c>
      <c r="G13" t="str">
        <f>IF($D13=1,Table!H12,"")</f>
        <v/>
      </c>
      <c r="H13" t="str">
        <f t="shared" si="1"/>
        <v/>
      </c>
      <c r="I13" t="str">
        <f>IF($D13=1,Table!J12,"")</f>
        <v/>
      </c>
      <c r="J13" t="str">
        <f>IF($D13=1,Table!K12,"")</f>
        <v/>
      </c>
      <c r="K13" t="str">
        <f>IF($D13=1,Table!L12,"")</f>
        <v/>
      </c>
      <c r="L13" t="str">
        <f>IF($D13=1,Table!M12,"")</f>
        <v/>
      </c>
      <c r="M13" t="str">
        <f>IF($D13=1,Table!N12,"")</f>
        <v/>
      </c>
      <c r="N13" t="str">
        <f t="shared" si="0"/>
        <v/>
      </c>
    </row>
    <row r="14" spans="1:14" x14ac:dyDescent="0.2">
      <c r="A14" s="30"/>
      <c r="B14">
        <f t="shared" si="2"/>
        <v>6</v>
      </c>
      <c r="C14" s="56">
        <f>MAX(0,Table!I13-75)</f>
        <v>0</v>
      </c>
      <c r="E14" t="str">
        <f>IF($D14=1,Table!F13,"")</f>
        <v/>
      </c>
      <c r="F14" t="str">
        <f>IF($D14=1,Table!G13,"")</f>
        <v/>
      </c>
      <c r="G14" t="str">
        <f>IF($D14=1,Table!H13,"")</f>
        <v/>
      </c>
      <c r="H14" t="str">
        <f t="shared" si="1"/>
        <v/>
      </c>
      <c r="I14" t="str">
        <f>IF($D14=1,Table!J13,"")</f>
        <v/>
      </c>
      <c r="J14" t="str">
        <f>IF($D14=1,Table!K13,"")</f>
        <v/>
      </c>
      <c r="K14" t="str">
        <f>IF($D14=1,Table!L13,"")</f>
        <v/>
      </c>
      <c r="L14" t="str">
        <f>IF($D14=1,Table!M13,"")</f>
        <v/>
      </c>
      <c r="M14" t="str">
        <f>IF($D14=1,Table!N13,"")</f>
        <v/>
      </c>
      <c r="N14" t="str">
        <f t="shared" si="0"/>
        <v/>
      </c>
    </row>
    <row r="15" spans="1:14" ht="13.5" x14ac:dyDescent="0.25">
      <c r="A15" s="29"/>
      <c r="B15">
        <f t="shared" si="2"/>
        <v>7</v>
      </c>
      <c r="C15" s="56">
        <f>MAX(0,Table!I14-75)</f>
        <v>0</v>
      </c>
      <c r="E15" t="str">
        <f>IF($D15=1,Table!F14,"")</f>
        <v/>
      </c>
      <c r="F15" t="str">
        <f>IF($D15=1,Table!G14,"")</f>
        <v/>
      </c>
      <c r="G15" t="str">
        <f>IF($D15=1,Table!H14,"")</f>
        <v/>
      </c>
      <c r="H15" t="str">
        <f t="shared" si="1"/>
        <v/>
      </c>
      <c r="I15" t="str">
        <f>IF($D15=1,Table!J14,"")</f>
        <v/>
      </c>
      <c r="J15" t="str">
        <f>IF($D15=1,Table!K14,"")</f>
        <v/>
      </c>
      <c r="K15" t="str">
        <f>IF($D15=1,Table!L14,"")</f>
        <v/>
      </c>
      <c r="L15" t="str">
        <f>IF($D15=1,Table!M14,"")</f>
        <v/>
      </c>
      <c r="M15" t="str">
        <f>IF($D15=1,Table!N14,"")</f>
        <v/>
      </c>
      <c r="N15" t="str">
        <f t="shared" si="0"/>
        <v/>
      </c>
    </row>
    <row r="16" spans="1:14" x14ac:dyDescent="0.2">
      <c r="A16" s="30"/>
      <c r="B16">
        <f t="shared" si="2"/>
        <v>8</v>
      </c>
      <c r="C16" s="56">
        <f>MAX(0,Table!I15-75)</f>
        <v>2.707222999999999</v>
      </c>
      <c r="E16" t="str">
        <f>IF($D16=1,Table!F15,"")</f>
        <v/>
      </c>
      <c r="F16" t="str">
        <f>IF($D16=1,Table!G15,"")</f>
        <v/>
      </c>
      <c r="G16" t="str">
        <f>IF($D16=1,Table!H15,"")</f>
        <v/>
      </c>
      <c r="H16" t="str">
        <f t="shared" si="1"/>
        <v/>
      </c>
      <c r="I16" t="str">
        <f>IF($D16=1,Table!J15,"")</f>
        <v/>
      </c>
      <c r="J16" t="str">
        <f>IF($D16=1,Table!K15,"")</f>
        <v/>
      </c>
      <c r="K16" t="str">
        <f>IF($D16=1,Table!L15,"")</f>
        <v/>
      </c>
      <c r="L16" t="str">
        <f>IF($D16=1,Table!M15,"")</f>
        <v/>
      </c>
      <c r="M16" t="str">
        <f>IF($D16=1,Table!N15,"")</f>
        <v/>
      </c>
      <c r="N16" t="str">
        <f t="shared" si="0"/>
        <v/>
      </c>
    </row>
    <row r="17" spans="1:14" ht="13.5" x14ac:dyDescent="0.25">
      <c r="A17" s="29"/>
      <c r="B17">
        <f t="shared" si="2"/>
        <v>9</v>
      </c>
      <c r="C17" s="56">
        <f>MAX(0,Table!I16-75)</f>
        <v>5.9027260000000012</v>
      </c>
      <c r="E17" t="str">
        <f>IF($D17=1,Table!F16,"")</f>
        <v/>
      </c>
      <c r="F17" t="str">
        <f>IF($D17=1,Table!G16,"")</f>
        <v/>
      </c>
      <c r="G17" t="str">
        <f>IF($D17=1,Table!H16,"")</f>
        <v/>
      </c>
      <c r="H17" t="str">
        <f t="shared" si="1"/>
        <v/>
      </c>
      <c r="I17" t="str">
        <f>IF($D17=1,Table!J16,"")</f>
        <v/>
      </c>
      <c r="J17" t="str">
        <f>IF($D17=1,Table!K16,"")</f>
        <v/>
      </c>
      <c r="K17" t="str">
        <f>IF($D17=1,Table!L16,"")</f>
        <v/>
      </c>
      <c r="L17" t="str">
        <f>IF($D17=1,Table!M16,"")</f>
        <v/>
      </c>
      <c r="M17" t="str">
        <f>IF($D17=1,Table!N16,"")</f>
        <v/>
      </c>
      <c r="N17" t="str">
        <f t="shared" si="0"/>
        <v/>
      </c>
    </row>
    <row r="18" spans="1:14" x14ac:dyDescent="0.2">
      <c r="A18" s="30"/>
      <c r="B18">
        <f t="shared" si="2"/>
        <v>10</v>
      </c>
      <c r="C18" s="56">
        <f>MAX(0,Table!I17-75)</f>
        <v>7.968986000000001</v>
      </c>
      <c r="E18" t="str">
        <f>IF($D18=1,Table!F17,"")</f>
        <v/>
      </c>
      <c r="F18" t="str">
        <f>IF($D18=1,Table!G17,"")</f>
        <v/>
      </c>
      <c r="G18" t="str">
        <f>IF($D18=1,Table!H17,"")</f>
        <v/>
      </c>
      <c r="H18" t="str">
        <f t="shared" si="1"/>
        <v/>
      </c>
      <c r="I18" t="str">
        <f>IF($D18=1,Table!J17,"")</f>
        <v/>
      </c>
      <c r="J18" t="str">
        <f>IF($D18=1,Table!K17,"")</f>
        <v/>
      </c>
      <c r="K18" t="str">
        <f>IF($D18=1,Table!L17,"")</f>
        <v/>
      </c>
      <c r="L18" t="str">
        <f>IF($D18=1,Table!M17,"")</f>
        <v/>
      </c>
      <c r="M18" t="str">
        <f>IF($D18=1,Table!N17,"")</f>
        <v/>
      </c>
      <c r="N18" t="str">
        <f t="shared" si="0"/>
        <v/>
      </c>
    </row>
    <row r="19" spans="1:14" ht="13.5" x14ac:dyDescent="0.25">
      <c r="A19" s="29"/>
      <c r="B19">
        <f t="shared" si="2"/>
        <v>11</v>
      </c>
      <c r="C19" s="56">
        <f>MAX(0,Table!I18-75)</f>
        <v>10.591835000000003</v>
      </c>
      <c r="E19" t="str">
        <f>IF($D19=1,Table!F18,"")</f>
        <v/>
      </c>
      <c r="F19" t="str">
        <f>IF($D19=1,Table!G18,"")</f>
        <v/>
      </c>
      <c r="G19" t="str">
        <f>IF($D19=1,Table!H18,"")</f>
        <v/>
      </c>
      <c r="H19" t="str">
        <f t="shared" si="1"/>
        <v/>
      </c>
      <c r="I19" t="str">
        <f>IF($D19=1,Table!J18,"")</f>
        <v/>
      </c>
      <c r="J19" t="str">
        <f>IF($D19=1,Table!K18,"")</f>
        <v/>
      </c>
      <c r="K19" t="str">
        <f>IF($D19=1,Table!L18,"")</f>
        <v/>
      </c>
      <c r="L19" t="str">
        <f>IF($D19=1,Table!M18,"")</f>
        <v/>
      </c>
      <c r="M19" t="str">
        <f>IF($D19=1,Table!N18,"")</f>
        <v/>
      </c>
      <c r="N19" t="str">
        <f t="shared" si="0"/>
        <v/>
      </c>
    </row>
    <row r="20" spans="1:14" x14ac:dyDescent="0.2">
      <c r="A20" s="30"/>
      <c r="B20">
        <f t="shared" si="2"/>
        <v>12</v>
      </c>
      <c r="C20" s="56">
        <f>MAX(0,Table!I19-75)</f>
        <v>12.000280000000004</v>
      </c>
      <c r="D20">
        <v>1</v>
      </c>
      <c r="E20">
        <f>IF($D20=1,Table!F19,"")</f>
        <v>803.12850000000003</v>
      </c>
      <c r="F20">
        <f>IF($D20=1,Table!G19,"")</f>
        <v>757.76701000000003</v>
      </c>
      <c r="G20">
        <f>IF($D20=1,Table!H19,"")</f>
        <v>45.361490000000003</v>
      </c>
      <c r="H20">
        <f t="shared" si="1"/>
        <v>12.000280000000004</v>
      </c>
      <c r="I20">
        <f>IF($D20=1,Table!J19,"")</f>
        <v>32.475650000000002</v>
      </c>
      <c r="J20">
        <f>IF($D20=1,Table!K19,"")</f>
        <v>40.088709999999999</v>
      </c>
      <c r="K20">
        <f>IF($D20=1,Table!L19,"")</f>
        <v>45.361490000000003</v>
      </c>
      <c r="L20">
        <f>IF($D20=1,Table!M19,"")</f>
        <v>50.634270000000001</v>
      </c>
      <c r="M20">
        <f>IF($D20=1,Table!N19,"")</f>
        <v>58.247320000000002</v>
      </c>
      <c r="N20">
        <f>IF(D20=1,((J20-K20)/NORMSINV(0.3))^2,"")</f>
        <v>101.10044970871984</v>
      </c>
    </row>
    <row r="21" spans="1:14" ht="13.5" x14ac:dyDescent="0.25">
      <c r="A21" s="29"/>
      <c r="B21">
        <f t="shared" si="2"/>
        <v>13</v>
      </c>
      <c r="C21" s="56">
        <f>MAX(0,Table!I20-75)</f>
        <v>11.786520999999993</v>
      </c>
      <c r="D21">
        <v>1</v>
      </c>
      <c r="E21">
        <f>IF($D21=1,Table!F20,"")</f>
        <v>842.17110000000002</v>
      </c>
      <c r="F21">
        <f>IF($D21=1,Table!G20,"")</f>
        <v>797.84582999999998</v>
      </c>
      <c r="G21">
        <f>IF($D21=1,Table!H20,"")</f>
        <v>44.325270000000003</v>
      </c>
      <c r="H21">
        <f t="shared" si="1"/>
        <v>11.786520999999993</v>
      </c>
      <c r="I21">
        <f>IF($D21=1,Table!J20,"")</f>
        <v>25.077539999999999</v>
      </c>
      <c r="J21">
        <f>IF($D21=1,Table!K20,"")</f>
        <v>36.449249999999999</v>
      </c>
      <c r="K21">
        <f>IF($D21=1,Table!L20,"")</f>
        <v>44.325270000000003</v>
      </c>
      <c r="L21">
        <f>IF($D21=1,Table!M20,"")</f>
        <v>52.201279999999997</v>
      </c>
      <c r="M21">
        <f>IF($D21=1,Table!N20,"")</f>
        <v>63.572989999999997</v>
      </c>
      <c r="N21">
        <f t="shared" ref="N21:N32" si="3">IF(D21=1,((J21-K21)/NORMSINV(0.3))^2,"")</f>
        <v>225.57315055533323</v>
      </c>
    </row>
    <row r="22" spans="1:14" x14ac:dyDescent="0.2">
      <c r="A22" s="30"/>
      <c r="B22">
        <f t="shared" si="2"/>
        <v>14</v>
      </c>
      <c r="C22" s="56">
        <f>MAX(0,Table!I21-75)</f>
        <v>11.896702000000005</v>
      </c>
      <c r="D22">
        <v>1</v>
      </c>
      <c r="E22">
        <f>IF($D22=1,Table!F21,"")</f>
        <v>851.67830000000004</v>
      </c>
      <c r="F22">
        <f>IF($D22=1,Table!G21,"")</f>
        <v>826.41563000000008</v>
      </c>
      <c r="G22">
        <f>IF($D22=1,Table!H21,"")</f>
        <v>25.26267</v>
      </c>
      <c r="H22">
        <f t="shared" si="1"/>
        <v>11.896702000000005</v>
      </c>
      <c r="I22">
        <f>IF($D22=1,Table!J21,"")</f>
        <v>10.291969999999999</v>
      </c>
      <c r="J22">
        <f>IF($D22=1,Table!K21,"")</f>
        <v>19.136780000000002</v>
      </c>
      <c r="K22">
        <f>IF($D22=1,Table!L21,"")</f>
        <v>25.26267</v>
      </c>
      <c r="L22">
        <f>IF($D22=1,Table!M21,"")</f>
        <v>31.388570000000001</v>
      </c>
      <c r="M22">
        <f>IF($D22=1,Table!N21,"")</f>
        <v>40.233379999999997</v>
      </c>
      <c r="N22">
        <f t="shared" si="3"/>
        <v>136.46213853399166</v>
      </c>
    </row>
    <row r="23" spans="1:14" ht="13.5" x14ac:dyDescent="0.25">
      <c r="A23" s="29"/>
      <c r="B23">
        <f t="shared" si="2"/>
        <v>15</v>
      </c>
      <c r="C23" s="56">
        <f>MAX(0,Table!I22-75)</f>
        <v>11.598602</v>
      </c>
      <c r="D23">
        <v>1</v>
      </c>
      <c r="E23">
        <f>IF($D23=1,Table!F22,"")</f>
        <v>865.803</v>
      </c>
      <c r="F23">
        <f>IF($D23=1,Table!G22,"")</f>
        <v>850.79243999999994</v>
      </c>
      <c r="G23">
        <f>IF($D23=1,Table!H22,"")</f>
        <v>15.01056</v>
      </c>
      <c r="H23">
        <f t="shared" si="1"/>
        <v>11.598602</v>
      </c>
      <c r="I23">
        <f>IF($D23=1,Table!J22,"")</f>
        <v>-5.7777440000000002</v>
      </c>
      <c r="J23">
        <f>IF($D23=1,Table!K22,"")</f>
        <v>6.5041520000000004</v>
      </c>
      <c r="K23">
        <f>IF($D23=1,Table!L22,"")</f>
        <v>15.01056</v>
      </c>
      <c r="L23">
        <f>IF($D23=1,Table!M22,"")</f>
        <v>23.516960000000001</v>
      </c>
      <c r="M23">
        <f>IF($D23=1,Table!N22,"")</f>
        <v>35.798859999999998</v>
      </c>
      <c r="N23">
        <f t="shared" si="3"/>
        <v>263.12747811938141</v>
      </c>
    </row>
    <row r="24" spans="1:14" x14ac:dyDescent="0.2">
      <c r="A24" s="30"/>
      <c r="B24">
        <f t="shared" si="2"/>
        <v>16</v>
      </c>
      <c r="C24" s="56">
        <f>MAX(0,Table!I23-75)</f>
        <v>11.378354000000002</v>
      </c>
      <c r="D24">
        <v>1</v>
      </c>
      <c r="E24">
        <f>IF($D24=1,Table!F23,"")</f>
        <v>894.84590000000003</v>
      </c>
      <c r="F24">
        <f>IF($D24=1,Table!G23,"")</f>
        <v>871.17113000000006</v>
      </c>
      <c r="G24">
        <f>IF($D24=1,Table!H23,"")</f>
        <v>23.674769999999999</v>
      </c>
      <c r="H24">
        <f t="shared" si="1"/>
        <v>11.378354000000002</v>
      </c>
      <c r="I24">
        <f>IF($D24=1,Table!J23,"")</f>
        <v>-5.210966</v>
      </c>
      <c r="J24">
        <f>IF($D24=1,Table!K23,"")</f>
        <v>11.85496</v>
      </c>
      <c r="K24">
        <f>IF($D24=1,Table!L23,"")</f>
        <v>23.674769999999999</v>
      </c>
      <c r="L24">
        <f>IF($D24=1,Table!M23,"")</f>
        <v>35.494579999999999</v>
      </c>
      <c r="M24">
        <f>IF($D24=1,Table!N23,"")</f>
        <v>52.560499999999998</v>
      </c>
      <c r="N24">
        <f t="shared" si="3"/>
        <v>508.03633650584175</v>
      </c>
    </row>
    <row r="25" spans="1:14" ht="13.5" x14ac:dyDescent="0.25">
      <c r="A25" s="29"/>
      <c r="B25">
        <f t="shared" si="2"/>
        <v>17</v>
      </c>
      <c r="C25" s="56">
        <f>MAX(0,Table!I24-75)</f>
        <v>9.8388659999999959</v>
      </c>
      <c r="D25">
        <v>1</v>
      </c>
      <c r="E25">
        <f>IF($D25=1,Table!F24,"")</f>
        <v>900.20100000000002</v>
      </c>
      <c r="F25">
        <f>IF($D25=1,Table!G24,"")</f>
        <v>882.10643000000005</v>
      </c>
      <c r="G25">
        <f>IF($D25=1,Table!H24,"")</f>
        <v>18.094570000000001</v>
      </c>
      <c r="H25">
        <f t="shared" si="1"/>
        <v>9.8388659999999959</v>
      </c>
      <c r="I25">
        <f>IF($D25=1,Table!J24,"")</f>
        <v>-13.61347</v>
      </c>
      <c r="J25">
        <f>IF($D25=1,Table!K24,"")</f>
        <v>5.1198969999999999</v>
      </c>
      <c r="K25">
        <f>IF($D25=1,Table!L24,"")</f>
        <v>18.094570000000001</v>
      </c>
      <c r="L25">
        <f>IF($D25=1,Table!M24,"")</f>
        <v>31.069240000000001</v>
      </c>
      <c r="M25">
        <f>IF($D25=1,Table!N24,"")</f>
        <v>49.802610000000001</v>
      </c>
      <c r="N25">
        <f t="shared" si="3"/>
        <v>612.16236622976089</v>
      </c>
    </row>
    <row r="26" spans="1:14" x14ac:dyDescent="0.2">
      <c r="A26" s="60"/>
      <c r="B26" s="49">
        <f t="shared" si="2"/>
        <v>18</v>
      </c>
      <c r="C26" s="62">
        <f>MAX(0,Table!I25-75)</f>
        <v>5.9774589999999961</v>
      </c>
      <c r="D26" s="49">
        <v>1</v>
      </c>
      <c r="E26">
        <f>IF($D26=1,Table!F25,"")</f>
        <v>857.15769999999998</v>
      </c>
      <c r="F26">
        <f>IF($D26=1,Table!G25,"")</f>
        <v>837.33167000000003</v>
      </c>
      <c r="G26">
        <f>IF($D26=1,Table!H25,"")</f>
        <v>19.826029999999999</v>
      </c>
      <c r="H26">
        <f t="shared" si="1"/>
        <v>5.9774589999999961</v>
      </c>
      <c r="I26">
        <f>IF($D26=1,Table!J25,"")</f>
        <v>-11.1092</v>
      </c>
      <c r="J26">
        <f>IF($D26=1,Table!K25,"")</f>
        <v>7.1675820000000003</v>
      </c>
      <c r="K26">
        <f>IF($D26=1,Table!L25,"")</f>
        <v>19.826029999999999</v>
      </c>
      <c r="L26">
        <f>IF($D26=1,Table!M25,"")</f>
        <v>32.484470000000002</v>
      </c>
      <c r="M26">
        <f>IF($D26=1,Table!N25,"")</f>
        <v>50.761249999999997</v>
      </c>
      <c r="N26">
        <f t="shared" si="3"/>
        <v>582.68616765668571</v>
      </c>
    </row>
    <row r="27" spans="1:14" ht="13.5" x14ac:dyDescent="0.25">
      <c r="A27" s="61"/>
      <c r="B27" s="49">
        <f t="shared" si="2"/>
        <v>19</v>
      </c>
      <c r="C27" s="62">
        <f>MAX(0,Table!I26-75)</f>
        <v>3.6866739999999965</v>
      </c>
      <c r="D27" s="49"/>
      <c r="E27" t="str">
        <f>IF($D27=1,Table!F26,"")</f>
        <v/>
      </c>
      <c r="F27" t="str">
        <f>IF($D27=1,Table!G26,"")</f>
        <v/>
      </c>
      <c r="G27" t="str">
        <f>IF($D27=1,Table!H26,"")</f>
        <v/>
      </c>
      <c r="H27" t="str">
        <f t="shared" si="1"/>
        <v/>
      </c>
      <c r="I27" t="str">
        <f>IF($D27=1,Table!J26,"")</f>
        <v/>
      </c>
      <c r="J27" t="str">
        <f>IF($D27=1,Table!K26,"")</f>
        <v/>
      </c>
      <c r="K27" t="str">
        <f>IF($D27=1,Table!L26,"")</f>
        <v/>
      </c>
      <c r="L27" t="str">
        <f>IF($D27=1,Table!M26,"")</f>
        <v/>
      </c>
      <c r="M27" t="str">
        <f>IF($D27=1,Table!N26,"")</f>
        <v/>
      </c>
      <c r="N27" t="str">
        <f t="shared" si="3"/>
        <v/>
      </c>
    </row>
    <row r="28" spans="1:14" x14ac:dyDescent="0.2">
      <c r="A28" s="60"/>
      <c r="B28" s="49">
        <f t="shared" si="2"/>
        <v>20</v>
      </c>
      <c r="C28" s="62">
        <f>MAX(0,Table!I27-75)</f>
        <v>0.91282599999999547</v>
      </c>
      <c r="D28" s="49"/>
      <c r="E28" t="str">
        <f>IF($D28=1,Table!F27,"")</f>
        <v/>
      </c>
      <c r="F28" t="str">
        <f>IF($D28=1,Table!G27,"")</f>
        <v/>
      </c>
      <c r="G28" t="str">
        <f>IF($D28=1,Table!H27,"")</f>
        <v/>
      </c>
      <c r="H28" t="str">
        <f t="shared" si="1"/>
        <v/>
      </c>
      <c r="I28" t="str">
        <f>IF($D28=1,Table!J27,"")</f>
        <v/>
      </c>
      <c r="J28" t="str">
        <f>IF($D28=1,Table!K27,"")</f>
        <v/>
      </c>
      <c r="K28" t="str">
        <f>IF($D28=1,Table!L27,"")</f>
        <v/>
      </c>
      <c r="L28" t="str">
        <f>IF($D28=1,Table!M27,"")</f>
        <v/>
      </c>
      <c r="M28" t="str">
        <f>IF($D28=1,Table!N27,"")</f>
        <v/>
      </c>
      <c r="N28" t="str">
        <f t="shared" si="3"/>
        <v/>
      </c>
    </row>
    <row r="29" spans="1:14" ht="13.5" x14ac:dyDescent="0.25">
      <c r="A29" s="61"/>
      <c r="B29" s="49">
        <f t="shared" si="2"/>
        <v>21</v>
      </c>
      <c r="C29" s="62">
        <f>MAX(0,Table!I28-75)</f>
        <v>2.2048499999999933</v>
      </c>
      <c r="D29" s="49"/>
      <c r="E29" t="str">
        <f>IF($D29=1,Table!F28,"")</f>
        <v/>
      </c>
      <c r="F29" t="str">
        <f>IF($D29=1,Table!G28,"")</f>
        <v/>
      </c>
      <c r="G29" t="str">
        <f>IF($D29=1,Table!H28,"")</f>
        <v/>
      </c>
      <c r="H29" t="str">
        <f t="shared" si="1"/>
        <v/>
      </c>
      <c r="I29" t="str">
        <f>IF($D29=1,Table!J28,"")</f>
        <v/>
      </c>
      <c r="J29" t="str">
        <f>IF($D29=1,Table!K28,"")</f>
        <v/>
      </c>
      <c r="K29" t="str">
        <f>IF($D29=1,Table!L28,"")</f>
        <v/>
      </c>
      <c r="L29" t="str">
        <f>IF($D29=1,Table!M28,"")</f>
        <v/>
      </c>
      <c r="M29" t="str">
        <f>IF($D29=1,Table!N28,"")</f>
        <v/>
      </c>
      <c r="N29" t="str">
        <f t="shared" si="3"/>
        <v/>
      </c>
    </row>
    <row r="30" spans="1:14" x14ac:dyDescent="0.2">
      <c r="A30" s="60"/>
      <c r="B30" s="49">
        <f t="shared" si="2"/>
        <v>22</v>
      </c>
      <c r="C30" s="62">
        <f>MAX(0,Table!I29-75)</f>
        <v>4.8270000000059099E-3</v>
      </c>
      <c r="D30" s="49"/>
      <c r="E30" t="str">
        <f>IF($D30=1,Table!F29,"")</f>
        <v/>
      </c>
      <c r="F30" t="str">
        <f>IF($D30=1,Table!G29,"")</f>
        <v/>
      </c>
      <c r="G30" t="str">
        <f>IF($D30=1,Table!H29,"")</f>
        <v/>
      </c>
      <c r="H30" t="str">
        <f t="shared" si="1"/>
        <v/>
      </c>
      <c r="I30" t="str">
        <f>IF($D30=1,Table!J29,"")</f>
        <v/>
      </c>
      <c r="J30" t="str">
        <f>IF($D30=1,Table!K29,"")</f>
        <v/>
      </c>
      <c r="K30" t="str">
        <f>IF($D30=1,Table!L29,"")</f>
        <v/>
      </c>
      <c r="L30" t="str">
        <f>IF($D30=1,Table!M29,"")</f>
        <v/>
      </c>
      <c r="M30" t="str">
        <f>IF($D30=1,Table!N29,"")</f>
        <v/>
      </c>
      <c r="N30" t="str">
        <f t="shared" si="3"/>
        <v/>
      </c>
    </row>
    <row r="31" spans="1:14" ht="13.5" x14ac:dyDescent="0.25">
      <c r="A31" s="61"/>
      <c r="B31" s="49">
        <f t="shared" si="2"/>
        <v>23</v>
      </c>
      <c r="C31" s="62">
        <f>MAX(0,Table!I30-75)</f>
        <v>0</v>
      </c>
      <c r="D31" s="49"/>
      <c r="E31" t="str">
        <f>IF($D31=1,Table!F30,"")</f>
        <v/>
      </c>
      <c r="F31" t="str">
        <f>IF($D31=1,Table!G30,"")</f>
        <v/>
      </c>
      <c r="G31" t="str">
        <f>IF($D31=1,Table!H30,"")</f>
        <v/>
      </c>
      <c r="H31" t="str">
        <f t="shared" si="1"/>
        <v/>
      </c>
      <c r="I31" t="str">
        <f>IF($D31=1,Table!J30,"")</f>
        <v/>
      </c>
      <c r="J31" t="str">
        <f>IF($D31=1,Table!K30,"")</f>
        <v/>
      </c>
      <c r="K31" t="str">
        <f>IF($D31=1,Table!L30,"")</f>
        <v/>
      </c>
      <c r="L31" t="str">
        <f>IF($D31=1,Table!M30,"")</f>
        <v/>
      </c>
      <c r="M31" t="str">
        <f>IF($D31=1,Table!N30,"")</f>
        <v/>
      </c>
      <c r="N31" t="str">
        <f t="shared" si="3"/>
        <v/>
      </c>
    </row>
    <row r="32" spans="1:14" x14ac:dyDescent="0.2">
      <c r="A32" s="60"/>
      <c r="B32" s="49">
        <f t="shared" si="2"/>
        <v>24</v>
      </c>
      <c r="C32" s="62">
        <f>MAX(0,Table!I31-75)</f>
        <v>0</v>
      </c>
      <c r="D32" s="49"/>
      <c r="E32" t="str">
        <f>IF($D32=1,Table!F31,"")</f>
        <v/>
      </c>
      <c r="F32" t="str">
        <f>IF($D32=1,Table!G31,"")</f>
        <v/>
      </c>
      <c r="G32" t="str">
        <f>IF($D32=1,Table!H31,"")</f>
        <v/>
      </c>
      <c r="H32" t="str">
        <f t="shared" si="1"/>
        <v/>
      </c>
      <c r="I32" t="str">
        <f>IF($D32=1,Table!J31,"")</f>
        <v/>
      </c>
      <c r="J32" t="str">
        <f>IF($D32=1,Table!K31,"")</f>
        <v/>
      </c>
      <c r="K32" t="str">
        <f>IF($D32=1,Table!L31,"")</f>
        <v/>
      </c>
      <c r="L32" t="str">
        <f>IF($D32=1,Table!M31,"")</f>
        <v/>
      </c>
      <c r="M32" t="str">
        <f>IF($D32=1,Table!N31,"")</f>
        <v/>
      </c>
      <c r="N32" t="str">
        <f t="shared" si="3"/>
        <v/>
      </c>
    </row>
    <row r="33" spans="1:14" ht="13.5" x14ac:dyDescent="0.25">
      <c r="A33" s="61"/>
      <c r="B33" s="61"/>
      <c r="C33" s="61"/>
      <c r="D33" s="49"/>
      <c r="E33" s="49">
        <f>AVERAGE(E9:E32)</f>
        <v>859.28364285714281</v>
      </c>
      <c r="F33" s="49">
        <f>AVERAGE(F9:F32)</f>
        <v>831.91859142857152</v>
      </c>
      <c r="G33" s="49">
        <f>AVERAGE(G9:G32)</f>
        <v>27.36505142857143</v>
      </c>
      <c r="H33" s="49">
        <f>SUM(H9:H32)</f>
        <v>74.476783999999995</v>
      </c>
      <c r="I33" s="72">
        <f>NORMINV(0.1,$G33,$N33)</f>
        <v>18.341758815801683</v>
      </c>
      <c r="J33" s="72">
        <f>NORMINV(0.3,$G33,$N33)</f>
        <v>23.672793231812623</v>
      </c>
      <c r="K33" s="73">
        <f>NORMINV(0.5,$G33,$N33)</f>
        <v>27.36505142857143</v>
      </c>
      <c r="L33" s="73">
        <f>NORMINV(0.7,$G33,$N33)</f>
        <v>31.057309625330234</v>
      </c>
      <c r="M33" s="73">
        <f>NORMINV(0.9,$G33,$N33)</f>
        <v>36.388344041341178</v>
      </c>
      <c r="N33">
        <f>SQRT((1/SUM(D9:D32)^2*SUM(N9:N32)))</f>
        <v>7.0409126369685016</v>
      </c>
    </row>
    <row r="34" spans="1:14" x14ac:dyDescent="0.2">
      <c r="A34" s="60"/>
      <c r="B34" s="60"/>
      <c r="C34" s="63"/>
      <c r="D34" s="49"/>
      <c r="E34" s="49"/>
      <c r="F34" s="49"/>
      <c r="G34" s="49"/>
      <c r="H34" s="49"/>
      <c r="I34" s="49"/>
      <c r="J34" s="49"/>
    </row>
    <row r="35" spans="1:14" ht="13.5" x14ac:dyDescent="0.25">
      <c r="A35" s="61"/>
      <c r="B35" s="61"/>
      <c r="C35" s="61"/>
      <c r="D35" s="49"/>
      <c r="E35" s="49"/>
      <c r="F35" s="49"/>
      <c r="G35" s="49"/>
      <c r="H35" s="49"/>
      <c r="I35" s="49"/>
      <c r="J35" s="49"/>
    </row>
    <row r="36" spans="1:14" x14ac:dyDescent="0.2">
      <c r="A36" s="60"/>
      <c r="B36" s="60"/>
      <c r="C36" s="63"/>
      <c r="D36" s="49"/>
      <c r="E36" s="49"/>
      <c r="F36" s="49"/>
      <c r="G36" s="49"/>
      <c r="H36" s="49"/>
      <c r="I36" s="49"/>
      <c r="J36" s="49"/>
    </row>
    <row r="37" spans="1:14" ht="13.5" x14ac:dyDescent="0.25">
      <c r="A37" s="61"/>
      <c r="B37" s="61"/>
      <c r="C37" s="61"/>
      <c r="D37" s="49"/>
      <c r="E37" s="49"/>
      <c r="F37" s="49"/>
      <c r="G37" s="49"/>
      <c r="H37" s="49"/>
      <c r="I37" s="49"/>
      <c r="J37" s="49"/>
    </row>
    <row r="38" spans="1:14" x14ac:dyDescent="0.2">
      <c r="A38" s="60"/>
      <c r="B38" s="60"/>
      <c r="C38" s="63"/>
      <c r="D38" s="49"/>
      <c r="E38" s="49"/>
      <c r="F38" s="49"/>
      <c r="G38" s="49"/>
      <c r="H38" s="49"/>
      <c r="I38" s="49"/>
      <c r="J38" s="49"/>
    </row>
    <row r="39" spans="1:14" ht="13.5" x14ac:dyDescent="0.25">
      <c r="A39" s="61"/>
      <c r="B39" s="61"/>
      <c r="C39" s="61"/>
      <c r="D39" s="49"/>
      <c r="E39" s="50"/>
      <c r="F39" s="49"/>
      <c r="G39" s="49"/>
      <c r="H39" s="49"/>
      <c r="I39" s="49"/>
      <c r="J39" s="49"/>
    </row>
    <row r="40" spans="1:14" x14ac:dyDescent="0.2">
      <c r="A40" s="60"/>
      <c r="B40" s="60"/>
      <c r="C40" s="63"/>
      <c r="D40" s="49"/>
      <c r="E40" s="49"/>
      <c r="F40" s="49"/>
      <c r="G40" s="49"/>
      <c r="H40" s="49"/>
      <c r="I40" s="49"/>
      <c r="J40" s="49"/>
    </row>
    <row r="41" spans="1:14" ht="13.5" x14ac:dyDescent="0.25">
      <c r="A41" s="61"/>
      <c r="B41" s="61"/>
      <c r="C41" s="61"/>
      <c r="D41" s="49"/>
      <c r="E41" s="49"/>
      <c r="F41" s="49"/>
      <c r="G41" s="49"/>
      <c r="H41" s="49"/>
      <c r="I41" s="49"/>
      <c r="J41" s="49"/>
    </row>
    <row r="42" spans="1:14" x14ac:dyDescent="0.2">
      <c r="A42" s="60"/>
      <c r="B42" s="60"/>
      <c r="C42" s="63"/>
      <c r="D42" s="49"/>
      <c r="E42" s="49"/>
      <c r="F42" s="49"/>
      <c r="G42" s="49"/>
      <c r="H42" s="49"/>
      <c r="I42" s="49"/>
      <c r="J42" s="49"/>
    </row>
    <row r="43" spans="1:14" ht="13.5" x14ac:dyDescent="0.25">
      <c r="A43" s="61"/>
      <c r="B43" s="61"/>
      <c r="C43" s="61"/>
      <c r="D43" s="49"/>
      <c r="E43" s="49"/>
      <c r="F43" s="49"/>
      <c r="G43" s="49"/>
      <c r="H43" s="49"/>
      <c r="I43" s="49"/>
      <c r="J43" s="49"/>
    </row>
    <row r="44" spans="1:14" x14ac:dyDescent="0.2">
      <c r="A44" s="60"/>
      <c r="B44" s="60"/>
      <c r="C44" s="63"/>
      <c r="D44" s="49"/>
      <c r="E44" s="49"/>
      <c r="F44" s="49"/>
      <c r="G44" s="49"/>
      <c r="H44" s="49"/>
      <c r="I44" s="49"/>
      <c r="J44" s="49"/>
    </row>
    <row r="45" spans="1:14" ht="13.5" x14ac:dyDescent="0.25">
      <c r="A45" s="61"/>
      <c r="B45" s="61"/>
      <c r="C45" s="61"/>
      <c r="D45" s="49"/>
      <c r="E45" s="49"/>
      <c r="F45" s="49"/>
      <c r="G45" s="49"/>
      <c r="H45" s="49"/>
      <c r="I45" s="49"/>
      <c r="J45" s="49"/>
    </row>
    <row r="46" spans="1:14" x14ac:dyDescent="0.2">
      <c r="A46" s="30"/>
      <c r="B46" s="30"/>
      <c r="C46" s="31"/>
    </row>
    <row r="47" spans="1:14" ht="13.5" x14ac:dyDescent="0.25">
      <c r="A47" s="29"/>
      <c r="B47" s="29"/>
      <c r="C47" s="29"/>
    </row>
    <row r="48" spans="1:14" x14ac:dyDescent="0.2">
      <c r="A48" s="30"/>
      <c r="B48" s="30"/>
      <c r="C48" s="31"/>
    </row>
    <row r="49" spans="1:3" ht="13.5" x14ac:dyDescent="0.25">
      <c r="A49" s="29"/>
      <c r="B49" s="29"/>
      <c r="C49" s="29"/>
    </row>
    <row r="50" spans="1:3" x14ac:dyDescent="0.2">
      <c r="A50" s="30"/>
      <c r="B50" s="30"/>
      <c r="C50" s="31"/>
    </row>
    <row r="51" spans="1:3" x14ac:dyDescent="0.2">
      <c r="A51" s="5"/>
      <c r="B51" s="5"/>
      <c r="C51" s="5"/>
    </row>
    <row r="52" spans="1:3" x14ac:dyDescent="0.2">
      <c r="A52" s="5"/>
      <c r="B52" s="5"/>
      <c r="C52" s="5"/>
    </row>
    <row r="53" spans="1:3" x14ac:dyDescent="0.2">
      <c r="A53" s="5"/>
      <c r="B53" s="5"/>
      <c r="C53" s="5"/>
    </row>
    <row r="54" spans="1:3" x14ac:dyDescent="0.2">
      <c r="A54" s="5"/>
      <c r="B54" s="5"/>
      <c r="C54" s="5"/>
    </row>
    <row r="55" spans="1:3" x14ac:dyDescent="0.2">
      <c r="A55" s="5"/>
      <c r="B55" s="5"/>
      <c r="C55" s="5"/>
    </row>
    <row r="56" spans="1:3" x14ac:dyDescent="0.2">
      <c r="A56" s="5"/>
      <c r="B56" s="5"/>
      <c r="C56" s="5"/>
    </row>
    <row r="57" spans="1:3" x14ac:dyDescent="0.2">
      <c r="A57" s="5"/>
      <c r="B57" s="5"/>
      <c r="C57" s="5"/>
    </row>
    <row r="58" spans="1:3" x14ac:dyDescent="0.2">
      <c r="A58" s="5"/>
      <c r="B58" s="5"/>
      <c r="C58" s="5"/>
    </row>
    <row r="59" spans="1:3" x14ac:dyDescent="0.2">
      <c r="A59" s="5"/>
      <c r="B59" s="5"/>
      <c r="C59" s="5"/>
    </row>
    <row r="60" spans="1:3" x14ac:dyDescent="0.2">
      <c r="A60" s="5"/>
      <c r="B60" s="5"/>
      <c r="C60" s="5"/>
    </row>
    <row r="61" spans="1:3" x14ac:dyDescent="0.2">
      <c r="A61" s="5"/>
      <c r="B61" s="5"/>
      <c r="C61" s="5"/>
    </row>
    <row r="62" spans="1:3" x14ac:dyDescent="0.2">
      <c r="A62" s="5"/>
      <c r="B62" s="5"/>
      <c r="C62" s="5"/>
    </row>
    <row r="63" spans="1:3" x14ac:dyDescent="0.2">
      <c r="A63" s="5"/>
      <c r="B63" s="5"/>
      <c r="C63" s="5"/>
    </row>
    <row r="64" spans="1:3" x14ac:dyDescent="0.2">
      <c r="A64" s="5"/>
      <c r="B64" s="5"/>
      <c r="C64" s="5"/>
    </row>
    <row r="65" spans="1:3" x14ac:dyDescent="0.2">
      <c r="A65" s="5"/>
      <c r="B65" s="5"/>
      <c r="C65" s="5"/>
    </row>
    <row r="66" spans="1:3" x14ac:dyDescent="0.2">
      <c r="A66" s="5"/>
      <c r="B66" s="5"/>
      <c r="C66" s="5"/>
    </row>
    <row r="67" spans="1:3" x14ac:dyDescent="0.2">
      <c r="A67" s="5"/>
      <c r="B67" s="5"/>
      <c r="C67" s="5"/>
    </row>
    <row r="68" spans="1:3" x14ac:dyDescent="0.2">
      <c r="A68" s="5"/>
      <c r="B68" s="5"/>
      <c r="C68" s="5"/>
    </row>
    <row r="69" spans="1:3" x14ac:dyDescent="0.2">
      <c r="A69" s="5"/>
      <c r="B69" s="5"/>
      <c r="C69" s="5"/>
    </row>
    <row r="70" spans="1:3" x14ac:dyDescent="0.2">
      <c r="A70" s="5"/>
      <c r="B70" s="5"/>
      <c r="C70" s="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9051"/>
  <sheetViews>
    <sheetView workbookViewId="0">
      <pane xSplit="6" ySplit="1" topLeftCell="G2" activePane="bottomRight" state="frozenSplit"/>
      <selection activeCell="F15" sqref="F15"/>
      <selection pane="topRight" activeCell="F15" sqref="F15"/>
      <selection pane="bottomLeft" activeCell="F15" sqref="F15"/>
      <selection pane="bottomRight" activeCell="F15" sqref="F15"/>
    </sheetView>
  </sheetViews>
  <sheetFormatPr defaultRowHeight="12.75" x14ac:dyDescent="0.2"/>
  <cols>
    <col min="1" max="1" width="22.7109375" bestFit="1" customWidth="1"/>
    <col min="2" max="2" width="39.7109375" customWidth="1"/>
    <col min="3" max="3" width="7.5703125" customWidth="1"/>
    <col min="4" max="4" width="7.28515625" customWidth="1"/>
    <col min="5" max="5" width="16" customWidth="1"/>
    <col min="6" max="6" width="8" customWidth="1"/>
    <col min="7" max="10" width="9" customWidth="1"/>
    <col min="11" max="11" width="9" bestFit="1" customWidth="1"/>
    <col min="12" max="12" width="9" customWidth="1"/>
    <col min="13" max="30" width="9" bestFit="1" customWidth="1"/>
    <col min="31" max="37" width="12.85546875" bestFit="1" customWidth="1"/>
    <col min="38" max="38" width="12.85546875" customWidth="1"/>
    <col min="39" max="39" width="12.85546875" bestFit="1" customWidth="1"/>
    <col min="40" max="54" width="14" bestFit="1" customWidth="1"/>
    <col min="55" max="61" width="12.85546875" bestFit="1" customWidth="1"/>
    <col min="62" max="62" width="12.85546875" customWidth="1"/>
    <col min="63" max="63" width="12.85546875" bestFit="1" customWidth="1"/>
    <col min="64" max="78" width="14" bestFit="1" customWidth="1"/>
    <col min="79" max="85" width="12.85546875" bestFit="1" customWidth="1"/>
    <col min="86" max="86" width="12.85546875" customWidth="1"/>
    <col min="87" max="87" width="12.85546875" bestFit="1" customWidth="1"/>
    <col min="88" max="97" width="14" bestFit="1" customWidth="1"/>
    <col min="98" max="98" width="14" customWidth="1"/>
    <col min="99" max="102" width="14" bestFit="1" customWidth="1"/>
    <col min="103" max="109" width="12.85546875" bestFit="1" customWidth="1"/>
    <col min="110" max="110" width="12.85546875" customWidth="1"/>
    <col min="111" max="111" width="12.85546875" bestFit="1" customWidth="1"/>
    <col min="112" max="126" width="14" bestFit="1" customWidth="1"/>
    <col min="127" max="133" width="12.85546875" bestFit="1" customWidth="1"/>
    <col min="134" max="134" width="12.85546875" customWidth="1"/>
    <col min="135" max="135" width="12.85546875" bestFit="1" customWidth="1"/>
    <col min="136" max="150" width="14" bestFit="1" customWidth="1"/>
    <col min="151" max="157" width="10" customWidth="1"/>
    <col min="158" max="166" width="10" bestFit="1" customWidth="1"/>
    <col min="167" max="174" width="10" customWidth="1"/>
    <col min="175" max="181" width="10.140625" bestFit="1" customWidth="1"/>
  </cols>
  <sheetData>
    <row r="1" spans="1:174" x14ac:dyDescent="0.2">
      <c r="A1" t="s">
        <v>0</v>
      </c>
      <c r="B1" t="s">
        <v>1</v>
      </c>
      <c r="C1" t="s">
        <v>200</v>
      </c>
      <c r="D1" t="s">
        <v>201</v>
      </c>
      <c r="E1" t="s">
        <v>2</v>
      </c>
      <c r="F1" t="s">
        <v>4</v>
      </c>
      <c r="G1" t="s">
        <v>173</v>
      </c>
      <c r="H1" s="49" t="s">
        <v>174</v>
      </c>
      <c r="I1" t="s">
        <v>175</v>
      </c>
      <c r="J1" t="s">
        <v>176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182</v>
      </c>
      <c r="Q1" t="s">
        <v>183</v>
      </c>
      <c r="R1" t="s">
        <v>184</v>
      </c>
      <c r="S1" t="s">
        <v>185</v>
      </c>
      <c r="T1" t="s">
        <v>186</v>
      </c>
      <c r="U1" t="s">
        <v>187</v>
      </c>
      <c r="V1" t="s">
        <v>188</v>
      </c>
      <c r="W1" t="s">
        <v>189</v>
      </c>
      <c r="X1" t="s">
        <v>190</v>
      </c>
      <c r="Y1" t="s">
        <v>191</v>
      </c>
      <c r="Z1" t="s">
        <v>192</v>
      </c>
      <c r="AA1" t="s">
        <v>193</v>
      </c>
      <c r="AB1" t="s">
        <v>194</v>
      </c>
      <c r="AC1" t="s">
        <v>195</v>
      </c>
      <c r="AD1" t="s">
        <v>196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  <c r="DS1" t="s">
        <v>120</v>
      </c>
      <c r="DT1" t="s">
        <v>121</v>
      </c>
      <c r="DU1" t="s">
        <v>122</v>
      </c>
      <c r="DV1" t="s">
        <v>123</v>
      </c>
      <c r="DW1" t="s">
        <v>124</v>
      </c>
      <c r="DX1" t="s">
        <v>125</v>
      </c>
      <c r="DY1" t="s">
        <v>126</v>
      </c>
      <c r="DZ1" t="s">
        <v>127</v>
      </c>
      <c r="EA1" t="s">
        <v>128</v>
      </c>
      <c r="EB1" t="s">
        <v>129</v>
      </c>
      <c r="EC1" t="s">
        <v>130</v>
      </c>
      <c r="ED1" t="s">
        <v>131</v>
      </c>
      <c r="EE1" t="s">
        <v>132</v>
      </c>
      <c r="EF1" t="s">
        <v>133</v>
      </c>
      <c r="EG1" t="s">
        <v>134</v>
      </c>
      <c r="EH1" t="s">
        <v>135</v>
      </c>
      <c r="EI1" t="s">
        <v>136</v>
      </c>
      <c r="EJ1" t="s">
        <v>137</v>
      </c>
      <c r="EK1" t="s">
        <v>138</v>
      </c>
      <c r="EL1" t="s">
        <v>139</v>
      </c>
      <c r="EM1" t="s">
        <v>140</v>
      </c>
      <c r="EN1" t="s">
        <v>141</v>
      </c>
      <c r="EO1" t="s">
        <v>142</v>
      </c>
      <c r="EP1" t="s">
        <v>143</v>
      </c>
      <c r="EQ1" t="s">
        <v>144</v>
      </c>
      <c r="ER1" t="s">
        <v>145</v>
      </c>
      <c r="ES1" t="s">
        <v>146</v>
      </c>
      <c r="ET1" t="s">
        <v>147</v>
      </c>
      <c r="EU1" t="s">
        <v>148</v>
      </c>
      <c r="EV1" t="s">
        <v>149</v>
      </c>
      <c r="EW1" t="s">
        <v>150</v>
      </c>
      <c r="EX1" t="s">
        <v>151</v>
      </c>
      <c r="EY1" t="s">
        <v>152</v>
      </c>
      <c r="EZ1" t="s">
        <v>153</v>
      </c>
      <c r="FA1" t="s">
        <v>154</v>
      </c>
      <c r="FB1" t="s">
        <v>155</v>
      </c>
      <c r="FC1" t="s">
        <v>156</v>
      </c>
      <c r="FD1" t="s">
        <v>157</v>
      </c>
      <c r="FE1" t="s">
        <v>158</v>
      </c>
      <c r="FF1" t="s">
        <v>159</v>
      </c>
      <c r="FG1" t="s">
        <v>160</v>
      </c>
      <c r="FH1" t="s">
        <v>161</v>
      </c>
      <c r="FI1" t="s">
        <v>162</v>
      </c>
      <c r="FJ1" t="s">
        <v>163</v>
      </c>
      <c r="FK1" t="s">
        <v>164</v>
      </c>
      <c r="FL1" t="s">
        <v>165</v>
      </c>
      <c r="FM1" t="s">
        <v>166</v>
      </c>
      <c r="FN1" t="s">
        <v>167</v>
      </c>
      <c r="FO1" t="s">
        <v>168</v>
      </c>
      <c r="FP1" t="s">
        <v>169</v>
      </c>
      <c r="FQ1" t="s">
        <v>170</v>
      </c>
      <c r="FR1" t="s">
        <v>171</v>
      </c>
    </row>
    <row r="2" spans="1:174" x14ac:dyDescent="0.2">
      <c r="A2" t="s">
        <v>202</v>
      </c>
      <c r="B2" t="s">
        <v>203</v>
      </c>
      <c r="C2" t="s">
        <v>5</v>
      </c>
      <c r="D2" t="s">
        <v>5</v>
      </c>
      <c r="E2" s="57">
        <v>41517</v>
      </c>
      <c r="F2">
        <v>1120427</v>
      </c>
      <c r="G2">
        <v>1035.82</v>
      </c>
      <c r="H2" s="49">
        <v>919.2269</v>
      </c>
      <c r="I2">
        <v>840.3252</v>
      </c>
      <c r="J2">
        <v>778.93190000000004</v>
      </c>
      <c r="K2">
        <v>736.8365</v>
      </c>
      <c r="L2">
        <v>717.83130000000006</v>
      </c>
      <c r="M2">
        <v>746.95240000000001</v>
      </c>
      <c r="N2">
        <v>805.37549999999999</v>
      </c>
      <c r="O2">
        <v>954.14549999999997</v>
      </c>
      <c r="P2">
        <v>1142.6120000000001</v>
      </c>
      <c r="Q2">
        <v>1332.79</v>
      </c>
      <c r="R2">
        <v>1477.0029999999999</v>
      </c>
      <c r="S2">
        <v>1554.3119999999999</v>
      </c>
      <c r="T2">
        <v>1568.931</v>
      </c>
      <c r="U2">
        <v>1606.5039999999999</v>
      </c>
      <c r="V2">
        <v>1685.943</v>
      </c>
      <c r="W2">
        <v>1711.0219999999999</v>
      </c>
      <c r="X2">
        <v>1633.6769999999999</v>
      </c>
      <c r="Y2">
        <v>1504.068</v>
      </c>
      <c r="Z2">
        <v>1533.874</v>
      </c>
      <c r="AA2">
        <v>1464.8679999999999</v>
      </c>
      <c r="AB2">
        <v>1332.393</v>
      </c>
      <c r="AC2">
        <v>1219.2529999999999</v>
      </c>
      <c r="AD2">
        <v>1085.432</v>
      </c>
      <c r="AE2">
        <v>-77.201120000000003</v>
      </c>
      <c r="AF2">
        <v>-67.369540000000001</v>
      </c>
      <c r="AG2">
        <v>-59.202849999999998</v>
      </c>
      <c r="AH2">
        <v>-61.233029999999999</v>
      </c>
      <c r="AI2">
        <v>-61.371040000000001</v>
      </c>
      <c r="AJ2">
        <v>-70.696910000000003</v>
      </c>
      <c r="AK2">
        <v>-61.380540000000003</v>
      </c>
      <c r="AL2">
        <v>-72.446889999999996</v>
      </c>
      <c r="AM2">
        <v>-69.869739999999993</v>
      </c>
      <c r="AN2">
        <v>-44.73621</v>
      </c>
      <c r="AO2">
        <v>4.910196</v>
      </c>
      <c r="AP2">
        <v>32.426580000000001</v>
      </c>
      <c r="AQ2">
        <v>37.675910000000002</v>
      </c>
      <c r="AR2">
        <v>13.4907</v>
      </c>
      <c r="AS2">
        <v>-3.0941860000000001</v>
      </c>
      <c r="AT2">
        <v>18.692430000000002</v>
      </c>
      <c r="AU2">
        <v>20.662859999999998</v>
      </c>
      <c r="AV2">
        <v>-2.612368</v>
      </c>
      <c r="AW2">
        <v>-21.525659999999998</v>
      </c>
      <c r="AX2">
        <v>8.9043119999999991</v>
      </c>
      <c r="AY2">
        <v>-53.35989</v>
      </c>
      <c r="AZ2">
        <v>-85.518209999999996</v>
      </c>
      <c r="BA2">
        <v>-87.081500000000005</v>
      </c>
      <c r="BB2">
        <v>-63.631450000000001</v>
      </c>
      <c r="BC2">
        <v>-62.796750000000003</v>
      </c>
      <c r="BD2">
        <v>-54.084820000000001</v>
      </c>
      <c r="BE2">
        <v>-46.593730000000001</v>
      </c>
      <c r="BF2">
        <v>-49.412480000000002</v>
      </c>
      <c r="BG2">
        <v>-50.747999999999998</v>
      </c>
      <c r="BH2">
        <v>-58.766550000000002</v>
      </c>
      <c r="BI2">
        <v>-48.315280000000001</v>
      </c>
      <c r="BJ2">
        <v>-61.807000000000002</v>
      </c>
      <c r="BK2">
        <v>-58.334980000000002</v>
      </c>
      <c r="BL2">
        <v>-31.616289999999999</v>
      </c>
      <c r="BM2">
        <v>18.62501</v>
      </c>
      <c r="BN2">
        <v>47.262279999999997</v>
      </c>
      <c r="BO2">
        <v>52.994059999999998</v>
      </c>
      <c r="BP2">
        <v>26.678899999999999</v>
      </c>
      <c r="BQ2">
        <v>12.438140000000001</v>
      </c>
      <c r="BR2">
        <v>39.066249999999997</v>
      </c>
      <c r="BS2">
        <v>44.569940000000003</v>
      </c>
      <c r="BT2">
        <v>22.485620000000001</v>
      </c>
      <c r="BU2">
        <v>1.094049</v>
      </c>
      <c r="BV2">
        <v>43.874290000000002</v>
      </c>
      <c r="BW2">
        <v>-27.417770000000001</v>
      </c>
      <c r="BX2">
        <v>-71.769559999999998</v>
      </c>
      <c r="BY2">
        <v>-57.79853</v>
      </c>
      <c r="BZ2">
        <v>-27.926570000000002</v>
      </c>
      <c r="CA2">
        <v>-52.820320000000002</v>
      </c>
      <c r="CB2">
        <v>-44.883870000000002</v>
      </c>
      <c r="CC2">
        <v>-37.860700000000001</v>
      </c>
      <c r="CD2">
        <v>-41.2256</v>
      </c>
      <c r="CE2">
        <v>-43.390509999999999</v>
      </c>
      <c r="CF2">
        <v>-50.503619999999998</v>
      </c>
      <c r="CG2">
        <v>-39.26632</v>
      </c>
      <c r="CH2">
        <v>-54.437849999999997</v>
      </c>
      <c r="CI2">
        <v>-50.346040000000002</v>
      </c>
      <c r="CJ2">
        <v>-22.52948</v>
      </c>
      <c r="CK2">
        <v>28.123850000000001</v>
      </c>
      <c r="CL2">
        <v>57.53745</v>
      </c>
      <c r="CM2">
        <v>63.603360000000002</v>
      </c>
      <c r="CN2">
        <v>35.813009999999998</v>
      </c>
      <c r="CO2">
        <v>23.19577</v>
      </c>
      <c r="CP2">
        <v>53.17709</v>
      </c>
      <c r="CQ2">
        <v>61.127899999999997</v>
      </c>
      <c r="CR2">
        <v>39.86842</v>
      </c>
      <c r="CS2">
        <v>16.760390000000001</v>
      </c>
      <c r="CT2">
        <v>68.094390000000004</v>
      </c>
      <c r="CU2">
        <v>-9.4503319999999995</v>
      </c>
      <c r="CV2">
        <v>-62.247280000000003</v>
      </c>
      <c r="CW2">
        <v>-37.517249999999997</v>
      </c>
      <c r="CX2">
        <v>-3.1974740000000001</v>
      </c>
      <c r="CY2">
        <v>-42.843890000000002</v>
      </c>
      <c r="CZ2">
        <v>-35.68291</v>
      </c>
      <c r="DA2">
        <v>-29.127659999999999</v>
      </c>
      <c r="DB2">
        <v>-33.038719999999998</v>
      </c>
      <c r="DC2">
        <v>-36.03302</v>
      </c>
      <c r="DD2">
        <v>-42.240699999999997</v>
      </c>
      <c r="DE2">
        <v>-30.217359999999999</v>
      </c>
      <c r="DF2">
        <v>-47.0687</v>
      </c>
      <c r="DG2">
        <v>-42.357100000000003</v>
      </c>
      <c r="DH2">
        <v>-13.44266</v>
      </c>
      <c r="DI2">
        <v>37.622680000000003</v>
      </c>
      <c r="DJ2">
        <v>67.812610000000006</v>
      </c>
      <c r="DK2">
        <v>74.212670000000003</v>
      </c>
      <c r="DL2">
        <v>44.947110000000002</v>
      </c>
      <c r="DM2">
        <v>33.953409999999998</v>
      </c>
      <c r="DN2">
        <v>67.287930000000003</v>
      </c>
      <c r="DO2">
        <v>77.685869999999994</v>
      </c>
      <c r="DP2">
        <v>57.25121</v>
      </c>
      <c r="DQ2">
        <v>32.426729999999999</v>
      </c>
      <c r="DR2">
        <v>92.314490000000006</v>
      </c>
      <c r="DS2">
        <v>8.5171030000000005</v>
      </c>
      <c r="DT2">
        <v>-52.725009999999997</v>
      </c>
      <c r="DU2">
        <v>-17.235959999999999</v>
      </c>
      <c r="DV2">
        <v>21.53162</v>
      </c>
      <c r="DW2">
        <v>-28.439520000000002</v>
      </c>
      <c r="DX2">
        <v>-22.39819</v>
      </c>
      <c r="DY2">
        <v>-16.518550000000001</v>
      </c>
      <c r="DZ2">
        <v>-21.218170000000001</v>
      </c>
      <c r="EA2">
        <v>-25.409980000000001</v>
      </c>
      <c r="EB2">
        <v>-30.31034</v>
      </c>
      <c r="EC2">
        <v>-17.15211</v>
      </c>
      <c r="ED2">
        <v>-36.428809999999999</v>
      </c>
      <c r="EE2">
        <v>-30.822340000000001</v>
      </c>
      <c r="EF2">
        <v>-0.32274580000000003</v>
      </c>
      <c r="EG2">
        <v>51.337499999999999</v>
      </c>
      <c r="EH2">
        <v>82.648319999999998</v>
      </c>
      <c r="EI2">
        <v>89.530820000000006</v>
      </c>
      <c r="EJ2">
        <v>58.135309999999997</v>
      </c>
      <c r="EK2">
        <v>49.48574</v>
      </c>
      <c r="EL2">
        <v>87.661749999999998</v>
      </c>
      <c r="EM2">
        <v>101.5929</v>
      </c>
      <c r="EN2">
        <v>82.349199999999996</v>
      </c>
      <c r="EO2">
        <v>55.046439999999997</v>
      </c>
      <c r="EP2">
        <v>127.28449999999999</v>
      </c>
      <c r="EQ2">
        <v>34.459220000000002</v>
      </c>
      <c r="ER2">
        <v>-38.97636</v>
      </c>
      <c r="ES2">
        <v>12.047000000000001</v>
      </c>
      <c r="ET2">
        <v>57.236499999999999</v>
      </c>
      <c r="EU2">
        <v>76.577552999999995</v>
      </c>
      <c r="EV2">
        <v>76.384536999999995</v>
      </c>
      <c r="EW2">
        <v>75.718681000000004</v>
      </c>
      <c r="EX2">
        <v>75.567336999999995</v>
      </c>
      <c r="EY2">
        <v>74.622580999999997</v>
      </c>
      <c r="EZ2">
        <v>73.965087999999994</v>
      </c>
      <c r="FA2">
        <v>74.807097999999996</v>
      </c>
      <c r="FB2">
        <v>77.443236999999996</v>
      </c>
      <c r="FC2">
        <v>80.577720999999997</v>
      </c>
      <c r="FD2">
        <v>82.824637999999993</v>
      </c>
      <c r="FE2">
        <v>84.745102000000003</v>
      </c>
      <c r="FF2">
        <v>84.950507999999999</v>
      </c>
      <c r="FG2">
        <v>84.766341999999995</v>
      </c>
      <c r="FH2">
        <v>85.232772999999995</v>
      </c>
      <c r="FI2">
        <v>85.417609999999996</v>
      </c>
      <c r="FJ2">
        <v>85.321472</v>
      </c>
      <c r="FK2">
        <v>84.358536000000001</v>
      </c>
      <c r="FL2">
        <v>80.307884000000001</v>
      </c>
      <c r="FM2">
        <v>78.259201000000004</v>
      </c>
      <c r="FN2">
        <v>76.316627999999994</v>
      </c>
      <c r="FO2">
        <v>77.099204999999998</v>
      </c>
      <c r="FP2">
        <v>75.535010999999997</v>
      </c>
      <c r="FQ2">
        <v>74.685257000000007</v>
      </c>
      <c r="FR2">
        <v>73.944084000000004</v>
      </c>
    </row>
    <row r="3" spans="1:174" x14ac:dyDescent="0.2">
      <c r="A3" t="s">
        <v>202</v>
      </c>
      <c r="B3" t="s">
        <v>203</v>
      </c>
      <c r="C3" t="s">
        <v>5</v>
      </c>
      <c r="D3" t="s">
        <v>5</v>
      </c>
      <c r="E3" t="s">
        <v>6</v>
      </c>
      <c r="F3">
        <v>1120427</v>
      </c>
      <c r="G3">
        <v>1035.82</v>
      </c>
      <c r="H3" s="49">
        <v>919.2269</v>
      </c>
      <c r="I3">
        <v>840.3252</v>
      </c>
      <c r="J3">
        <v>778.93190000000004</v>
      </c>
      <c r="K3">
        <v>736.8365</v>
      </c>
      <c r="L3">
        <v>717.83130000000006</v>
      </c>
      <c r="M3">
        <v>746.95240000000001</v>
      </c>
      <c r="N3">
        <v>805.37549999999999</v>
      </c>
      <c r="O3">
        <v>954.14549999999997</v>
      </c>
      <c r="P3">
        <v>1142.6120000000001</v>
      </c>
      <c r="Q3">
        <v>1332.79</v>
      </c>
      <c r="R3">
        <v>1477.0029999999999</v>
      </c>
      <c r="S3">
        <v>1554.3119999999999</v>
      </c>
      <c r="T3">
        <v>1568.931</v>
      </c>
      <c r="U3">
        <v>1606.5039999999999</v>
      </c>
      <c r="V3">
        <v>1685.943</v>
      </c>
      <c r="W3">
        <v>1711.0219999999999</v>
      </c>
      <c r="X3">
        <v>1633.6769999999999</v>
      </c>
      <c r="Y3">
        <v>1504.068</v>
      </c>
      <c r="Z3">
        <v>1533.874</v>
      </c>
      <c r="AA3">
        <v>1464.8679999999999</v>
      </c>
      <c r="AB3">
        <v>1332.393</v>
      </c>
      <c r="AC3">
        <v>1219.2529999999999</v>
      </c>
      <c r="AD3">
        <v>1085.432</v>
      </c>
      <c r="AE3">
        <v>-77.201120000000003</v>
      </c>
      <c r="AF3">
        <v>-67.369540000000001</v>
      </c>
      <c r="AG3">
        <v>-59.202849999999998</v>
      </c>
      <c r="AH3">
        <v>-61.233029999999999</v>
      </c>
      <c r="AI3">
        <v>-61.371040000000001</v>
      </c>
      <c r="AJ3">
        <v>-70.696910000000003</v>
      </c>
      <c r="AK3">
        <v>-61.380540000000003</v>
      </c>
      <c r="AL3">
        <v>-72.446889999999996</v>
      </c>
      <c r="AM3">
        <v>-69.869739999999993</v>
      </c>
      <c r="AN3">
        <v>-44.73621</v>
      </c>
      <c r="AO3">
        <v>4.910196</v>
      </c>
      <c r="AP3">
        <v>32.426580000000001</v>
      </c>
      <c r="AQ3">
        <v>37.675910000000002</v>
      </c>
      <c r="AR3">
        <v>13.4907</v>
      </c>
      <c r="AS3">
        <v>-3.0941860000000001</v>
      </c>
      <c r="AT3">
        <v>18.692430000000002</v>
      </c>
      <c r="AU3">
        <v>20.662859999999998</v>
      </c>
      <c r="AV3">
        <v>-2.612368</v>
      </c>
      <c r="AW3">
        <v>-21.525659999999998</v>
      </c>
      <c r="AX3">
        <v>8.9043119999999991</v>
      </c>
      <c r="AY3">
        <v>-53.35989</v>
      </c>
      <c r="AZ3">
        <v>-85.518209999999996</v>
      </c>
      <c r="BA3">
        <v>-87.081500000000005</v>
      </c>
      <c r="BB3">
        <v>-63.631450000000001</v>
      </c>
      <c r="BC3">
        <v>-62.796750000000003</v>
      </c>
      <c r="BD3">
        <v>-54.084820000000001</v>
      </c>
      <c r="BE3">
        <v>-46.593730000000001</v>
      </c>
      <c r="BF3">
        <v>-49.412480000000002</v>
      </c>
      <c r="BG3">
        <v>-50.747999999999998</v>
      </c>
      <c r="BH3">
        <v>-58.766550000000002</v>
      </c>
      <c r="BI3">
        <v>-48.315280000000001</v>
      </c>
      <c r="BJ3">
        <v>-61.807000000000002</v>
      </c>
      <c r="BK3">
        <v>-58.334980000000002</v>
      </c>
      <c r="BL3">
        <v>-31.616289999999999</v>
      </c>
      <c r="BM3">
        <v>18.62501</v>
      </c>
      <c r="BN3">
        <v>47.262279999999997</v>
      </c>
      <c r="BO3">
        <v>52.994059999999998</v>
      </c>
      <c r="BP3">
        <v>26.678899999999999</v>
      </c>
      <c r="BQ3">
        <v>12.438140000000001</v>
      </c>
      <c r="BR3">
        <v>39.066249999999997</v>
      </c>
      <c r="BS3">
        <v>44.569940000000003</v>
      </c>
      <c r="BT3">
        <v>22.485620000000001</v>
      </c>
      <c r="BU3">
        <v>1.094049</v>
      </c>
      <c r="BV3">
        <v>43.874290000000002</v>
      </c>
      <c r="BW3">
        <v>-27.417770000000001</v>
      </c>
      <c r="BX3">
        <v>-71.769559999999998</v>
      </c>
      <c r="BY3">
        <v>-57.79853</v>
      </c>
      <c r="BZ3">
        <v>-27.926570000000002</v>
      </c>
      <c r="CA3">
        <v>-52.820320000000002</v>
      </c>
      <c r="CB3">
        <v>-44.883870000000002</v>
      </c>
      <c r="CC3">
        <v>-37.860700000000001</v>
      </c>
      <c r="CD3">
        <v>-41.2256</v>
      </c>
      <c r="CE3">
        <v>-43.390509999999999</v>
      </c>
      <c r="CF3">
        <v>-50.503619999999998</v>
      </c>
      <c r="CG3">
        <v>-39.26632</v>
      </c>
      <c r="CH3">
        <v>-54.437849999999997</v>
      </c>
      <c r="CI3">
        <v>-50.346040000000002</v>
      </c>
      <c r="CJ3">
        <v>-22.52948</v>
      </c>
      <c r="CK3">
        <v>28.123850000000001</v>
      </c>
      <c r="CL3">
        <v>57.53745</v>
      </c>
      <c r="CM3">
        <v>63.603360000000002</v>
      </c>
      <c r="CN3">
        <v>35.813009999999998</v>
      </c>
      <c r="CO3">
        <v>23.19577</v>
      </c>
      <c r="CP3">
        <v>53.17709</v>
      </c>
      <c r="CQ3">
        <v>61.127899999999997</v>
      </c>
      <c r="CR3">
        <v>39.86842</v>
      </c>
      <c r="CS3">
        <v>16.760390000000001</v>
      </c>
      <c r="CT3">
        <v>68.094390000000004</v>
      </c>
      <c r="CU3">
        <v>-9.4503319999999995</v>
      </c>
      <c r="CV3">
        <v>-62.247280000000003</v>
      </c>
      <c r="CW3">
        <v>-37.517249999999997</v>
      </c>
      <c r="CX3">
        <v>-3.1974740000000001</v>
      </c>
      <c r="CY3">
        <v>-42.843890000000002</v>
      </c>
      <c r="CZ3">
        <v>-35.68291</v>
      </c>
      <c r="DA3">
        <v>-29.127659999999999</v>
      </c>
      <c r="DB3">
        <v>-33.038719999999998</v>
      </c>
      <c r="DC3">
        <v>-36.03302</v>
      </c>
      <c r="DD3">
        <v>-42.240699999999997</v>
      </c>
      <c r="DE3">
        <v>-30.217359999999999</v>
      </c>
      <c r="DF3">
        <v>-47.0687</v>
      </c>
      <c r="DG3">
        <v>-42.357100000000003</v>
      </c>
      <c r="DH3">
        <v>-13.44266</v>
      </c>
      <c r="DI3">
        <v>37.622680000000003</v>
      </c>
      <c r="DJ3">
        <v>67.812610000000006</v>
      </c>
      <c r="DK3">
        <v>74.212670000000003</v>
      </c>
      <c r="DL3">
        <v>44.947110000000002</v>
      </c>
      <c r="DM3">
        <v>33.953409999999998</v>
      </c>
      <c r="DN3">
        <v>67.287930000000003</v>
      </c>
      <c r="DO3">
        <v>77.685869999999994</v>
      </c>
      <c r="DP3">
        <v>57.25121</v>
      </c>
      <c r="DQ3">
        <v>32.426729999999999</v>
      </c>
      <c r="DR3">
        <v>92.314490000000006</v>
      </c>
      <c r="DS3">
        <v>8.5171030000000005</v>
      </c>
      <c r="DT3">
        <v>-52.725009999999997</v>
      </c>
      <c r="DU3">
        <v>-17.235959999999999</v>
      </c>
      <c r="DV3">
        <v>21.53162</v>
      </c>
      <c r="DW3">
        <v>-28.439520000000002</v>
      </c>
      <c r="DX3">
        <v>-22.39819</v>
      </c>
      <c r="DY3">
        <v>-16.518550000000001</v>
      </c>
      <c r="DZ3">
        <v>-21.218170000000001</v>
      </c>
      <c r="EA3">
        <v>-25.409980000000001</v>
      </c>
      <c r="EB3">
        <v>-30.31034</v>
      </c>
      <c r="EC3">
        <v>-17.15211</v>
      </c>
      <c r="ED3">
        <v>-36.428809999999999</v>
      </c>
      <c r="EE3">
        <v>-30.822340000000001</v>
      </c>
      <c r="EF3">
        <v>-0.32274580000000003</v>
      </c>
      <c r="EG3">
        <v>51.337499999999999</v>
      </c>
      <c r="EH3">
        <v>82.648319999999998</v>
      </c>
      <c r="EI3">
        <v>89.530820000000006</v>
      </c>
      <c r="EJ3">
        <v>58.135309999999997</v>
      </c>
      <c r="EK3">
        <v>49.48574</v>
      </c>
      <c r="EL3">
        <v>87.661749999999998</v>
      </c>
      <c r="EM3">
        <v>101.5929</v>
      </c>
      <c r="EN3">
        <v>82.349199999999996</v>
      </c>
      <c r="EO3">
        <v>55.046439999999997</v>
      </c>
      <c r="EP3">
        <v>127.28449999999999</v>
      </c>
      <c r="EQ3">
        <v>34.459220000000002</v>
      </c>
      <c r="ER3">
        <v>-38.97636</v>
      </c>
      <c r="ES3">
        <v>12.047000000000001</v>
      </c>
      <c r="ET3">
        <v>57.236499999999999</v>
      </c>
      <c r="EU3">
        <v>76.577552999999995</v>
      </c>
      <c r="EV3">
        <v>76.384536999999995</v>
      </c>
      <c r="EW3">
        <v>75.718681000000004</v>
      </c>
      <c r="EX3">
        <v>75.567336999999995</v>
      </c>
      <c r="EY3">
        <v>74.622580999999997</v>
      </c>
      <c r="EZ3">
        <v>73.965087999999994</v>
      </c>
      <c r="FA3">
        <v>74.807097999999996</v>
      </c>
      <c r="FB3">
        <v>77.443236999999996</v>
      </c>
      <c r="FC3">
        <v>80.577720999999997</v>
      </c>
      <c r="FD3">
        <v>82.824637999999993</v>
      </c>
      <c r="FE3">
        <v>84.745102000000003</v>
      </c>
      <c r="FF3">
        <v>84.950507999999999</v>
      </c>
      <c r="FG3">
        <v>84.766341999999995</v>
      </c>
      <c r="FH3">
        <v>85.232772999999995</v>
      </c>
      <c r="FI3">
        <v>85.417609999999996</v>
      </c>
      <c r="FJ3">
        <v>85.321472</v>
      </c>
      <c r="FK3">
        <v>84.358536000000001</v>
      </c>
      <c r="FL3">
        <v>80.307884000000001</v>
      </c>
      <c r="FM3">
        <v>78.259201000000004</v>
      </c>
      <c r="FN3">
        <v>76.316627999999994</v>
      </c>
      <c r="FO3">
        <v>77.099204999999998</v>
      </c>
      <c r="FP3">
        <v>75.535010999999997</v>
      </c>
      <c r="FQ3">
        <v>74.685257000000007</v>
      </c>
      <c r="FR3">
        <v>73.944084000000004</v>
      </c>
    </row>
    <row r="4" spans="1:174" x14ac:dyDescent="0.2">
      <c r="A4" t="s">
        <v>202</v>
      </c>
      <c r="B4" t="s">
        <v>203</v>
      </c>
      <c r="C4" t="s">
        <v>5</v>
      </c>
      <c r="D4" t="s">
        <v>204</v>
      </c>
      <c r="E4" s="57">
        <v>41517</v>
      </c>
      <c r="F4">
        <v>647295</v>
      </c>
      <c r="G4">
        <v>500.07549999999998</v>
      </c>
      <c r="H4" s="49">
        <v>449.46140000000003</v>
      </c>
      <c r="I4">
        <v>414.81200000000001</v>
      </c>
      <c r="J4">
        <v>381.8329</v>
      </c>
      <c r="K4">
        <v>362.21469999999999</v>
      </c>
      <c r="L4">
        <v>353.17059999999998</v>
      </c>
      <c r="M4">
        <v>366.4393</v>
      </c>
      <c r="N4">
        <v>402.88369999999998</v>
      </c>
      <c r="O4">
        <v>476.68310000000002</v>
      </c>
      <c r="P4">
        <v>560.05380000000002</v>
      </c>
      <c r="Q4">
        <v>623.10860000000002</v>
      </c>
      <c r="R4">
        <v>673.87480000000005</v>
      </c>
      <c r="S4">
        <v>712.14120000000003</v>
      </c>
      <c r="T4">
        <v>717.25289999999995</v>
      </c>
      <c r="U4">
        <v>740.70119999999997</v>
      </c>
      <c r="V4">
        <v>791.09739999999999</v>
      </c>
      <c r="W4">
        <v>810.82060000000001</v>
      </c>
      <c r="X4">
        <v>776.51940000000002</v>
      </c>
      <c r="Y4">
        <v>726.88710000000003</v>
      </c>
      <c r="Z4">
        <v>769.88430000000005</v>
      </c>
      <c r="AA4">
        <v>734.43209999999999</v>
      </c>
      <c r="AB4">
        <v>649.47490000000005</v>
      </c>
      <c r="AC4">
        <v>590.10500000000002</v>
      </c>
      <c r="AD4">
        <v>534.23979999999995</v>
      </c>
      <c r="AE4">
        <v>-72.437849999999997</v>
      </c>
      <c r="AF4">
        <v>-60.353259999999999</v>
      </c>
      <c r="AG4">
        <v>-49.584449999999997</v>
      </c>
      <c r="AH4">
        <v>-55.645020000000002</v>
      </c>
      <c r="AI4">
        <v>-56.377699999999997</v>
      </c>
      <c r="AJ4">
        <v>-60.9268</v>
      </c>
      <c r="AK4">
        <v>-55.191890000000001</v>
      </c>
      <c r="AL4">
        <v>-53.80057</v>
      </c>
      <c r="AM4">
        <v>-45.986130000000003</v>
      </c>
      <c r="AN4">
        <v>-30.331630000000001</v>
      </c>
      <c r="AO4">
        <v>-18.765350000000002</v>
      </c>
      <c r="AP4">
        <v>-9.3765579999999993</v>
      </c>
      <c r="AQ4">
        <v>1.906914</v>
      </c>
      <c r="AR4">
        <v>-6.0075459999999996</v>
      </c>
      <c r="AS4">
        <v>-7.9085270000000003</v>
      </c>
      <c r="AT4">
        <v>10.66602</v>
      </c>
      <c r="AU4">
        <v>17.893329999999999</v>
      </c>
      <c r="AV4">
        <v>-9.0716710000000003</v>
      </c>
      <c r="AW4">
        <v>-19.9589</v>
      </c>
      <c r="AX4">
        <v>-4.6831860000000001</v>
      </c>
      <c r="AY4">
        <v>-44.604399999999998</v>
      </c>
      <c r="AZ4">
        <v>-78.845950000000002</v>
      </c>
      <c r="BA4">
        <v>-100.84910000000001</v>
      </c>
      <c r="BB4">
        <v>-75.67568</v>
      </c>
      <c r="BC4">
        <v>-60.270620000000001</v>
      </c>
      <c r="BD4">
        <v>-49.318309999999997</v>
      </c>
      <c r="BE4">
        <v>-39.804229999999997</v>
      </c>
      <c r="BF4">
        <v>-46.456299999999999</v>
      </c>
      <c r="BG4">
        <v>-47.875920000000001</v>
      </c>
      <c r="BH4">
        <v>-52.30939</v>
      </c>
      <c r="BI4">
        <v>-46.975580000000001</v>
      </c>
      <c r="BJ4">
        <v>-45.570659999999997</v>
      </c>
      <c r="BK4">
        <v>-36.581699999999998</v>
      </c>
      <c r="BL4">
        <v>-20.32854</v>
      </c>
      <c r="BM4">
        <v>-8.3230039999999992</v>
      </c>
      <c r="BN4">
        <v>3.3568440000000002</v>
      </c>
      <c r="BO4">
        <v>12.16995</v>
      </c>
      <c r="BP4">
        <v>3.7749820000000001</v>
      </c>
      <c r="BQ4">
        <v>1.599788</v>
      </c>
      <c r="BR4">
        <v>21.79466</v>
      </c>
      <c r="BS4">
        <v>32.746250000000003</v>
      </c>
      <c r="BT4">
        <v>8.1291519999999995</v>
      </c>
      <c r="BU4">
        <v>-3.215103</v>
      </c>
      <c r="BV4">
        <v>22.707809999999998</v>
      </c>
      <c r="BW4">
        <v>-24.537279999999999</v>
      </c>
      <c r="BX4">
        <v>-67.499319999999997</v>
      </c>
      <c r="BY4">
        <v>-73.901780000000002</v>
      </c>
      <c r="BZ4">
        <v>-43.641919999999999</v>
      </c>
      <c r="CA4">
        <v>-51.843629999999997</v>
      </c>
      <c r="CB4">
        <v>-41.675539999999998</v>
      </c>
      <c r="CC4">
        <v>-33.030470000000001</v>
      </c>
      <c r="CD4">
        <v>-40.092219999999998</v>
      </c>
      <c r="CE4">
        <v>-41.98762</v>
      </c>
      <c r="CF4">
        <v>-46.341000000000001</v>
      </c>
      <c r="CG4">
        <v>-41.284990000000001</v>
      </c>
      <c r="CH4">
        <v>-39.870649999999998</v>
      </c>
      <c r="CI4">
        <v>-30.068210000000001</v>
      </c>
      <c r="CJ4">
        <v>-13.40043</v>
      </c>
      <c r="CK4">
        <v>-1.090668</v>
      </c>
      <c r="CL4">
        <v>12.17596</v>
      </c>
      <c r="CM4">
        <v>19.278099999999998</v>
      </c>
      <c r="CN4">
        <v>10.550330000000001</v>
      </c>
      <c r="CO4">
        <v>8.185219</v>
      </c>
      <c r="CP4">
        <v>29.502320000000001</v>
      </c>
      <c r="CQ4">
        <v>43.033329999999999</v>
      </c>
      <c r="CR4">
        <v>20.042390000000001</v>
      </c>
      <c r="CS4">
        <v>8.3815989999999996</v>
      </c>
      <c r="CT4">
        <v>41.678730000000002</v>
      </c>
      <c r="CU4">
        <v>-10.63885</v>
      </c>
      <c r="CV4">
        <v>-59.640680000000003</v>
      </c>
      <c r="CW4">
        <v>-55.238109999999999</v>
      </c>
      <c r="CX4">
        <v>-21.455439999999999</v>
      </c>
      <c r="CY4">
        <v>-43.416649999999997</v>
      </c>
      <c r="CZ4">
        <v>-34.032769999999999</v>
      </c>
      <c r="DA4">
        <v>-26.256720000000001</v>
      </c>
      <c r="DB4">
        <v>-33.728149999999999</v>
      </c>
      <c r="DC4">
        <v>-36.099319999999999</v>
      </c>
      <c r="DD4">
        <v>-40.372619999999998</v>
      </c>
      <c r="DE4">
        <v>-35.5944</v>
      </c>
      <c r="DF4">
        <v>-34.170639999999999</v>
      </c>
      <c r="DG4">
        <v>-23.554729999999999</v>
      </c>
      <c r="DH4">
        <v>-6.4723240000000004</v>
      </c>
      <c r="DI4">
        <v>6.141667</v>
      </c>
      <c r="DJ4">
        <v>20.995080000000002</v>
      </c>
      <c r="DK4">
        <v>26.386240000000001</v>
      </c>
      <c r="DL4">
        <v>17.325679999999998</v>
      </c>
      <c r="DM4">
        <v>14.77065</v>
      </c>
      <c r="DN4">
        <v>37.209980000000002</v>
      </c>
      <c r="DO4">
        <v>53.320419999999999</v>
      </c>
      <c r="DP4">
        <v>31.955629999999999</v>
      </c>
      <c r="DQ4">
        <v>19.978300000000001</v>
      </c>
      <c r="DR4">
        <v>60.649650000000001</v>
      </c>
      <c r="DS4">
        <v>3.2595770000000002</v>
      </c>
      <c r="DT4">
        <v>-51.782040000000002</v>
      </c>
      <c r="DU4">
        <v>-36.574449999999999</v>
      </c>
      <c r="DV4">
        <v>0.73104749999999996</v>
      </c>
      <c r="DW4">
        <v>-31.249420000000001</v>
      </c>
      <c r="DX4">
        <v>-22.99783</v>
      </c>
      <c r="DY4">
        <v>-16.476489999999998</v>
      </c>
      <c r="DZ4">
        <v>-24.539429999999999</v>
      </c>
      <c r="EA4">
        <v>-27.597549999999998</v>
      </c>
      <c r="EB4">
        <v>-31.755210000000002</v>
      </c>
      <c r="EC4">
        <v>-27.3781</v>
      </c>
      <c r="ED4">
        <v>-25.940729999999999</v>
      </c>
      <c r="EE4">
        <v>-14.1503</v>
      </c>
      <c r="EF4">
        <v>3.5307659999999998</v>
      </c>
      <c r="EG4">
        <v>16.584009999999999</v>
      </c>
      <c r="EH4">
        <v>33.728479999999998</v>
      </c>
      <c r="EI4">
        <v>36.649279999999997</v>
      </c>
      <c r="EJ4">
        <v>27.10821</v>
      </c>
      <c r="EK4">
        <v>24.278960000000001</v>
      </c>
      <c r="EL4">
        <v>48.338619999999999</v>
      </c>
      <c r="EM4">
        <v>68.173330000000007</v>
      </c>
      <c r="EN4">
        <v>49.15645</v>
      </c>
      <c r="EO4">
        <v>36.722099999999998</v>
      </c>
      <c r="EP4">
        <v>88.040649999999999</v>
      </c>
      <c r="EQ4">
        <v>23.326699999999999</v>
      </c>
      <c r="ER4">
        <v>-40.435409999999997</v>
      </c>
      <c r="ES4">
        <v>-9.6270819999999997</v>
      </c>
      <c r="ET4">
        <v>32.764809999999997</v>
      </c>
      <c r="EU4">
        <v>77.377617000000001</v>
      </c>
      <c r="EV4">
        <v>76.986729999999994</v>
      </c>
      <c r="EW4">
        <v>76.184574999999995</v>
      </c>
      <c r="EX4">
        <v>76.193303</v>
      </c>
      <c r="EY4">
        <v>75.231402000000003</v>
      </c>
      <c r="EZ4">
        <v>74.299857000000003</v>
      </c>
      <c r="FA4">
        <v>75.111884000000003</v>
      </c>
      <c r="FB4">
        <v>77.179507999999998</v>
      </c>
      <c r="FC4">
        <v>80.252195999999998</v>
      </c>
      <c r="FD4">
        <v>82.674481</v>
      </c>
      <c r="FE4">
        <v>83.780724000000006</v>
      </c>
      <c r="FF4">
        <v>82.507580000000004</v>
      </c>
      <c r="FG4">
        <v>82.377302999999998</v>
      </c>
      <c r="FH4">
        <v>83.257002</v>
      </c>
      <c r="FI4">
        <v>84.037154999999998</v>
      </c>
      <c r="FJ4">
        <v>84.125992999999994</v>
      </c>
      <c r="FK4">
        <v>83.825253000000004</v>
      </c>
      <c r="FL4">
        <v>79.568775000000002</v>
      </c>
      <c r="FM4">
        <v>77.802154999999999</v>
      </c>
      <c r="FN4">
        <v>76.717335000000006</v>
      </c>
      <c r="FO4">
        <v>76.994146000000001</v>
      </c>
      <c r="FP4">
        <v>76.092495999999997</v>
      </c>
      <c r="FQ4">
        <v>74.927572999999995</v>
      </c>
      <c r="FR4">
        <v>74.017195000000001</v>
      </c>
    </row>
    <row r="5" spans="1:174" x14ac:dyDescent="0.2">
      <c r="A5" t="s">
        <v>202</v>
      </c>
      <c r="B5" t="s">
        <v>203</v>
      </c>
      <c r="C5" t="s">
        <v>5</v>
      </c>
      <c r="D5" t="s">
        <v>204</v>
      </c>
      <c r="E5" t="s">
        <v>6</v>
      </c>
      <c r="F5">
        <v>647295</v>
      </c>
      <c r="G5">
        <v>500.07549999999998</v>
      </c>
      <c r="H5" s="49">
        <v>449.46140000000003</v>
      </c>
      <c r="I5">
        <v>414.81200000000001</v>
      </c>
      <c r="J5">
        <v>381.8329</v>
      </c>
      <c r="K5">
        <v>362.21469999999999</v>
      </c>
      <c r="L5">
        <v>353.17059999999998</v>
      </c>
      <c r="M5">
        <v>366.4393</v>
      </c>
      <c r="N5">
        <v>402.88369999999998</v>
      </c>
      <c r="O5">
        <v>476.68310000000002</v>
      </c>
      <c r="P5">
        <v>560.05380000000002</v>
      </c>
      <c r="Q5">
        <v>623.10860000000002</v>
      </c>
      <c r="R5">
        <v>673.87480000000005</v>
      </c>
      <c r="S5">
        <v>712.14120000000003</v>
      </c>
      <c r="T5">
        <v>717.25289999999995</v>
      </c>
      <c r="U5">
        <v>740.70119999999997</v>
      </c>
      <c r="V5">
        <v>791.09739999999999</v>
      </c>
      <c r="W5">
        <v>810.82060000000001</v>
      </c>
      <c r="X5">
        <v>776.51940000000002</v>
      </c>
      <c r="Y5">
        <v>726.88710000000003</v>
      </c>
      <c r="Z5">
        <v>769.88430000000005</v>
      </c>
      <c r="AA5">
        <v>734.43209999999999</v>
      </c>
      <c r="AB5">
        <v>649.47490000000005</v>
      </c>
      <c r="AC5">
        <v>590.10500000000002</v>
      </c>
      <c r="AD5">
        <v>534.23979999999995</v>
      </c>
      <c r="AE5">
        <v>-72.437849999999997</v>
      </c>
      <c r="AF5">
        <v>-60.353259999999999</v>
      </c>
      <c r="AG5">
        <v>-49.584449999999997</v>
      </c>
      <c r="AH5">
        <v>-55.645020000000002</v>
      </c>
      <c r="AI5">
        <v>-56.377699999999997</v>
      </c>
      <c r="AJ5">
        <v>-60.9268</v>
      </c>
      <c r="AK5">
        <v>-55.191890000000001</v>
      </c>
      <c r="AL5">
        <v>-53.80057</v>
      </c>
      <c r="AM5">
        <v>-45.986130000000003</v>
      </c>
      <c r="AN5">
        <v>-30.331630000000001</v>
      </c>
      <c r="AO5">
        <v>-18.765350000000002</v>
      </c>
      <c r="AP5">
        <v>-9.3765579999999993</v>
      </c>
      <c r="AQ5">
        <v>1.906914</v>
      </c>
      <c r="AR5">
        <v>-6.0075459999999996</v>
      </c>
      <c r="AS5">
        <v>-7.9085270000000003</v>
      </c>
      <c r="AT5">
        <v>10.66602</v>
      </c>
      <c r="AU5">
        <v>17.893329999999999</v>
      </c>
      <c r="AV5">
        <v>-9.0716710000000003</v>
      </c>
      <c r="AW5">
        <v>-19.9589</v>
      </c>
      <c r="AX5">
        <v>-4.6831860000000001</v>
      </c>
      <c r="AY5">
        <v>-44.604399999999998</v>
      </c>
      <c r="AZ5">
        <v>-78.845950000000002</v>
      </c>
      <c r="BA5">
        <v>-100.84910000000001</v>
      </c>
      <c r="BB5">
        <v>-75.67568</v>
      </c>
      <c r="BC5">
        <v>-60.270620000000001</v>
      </c>
      <c r="BD5">
        <v>-49.318309999999997</v>
      </c>
      <c r="BE5">
        <v>-39.804229999999997</v>
      </c>
      <c r="BF5">
        <v>-46.456299999999999</v>
      </c>
      <c r="BG5">
        <v>-47.875920000000001</v>
      </c>
      <c r="BH5">
        <v>-52.30939</v>
      </c>
      <c r="BI5">
        <v>-46.975580000000001</v>
      </c>
      <c r="BJ5">
        <v>-45.570659999999997</v>
      </c>
      <c r="BK5">
        <v>-36.581699999999998</v>
      </c>
      <c r="BL5">
        <v>-20.32854</v>
      </c>
      <c r="BM5">
        <v>-8.3230039999999992</v>
      </c>
      <c r="BN5">
        <v>3.3568440000000002</v>
      </c>
      <c r="BO5">
        <v>12.16995</v>
      </c>
      <c r="BP5">
        <v>3.7749820000000001</v>
      </c>
      <c r="BQ5">
        <v>1.599788</v>
      </c>
      <c r="BR5">
        <v>21.79466</v>
      </c>
      <c r="BS5">
        <v>32.746250000000003</v>
      </c>
      <c r="BT5">
        <v>8.1291519999999995</v>
      </c>
      <c r="BU5">
        <v>-3.215103</v>
      </c>
      <c r="BV5">
        <v>22.707809999999998</v>
      </c>
      <c r="BW5">
        <v>-24.537279999999999</v>
      </c>
      <c r="BX5">
        <v>-67.499319999999997</v>
      </c>
      <c r="BY5">
        <v>-73.901780000000002</v>
      </c>
      <c r="BZ5">
        <v>-43.641919999999999</v>
      </c>
      <c r="CA5">
        <v>-51.843629999999997</v>
      </c>
      <c r="CB5">
        <v>-41.675539999999998</v>
      </c>
      <c r="CC5">
        <v>-33.030470000000001</v>
      </c>
      <c r="CD5">
        <v>-40.092219999999998</v>
      </c>
      <c r="CE5">
        <v>-41.98762</v>
      </c>
      <c r="CF5">
        <v>-46.341000000000001</v>
      </c>
      <c r="CG5">
        <v>-41.284990000000001</v>
      </c>
      <c r="CH5">
        <v>-39.870649999999998</v>
      </c>
      <c r="CI5">
        <v>-30.068210000000001</v>
      </c>
      <c r="CJ5">
        <v>-13.40043</v>
      </c>
      <c r="CK5">
        <v>-1.090668</v>
      </c>
      <c r="CL5">
        <v>12.17596</v>
      </c>
      <c r="CM5">
        <v>19.278099999999998</v>
      </c>
      <c r="CN5">
        <v>10.550330000000001</v>
      </c>
      <c r="CO5">
        <v>8.185219</v>
      </c>
      <c r="CP5">
        <v>29.502320000000001</v>
      </c>
      <c r="CQ5">
        <v>43.033329999999999</v>
      </c>
      <c r="CR5">
        <v>20.042390000000001</v>
      </c>
      <c r="CS5">
        <v>8.3815989999999996</v>
      </c>
      <c r="CT5">
        <v>41.678730000000002</v>
      </c>
      <c r="CU5">
        <v>-10.63885</v>
      </c>
      <c r="CV5">
        <v>-59.640680000000003</v>
      </c>
      <c r="CW5">
        <v>-55.238109999999999</v>
      </c>
      <c r="CX5">
        <v>-21.455439999999999</v>
      </c>
      <c r="CY5">
        <v>-43.416649999999997</v>
      </c>
      <c r="CZ5">
        <v>-34.032769999999999</v>
      </c>
      <c r="DA5">
        <v>-26.256720000000001</v>
      </c>
      <c r="DB5">
        <v>-33.728149999999999</v>
      </c>
      <c r="DC5">
        <v>-36.099319999999999</v>
      </c>
      <c r="DD5">
        <v>-40.372619999999998</v>
      </c>
      <c r="DE5">
        <v>-35.5944</v>
      </c>
      <c r="DF5">
        <v>-34.170639999999999</v>
      </c>
      <c r="DG5">
        <v>-23.554729999999999</v>
      </c>
      <c r="DH5">
        <v>-6.4723240000000004</v>
      </c>
      <c r="DI5">
        <v>6.141667</v>
      </c>
      <c r="DJ5">
        <v>20.995080000000002</v>
      </c>
      <c r="DK5">
        <v>26.386240000000001</v>
      </c>
      <c r="DL5">
        <v>17.325679999999998</v>
      </c>
      <c r="DM5">
        <v>14.77065</v>
      </c>
      <c r="DN5">
        <v>37.209980000000002</v>
      </c>
      <c r="DO5">
        <v>53.320419999999999</v>
      </c>
      <c r="DP5">
        <v>31.955629999999999</v>
      </c>
      <c r="DQ5">
        <v>19.978300000000001</v>
      </c>
      <c r="DR5">
        <v>60.649650000000001</v>
      </c>
      <c r="DS5">
        <v>3.2595770000000002</v>
      </c>
      <c r="DT5">
        <v>-51.782040000000002</v>
      </c>
      <c r="DU5">
        <v>-36.574449999999999</v>
      </c>
      <c r="DV5">
        <v>0.73104749999999996</v>
      </c>
      <c r="DW5">
        <v>-31.249420000000001</v>
      </c>
      <c r="DX5">
        <v>-22.99783</v>
      </c>
      <c r="DY5">
        <v>-16.476489999999998</v>
      </c>
      <c r="DZ5">
        <v>-24.539429999999999</v>
      </c>
      <c r="EA5">
        <v>-27.597549999999998</v>
      </c>
      <c r="EB5">
        <v>-31.755210000000002</v>
      </c>
      <c r="EC5">
        <v>-27.3781</v>
      </c>
      <c r="ED5">
        <v>-25.940729999999999</v>
      </c>
      <c r="EE5">
        <v>-14.1503</v>
      </c>
      <c r="EF5">
        <v>3.5307659999999998</v>
      </c>
      <c r="EG5">
        <v>16.584009999999999</v>
      </c>
      <c r="EH5">
        <v>33.728479999999998</v>
      </c>
      <c r="EI5">
        <v>36.649279999999997</v>
      </c>
      <c r="EJ5">
        <v>27.10821</v>
      </c>
      <c r="EK5">
        <v>24.278960000000001</v>
      </c>
      <c r="EL5">
        <v>48.338619999999999</v>
      </c>
      <c r="EM5">
        <v>68.173330000000007</v>
      </c>
      <c r="EN5">
        <v>49.15645</v>
      </c>
      <c r="EO5">
        <v>36.722099999999998</v>
      </c>
      <c r="EP5">
        <v>88.040649999999999</v>
      </c>
      <c r="EQ5">
        <v>23.326699999999999</v>
      </c>
      <c r="ER5">
        <v>-40.435409999999997</v>
      </c>
      <c r="ES5">
        <v>-9.6270819999999997</v>
      </c>
      <c r="ET5">
        <v>32.764809999999997</v>
      </c>
      <c r="EU5">
        <v>77.377617000000001</v>
      </c>
      <c r="EV5">
        <v>76.986729999999994</v>
      </c>
      <c r="EW5">
        <v>76.184574999999995</v>
      </c>
      <c r="EX5">
        <v>76.193303</v>
      </c>
      <c r="EY5">
        <v>75.231402000000003</v>
      </c>
      <c r="EZ5">
        <v>74.299857000000003</v>
      </c>
      <c r="FA5">
        <v>75.111884000000003</v>
      </c>
      <c r="FB5">
        <v>77.179507999999998</v>
      </c>
      <c r="FC5">
        <v>80.252195999999998</v>
      </c>
      <c r="FD5">
        <v>82.674481</v>
      </c>
      <c r="FE5">
        <v>83.780724000000006</v>
      </c>
      <c r="FF5">
        <v>82.507580000000004</v>
      </c>
      <c r="FG5">
        <v>82.377302999999998</v>
      </c>
      <c r="FH5">
        <v>83.257002</v>
      </c>
      <c r="FI5">
        <v>84.037154999999998</v>
      </c>
      <c r="FJ5">
        <v>84.125992999999994</v>
      </c>
      <c r="FK5">
        <v>83.825253000000004</v>
      </c>
      <c r="FL5">
        <v>79.568775000000002</v>
      </c>
      <c r="FM5">
        <v>77.802154999999999</v>
      </c>
      <c r="FN5">
        <v>76.717335000000006</v>
      </c>
      <c r="FO5">
        <v>76.994146000000001</v>
      </c>
      <c r="FP5">
        <v>76.092495999999997</v>
      </c>
      <c r="FQ5">
        <v>74.927572999999995</v>
      </c>
      <c r="FR5">
        <v>74.017195000000001</v>
      </c>
    </row>
    <row r="6" spans="1:174" x14ac:dyDescent="0.2">
      <c r="A6" t="s">
        <v>202</v>
      </c>
      <c r="B6" t="s">
        <v>203</v>
      </c>
      <c r="C6" t="s">
        <v>5</v>
      </c>
      <c r="D6" t="s">
        <v>205</v>
      </c>
      <c r="E6" s="57">
        <v>41517</v>
      </c>
      <c r="F6">
        <v>473132</v>
      </c>
      <c r="G6">
        <v>535.7441</v>
      </c>
      <c r="H6" s="49">
        <v>469.76549999999997</v>
      </c>
      <c r="I6">
        <v>425.51319999999998</v>
      </c>
      <c r="J6">
        <v>397.09899999999999</v>
      </c>
      <c r="K6">
        <v>374.62189999999998</v>
      </c>
      <c r="L6">
        <v>364.66070000000002</v>
      </c>
      <c r="M6">
        <v>380.51319999999998</v>
      </c>
      <c r="N6">
        <v>402.49189999999999</v>
      </c>
      <c r="O6">
        <v>477.4624</v>
      </c>
      <c r="P6">
        <v>582.55830000000003</v>
      </c>
      <c r="Q6">
        <v>709.68129999999996</v>
      </c>
      <c r="R6">
        <v>803.12850000000003</v>
      </c>
      <c r="S6">
        <v>842.17110000000002</v>
      </c>
      <c r="T6">
        <v>851.67830000000004</v>
      </c>
      <c r="U6">
        <v>865.803</v>
      </c>
      <c r="V6">
        <v>894.84590000000003</v>
      </c>
      <c r="W6">
        <v>900.20100000000002</v>
      </c>
      <c r="X6">
        <v>857.15769999999998</v>
      </c>
      <c r="Y6">
        <v>777.18079999999998</v>
      </c>
      <c r="Z6">
        <v>763.98969999999997</v>
      </c>
      <c r="AA6">
        <v>730.43629999999996</v>
      </c>
      <c r="AB6">
        <v>682.91859999999997</v>
      </c>
      <c r="AC6">
        <v>629.14840000000004</v>
      </c>
      <c r="AD6">
        <v>551.19230000000005</v>
      </c>
      <c r="AE6">
        <v>-14.02665</v>
      </c>
      <c r="AF6">
        <v>-15.728249999999999</v>
      </c>
      <c r="AG6">
        <v>-18.30067</v>
      </c>
      <c r="AH6">
        <v>-13.719390000000001</v>
      </c>
      <c r="AI6">
        <v>-12.183669999999999</v>
      </c>
      <c r="AJ6">
        <v>-18.127700000000001</v>
      </c>
      <c r="AK6">
        <v>-15.175420000000001</v>
      </c>
      <c r="AL6">
        <v>-25.981349999999999</v>
      </c>
      <c r="AM6">
        <v>-31.582450000000001</v>
      </c>
      <c r="AN6">
        <v>-23.49823</v>
      </c>
      <c r="AO6">
        <v>14.165279999999999</v>
      </c>
      <c r="AP6">
        <v>32.475650000000002</v>
      </c>
      <c r="AQ6">
        <v>25.077539999999999</v>
      </c>
      <c r="AR6">
        <v>10.291969999999999</v>
      </c>
      <c r="AS6">
        <v>-5.7777440000000002</v>
      </c>
      <c r="AT6">
        <v>-5.210966</v>
      </c>
      <c r="AU6">
        <v>-13.61347</v>
      </c>
      <c r="AV6">
        <v>-11.1092</v>
      </c>
      <c r="AW6">
        <v>-17.362960000000001</v>
      </c>
      <c r="AX6">
        <v>-10.381600000000001</v>
      </c>
      <c r="AY6">
        <v>-26.63936</v>
      </c>
      <c r="AZ6">
        <v>-15.74789</v>
      </c>
      <c r="BA6">
        <v>-1.6762630000000001</v>
      </c>
      <c r="BB6">
        <v>-8.4334240000000005</v>
      </c>
      <c r="BC6">
        <v>-6.3166260000000003</v>
      </c>
      <c r="BD6">
        <v>-8.3313790000000001</v>
      </c>
      <c r="BE6">
        <v>-10.342219999999999</v>
      </c>
      <c r="BF6">
        <v>-6.2834709999999996</v>
      </c>
      <c r="BG6">
        <v>-5.8143010000000004</v>
      </c>
      <c r="BH6">
        <v>-9.8770190000000007</v>
      </c>
      <c r="BI6">
        <v>-5.0170110000000001</v>
      </c>
      <c r="BJ6">
        <v>-19.237780000000001</v>
      </c>
      <c r="BK6">
        <v>-24.903590000000001</v>
      </c>
      <c r="BL6">
        <v>-15.008800000000001</v>
      </c>
      <c r="BM6">
        <v>23.05649</v>
      </c>
      <c r="BN6">
        <v>40.088709999999999</v>
      </c>
      <c r="BO6">
        <v>36.449249999999999</v>
      </c>
      <c r="BP6">
        <v>19.136780000000002</v>
      </c>
      <c r="BQ6">
        <v>6.5041520000000004</v>
      </c>
      <c r="BR6">
        <v>11.85496</v>
      </c>
      <c r="BS6">
        <v>5.1198969999999999</v>
      </c>
      <c r="BT6">
        <v>7.1675820000000003</v>
      </c>
      <c r="BU6">
        <v>-2.1545239999999999</v>
      </c>
      <c r="BV6">
        <v>11.35852</v>
      </c>
      <c r="BW6">
        <v>-10.19842</v>
      </c>
      <c r="BX6">
        <v>-7.9839130000000003</v>
      </c>
      <c r="BY6">
        <v>9.7837189999999996</v>
      </c>
      <c r="BZ6">
        <v>7.3360640000000004</v>
      </c>
      <c r="CA6">
        <v>-0.97668730000000004</v>
      </c>
      <c r="CB6">
        <v>-3.2083249999999999</v>
      </c>
      <c r="CC6">
        <v>-4.8302269999999998</v>
      </c>
      <c r="CD6">
        <v>-1.1333770000000001</v>
      </c>
      <c r="CE6">
        <v>-1.402892</v>
      </c>
      <c r="CF6">
        <v>-4.1626209999999997</v>
      </c>
      <c r="CG6">
        <v>2.018672</v>
      </c>
      <c r="CH6">
        <v>-14.5672</v>
      </c>
      <c r="CI6">
        <v>-20.277819999999998</v>
      </c>
      <c r="CJ6">
        <v>-9.1290449999999996</v>
      </c>
      <c r="CK6">
        <v>29.21452</v>
      </c>
      <c r="CL6">
        <v>45.361490000000003</v>
      </c>
      <c r="CM6">
        <v>44.325270000000003</v>
      </c>
      <c r="CN6">
        <v>25.26267</v>
      </c>
      <c r="CO6">
        <v>15.01056</v>
      </c>
      <c r="CP6">
        <v>23.674769999999999</v>
      </c>
      <c r="CQ6">
        <v>18.094570000000001</v>
      </c>
      <c r="CR6">
        <v>19.826029999999999</v>
      </c>
      <c r="CS6">
        <v>8.3787900000000004</v>
      </c>
      <c r="CT6">
        <v>26.415659999999999</v>
      </c>
      <c r="CU6">
        <v>1.1885190000000001</v>
      </c>
      <c r="CV6">
        <v>-2.6066069999999999</v>
      </c>
      <c r="CW6">
        <v>17.720870000000001</v>
      </c>
      <c r="CX6">
        <v>18.257960000000001</v>
      </c>
      <c r="CY6">
        <v>4.363251</v>
      </c>
      <c r="CZ6">
        <v>1.9147289999999999</v>
      </c>
      <c r="DA6">
        <v>0.68177069999999995</v>
      </c>
      <c r="DB6">
        <v>4.0167169999999999</v>
      </c>
      <c r="DC6">
        <v>3.0085169999999999</v>
      </c>
      <c r="DD6">
        <v>1.551777</v>
      </c>
      <c r="DE6">
        <v>9.0543549999999993</v>
      </c>
      <c r="DF6">
        <v>-9.8966200000000004</v>
      </c>
      <c r="DG6">
        <v>-15.652060000000001</v>
      </c>
      <c r="DH6">
        <v>-3.2492909999999999</v>
      </c>
      <c r="DI6">
        <v>35.372540000000001</v>
      </c>
      <c r="DJ6">
        <v>50.634270000000001</v>
      </c>
      <c r="DK6">
        <v>52.201279999999997</v>
      </c>
      <c r="DL6">
        <v>31.388570000000001</v>
      </c>
      <c r="DM6">
        <v>23.516960000000001</v>
      </c>
      <c r="DN6">
        <v>35.494579999999999</v>
      </c>
      <c r="DO6">
        <v>31.069240000000001</v>
      </c>
      <c r="DP6">
        <v>32.484470000000002</v>
      </c>
      <c r="DQ6">
        <v>18.912099999999999</v>
      </c>
      <c r="DR6">
        <v>41.472799999999999</v>
      </c>
      <c r="DS6">
        <v>12.57546</v>
      </c>
      <c r="DT6">
        <v>2.7707000000000002</v>
      </c>
      <c r="DU6">
        <v>25.65802</v>
      </c>
      <c r="DV6">
        <v>29.179860000000001</v>
      </c>
      <c r="DW6">
        <v>12.073270000000001</v>
      </c>
      <c r="DX6">
        <v>9.3116040000000009</v>
      </c>
      <c r="DY6">
        <v>8.6402199999999993</v>
      </c>
      <c r="DZ6">
        <v>11.452629999999999</v>
      </c>
      <c r="EA6">
        <v>9.3778919999999992</v>
      </c>
      <c r="EB6">
        <v>9.8024609999999992</v>
      </c>
      <c r="EC6">
        <v>19.212759999999999</v>
      </c>
      <c r="ED6">
        <v>-3.1530469999999999</v>
      </c>
      <c r="EE6">
        <v>-8.9731919999999992</v>
      </c>
      <c r="EF6">
        <v>5.2401390000000001</v>
      </c>
      <c r="EG6">
        <v>44.263750000000002</v>
      </c>
      <c r="EH6">
        <v>58.247320000000002</v>
      </c>
      <c r="EI6">
        <v>63.572989999999997</v>
      </c>
      <c r="EJ6">
        <v>40.233379999999997</v>
      </c>
      <c r="EK6">
        <v>35.798859999999998</v>
      </c>
      <c r="EL6">
        <v>52.560499999999998</v>
      </c>
      <c r="EM6">
        <v>49.802610000000001</v>
      </c>
      <c r="EN6">
        <v>50.761249999999997</v>
      </c>
      <c r="EO6">
        <v>34.120539999999998</v>
      </c>
      <c r="EP6">
        <v>63.212919999999997</v>
      </c>
      <c r="EQ6">
        <v>29.016390000000001</v>
      </c>
      <c r="ER6">
        <v>10.53468</v>
      </c>
      <c r="ES6">
        <v>37.118000000000002</v>
      </c>
      <c r="ET6">
        <v>44.949350000000003</v>
      </c>
      <c r="EU6">
        <v>75.830765999999997</v>
      </c>
      <c r="EV6">
        <v>75.808380999999997</v>
      </c>
      <c r="EW6">
        <v>75.264510999999999</v>
      </c>
      <c r="EX6">
        <v>74.965436999999994</v>
      </c>
      <c r="EY6">
        <v>74.033918999999997</v>
      </c>
      <c r="EZ6">
        <v>73.640868999999995</v>
      </c>
      <c r="FA6">
        <v>74.513589999999994</v>
      </c>
      <c r="FB6">
        <v>77.707222999999999</v>
      </c>
      <c r="FC6">
        <v>80.902726000000001</v>
      </c>
      <c r="FD6">
        <v>82.968986000000001</v>
      </c>
      <c r="FE6">
        <v>85.591835000000003</v>
      </c>
      <c r="FF6">
        <v>87.000280000000004</v>
      </c>
      <c r="FG6">
        <v>86.786520999999993</v>
      </c>
      <c r="FH6">
        <v>86.896702000000005</v>
      </c>
      <c r="FI6">
        <v>86.598602</v>
      </c>
      <c r="FJ6">
        <v>86.378354000000002</v>
      </c>
      <c r="FK6">
        <v>84.838865999999996</v>
      </c>
      <c r="FL6">
        <v>80.977458999999996</v>
      </c>
      <c r="FM6">
        <v>78.686673999999996</v>
      </c>
      <c r="FN6">
        <v>75.912825999999995</v>
      </c>
      <c r="FO6">
        <v>77.204849999999993</v>
      </c>
      <c r="FP6">
        <v>75.004827000000006</v>
      </c>
      <c r="FQ6">
        <v>74.457981000000004</v>
      </c>
      <c r="FR6">
        <v>73.873219000000006</v>
      </c>
    </row>
    <row r="7" spans="1:174" x14ac:dyDescent="0.2">
      <c r="A7" t="s">
        <v>202</v>
      </c>
      <c r="B7" t="s">
        <v>203</v>
      </c>
      <c r="C7" t="s">
        <v>5</v>
      </c>
      <c r="D7" t="s">
        <v>205</v>
      </c>
      <c r="E7" t="s">
        <v>6</v>
      </c>
      <c r="F7">
        <v>473132</v>
      </c>
      <c r="G7">
        <v>535.7441</v>
      </c>
      <c r="H7" s="49">
        <v>469.76549999999997</v>
      </c>
      <c r="I7">
        <v>425.51319999999998</v>
      </c>
      <c r="J7">
        <v>397.09899999999999</v>
      </c>
      <c r="K7">
        <v>374.62189999999998</v>
      </c>
      <c r="L7">
        <v>364.66070000000002</v>
      </c>
      <c r="M7">
        <v>380.51319999999998</v>
      </c>
      <c r="N7">
        <v>402.49189999999999</v>
      </c>
      <c r="O7">
        <v>477.4624</v>
      </c>
      <c r="P7">
        <v>582.55830000000003</v>
      </c>
      <c r="Q7">
        <v>709.68129999999996</v>
      </c>
      <c r="R7">
        <v>803.12850000000003</v>
      </c>
      <c r="S7">
        <v>842.17110000000002</v>
      </c>
      <c r="T7">
        <v>851.67830000000004</v>
      </c>
      <c r="U7">
        <v>865.803</v>
      </c>
      <c r="V7">
        <v>894.84590000000003</v>
      </c>
      <c r="W7">
        <v>900.20100000000002</v>
      </c>
      <c r="X7">
        <v>857.15769999999998</v>
      </c>
      <c r="Y7">
        <v>777.18079999999998</v>
      </c>
      <c r="Z7">
        <v>763.98969999999997</v>
      </c>
      <c r="AA7">
        <v>730.43629999999996</v>
      </c>
      <c r="AB7">
        <v>682.91859999999997</v>
      </c>
      <c r="AC7">
        <v>629.14840000000004</v>
      </c>
      <c r="AD7">
        <v>551.19230000000005</v>
      </c>
      <c r="AE7">
        <v>-14.02665</v>
      </c>
      <c r="AF7">
        <v>-15.728249999999999</v>
      </c>
      <c r="AG7">
        <v>-18.30067</v>
      </c>
      <c r="AH7">
        <v>-13.719390000000001</v>
      </c>
      <c r="AI7">
        <v>-12.183669999999999</v>
      </c>
      <c r="AJ7">
        <v>-18.127700000000001</v>
      </c>
      <c r="AK7">
        <v>-15.175420000000001</v>
      </c>
      <c r="AL7">
        <v>-25.981349999999999</v>
      </c>
      <c r="AM7">
        <v>-31.582450000000001</v>
      </c>
      <c r="AN7">
        <v>-23.49823</v>
      </c>
      <c r="AO7">
        <v>14.165279999999999</v>
      </c>
      <c r="AP7">
        <v>32.475650000000002</v>
      </c>
      <c r="AQ7">
        <v>25.077539999999999</v>
      </c>
      <c r="AR7">
        <v>10.291969999999999</v>
      </c>
      <c r="AS7">
        <v>-5.7777440000000002</v>
      </c>
      <c r="AT7">
        <v>-5.210966</v>
      </c>
      <c r="AU7">
        <v>-13.61347</v>
      </c>
      <c r="AV7">
        <v>-11.1092</v>
      </c>
      <c r="AW7">
        <v>-17.362960000000001</v>
      </c>
      <c r="AX7">
        <v>-10.381600000000001</v>
      </c>
      <c r="AY7">
        <v>-26.63936</v>
      </c>
      <c r="AZ7">
        <v>-15.74789</v>
      </c>
      <c r="BA7">
        <v>-1.6762630000000001</v>
      </c>
      <c r="BB7">
        <v>-8.4334240000000005</v>
      </c>
      <c r="BC7">
        <v>-6.3166260000000003</v>
      </c>
      <c r="BD7">
        <v>-8.3313790000000001</v>
      </c>
      <c r="BE7">
        <v>-10.342219999999999</v>
      </c>
      <c r="BF7">
        <v>-6.2834709999999996</v>
      </c>
      <c r="BG7">
        <v>-5.8143010000000004</v>
      </c>
      <c r="BH7">
        <v>-9.8770190000000007</v>
      </c>
      <c r="BI7">
        <v>-5.0170110000000001</v>
      </c>
      <c r="BJ7">
        <v>-19.237780000000001</v>
      </c>
      <c r="BK7">
        <v>-24.903590000000001</v>
      </c>
      <c r="BL7">
        <v>-15.008800000000001</v>
      </c>
      <c r="BM7">
        <v>23.05649</v>
      </c>
      <c r="BN7">
        <v>40.088709999999999</v>
      </c>
      <c r="BO7">
        <v>36.449249999999999</v>
      </c>
      <c r="BP7">
        <v>19.136780000000002</v>
      </c>
      <c r="BQ7">
        <v>6.5041520000000004</v>
      </c>
      <c r="BR7">
        <v>11.85496</v>
      </c>
      <c r="BS7">
        <v>5.1198969999999999</v>
      </c>
      <c r="BT7">
        <v>7.1675820000000003</v>
      </c>
      <c r="BU7">
        <v>-2.1545239999999999</v>
      </c>
      <c r="BV7">
        <v>11.35852</v>
      </c>
      <c r="BW7">
        <v>-10.19842</v>
      </c>
      <c r="BX7">
        <v>-7.9839130000000003</v>
      </c>
      <c r="BY7">
        <v>9.7837189999999996</v>
      </c>
      <c r="BZ7">
        <v>7.3360640000000004</v>
      </c>
      <c r="CA7">
        <v>-0.97668730000000004</v>
      </c>
      <c r="CB7">
        <v>-3.2083249999999999</v>
      </c>
      <c r="CC7">
        <v>-4.8302269999999998</v>
      </c>
      <c r="CD7">
        <v>-1.1333770000000001</v>
      </c>
      <c r="CE7">
        <v>-1.402892</v>
      </c>
      <c r="CF7">
        <v>-4.1626209999999997</v>
      </c>
      <c r="CG7">
        <v>2.018672</v>
      </c>
      <c r="CH7">
        <v>-14.5672</v>
      </c>
      <c r="CI7">
        <v>-20.277819999999998</v>
      </c>
      <c r="CJ7">
        <v>-9.1290449999999996</v>
      </c>
      <c r="CK7">
        <v>29.21452</v>
      </c>
      <c r="CL7">
        <v>45.361490000000003</v>
      </c>
      <c r="CM7">
        <v>44.325270000000003</v>
      </c>
      <c r="CN7">
        <v>25.26267</v>
      </c>
      <c r="CO7">
        <v>15.01056</v>
      </c>
      <c r="CP7">
        <v>23.674769999999999</v>
      </c>
      <c r="CQ7">
        <v>18.094570000000001</v>
      </c>
      <c r="CR7">
        <v>19.826029999999999</v>
      </c>
      <c r="CS7">
        <v>8.3787900000000004</v>
      </c>
      <c r="CT7">
        <v>26.415659999999999</v>
      </c>
      <c r="CU7">
        <v>1.1885190000000001</v>
      </c>
      <c r="CV7">
        <v>-2.6066069999999999</v>
      </c>
      <c r="CW7">
        <v>17.720870000000001</v>
      </c>
      <c r="CX7">
        <v>18.257960000000001</v>
      </c>
      <c r="CY7">
        <v>4.363251</v>
      </c>
      <c r="CZ7">
        <v>1.9147289999999999</v>
      </c>
      <c r="DA7">
        <v>0.68177069999999995</v>
      </c>
      <c r="DB7">
        <v>4.0167169999999999</v>
      </c>
      <c r="DC7">
        <v>3.0085169999999999</v>
      </c>
      <c r="DD7">
        <v>1.551777</v>
      </c>
      <c r="DE7">
        <v>9.0543549999999993</v>
      </c>
      <c r="DF7">
        <v>-9.8966200000000004</v>
      </c>
      <c r="DG7">
        <v>-15.652060000000001</v>
      </c>
      <c r="DH7">
        <v>-3.2492909999999999</v>
      </c>
      <c r="DI7">
        <v>35.372540000000001</v>
      </c>
      <c r="DJ7">
        <v>50.634270000000001</v>
      </c>
      <c r="DK7">
        <v>52.201279999999997</v>
      </c>
      <c r="DL7">
        <v>31.388570000000001</v>
      </c>
      <c r="DM7">
        <v>23.516960000000001</v>
      </c>
      <c r="DN7">
        <v>35.494579999999999</v>
      </c>
      <c r="DO7">
        <v>31.069240000000001</v>
      </c>
      <c r="DP7">
        <v>32.484470000000002</v>
      </c>
      <c r="DQ7">
        <v>18.912099999999999</v>
      </c>
      <c r="DR7">
        <v>41.472799999999999</v>
      </c>
      <c r="DS7">
        <v>12.57546</v>
      </c>
      <c r="DT7">
        <v>2.7707000000000002</v>
      </c>
      <c r="DU7">
        <v>25.65802</v>
      </c>
      <c r="DV7">
        <v>29.179860000000001</v>
      </c>
      <c r="DW7">
        <v>12.073270000000001</v>
      </c>
      <c r="DX7">
        <v>9.3116040000000009</v>
      </c>
      <c r="DY7">
        <v>8.6402199999999993</v>
      </c>
      <c r="DZ7">
        <v>11.452629999999999</v>
      </c>
      <c r="EA7">
        <v>9.3778919999999992</v>
      </c>
      <c r="EB7">
        <v>9.8024609999999992</v>
      </c>
      <c r="EC7">
        <v>19.212759999999999</v>
      </c>
      <c r="ED7">
        <v>-3.1530469999999999</v>
      </c>
      <c r="EE7">
        <v>-8.9731919999999992</v>
      </c>
      <c r="EF7">
        <v>5.2401390000000001</v>
      </c>
      <c r="EG7">
        <v>44.263750000000002</v>
      </c>
      <c r="EH7">
        <v>58.247320000000002</v>
      </c>
      <c r="EI7">
        <v>63.572989999999997</v>
      </c>
      <c r="EJ7">
        <v>40.233379999999997</v>
      </c>
      <c r="EK7">
        <v>35.798859999999998</v>
      </c>
      <c r="EL7">
        <v>52.560499999999998</v>
      </c>
      <c r="EM7">
        <v>49.802610000000001</v>
      </c>
      <c r="EN7">
        <v>50.761249999999997</v>
      </c>
      <c r="EO7">
        <v>34.120539999999998</v>
      </c>
      <c r="EP7">
        <v>63.212919999999997</v>
      </c>
      <c r="EQ7">
        <v>29.016390000000001</v>
      </c>
      <c r="ER7">
        <v>10.53468</v>
      </c>
      <c r="ES7">
        <v>37.118000000000002</v>
      </c>
      <c r="ET7">
        <v>44.949350000000003</v>
      </c>
      <c r="EU7">
        <v>75.830765999999997</v>
      </c>
      <c r="EV7">
        <v>75.808380999999997</v>
      </c>
      <c r="EW7">
        <v>75.264510999999999</v>
      </c>
      <c r="EX7">
        <v>74.965436999999994</v>
      </c>
      <c r="EY7">
        <v>74.033918999999997</v>
      </c>
      <c r="EZ7">
        <v>73.640868999999995</v>
      </c>
      <c r="FA7">
        <v>74.513589999999994</v>
      </c>
      <c r="FB7">
        <v>77.707222999999999</v>
      </c>
      <c r="FC7">
        <v>80.902726000000001</v>
      </c>
      <c r="FD7">
        <v>82.968986000000001</v>
      </c>
      <c r="FE7">
        <v>85.591835000000003</v>
      </c>
      <c r="FF7">
        <v>87.000280000000004</v>
      </c>
      <c r="FG7">
        <v>86.786520999999993</v>
      </c>
      <c r="FH7">
        <v>86.896702000000005</v>
      </c>
      <c r="FI7">
        <v>86.598602</v>
      </c>
      <c r="FJ7">
        <v>86.378354000000002</v>
      </c>
      <c r="FK7">
        <v>84.838865999999996</v>
      </c>
      <c r="FL7">
        <v>80.977458999999996</v>
      </c>
      <c r="FM7">
        <v>78.686673999999996</v>
      </c>
      <c r="FN7">
        <v>75.912825999999995</v>
      </c>
      <c r="FO7">
        <v>77.204849999999993</v>
      </c>
      <c r="FP7">
        <v>75.004827000000006</v>
      </c>
      <c r="FQ7">
        <v>74.457981000000004</v>
      </c>
      <c r="FR7">
        <v>73.873219000000006</v>
      </c>
    </row>
    <row r="8" spans="1:174" x14ac:dyDescent="0.2">
      <c r="H8" s="49"/>
    </row>
    <row r="9" spans="1:174" x14ac:dyDescent="0.2">
      <c r="H9" s="49"/>
    </row>
    <row r="10" spans="1:174" x14ac:dyDescent="0.2">
      <c r="H10" s="49"/>
    </row>
    <row r="11" spans="1:174" x14ac:dyDescent="0.2">
      <c r="H11" s="49"/>
    </row>
    <row r="12" spans="1:174" x14ac:dyDescent="0.2">
      <c r="H12" s="49"/>
    </row>
    <row r="13" spans="1:174" x14ac:dyDescent="0.2">
      <c r="H13" s="49"/>
    </row>
    <row r="14" spans="1:174" x14ac:dyDescent="0.2">
      <c r="H14" s="49"/>
    </row>
    <row r="15" spans="1:174" x14ac:dyDescent="0.2">
      <c r="H15" s="49"/>
    </row>
    <row r="16" spans="1:174" x14ac:dyDescent="0.2">
      <c r="H16" s="49"/>
    </row>
    <row r="17" spans="8:8" x14ac:dyDescent="0.2">
      <c r="H17" s="49"/>
    </row>
    <row r="18" spans="8:8" x14ac:dyDescent="0.2">
      <c r="H18" s="49"/>
    </row>
    <row r="19" spans="8:8" x14ac:dyDescent="0.2">
      <c r="H19" s="49"/>
    </row>
    <row r="20" spans="8:8" x14ac:dyDescent="0.2">
      <c r="H20" s="49"/>
    </row>
    <row r="21" spans="8:8" x14ac:dyDescent="0.2">
      <c r="H21" s="49"/>
    </row>
    <row r="22" spans="8:8" x14ac:dyDescent="0.2">
      <c r="H22" s="49"/>
    </row>
    <row r="23" spans="8:8" x14ac:dyDescent="0.2">
      <c r="H23" s="49"/>
    </row>
    <row r="24" spans="8:8" x14ac:dyDescent="0.2">
      <c r="H24" s="49"/>
    </row>
    <row r="25" spans="8:8" x14ac:dyDescent="0.2">
      <c r="H25" s="49"/>
    </row>
    <row r="26" spans="8:8" x14ac:dyDescent="0.2">
      <c r="H26" s="49"/>
    </row>
    <row r="27" spans="8:8" x14ac:dyDescent="0.2">
      <c r="H27" s="49"/>
    </row>
    <row r="28" spans="8:8" x14ac:dyDescent="0.2">
      <c r="H28" s="49"/>
    </row>
    <row r="29" spans="8:8" x14ac:dyDescent="0.2">
      <c r="H29" s="49"/>
    </row>
    <row r="30" spans="8:8" x14ac:dyDescent="0.2">
      <c r="H30" s="49"/>
    </row>
    <row r="31" spans="8:8" x14ac:dyDescent="0.2">
      <c r="H31" s="49"/>
    </row>
    <row r="32" spans="8:8" x14ac:dyDescent="0.2">
      <c r="H32" s="49"/>
    </row>
    <row r="33" spans="8:8" x14ac:dyDescent="0.2">
      <c r="H33" s="49"/>
    </row>
    <row r="34" spans="8:8" x14ac:dyDescent="0.2">
      <c r="H34" s="49"/>
    </row>
    <row r="35" spans="8:8" x14ac:dyDescent="0.2">
      <c r="H35" s="49"/>
    </row>
    <row r="36" spans="8:8" x14ac:dyDescent="0.2">
      <c r="H36" s="49"/>
    </row>
    <row r="37" spans="8:8" x14ac:dyDescent="0.2">
      <c r="H37" s="49"/>
    </row>
    <row r="38" spans="8:8" x14ac:dyDescent="0.2">
      <c r="H38" s="49"/>
    </row>
    <row r="39" spans="8:8" x14ac:dyDescent="0.2">
      <c r="H39" s="49"/>
    </row>
    <row r="40" spans="8:8" x14ac:dyDescent="0.2">
      <c r="H40" s="49"/>
    </row>
    <row r="41" spans="8:8" x14ac:dyDescent="0.2">
      <c r="H41" s="49"/>
    </row>
    <row r="42" spans="8:8" x14ac:dyDescent="0.2">
      <c r="H42" s="49"/>
    </row>
    <row r="43" spans="8:8" x14ac:dyDescent="0.2">
      <c r="H43" s="49"/>
    </row>
    <row r="44" spans="8:8" x14ac:dyDescent="0.2">
      <c r="H44" s="49"/>
    </row>
    <row r="45" spans="8:8" x14ac:dyDescent="0.2">
      <c r="H45" s="49"/>
    </row>
    <row r="46" spans="8:8" x14ac:dyDescent="0.2">
      <c r="H46" s="49"/>
    </row>
    <row r="47" spans="8:8" x14ac:dyDescent="0.2">
      <c r="H47" s="49"/>
    </row>
    <row r="48" spans="8:8" x14ac:dyDescent="0.2">
      <c r="H48" s="49"/>
    </row>
    <row r="49" spans="8:8" x14ac:dyDescent="0.2">
      <c r="H49" s="49"/>
    </row>
    <row r="50" spans="8:8" x14ac:dyDescent="0.2">
      <c r="H50" s="49"/>
    </row>
    <row r="51" spans="8:8" x14ac:dyDescent="0.2">
      <c r="H51" s="49"/>
    </row>
    <row r="52" spans="8:8" x14ac:dyDescent="0.2">
      <c r="H52" s="49"/>
    </row>
    <row r="53" spans="8:8" x14ac:dyDescent="0.2">
      <c r="H53" s="49"/>
    </row>
    <row r="54" spans="8:8" x14ac:dyDescent="0.2">
      <c r="H54" s="49"/>
    </row>
    <row r="55" spans="8:8" x14ac:dyDescent="0.2">
      <c r="H55" s="49"/>
    </row>
    <row r="56" spans="8:8" x14ac:dyDescent="0.2">
      <c r="H56" s="49"/>
    </row>
    <row r="57" spans="8:8" x14ac:dyDescent="0.2">
      <c r="H57" s="49"/>
    </row>
    <row r="58" spans="8:8" x14ac:dyDescent="0.2">
      <c r="H58" s="49"/>
    </row>
    <row r="59" spans="8:8" x14ac:dyDescent="0.2">
      <c r="H59" s="49"/>
    </row>
    <row r="60" spans="8:8" x14ac:dyDescent="0.2">
      <c r="H60" s="49"/>
    </row>
    <row r="61" spans="8:8" x14ac:dyDescent="0.2">
      <c r="H61" s="49"/>
    </row>
    <row r="62" spans="8:8" x14ac:dyDescent="0.2">
      <c r="H62" s="49"/>
    </row>
    <row r="63" spans="8:8" x14ac:dyDescent="0.2">
      <c r="H63" s="49"/>
    </row>
    <row r="64" spans="8:8" x14ac:dyDescent="0.2">
      <c r="H64" s="49"/>
    </row>
    <row r="65" spans="8:8" x14ac:dyDescent="0.2">
      <c r="H65" s="49"/>
    </row>
    <row r="66" spans="8:8" x14ac:dyDescent="0.2">
      <c r="H66" s="49"/>
    </row>
    <row r="67" spans="8:8" x14ac:dyDescent="0.2">
      <c r="H67" s="49"/>
    </row>
    <row r="68" spans="8:8" x14ac:dyDescent="0.2">
      <c r="H68" s="49"/>
    </row>
    <row r="69" spans="8:8" x14ac:dyDescent="0.2">
      <c r="H69" s="49"/>
    </row>
    <row r="70" spans="8:8" x14ac:dyDescent="0.2">
      <c r="H70" s="49"/>
    </row>
    <row r="71" spans="8:8" x14ac:dyDescent="0.2">
      <c r="H71" s="49"/>
    </row>
    <row r="72" spans="8:8" x14ac:dyDescent="0.2">
      <c r="H72" s="49"/>
    </row>
    <row r="73" spans="8:8" x14ac:dyDescent="0.2">
      <c r="H73" s="49"/>
    </row>
    <row r="74" spans="8:8" x14ac:dyDescent="0.2">
      <c r="H74" s="49"/>
    </row>
    <row r="75" spans="8:8" x14ac:dyDescent="0.2">
      <c r="H75" s="49"/>
    </row>
    <row r="76" spans="8:8" x14ac:dyDescent="0.2">
      <c r="H76" s="49"/>
    </row>
    <row r="77" spans="8:8" x14ac:dyDescent="0.2">
      <c r="H77" s="49"/>
    </row>
    <row r="78" spans="8:8" x14ac:dyDescent="0.2">
      <c r="H78" s="49"/>
    </row>
    <row r="79" spans="8:8" x14ac:dyDescent="0.2">
      <c r="H79" s="49"/>
    </row>
    <row r="80" spans="8:8" x14ac:dyDescent="0.2">
      <c r="H80" s="49"/>
    </row>
    <row r="81" spans="8:8" x14ac:dyDescent="0.2">
      <c r="H81" s="49"/>
    </row>
    <row r="82" spans="8:8" x14ac:dyDescent="0.2">
      <c r="H82" s="49"/>
    </row>
    <row r="83" spans="8:8" x14ac:dyDescent="0.2">
      <c r="H83" s="49"/>
    </row>
    <row r="84" spans="8:8" x14ac:dyDescent="0.2">
      <c r="H84" s="49"/>
    </row>
    <row r="85" spans="8:8" x14ac:dyDescent="0.2">
      <c r="H85" s="49"/>
    </row>
    <row r="86" spans="8:8" x14ac:dyDescent="0.2">
      <c r="H86" s="49"/>
    </row>
    <row r="87" spans="8:8" x14ac:dyDescent="0.2">
      <c r="H87" s="49"/>
    </row>
    <row r="88" spans="8:8" x14ac:dyDescent="0.2">
      <c r="H88" s="49"/>
    </row>
    <row r="89" spans="8:8" x14ac:dyDescent="0.2">
      <c r="H89" s="49"/>
    </row>
    <row r="90" spans="8:8" x14ac:dyDescent="0.2">
      <c r="H90" s="49"/>
    </row>
    <row r="91" spans="8:8" x14ac:dyDescent="0.2">
      <c r="H91" s="49"/>
    </row>
    <row r="92" spans="8:8" x14ac:dyDescent="0.2">
      <c r="H92" s="49"/>
    </row>
    <row r="93" spans="8:8" x14ac:dyDescent="0.2">
      <c r="H93" s="49"/>
    </row>
    <row r="94" spans="8:8" x14ac:dyDescent="0.2">
      <c r="H94" s="49"/>
    </row>
    <row r="95" spans="8:8" x14ac:dyDescent="0.2">
      <c r="H95" s="49"/>
    </row>
    <row r="96" spans="8:8" x14ac:dyDescent="0.2">
      <c r="H96" s="49"/>
    </row>
    <row r="97" spans="8:8" x14ac:dyDescent="0.2">
      <c r="H97" s="49"/>
    </row>
    <row r="98" spans="8:8" x14ac:dyDescent="0.2">
      <c r="H98" s="49"/>
    </row>
    <row r="99" spans="8:8" x14ac:dyDescent="0.2">
      <c r="H99" s="49"/>
    </row>
    <row r="100" spans="8:8" x14ac:dyDescent="0.2">
      <c r="H100" s="49"/>
    </row>
    <row r="101" spans="8:8" x14ac:dyDescent="0.2">
      <c r="H101" s="49"/>
    </row>
    <row r="102" spans="8:8" x14ac:dyDescent="0.2">
      <c r="H102" s="49"/>
    </row>
    <row r="103" spans="8:8" x14ac:dyDescent="0.2">
      <c r="H103" s="49"/>
    </row>
    <row r="104" spans="8:8" x14ac:dyDescent="0.2">
      <c r="H104" s="49"/>
    </row>
    <row r="105" spans="8:8" x14ac:dyDescent="0.2">
      <c r="H105" s="49"/>
    </row>
    <row r="106" spans="8:8" x14ac:dyDescent="0.2">
      <c r="H106" s="49"/>
    </row>
    <row r="107" spans="8:8" x14ac:dyDescent="0.2">
      <c r="H107" s="49"/>
    </row>
    <row r="108" spans="8:8" x14ac:dyDescent="0.2">
      <c r="H108" s="49"/>
    </row>
    <row r="109" spans="8:8" x14ac:dyDescent="0.2">
      <c r="H109" s="49"/>
    </row>
    <row r="110" spans="8:8" x14ac:dyDescent="0.2">
      <c r="H110" s="49"/>
    </row>
    <row r="111" spans="8:8" x14ac:dyDescent="0.2">
      <c r="H111" s="49"/>
    </row>
    <row r="112" spans="8:8" x14ac:dyDescent="0.2">
      <c r="H112" s="49"/>
    </row>
    <row r="113" spans="8:8" x14ac:dyDescent="0.2">
      <c r="H113" s="49"/>
    </row>
    <row r="114" spans="8:8" x14ac:dyDescent="0.2">
      <c r="H114" s="49"/>
    </row>
    <row r="115" spans="8:8" x14ac:dyDescent="0.2">
      <c r="H115" s="49"/>
    </row>
    <row r="116" spans="8:8" x14ac:dyDescent="0.2">
      <c r="H116" s="49"/>
    </row>
    <row r="117" spans="8:8" x14ac:dyDescent="0.2">
      <c r="H117" s="49"/>
    </row>
    <row r="118" spans="8:8" x14ac:dyDescent="0.2">
      <c r="H118" s="49"/>
    </row>
    <row r="119" spans="8:8" x14ac:dyDescent="0.2">
      <c r="H119" s="49"/>
    </row>
    <row r="120" spans="8:8" x14ac:dyDescent="0.2">
      <c r="H120" s="49"/>
    </row>
    <row r="121" spans="8:8" x14ac:dyDescent="0.2">
      <c r="H121" s="49"/>
    </row>
    <row r="122" spans="8:8" x14ac:dyDescent="0.2">
      <c r="H122" s="49"/>
    </row>
    <row r="123" spans="8:8" x14ac:dyDescent="0.2">
      <c r="H123" s="49"/>
    </row>
    <row r="124" spans="8:8" x14ac:dyDescent="0.2">
      <c r="H124" s="49"/>
    </row>
    <row r="125" spans="8:8" x14ac:dyDescent="0.2">
      <c r="H125" s="49"/>
    </row>
    <row r="126" spans="8:8" x14ac:dyDescent="0.2">
      <c r="H126" s="49"/>
    </row>
    <row r="127" spans="8:8" x14ac:dyDescent="0.2">
      <c r="H127" s="49"/>
    </row>
    <row r="128" spans="8:8" x14ac:dyDescent="0.2">
      <c r="H128" s="49"/>
    </row>
    <row r="129" spans="8:8" x14ac:dyDescent="0.2">
      <c r="H129" s="49"/>
    </row>
    <row r="130" spans="8:8" x14ac:dyDescent="0.2">
      <c r="H130" s="49"/>
    </row>
    <row r="131" spans="8:8" x14ac:dyDescent="0.2">
      <c r="H131" s="49"/>
    </row>
    <row r="132" spans="8:8" x14ac:dyDescent="0.2">
      <c r="H132" s="49"/>
    </row>
    <row r="133" spans="8:8" x14ac:dyDescent="0.2">
      <c r="H133" s="49"/>
    </row>
    <row r="134" spans="8:8" x14ac:dyDescent="0.2">
      <c r="H134" s="49"/>
    </row>
    <row r="135" spans="8:8" x14ac:dyDescent="0.2">
      <c r="H135" s="49"/>
    </row>
    <row r="136" spans="8:8" x14ac:dyDescent="0.2">
      <c r="H136" s="49"/>
    </row>
    <row r="137" spans="8:8" x14ac:dyDescent="0.2">
      <c r="H137" s="49"/>
    </row>
    <row r="138" spans="8:8" x14ac:dyDescent="0.2">
      <c r="H138" s="49"/>
    </row>
    <row r="139" spans="8:8" x14ac:dyDescent="0.2">
      <c r="H139" s="49"/>
    </row>
    <row r="140" spans="8:8" x14ac:dyDescent="0.2">
      <c r="H140" s="49"/>
    </row>
    <row r="141" spans="8:8" x14ac:dyDescent="0.2">
      <c r="H141" s="49"/>
    </row>
    <row r="142" spans="8:8" x14ac:dyDescent="0.2">
      <c r="H142" s="49"/>
    </row>
    <row r="143" spans="8:8" x14ac:dyDescent="0.2">
      <c r="H143" s="49"/>
    </row>
    <row r="144" spans="8:8" x14ac:dyDescent="0.2">
      <c r="H144" s="49"/>
    </row>
    <row r="145" spans="8:8" x14ac:dyDescent="0.2">
      <c r="H145" s="49"/>
    </row>
    <row r="146" spans="8:8" x14ac:dyDescent="0.2">
      <c r="H146" s="49"/>
    </row>
    <row r="147" spans="8:8" x14ac:dyDescent="0.2">
      <c r="H147" s="49"/>
    </row>
    <row r="148" spans="8:8" x14ac:dyDescent="0.2">
      <c r="H148" s="49"/>
    </row>
    <row r="149" spans="8:8" x14ac:dyDescent="0.2">
      <c r="H149" s="49"/>
    </row>
    <row r="150" spans="8:8" x14ac:dyDescent="0.2">
      <c r="H150" s="49"/>
    </row>
    <row r="151" spans="8:8" x14ac:dyDescent="0.2">
      <c r="H151" s="49"/>
    </row>
    <row r="152" spans="8:8" x14ac:dyDescent="0.2">
      <c r="H152" s="49"/>
    </row>
    <row r="153" spans="8:8" x14ac:dyDescent="0.2">
      <c r="H153" s="49"/>
    </row>
    <row r="154" spans="8:8" x14ac:dyDescent="0.2">
      <c r="H154" s="49"/>
    </row>
    <row r="155" spans="8:8" x14ac:dyDescent="0.2">
      <c r="H155" s="49"/>
    </row>
    <row r="156" spans="8:8" x14ac:dyDescent="0.2">
      <c r="H156" s="49"/>
    </row>
    <row r="157" spans="8:8" x14ac:dyDescent="0.2">
      <c r="H157" s="49"/>
    </row>
    <row r="158" spans="8:8" x14ac:dyDescent="0.2">
      <c r="H158" s="49"/>
    </row>
    <row r="159" spans="8:8" x14ac:dyDescent="0.2">
      <c r="H159" s="49"/>
    </row>
    <row r="160" spans="8:8" x14ac:dyDescent="0.2">
      <c r="H160" s="49"/>
    </row>
    <row r="161" spans="8:8" x14ac:dyDescent="0.2">
      <c r="H161" s="49"/>
    </row>
    <row r="162" spans="8:8" x14ac:dyDescent="0.2">
      <c r="H162" s="49"/>
    </row>
    <row r="163" spans="8:8" x14ac:dyDescent="0.2">
      <c r="H163" s="49"/>
    </row>
    <row r="164" spans="8:8" x14ac:dyDescent="0.2">
      <c r="H164" s="49"/>
    </row>
    <row r="165" spans="8:8" x14ac:dyDescent="0.2">
      <c r="H165" s="49"/>
    </row>
    <row r="166" spans="8:8" x14ac:dyDescent="0.2">
      <c r="H166" s="49"/>
    </row>
    <row r="167" spans="8:8" x14ac:dyDescent="0.2">
      <c r="H167" s="49"/>
    </row>
    <row r="168" spans="8:8" x14ac:dyDescent="0.2">
      <c r="H168" s="49"/>
    </row>
    <row r="169" spans="8:8" x14ac:dyDescent="0.2">
      <c r="H169" s="49"/>
    </row>
    <row r="170" spans="8:8" x14ac:dyDescent="0.2">
      <c r="H170" s="49"/>
    </row>
    <row r="171" spans="8:8" x14ac:dyDescent="0.2">
      <c r="H171" s="49"/>
    </row>
    <row r="172" spans="8:8" x14ac:dyDescent="0.2">
      <c r="H172" s="49"/>
    </row>
    <row r="173" spans="8:8" x14ac:dyDescent="0.2">
      <c r="H173" s="49"/>
    </row>
    <row r="174" spans="8:8" x14ac:dyDescent="0.2">
      <c r="H174" s="49"/>
    </row>
    <row r="175" spans="8:8" x14ac:dyDescent="0.2">
      <c r="H175" s="49"/>
    </row>
    <row r="176" spans="8:8" x14ac:dyDescent="0.2">
      <c r="H176" s="49"/>
    </row>
    <row r="177" spans="8:8" x14ac:dyDescent="0.2">
      <c r="H177" s="49"/>
    </row>
    <row r="178" spans="8:8" x14ac:dyDescent="0.2">
      <c r="H178" s="49"/>
    </row>
    <row r="179" spans="8:8" x14ac:dyDescent="0.2">
      <c r="H179" s="49"/>
    </row>
    <row r="180" spans="8:8" x14ac:dyDescent="0.2">
      <c r="H180" s="49"/>
    </row>
    <row r="181" spans="8:8" x14ac:dyDescent="0.2">
      <c r="H181" s="49"/>
    </row>
    <row r="182" spans="8:8" x14ac:dyDescent="0.2">
      <c r="H182" s="49"/>
    </row>
    <row r="183" spans="8:8" x14ac:dyDescent="0.2">
      <c r="H183" s="49"/>
    </row>
    <row r="184" spans="8:8" x14ac:dyDescent="0.2">
      <c r="H184" s="49"/>
    </row>
    <row r="185" spans="8:8" x14ac:dyDescent="0.2">
      <c r="H185" s="49"/>
    </row>
    <row r="186" spans="8:8" x14ac:dyDescent="0.2">
      <c r="H186" s="49"/>
    </row>
    <row r="187" spans="8:8" x14ac:dyDescent="0.2">
      <c r="H187" s="49"/>
    </row>
    <row r="188" spans="8:8" x14ac:dyDescent="0.2">
      <c r="H188" s="49"/>
    </row>
    <row r="189" spans="8:8" x14ac:dyDescent="0.2">
      <c r="H189" s="49"/>
    </row>
    <row r="190" spans="8:8" x14ac:dyDescent="0.2">
      <c r="H190" s="49"/>
    </row>
    <row r="191" spans="8:8" x14ac:dyDescent="0.2">
      <c r="H191" s="49"/>
    </row>
    <row r="192" spans="8:8" x14ac:dyDescent="0.2">
      <c r="H192" s="49"/>
    </row>
    <row r="193" spans="8:8" x14ac:dyDescent="0.2">
      <c r="H193" s="49"/>
    </row>
    <row r="194" spans="8:8" x14ac:dyDescent="0.2">
      <c r="H194" s="49"/>
    </row>
    <row r="195" spans="8:8" x14ac:dyDescent="0.2">
      <c r="H195" s="49"/>
    </row>
    <row r="196" spans="8:8" x14ac:dyDescent="0.2">
      <c r="H196" s="49"/>
    </row>
    <row r="197" spans="8:8" x14ac:dyDescent="0.2">
      <c r="H197" s="49"/>
    </row>
    <row r="198" spans="8:8" x14ac:dyDescent="0.2">
      <c r="H198" s="49"/>
    </row>
    <row r="199" spans="8:8" x14ac:dyDescent="0.2">
      <c r="H199" s="49"/>
    </row>
    <row r="200" spans="8:8" x14ac:dyDescent="0.2">
      <c r="H200" s="49"/>
    </row>
    <row r="201" spans="8:8" x14ac:dyDescent="0.2">
      <c r="H201" s="49"/>
    </row>
    <row r="202" spans="8:8" x14ac:dyDescent="0.2">
      <c r="H202" s="49"/>
    </row>
    <row r="203" spans="8:8" x14ac:dyDescent="0.2">
      <c r="H203" s="49"/>
    </row>
    <row r="204" spans="8:8" x14ac:dyDescent="0.2">
      <c r="H204" s="49"/>
    </row>
    <row r="205" spans="8:8" x14ac:dyDescent="0.2">
      <c r="H205" s="49"/>
    </row>
    <row r="206" spans="8:8" x14ac:dyDescent="0.2">
      <c r="H206" s="49"/>
    </row>
    <row r="207" spans="8:8" x14ac:dyDescent="0.2">
      <c r="H207" s="49"/>
    </row>
    <row r="208" spans="8:8" x14ac:dyDescent="0.2">
      <c r="H208" s="49"/>
    </row>
    <row r="209" spans="8:8" x14ac:dyDescent="0.2">
      <c r="H209" s="49"/>
    </row>
    <row r="210" spans="8:8" x14ac:dyDescent="0.2">
      <c r="H210" s="49"/>
    </row>
    <row r="211" spans="8:8" x14ac:dyDescent="0.2">
      <c r="H211" s="49"/>
    </row>
    <row r="212" spans="8:8" x14ac:dyDescent="0.2">
      <c r="H212" s="49"/>
    </row>
    <row r="213" spans="8:8" x14ac:dyDescent="0.2">
      <c r="H213" s="49"/>
    </row>
    <row r="214" spans="8:8" x14ac:dyDescent="0.2">
      <c r="H214" s="49"/>
    </row>
    <row r="215" spans="8:8" x14ac:dyDescent="0.2">
      <c r="H215" s="49"/>
    </row>
    <row r="216" spans="8:8" x14ac:dyDescent="0.2">
      <c r="H216" s="49"/>
    </row>
    <row r="217" spans="8:8" x14ac:dyDescent="0.2">
      <c r="H217" s="49"/>
    </row>
    <row r="218" spans="8:8" x14ac:dyDescent="0.2">
      <c r="H218" s="49"/>
    </row>
    <row r="219" spans="8:8" x14ac:dyDescent="0.2">
      <c r="H219" s="49"/>
    </row>
    <row r="220" spans="8:8" x14ac:dyDescent="0.2">
      <c r="H220" s="49"/>
    </row>
    <row r="221" spans="8:8" x14ac:dyDescent="0.2">
      <c r="H221" s="49"/>
    </row>
    <row r="222" spans="8:8" x14ac:dyDescent="0.2">
      <c r="H222" s="49"/>
    </row>
    <row r="223" spans="8:8" x14ac:dyDescent="0.2">
      <c r="H223" s="49"/>
    </row>
    <row r="224" spans="8:8" x14ac:dyDescent="0.2">
      <c r="H224" s="49"/>
    </row>
    <row r="225" spans="8:8" x14ac:dyDescent="0.2">
      <c r="H225" s="49"/>
    </row>
    <row r="226" spans="8:8" x14ac:dyDescent="0.2">
      <c r="H226" s="49"/>
    </row>
    <row r="227" spans="8:8" x14ac:dyDescent="0.2">
      <c r="H227" s="49"/>
    </row>
    <row r="228" spans="8:8" x14ac:dyDescent="0.2">
      <c r="H228" s="49"/>
    </row>
    <row r="229" spans="8:8" x14ac:dyDescent="0.2">
      <c r="H229" s="49"/>
    </row>
    <row r="230" spans="8:8" x14ac:dyDescent="0.2">
      <c r="H230" s="49"/>
    </row>
    <row r="231" spans="8:8" x14ac:dyDescent="0.2">
      <c r="H231" s="49"/>
    </row>
    <row r="232" spans="8:8" x14ac:dyDescent="0.2">
      <c r="H232" s="49"/>
    </row>
    <row r="233" spans="8:8" x14ac:dyDescent="0.2">
      <c r="H233" s="49"/>
    </row>
    <row r="234" spans="8:8" x14ac:dyDescent="0.2">
      <c r="H234" s="49"/>
    </row>
    <row r="235" spans="8:8" x14ac:dyDescent="0.2">
      <c r="H235" s="49"/>
    </row>
    <row r="236" spans="8:8" x14ac:dyDescent="0.2">
      <c r="H236" s="49"/>
    </row>
    <row r="237" spans="8:8" x14ac:dyDescent="0.2">
      <c r="H237" s="49"/>
    </row>
    <row r="238" spans="8:8" x14ac:dyDescent="0.2">
      <c r="H238" s="49"/>
    </row>
    <row r="239" spans="8:8" x14ac:dyDescent="0.2">
      <c r="H239" s="49"/>
    </row>
    <row r="240" spans="8:8" x14ac:dyDescent="0.2">
      <c r="H240" s="49"/>
    </row>
    <row r="241" spans="8:8" x14ac:dyDescent="0.2">
      <c r="H241" s="49"/>
    </row>
    <row r="242" spans="8:8" x14ac:dyDescent="0.2">
      <c r="H242" s="49"/>
    </row>
    <row r="243" spans="8:8" x14ac:dyDescent="0.2">
      <c r="H243" s="49"/>
    </row>
    <row r="244" spans="8:8" x14ac:dyDescent="0.2">
      <c r="H244" s="49"/>
    </row>
    <row r="245" spans="8:8" x14ac:dyDescent="0.2">
      <c r="H245" s="49"/>
    </row>
    <row r="246" spans="8:8" x14ac:dyDescent="0.2">
      <c r="H246" s="49"/>
    </row>
    <row r="247" spans="8:8" x14ac:dyDescent="0.2">
      <c r="H247" s="49"/>
    </row>
    <row r="248" spans="8:8" x14ac:dyDescent="0.2">
      <c r="H248" s="49"/>
    </row>
    <row r="249" spans="8:8" x14ac:dyDescent="0.2">
      <c r="H249" s="49"/>
    </row>
    <row r="250" spans="8:8" x14ac:dyDescent="0.2">
      <c r="H250" s="49"/>
    </row>
    <row r="251" spans="8:8" x14ac:dyDescent="0.2">
      <c r="H251" s="49"/>
    </row>
    <row r="252" spans="8:8" x14ac:dyDescent="0.2">
      <c r="H252" s="49"/>
    </row>
    <row r="253" spans="8:8" x14ac:dyDescent="0.2">
      <c r="H253" s="49"/>
    </row>
    <row r="254" spans="8:8" x14ac:dyDescent="0.2">
      <c r="H254" s="49"/>
    </row>
    <row r="255" spans="8:8" x14ac:dyDescent="0.2">
      <c r="H255" s="49"/>
    </row>
    <row r="256" spans="8:8" x14ac:dyDescent="0.2">
      <c r="H256" s="49"/>
    </row>
    <row r="257" spans="8:8" x14ac:dyDescent="0.2">
      <c r="H257" s="49"/>
    </row>
    <row r="258" spans="8:8" x14ac:dyDescent="0.2">
      <c r="H258" s="49"/>
    </row>
    <row r="259" spans="8:8" x14ac:dyDescent="0.2">
      <c r="H259" s="49"/>
    </row>
    <row r="260" spans="8:8" x14ac:dyDescent="0.2">
      <c r="H260" s="49"/>
    </row>
    <row r="261" spans="8:8" x14ac:dyDescent="0.2">
      <c r="H261" s="49"/>
    </row>
    <row r="262" spans="8:8" x14ac:dyDescent="0.2">
      <c r="H262" s="49"/>
    </row>
    <row r="263" spans="8:8" x14ac:dyDescent="0.2">
      <c r="H263" s="49"/>
    </row>
    <row r="264" spans="8:8" x14ac:dyDescent="0.2">
      <c r="H264" s="49"/>
    </row>
    <row r="265" spans="8:8" x14ac:dyDescent="0.2">
      <c r="H265" s="49"/>
    </row>
    <row r="266" spans="8:8" x14ac:dyDescent="0.2">
      <c r="H266" s="49"/>
    </row>
    <row r="267" spans="8:8" x14ac:dyDescent="0.2">
      <c r="H267" s="49"/>
    </row>
    <row r="268" spans="8:8" x14ac:dyDescent="0.2">
      <c r="H268" s="49"/>
    </row>
    <row r="269" spans="8:8" x14ac:dyDescent="0.2">
      <c r="H269" s="49"/>
    </row>
    <row r="270" spans="8:8" x14ac:dyDescent="0.2">
      <c r="H270" s="49"/>
    </row>
    <row r="271" spans="8:8" x14ac:dyDescent="0.2">
      <c r="H271" s="49"/>
    </row>
    <row r="272" spans="8:8" x14ac:dyDescent="0.2">
      <c r="H272" s="49"/>
    </row>
    <row r="273" spans="8:8" x14ac:dyDescent="0.2">
      <c r="H273" s="49"/>
    </row>
    <row r="274" spans="8:8" x14ac:dyDescent="0.2">
      <c r="H274" s="49"/>
    </row>
    <row r="275" spans="8:8" x14ac:dyDescent="0.2">
      <c r="H275" s="49"/>
    </row>
    <row r="276" spans="8:8" x14ac:dyDescent="0.2">
      <c r="H276" s="49"/>
    </row>
    <row r="277" spans="8:8" x14ac:dyDescent="0.2">
      <c r="H277" s="49"/>
    </row>
    <row r="278" spans="8:8" x14ac:dyDescent="0.2">
      <c r="H278" s="49"/>
    </row>
    <row r="279" spans="8:8" x14ac:dyDescent="0.2">
      <c r="H279" s="49"/>
    </row>
    <row r="280" spans="8:8" x14ac:dyDescent="0.2">
      <c r="H280" s="49"/>
    </row>
    <row r="281" spans="8:8" x14ac:dyDescent="0.2">
      <c r="H281" s="49"/>
    </row>
    <row r="282" spans="8:8" x14ac:dyDescent="0.2">
      <c r="H282" s="49"/>
    </row>
    <row r="283" spans="8:8" x14ac:dyDescent="0.2">
      <c r="H283" s="49"/>
    </row>
    <row r="284" spans="8:8" x14ac:dyDescent="0.2">
      <c r="H284" s="49"/>
    </row>
    <row r="285" spans="8:8" x14ac:dyDescent="0.2">
      <c r="H285" s="49"/>
    </row>
    <row r="286" spans="8:8" x14ac:dyDescent="0.2">
      <c r="H286" s="49"/>
    </row>
    <row r="287" spans="8:8" x14ac:dyDescent="0.2">
      <c r="H287" s="49"/>
    </row>
    <row r="288" spans="8:8" x14ac:dyDescent="0.2">
      <c r="H288" s="49"/>
    </row>
    <row r="289" spans="8:8" x14ac:dyDescent="0.2">
      <c r="H289" s="49"/>
    </row>
    <row r="290" spans="8:8" x14ac:dyDescent="0.2">
      <c r="H290" s="49"/>
    </row>
    <row r="291" spans="8:8" x14ac:dyDescent="0.2">
      <c r="H291" s="49"/>
    </row>
    <row r="292" spans="8:8" x14ac:dyDescent="0.2">
      <c r="H292" s="49"/>
    </row>
    <row r="293" spans="8:8" x14ac:dyDescent="0.2">
      <c r="H293" s="49"/>
    </row>
    <row r="294" spans="8:8" x14ac:dyDescent="0.2">
      <c r="H294" s="49"/>
    </row>
    <row r="295" spans="8:8" x14ac:dyDescent="0.2">
      <c r="H295" s="49"/>
    </row>
    <row r="296" spans="8:8" x14ac:dyDescent="0.2">
      <c r="H296" s="49"/>
    </row>
    <row r="297" spans="8:8" x14ac:dyDescent="0.2">
      <c r="H297" s="49"/>
    </row>
    <row r="298" spans="8:8" x14ac:dyDescent="0.2">
      <c r="H298" s="49"/>
    </row>
    <row r="299" spans="8:8" x14ac:dyDescent="0.2">
      <c r="H299" s="49"/>
    </row>
    <row r="300" spans="8:8" x14ac:dyDescent="0.2">
      <c r="H300" s="49"/>
    </row>
    <row r="301" spans="8:8" x14ac:dyDescent="0.2">
      <c r="H301" s="49"/>
    </row>
    <row r="302" spans="8:8" x14ac:dyDescent="0.2">
      <c r="H302" s="49"/>
    </row>
    <row r="303" spans="8:8" x14ac:dyDescent="0.2">
      <c r="H303" s="49"/>
    </row>
    <row r="304" spans="8:8" x14ac:dyDescent="0.2">
      <c r="H304" s="49"/>
    </row>
    <row r="305" spans="8:8" x14ac:dyDescent="0.2">
      <c r="H305" s="49"/>
    </row>
    <row r="306" spans="8:8" x14ac:dyDescent="0.2">
      <c r="H306" s="49"/>
    </row>
    <row r="307" spans="8:8" x14ac:dyDescent="0.2">
      <c r="H307" s="49"/>
    </row>
    <row r="308" spans="8:8" x14ac:dyDescent="0.2">
      <c r="H308" s="49"/>
    </row>
    <row r="309" spans="8:8" x14ac:dyDescent="0.2">
      <c r="H309" s="49"/>
    </row>
    <row r="310" spans="8:8" x14ac:dyDescent="0.2">
      <c r="H310" s="49"/>
    </row>
    <row r="311" spans="8:8" x14ac:dyDescent="0.2">
      <c r="H311" s="49"/>
    </row>
    <row r="312" spans="8:8" x14ac:dyDescent="0.2">
      <c r="H312" s="49"/>
    </row>
    <row r="313" spans="8:8" x14ac:dyDescent="0.2">
      <c r="H313" s="49"/>
    </row>
    <row r="314" spans="8:8" x14ac:dyDescent="0.2">
      <c r="H314" s="49"/>
    </row>
    <row r="315" spans="8:8" x14ac:dyDescent="0.2">
      <c r="H315" s="49"/>
    </row>
    <row r="316" spans="8:8" x14ac:dyDescent="0.2">
      <c r="H316" s="49"/>
    </row>
    <row r="317" spans="8:8" x14ac:dyDescent="0.2">
      <c r="H317" s="49"/>
    </row>
    <row r="318" spans="8:8" x14ac:dyDescent="0.2">
      <c r="H318" s="49"/>
    </row>
    <row r="319" spans="8:8" x14ac:dyDescent="0.2">
      <c r="H319" s="49"/>
    </row>
    <row r="320" spans="8:8" x14ac:dyDescent="0.2">
      <c r="H320" s="49"/>
    </row>
    <row r="321" spans="8:8" x14ac:dyDescent="0.2">
      <c r="H321" s="49"/>
    </row>
    <row r="322" spans="8:8" x14ac:dyDescent="0.2">
      <c r="H322" s="49"/>
    </row>
    <row r="323" spans="8:8" x14ac:dyDescent="0.2">
      <c r="H323" s="49"/>
    </row>
    <row r="324" spans="8:8" x14ac:dyDescent="0.2">
      <c r="H324" s="49"/>
    </row>
    <row r="325" spans="8:8" x14ac:dyDescent="0.2">
      <c r="H325" s="49"/>
    </row>
    <row r="326" spans="8:8" x14ac:dyDescent="0.2">
      <c r="H326" s="49"/>
    </row>
    <row r="327" spans="8:8" x14ac:dyDescent="0.2">
      <c r="H327" s="49"/>
    </row>
    <row r="328" spans="8:8" x14ac:dyDescent="0.2">
      <c r="H328" s="49"/>
    </row>
    <row r="329" spans="8:8" x14ac:dyDescent="0.2">
      <c r="H329" s="49"/>
    </row>
    <row r="330" spans="8:8" x14ac:dyDescent="0.2">
      <c r="H330" s="49"/>
    </row>
    <row r="331" spans="8:8" x14ac:dyDescent="0.2">
      <c r="H331" s="49"/>
    </row>
    <row r="332" spans="8:8" x14ac:dyDescent="0.2">
      <c r="H332" s="49"/>
    </row>
    <row r="333" spans="8:8" x14ac:dyDescent="0.2">
      <c r="H333" s="49"/>
    </row>
    <row r="334" spans="8:8" x14ac:dyDescent="0.2">
      <c r="H334" s="49"/>
    </row>
    <row r="335" spans="8:8" x14ac:dyDescent="0.2">
      <c r="H335" s="49"/>
    </row>
    <row r="336" spans="8:8" x14ac:dyDescent="0.2">
      <c r="H336" s="49"/>
    </row>
    <row r="337" spans="8:8" x14ac:dyDescent="0.2">
      <c r="H337" s="49"/>
    </row>
    <row r="338" spans="8:8" x14ac:dyDescent="0.2">
      <c r="H338" s="49"/>
    </row>
    <row r="339" spans="8:8" x14ac:dyDescent="0.2">
      <c r="H339" s="49"/>
    </row>
    <row r="340" spans="8:8" x14ac:dyDescent="0.2">
      <c r="H340" s="49"/>
    </row>
    <row r="341" spans="8:8" x14ac:dyDescent="0.2">
      <c r="H341" s="49"/>
    </row>
    <row r="342" spans="8:8" x14ac:dyDescent="0.2">
      <c r="H342" s="49"/>
    </row>
    <row r="343" spans="8:8" x14ac:dyDescent="0.2">
      <c r="H343" s="49"/>
    </row>
    <row r="344" spans="8:8" x14ac:dyDescent="0.2">
      <c r="H344" s="49"/>
    </row>
    <row r="345" spans="8:8" x14ac:dyDescent="0.2">
      <c r="H345" s="49"/>
    </row>
    <row r="346" spans="8:8" x14ac:dyDescent="0.2">
      <c r="H346" s="49"/>
    </row>
    <row r="347" spans="8:8" x14ac:dyDescent="0.2">
      <c r="H347" s="49"/>
    </row>
    <row r="348" spans="8:8" x14ac:dyDescent="0.2">
      <c r="H348" s="49"/>
    </row>
    <row r="349" spans="8:8" x14ac:dyDescent="0.2">
      <c r="H349" s="49"/>
    </row>
    <row r="350" spans="8:8" x14ac:dyDescent="0.2">
      <c r="H350" s="49"/>
    </row>
    <row r="351" spans="8:8" x14ac:dyDescent="0.2">
      <c r="H351" s="49"/>
    </row>
    <row r="352" spans="8:8" x14ac:dyDescent="0.2">
      <c r="H352" s="49"/>
    </row>
    <row r="353" spans="8:8" x14ac:dyDescent="0.2">
      <c r="H353" s="49"/>
    </row>
    <row r="354" spans="8:8" x14ac:dyDescent="0.2">
      <c r="H354" s="49"/>
    </row>
    <row r="355" spans="8:8" x14ac:dyDescent="0.2">
      <c r="H355" s="49"/>
    </row>
    <row r="356" spans="8:8" x14ac:dyDescent="0.2">
      <c r="H356" s="49"/>
    </row>
    <row r="357" spans="8:8" x14ac:dyDescent="0.2">
      <c r="H357" s="49"/>
    </row>
    <row r="358" spans="8:8" x14ac:dyDescent="0.2">
      <c r="H358" s="49"/>
    </row>
    <row r="359" spans="8:8" x14ac:dyDescent="0.2">
      <c r="H359" s="49"/>
    </row>
    <row r="360" spans="8:8" x14ac:dyDescent="0.2">
      <c r="H360" s="49"/>
    </row>
    <row r="361" spans="8:8" x14ac:dyDescent="0.2">
      <c r="H361" s="49"/>
    </row>
    <row r="362" spans="8:8" x14ac:dyDescent="0.2">
      <c r="H362" s="49"/>
    </row>
    <row r="363" spans="8:8" x14ac:dyDescent="0.2">
      <c r="H363" s="49"/>
    </row>
    <row r="364" spans="8:8" x14ac:dyDescent="0.2">
      <c r="H364" s="49"/>
    </row>
    <row r="365" spans="8:8" x14ac:dyDescent="0.2">
      <c r="H365" s="49"/>
    </row>
    <row r="366" spans="8:8" x14ac:dyDescent="0.2">
      <c r="H366" s="49"/>
    </row>
    <row r="367" spans="8:8" x14ac:dyDescent="0.2">
      <c r="H367" s="49"/>
    </row>
    <row r="368" spans="8:8" x14ac:dyDescent="0.2">
      <c r="H368" s="49"/>
    </row>
    <row r="369" spans="8:8" x14ac:dyDescent="0.2">
      <c r="H369" s="49"/>
    </row>
    <row r="370" spans="8:8" x14ac:dyDescent="0.2">
      <c r="H370" s="49"/>
    </row>
    <row r="371" spans="8:8" x14ac:dyDescent="0.2">
      <c r="H371" s="49"/>
    </row>
    <row r="372" spans="8:8" x14ac:dyDescent="0.2">
      <c r="H372" s="49"/>
    </row>
    <row r="373" spans="8:8" x14ac:dyDescent="0.2">
      <c r="H373" s="49"/>
    </row>
    <row r="374" spans="8:8" x14ac:dyDescent="0.2">
      <c r="H374" s="49"/>
    </row>
    <row r="375" spans="8:8" x14ac:dyDescent="0.2">
      <c r="H375" s="49"/>
    </row>
    <row r="376" spans="8:8" x14ac:dyDescent="0.2">
      <c r="H376" s="49"/>
    </row>
    <row r="377" spans="8:8" x14ac:dyDescent="0.2">
      <c r="H377" s="49"/>
    </row>
    <row r="378" spans="8:8" x14ac:dyDescent="0.2">
      <c r="H378" s="49"/>
    </row>
    <row r="379" spans="8:8" x14ac:dyDescent="0.2">
      <c r="H379" s="49"/>
    </row>
    <row r="380" spans="8:8" x14ac:dyDescent="0.2">
      <c r="H380" s="49"/>
    </row>
    <row r="381" spans="8:8" x14ac:dyDescent="0.2">
      <c r="H381" s="49"/>
    </row>
    <row r="382" spans="8:8" x14ac:dyDescent="0.2">
      <c r="H382" s="49"/>
    </row>
    <row r="383" spans="8:8" x14ac:dyDescent="0.2">
      <c r="H383" s="49"/>
    </row>
    <row r="384" spans="8:8" x14ac:dyDescent="0.2">
      <c r="H384" s="49"/>
    </row>
    <row r="385" spans="8:8" x14ac:dyDescent="0.2">
      <c r="H385" s="49"/>
    </row>
    <row r="386" spans="8:8" x14ac:dyDescent="0.2">
      <c r="H386" s="49"/>
    </row>
    <row r="387" spans="8:8" x14ac:dyDescent="0.2">
      <c r="H387" s="49"/>
    </row>
    <row r="388" spans="8:8" x14ac:dyDescent="0.2">
      <c r="H388" s="49"/>
    </row>
    <row r="389" spans="8:8" x14ac:dyDescent="0.2">
      <c r="H389" s="49"/>
    </row>
    <row r="390" spans="8:8" x14ac:dyDescent="0.2">
      <c r="H390" s="49"/>
    </row>
    <row r="391" spans="8:8" x14ac:dyDescent="0.2">
      <c r="H391" s="49"/>
    </row>
    <row r="392" spans="8:8" x14ac:dyDescent="0.2">
      <c r="H392" s="49"/>
    </row>
    <row r="393" spans="8:8" x14ac:dyDescent="0.2">
      <c r="H393" s="49"/>
    </row>
    <row r="394" spans="8:8" x14ac:dyDescent="0.2">
      <c r="H394" s="49"/>
    </row>
    <row r="395" spans="8:8" x14ac:dyDescent="0.2">
      <c r="H395" s="49"/>
    </row>
    <row r="396" spans="8:8" x14ac:dyDescent="0.2">
      <c r="H396" s="49"/>
    </row>
    <row r="397" spans="8:8" x14ac:dyDescent="0.2">
      <c r="H397" s="49"/>
    </row>
    <row r="398" spans="8:8" x14ac:dyDescent="0.2">
      <c r="H398" s="49"/>
    </row>
    <row r="399" spans="8:8" x14ac:dyDescent="0.2">
      <c r="H399" s="49"/>
    </row>
    <row r="400" spans="8:8" x14ac:dyDescent="0.2">
      <c r="H400" s="49"/>
    </row>
    <row r="401" spans="8:8" x14ac:dyDescent="0.2">
      <c r="H401" s="49"/>
    </row>
    <row r="402" spans="8:8" x14ac:dyDescent="0.2">
      <c r="H402" s="49"/>
    </row>
    <row r="403" spans="8:8" x14ac:dyDescent="0.2">
      <c r="H403" s="49"/>
    </row>
    <row r="404" spans="8:8" x14ac:dyDescent="0.2">
      <c r="H404" s="49"/>
    </row>
    <row r="405" spans="8:8" x14ac:dyDescent="0.2">
      <c r="H405" s="49"/>
    </row>
    <row r="406" spans="8:8" x14ac:dyDescent="0.2">
      <c r="H406" s="49"/>
    </row>
    <row r="407" spans="8:8" x14ac:dyDescent="0.2">
      <c r="H407" s="49"/>
    </row>
    <row r="408" spans="8:8" x14ac:dyDescent="0.2">
      <c r="H408" s="49"/>
    </row>
    <row r="409" spans="8:8" x14ac:dyDescent="0.2">
      <c r="H409" s="49"/>
    </row>
    <row r="410" spans="8:8" x14ac:dyDescent="0.2">
      <c r="H410" s="49"/>
    </row>
    <row r="411" spans="8:8" x14ac:dyDescent="0.2">
      <c r="H411" s="49"/>
    </row>
    <row r="412" spans="8:8" x14ac:dyDescent="0.2">
      <c r="H412" s="49"/>
    </row>
    <row r="413" spans="8:8" x14ac:dyDescent="0.2">
      <c r="H413" s="49"/>
    </row>
    <row r="414" spans="8:8" x14ac:dyDescent="0.2">
      <c r="H414" s="49"/>
    </row>
    <row r="415" spans="8:8" x14ac:dyDescent="0.2">
      <c r="H415" s="49"/>
    </row>
    <row r="416" spans="8:8" x14ac:dyDescent="0.2">
      <c r="H416" s="49"/>
    </row>
    <row r="417" spans="8:8" x14ac:dyDescent="0.2">
      <c r="H417" s="49"/>
    </row>
    <row r="418" spans="8:8" x14ac:dyDescent="0.2">
      <c r="H418" s="49"/>
    </row>
    <row r="419" spans="8:8" x14ac:dyDescent="0.2">
      <c r="H419" s="49"/>
    </row>
    <row r="420" spans="8:8" x14ac:dyDescent="0.2">
      <c r="H420" s="49"/>
    </row>
    <row r="421" spans="8:8" x14ac:dyDescent="0.2">
      <c r="H421" s="49"/>
    </row>
    <row r="422" spans="8:8" x14ac:dyDescent="0.2">
      <c r="H422" s="49"/>
    </row>
    <row r="423" spans="8:8" x14ac:dyDescent="0.2">
      <c r="H423" s="49"/>
    </row>
    <row r="424" spans="8:8" x14ac:dyDescent="0.2">
      <c r="H424" s="49"/>
    </row>
    <row r="425" spans="8:8" x14ac:dyDescent="0.2">
      <c r="H425" s="49"/>
    </row>
    <row r="426" spans="8:8" x14ac:dyDescent="0.2">
      <c r="H426" s="49"/>
    </row>
    <row r="427" spans="8:8" x14ac:dyDescent="0.2">
      <c r="H427" s="49"/>
    </row>
    <row r="428" spans="8:8" x14ac:dyDescent="0.2">
      <c r="H428" s="49"/>
    </row>
    <row r="429" spans="8:8" x14ac:dyDescent="0.2">
      <c r="H429" s="49"/>
    </row>
    <row r="430" spans="8:8" x14ac:dyDescent="0.2">
      <c r="H430" s="49"/>
    </row>
    <row r="431" spans="8:8" x14ac:dyDescent="0.2">
      <c r="H431" s="49"/>
    </row>
    <row r="432" spans="8:8" x14ac:dyDescent="0.2">
      <c r="H432" s="49"/>
    </row>
    <row r="433" spans="8:8" x14ac:dyDescent="0.2">
      <c r="H433" s="49"/>
    </row>
    <row r="434" spans="8:8" x14ac:dyDescent="0.2">
      <c r="H434" s="49"/>
    </row>
    <row r="435" spans="8:8" x14ac:dyDescent="0.2">
      <c r="H435" s="49"/>
    </row>
    <row r="436" spans="8:8" x14ac:dyDescent="0.2">
      <c r="H436" s="49"/>
    </row>
    <row r="437" spans="8:8" x14ac:dyDescent="0.2">
      <c r="H437" s="49"/>
    </row>
    <row r="438" spans="8:8" x14ac:dyDescent="0.2">
      <c r="H438" s="49"/>
    </row>
    <row r="439" spans="8:8" x14ac:dyDescent="0.2">
      <c r="H439" s="49"/>
    </row>
    <row r="440" spans="8:8" x14ac:dyDescent="0.2">
      <c r="H440" s="49"/>
    </row>
    <row r="441" spans="8:8" x14ac:dyDescent="0.2">
      <c r="H441" s="49"/>
    </row>
    <row r="442" spans="8:8" x14ac:dyDescent="0.2">
      <c r="H442" s="49"/>
    </row>
    <row r="443" spans="8:8" x14ac:dyDescent="0.2">
      <c r="H443" s="49"/>
    </row>
    <row r="444" spans="8:8" x14ac:dyDescent="0.2">
      <c r="H444" s="49"/>
    </row>
    <row r="445" spans="8:8" x14ac:dyDescent="0.2">
      <c r="H445" s="49"/>
    </row>
    <row r="446" spans="8:8" x14ac:dyDescent="0.2">
      <c r="H446" s="49"/>
    </row>
    <row r="447" spans="8:8" x14ac:dyDescent="0.2">
      <c r="H447" s="49"/>
    </row>
    <row r="448" spans="8:8" x14ac:dyDescent="0.2">
      <c r="H448" s="49"/>
    </row>
    <row r="449" spans="8:8" x14ac:dyDescent="0.2">
      <c r="H449" s="49"/>
    </row>
    <row r="450" spans="8:8" x14ac:dyDescent="0.2">
      <c r="H450" s="49"/>
    </row>
    <row r="451" spans="8:8" x14ac:dyDescent="0.2">
      <c r="H451" s="49"/>
    </row>
    <row r="452" spans="8:8" x14ac:dyDescent="0.2">
      <c r="H452" s="49"/>
    </row>
    <row r="453" spans="8:8" x14ac:dyDescent="0.2">
      <c r="H453" s="49"/>
    </row>
    <row r="454" spans="8:8" x14ac:dyDescent="0.2">
      <c r="H454" s="49"/>
    </row>
    <row r="455" spans="8:8" x14ac:dyDescent="0.2">
      <c r="H455" s="49"/>
    </row>
    <row r="456" spans="8:8" x14ac:dyDescent="0.2">
      <c r="H456" s="49"/>
    </row>
    <row r="457" spans="8:8" x14ac:dyDescent="0.2">
      <c r="H457" s="49"/>
    </row>
    <row r="458" spans="8:8" x14ac:dyDescent="0.2">
      <c r="H458" s="49"/>
    </row>
    <row r="459" spans="8:8" x14ac:dyDescent="0.2">
      <c r="H459" s="49"/>
    </row>
    <row r="460" spans="8:8" x14ac:dyDescent="0.2">
      <c r="H460" s="49"/>
    </row>
    <row r="461" spans="8:8" x14ac:dyDescent="0.2">
      <c r="H461" s="49"/>
    </row>
    <row r="462" spans="8:8" x14ac:dyDescent="0.2">
      <c r="H462" s="49"/>
    </row>
    <row r="463" spans="8:8" x14ac:dyDescent="0.2">
      <c r="H463" s="49"/>
    </row>
    <row r="464" spans="8:8" x14ac:dyDescent="0.2">
      <c r="H464" s="49"/>
    </row>
    <row r="465" spans="8:8" x14ac:dyDescent="0.2">
      <c r="H465" s="49"/>
    </row>
    <row r="466" spans="8:8" x14ac:dyDescent="0.2">
      <c r="H466" s="49"/>
    </row>
    <row r="467" spans="8:8" x14ac:dyDescent="0.2">
      <c r="H467" s="49"/>
    </row>
    <row r="468" spans="8:8" x14ac:dyDescent="0.2">
      <c r="H468" s="49"/>
    </row>
    <row r="469" spans="8:8" x14ac:dyDescent="0.2">
      <c r="H469" s="49"/>
    </row>
    <row r="470" spans="8:8" x14ac:dyDescent="0.2">
      <c r="H470" s="49"/>
    </row>
    <row r="471" spans="8:8" x14ac:dyDescent="0.2">
      <c r="H471" s="49"/>
    </row>
    <row r="472" spans="8:8" x14ac:dyDescent="0.2">
      <c r="H472" s="49"/>
    </row>
    <row r="473" spans="8:8" x14ac:dyDescent="0.2">
      <c r="H473" s="49"/>
    </row>
    <row r="474" spans="8:8" x14ac:dyDescent="0.2">
      <c r="H474" s="49"/>
    </row>
    <row r="475" spans="8:8" x14ac:dyDescent="0.2">
      <c r="H475" s="49"/>
    </row>
    <row r="476" spans="8:8" x14ac:dyDescent="0.2">
      <c r="H476" s="49"/>
    </row>
    <row r="477" spans="8:8" x14ac:dyDescent="0.2">
      <c r="H477" s="49"/>
    </row>
    <row r="478" spans="8:8" x14ac:dyDescent="0.2">
      <c r="H478" s="49"/>
    </row>
    <row r="479" spans="8:8" x14ac:dyDescent="0.2">
      <c r="H479" s="49"/>
    </row>
    <row r="480" spans="8:8" x14ac:dyDescent="0.2">
      <c r="H480" s="49"/>
    </row>
    <row r="481" spans="8:8" x14ac:dyDescent="0.2">
      <c r="H481" s="49"/>
    </row>
    <row r="482" spans="8:8" x14ac:dyDescent="0.2">
      <c r="H482" s="49"/>
    </row>
    <row r="483" spans="8:8" x14ac:dyDescent="0.2">
      <c r="H483" s="49"/>
    </row>
    <row r="484" spans="8:8" x14ac:dyDescent="0.2">
      <c r="H484" s="49"/>
    </row>
    <row r="485" spans="8:8" x14ac:dyDescent="0.2">
      <c r="H485" s="49"/>
    </row>
    <row r="486" spans="8:8" x14ac:dyDescent="0.2">
      <c r="H486" s="49"/>
    </row>
    <row r="487" spans="8:8" x14ac:dyDescent="0.2">
      <c r="H487" s="49"/>
    </row>
    <row r="488" spans="8:8" x14ac:dyDescent="0.2">
      <c r="H488" s="49"/>
    </row>
    <row r="489" spans="8:8" x14ac:dyDescent="0.2">
      <c r="H489" s="49"/>
    </row>
    <row r="490" spans="8:8" x14ac:dyDescent="0.2">
      <c r="H490" s="49"/>
    </row>
    <row r="491" spans="8:8" x14ac:dyDescent="0.2">
      <c r="H491" s="49"/>
    </row>
    <row r="492" spans="8:8" x14ac:dyDescent="0.2">
      <c r="H492" s="49"/>
    </row>
    <row r="493" spans="8:8" x14ac:dyDescent="0.2">
      <c r="H493" s="49"/>
    </row>
    <row r="494" spans="8:8" x14ac:dyDescent="0.2">
      <c r="H494" s="49"/>
    </row>
    <row r="495" spans="8:8" x14ac:dyDescent="0.2">
      <c r="H495" s="49"/>
    </row>
    <row r="496" spans="8:8" x14ac:dyDescent="0.2">
      <c r="H496" s="49"/>
    </row>
    <row r="497" spans="8:8" x14ac:dyDescent="0.2">
      <c r="H497" s="49"/>
    </row>
    <row r="498" spans="8:8" x14ac:dyDescent="0.2">
      <c r="H498" s="49"/>
    </row>
    <row r="499" spans="8:8" x14ac:dyDescent="0.2">
      <c r="H499" s="49"/>
    </row>
    <row r="500" spans="8:8" x14ac:dyDescent="0.2">
      <c r="H500" s="49"/>
    </row>
    <row r="501" spans="8:8" x14ac:dyDescent="0.2">
      <c r="H501" s="49"/>
    </row>
    <row r="502" spans="8:8" x14ac:dyDescent="0.2">
      <c r="H502" s="49"/>
    </row>
    <row r="503" spans="8:8" x14ac:dyDescent="0.2">
      <c r="H503" s="49"/>
    </row>
    <row r="504" spans="8:8" x14ac:dyDescent="0.2">
      <c r="H504" s="49"/>
    </row>
    <row r="505" spans="8:8" x14ac:dyDescent="0.2">
      <c r="H505" s="49"/>
    </row>
    <row r="506" spans="8:8" x14ac:dyDescent="0.2">
      <c r="H506" s="49"/>
    </row>
    <row r="507" spans="8:8" x14ac:dyDescent="0.2">
      <c r="H507" s="49"/>
    </row>
    <row r="508" spans="8:8" x14ac:dyDescent="0.2">
      <c r="H508" s="49"/>
    </row>
    <row r="509" spans="8:8" x14ac:dyDescent="0.2">
      <c r="H509" s="49"/>
    </row>
    <row r="510" spans="8:8" x14ac:dyDescent="0.2">
      <c r="H510" s="49"/>
    </row>
    <row r="511" spans="8:8" x14ac:dyDescent="0.2">
      <c r="H511" s="49"/>
    </row>
    <row r="512" spans="8:8" x14ac:dyDescent="0.2">
      <c r="H512" s="49"/>
    </row>
    <row r="513" spans="8:8" x14ac:dyDescent="0.2">
      <c r="H513" s="49"/>
    </row>
    <row r="514" spans="8:8" x14ac:dyDescent="0.2">
      <c r="H514" s="49"/>
    </row>
    <row r="515" spans="8:8" x14ac:dyDescent="0.2">
      <c r="H515" s="49"/>
    </row>
    <row r="516" spans="8:8" x14ac:dyDescent="0.2">
      <c r="H516" s="49"/>
    </row>
    <row r="517" spans="8:8" x14ac:dyDescent="0.2">
      <c r="H517" s="49"/>
    </row>
    <row r="518" spans="8:8" x14ac:dyDescent="0.2">
      <c r="H518" s="49"/>
    </row>
    <row r="519" spans="8:8" x14ac:dyDescent="0.2">
      <c r="H519" s="49"/>
    </row>
    <row r="520" spans="8:8" x14ac:dyDescent="0.2">
      <c r="H520" s="49"/>
    </row>
    <row r="521" spans="8:8" x14ac:dyDescent="0.2">
      <c r="H521" s="49"/>
    </row>
    <row r="522" spans="8:8" x14ac:dyDescent="0.2">
      <c r="H522" s="49"/>
    </row>
    <row r="523" spans="8:8" x14ac:dyDescent="0.2">
      <c r="H523" s="49"/>
    </row>
    <row r="524" spans="8:8" x14ac:dyDescent="0.2">
      <c r="H524" s="49"/>
    </row>
    <row r="525" spans="8:8" x14ac:dyDescent="0.2">
      <c r="H525" s="49"/>
    </row>
    <row r="526" spans="8:8" x14ac:dyDescent="0.2">
      <c r="H526" s="49"/>
    </row>
    <row r="527" spans="8:8" x14ac:dyDescent="0.2">
      <c r="H527" s="49"/>
    </row>
    <row r="528" spans="8:8" x14ac:dyDescent="0.2">
      <c r="H528" s="49"/>
    </row>
    <row r="529" spans="8:8" x14ac:dyDescent="0.2">
      <c r="H529" s="49"/>
    </row>
    <row r="530" spans="8:8" x14ac:dyDescent="0.2">
      <c r="H530" s="49"/>
    </row>
    <row r="531" spans="8:8" x14ac:dyDescent="0.2">
      <c r="H531" s="49"/>
    </row>
    <row r="532" spans="8:8" x14ac:dyDescent="0.2">
      <c r="H532" s="49"/>
    </row>
    <row r="533" spans="8:8" x14ac:dyDescent="0.2">
      <c r="H533" s="49"/>
    </row>
    <row r="534" spans="8:8" x14ac:dyDescent="0.2">
      <c r="H534" s="49"/>
    </row>
    <row r="535" spans="8:8" x14ac:dyDescent="0.2">
      <c r="H535" s="49"/>
    </row>
    <row r="536" spans="8:8" x14ac:dyDescent="0.2">
      <c r="H536" s="49"/>
    </row>
    <row r="537" spans="8:8" x14ac:dyDescent="0.2">
      <c r="H537" s="49"/>
    </row>
    <row r="538" spans="8:8" x14ac:dyDescent="0.2">
      <c r="H538" s="49"/>
    </row>
    <row r="539" spans="8:8" x14ac:dyDescent="0.2">
      <c r="H539" s="49"/>
    </row>
    <row r="540" spans="8:8" x14ac:dyDescent="0.2">
      <c r="H540" s="49"/>
    </row>
    <row r="541" spans="8:8" x14ac:dyDescent="0.2">
      <c r="H541" s="49"/>
    </row>
    <row r="542" spans="8:8" x14ac:dyDescent="0.2">
      <c r="H542" s="49"/>
    </row>
    <row r="543" spans="8:8" x14ac:dyDescent="0.2">
      <c r="H543" s="49"/>
    </row>
    <row r="544" spans="8:8" x14ac:dyDescent="0.2">
      <c r="H544" s="49"/>
    </row>
    <row r="545" spans="8:8" x14ac:dyDescent="0.2">
      <c r="H545" s="49"/>
    </row>
    <row r="546" spans="8:8" x14ac:dyDescent="0.2">
      <c r="H546" s="49"/>
    </row>
    <row r="547" spans="8:8" x14ac:dyDescent="0.2">
      <c r="H547" s="49"/>
    </row>
    <row r="548" spans="8:8" x14ac:dyDescent="0.2">
      <c r="H548" s="49"/>
    </row>
    <row r="549" spans="8:8" x14ac:dyDescent="0.2">
      <c r="H549" s="49"/>
    </row>
    <row r="550" spans="8:8" x14ac:dyDescent="0.2">
      <c r="H550" s="49"/>
    </row>
    <row r="551" spans="8:8" x14ac:dyDescent="0.2">
      <c r="H551" s="49"/>
    </row>
    <row r="552" spans="8:8" x14ac:dyDescent="0.2">
      <c r="H552" s="49"/>
    </row>
    <row r="553" spans="8:8" x14ac:dyDescent="0.2">
      <c r="H553" s="49"/>
    </row>
    <row r="554" spans="8:8" x14ac:dyDescent="0.2">
      <c r="H554" s="49"/>
    </row>
    <row r="555" spans="8:8" x14ac:dyDescent="0.2">
      <c r="H555" s="49"/>
    </row>
    <row r="556" spans="8:8" x14ac:dyDescent="0.2">
      <c r="H556" s="49"/>
    </row>
    <row r="557" spans="8:8" x14ac:dyDescent="0.2">
      <c r="H557" s="49"/>
    </row>
    <row r="558" spans="8:8" x14ac:dyDescent="0.2">
      <c r="H558" s="49"/>
    </row>
    <row r="559" spans="8:8" x14ac:dyDescent="0.2">
      <c r="H559" s="49"/>
    </row>
    <row r="560" spans="8:8" x14ac:dyDescent="0.2">
      <c r="H560" s="49"/>
    </row>
    <row r="561" spans="8:8" x14ac:dyDescent="0.2">
      <c r="H561" s="49"/>
    </row>
    <row r="562" spans="8:8" x14ac:dyDescent="0.2">
      <c r="H562" s="49"/>
    </row>
    <row r="563" spans="8:8" x14ac:dyDescent="0.2">
      <c r="H563" s="49"/>
    </row>
    <row r="564" spans="8:8" x14ac:dyDescent="0.2">
      <c r="H564" s="49"/>
    </row>
    <row r="565" spans="8:8" x14ac:dyDescent="0.2">
      <c r="H565" s="49"/>
    </row>
    <row r="566" spans="8:8" x14ac:dyDescent="0.2">
      <c r="H566" s="49"/>
    </row>
    <row r="567" spans="8:8" x14ac:dyDescent="0.2">
      <c r="H567" s="49"/>
    </row>
    <row r="568" spans="8:8" x14ac:dyDescent="0.2">
      <c r="H568" s="49"/>
    </row>
    <row r="569" spans="8:8" x14ac:dyDescent="0.2">
      <c r="H569" s="49"/>
    </row>
    <row r="570" spans="8:8" x14ac:dyDescent="0.2">
      <c r="H570" s="49"/>
    </row>
    <row r="571" spans="8:8" x14ac:dyDescent="0.2">
      <c r="H571" s="49"/>
    </row>
    <row r="572" spans="8:8" x14ac:dyDescent="0.2">
      <c r="H572" s="49"/>
    </row>
    <row r="573" spans="8:8" x14ac:dyDescent="0.2">
      <c r="H573" s="49"/>
    </row>
    <row r="574" spans="8:8" x14ac:dyDescent="0.2">
      <c r="H574" s="49"/>
    </row>
    <row r="575" spans="8:8" x14ac:dyDescent="0.2">
      <c r="H575" s="49"/>
    </row>
    <row r="576" spans="8:8" x14ac:dyDescent="0.2">
      <c r="H576" s="49"/>
    </row>
    <row r="577" spans="8:8" x14ac:dyDescent="0.2">
      <c r="H577" s="49"/>
    </row>
    <row r="578" spans="8:8" x14ac:dyDescent="0.2">
      <c r="H578" s="49"/>
    </row>
    <row r="579" spans="8:8" x14ac:dyDescent="0.2">
      <c r="H579" s="49"/>
    </row>
    <row r="580" spans="8:8" x14ac:dyDescent="0.2">
      <c r="H580" s="49"/>
    </row>
    <row r="581" spans="8:8" x14ac:dyDescent="0.2">
      <c r="H581" s="49"/>
    </row>
    <row r="582" spans="8:8" x14ac:dyDescent="0.2">
      <c r="H582" s="49"/>
    </row>
    <row r="583" spans="8:8" x14ac:dyDescent="0.2">
      <c r="H583" s="49"/>
    </row>
    <row r="584" spans="8:8" x14ac:dyDescent="0.2">
      <c r="H584" s="49"/>
    </row>
    <row r="585" spans="8:8" x14ac:dyDescent="0.2">
      <c r="H585" s="49"/>
    </row>
    <row r="586" spans="8:8" x14ac:dyDescent="0.2">
      <c r="H586" s="49"/>
    </row>
    <row r="587" spans="8:8" x14ac:dyDescent="0.2">
      <c r="H587" s="49"/>
    </row>
    <row r="588" spans="8:8" x14ac:dyDescent="0.2">
      <c r="H588" s="49"/>
    </row>
    <row r="589" spans="8:8" x14ac:dyDescent="0.2">
      <c r="H589" s="49"/>
    </row>
    <row r="590" spans="8:8" x14ac:dyDescent="0.2">
      <c r="H590" s="49"/>
    </row>
    <row r="591" spans="8:8" x14ac:dyDescent="0.2">
      <c r="H591" s="49"/>
    </row>
    <row r="592" spans="8:8" x14ac:dyDescent="0.2">
      <c r="H592" s="49"/>
    </row>
    <row r="593" spans="8:8" x14ac:dyDescent="0.2">
      <c r="H593" s="49"/>
    </row>
    <row r="594" spans="8:8" x14ac:dyDescent="0.2">
      <c r="H594" s="49"/>
    </row>
    <row r="595" spans="8:8" x14ac:dyDescent="0.2">
      <c r="H595" s="49"/>
    </row>
    <row r="596" spans="8:8" x14ac:dyDescent="0.2">
      <c r="H596" s="49"/>
    </row>
    <row r="597" spans="8:8" x14ac:dyDescent="0.2">
      <c r="H597" s="49"/>
    </row>
    <row r="598" spans="8:8" x14ac:dyDescent="0.2">
      <c r="H598" s="49"/>
    </row>
    <row r="599" spans="8:8" x14ac:dyDescent="0.2">
      <c r="H599" s="49"/>
    </row>
    <row r="600" spans="8:8" x14ac:dyDescent="0.2">
      <c r="H600" s="49"/>
    </row>
    <row r="601" spans="8:8" x14ac:dyDescent="0.2">
      <c r="H601" s="49"/>
    </row>
    <row r="602" spans="8:8" x14ac:dyDescent="0.2">
      <c r="H602" s="49"/>
    </row>
    <row r="603" spans="8:8" x14ac:dyDescent="0.2">
      <c r="H603" s="49"/>
    </row>
    <row r="604" spans="8:8" x14ac:dyDescent="0.2">
      <c r="H604" s="49"/>
    </row>
    <row r="605" spans="8:8" x14ac:dyDescent="0.2">
      <c r="H605" s="49"/>
    </row>
    <row r="606" spans="8:8" x14ac:dyDescent="0.2">
      <c r="H606" s="49"/>
    </row>
    <row r="607" spans="8:8" x14ac:dyDescent="0.2">
      <c r="H607" s="49"/>
    </row>
    <row r="608" spans="8:8" x14ac:dyDescent="0.2">
      <c r="H608" s="49"/>
    </row>
    <row r="609" spans="8:8" x14ac:dyDescent="0.2">
      <c r="H609" s="49"/>
    </row>
    <row r="610" spans="8:8" x14ac:dyDescent="0.2">
      <c r="H610" s="49"/>
    </row>
    <row r="611" spans="8:8" x14ac:dyDescent="0.2">
      <c r="H611" s="49"/>
    </row>
    <row r="612" spans="8:8" x14ac:dyDescent="0.2">
      <c r="H612" s="49"/>
    </row>
    <row r="613" spans="8:8" x14ac:dyDescent="0.2">
      <c r="H613" s="49"/>
    </row>
    <row r="614" spans="8:8" x14ac:dyDescent="0.2">
      <c r="H614" s="49"/>
    </row>
    <row r="615" spans="8:8" x14ac:dyDescent="0.2">
      <c r="H615" s="49"/>
    </row>
    <row r="616" spans="8:8" x14ac:dyDescent="0.2">
      <c r="H616" s="49"/>
    </row>
    <row r="617" spans="8:8" x14ac:dyDescent="0.2">
      <c r="H617" s="49"/>
    </row>
    <row r="618" spans="8:8" x14ac:dyDescent="0.2">
      <c r="H618" s="49"/>
    </row>
    <row r="619" spans="8:8" x14ac:dyDescent="0.2">
      <c r="H619" s="49"/>
    </row>
    <row r="620" spans="8:8" x14ac:dyDescent="0.2">
      <c r="H620" s="49"/>
    </row>
    <row r="621" spans="8:8" x14ac:dyDescent="0.2">
      <c r="H621" s="49"/>
    </row>
    <row r="622" spans="8:8" x14ac:dyDescent="0.2">
      <c r="H622" s="49"/>
    </row>
    <row r="623" spans="8:8" x14ac:dyDescent="0.2">
      <c r="H623" s="49"/>
    </row>
    <row r="624" spans="8:8" x14ac:dyDescent="0.2">
      <c r="H624" s="49"/>
    </row>
    <row r="625" spans="8:8" x14ac:dyDescent="0.2">
      <c r="H625" s="49"/>
    </row>
    <row r="626" spans="8:8" x14ac:dyDescent="0.2">
      <c r="H626" s="49"/>
    </row>
    <row r="627" spans="8:8" x14ac:dyDescent="0.2">
      <c r="H627" s="49"/>
    </row>
    <row r="628" spans="8:8" x14ac:dyDescent="0.2">
      <c r="H628" s="49"/>
    </row>
    <row r="629" spans="8:8" x14ac:dyDescent="0.2">
      <c r="H629" s="49"/>
    </row>
    <row r="630" spans="8:8" x14ac:dyDescent="0.2">
      <c r="H630" s="49"/>
    </row>
    <row r="631" spans="8:8" x14ac:dyDescent="0.2">
      <c r="H631" s="49"/>
    </row>
    <row r="632" spans="8:8" x14ac:dyDescent="0.2">
      <c r="H632" s="49"/>
    </row>
    <row r="633" spans="8:8" x14ac:dyDescent="0.2">
      <c r="H633" s="49"/>
    </row>
    <row r="634" spans="8:8" x14ac:dyDescent="0.2">
      <c r="H634" s="49"/>
    </row>
    <row r="635" spans="8:8" x14ac:dyDescent="0.2">
      <c r="H635" s="49"/>
    </row>
    <row r="636" spans="8:8" x14ac:dyDescent="0.2">
      <c r="H636" s="49"/>
    </row>
    <row r="637" spans="8:8" x14ac:dyDescent="0.2">
      <c r="H637" s="49"/>
    </row>
    <row r="638" spans="8:8" x14ac:dyDescent="0.2">
      <c r="H638" s="49"/>
    </row>
    <row r="639" spans="8:8" x14ac:dyDescent="0.2">
      <c r="H639" s="49"/>
    </row>
    <row r="640" spans="8:8" x14ac:dyDescent="0.2">
      <c r="H640" s="49"/>
    </row>
    <row r="641" spans="8:8" x14ac:dyDescent="0.2">
      <c r="H641" s="49"/>
    </row>
    <row r="642" spans="8:8" x14ac:dyDescent="0.2">
      <c r="H642" s="49"/>
    </row>
    <row r="643" spans="8:8" x14ac:dyDescent="0.2">
      <c r="H643" s="49"/>
    </row>
    <row r="644" spans="8:8" x14ac:dyDescent="0.2">
      <c r="H644" s="49"/>
    </row>
    <row r="645" spans="8:8" x14ac:dyDescent="0.2">
      <c r="H645" s="49"/>
    </row>
    <row r="646" spans="8:8" x14ac:dyDescent="0.2">
      <c r="H646" s="49"/>
    </row>
    <row r="647" spans="8:8" x14ac:dyDescent="0.2">
      <c r="H647" s="49"/>
    </row>
    <row r="648" spans="8:8" x14ac:dyDescent="0.2">
      <c r="H648" s="49"/>
    </row>
    <row r="649" spans="8:8" x14ac:dyDescent="0.2">
      <c r="H649" s="49"/>
    </row>
    <row r="650" spans="8:8" x14ac:dyDescent="0.2">
      <c r="H650" s="49"/>
    </row>
    <row r="651" spans="8:8" x14ac:dyDescent="0.2">
      <c r="H651" s="49"/>
    </row>
    <row r="652" spans="8:8" x14ac:dyDescent="0.2">
      <c r="H652" s="49"/>
    </row>
    <row r="653" spans="8:8" x14ac:dyDescent="0.2">
      <c r="H653" s="49"/>
    </row>
    <row r="654" spans="8:8" x14ac:dyDescent="0.2">
      <c r="H654" s="49"/>
    </row>
    <row r="655" spans="8:8" x14ac:dyDescent="0.2">
      <c r="H655" s="49"/>
    </row>
    <row r="656" spans="8:8" x14ac:dyDescent="0.2">
      <c r="H656" s="49"/>
    </row>
    <row r="657" spans="8:8" x14ac:dyDescent="0.2">
      <c r="H657" s="49"/>
    </row>
    <row r="658" spans="8:8" x14ac:dyDescent="0.2">
      <c r="H658" s="49"/>
    </row>
    <row r="659" spans="8:8" x14ac:dyDescent="0.2">
      <c r="H659" s="49"/>
    </row>
    <row r="660" spans="8:8" x14ac:dyDescent="0.2">
      <c r="H660" s="49"/>
    </row>
    <row r="661" spans="8:8" x14ac:dyDescent="0.2">
      <c r="H661" s="49"/>
    </row>
    <row r="662" spans="8:8" x14ac:dyDescent="0.2">
      <c r="H662" s="49"/>
    </row>
    <row r="663" spans="8:8" x14ac:dyDescent="0.2">
      <c r="H663" s="49"/>
    </row>
    <row r="664" spans="8:8" x14ac:dyDescent="0.2">
      <c r="H664" s="49"/>
    </row>
    <row r="665" spans="8:8" x14ac:dyDescent="0.2">
      <c r="H665" s="49"/>
    </row>
    <row r="666" spans="8:8" x14ac:dyDescent="0.2">
      <c r="H666" s="49"/>
    </row>
    <row r="667" spans="8:8" x14ac:dyDescent="0.2">
      <c r="H667" s="49"/>
    </row>
    <row r="668" spans="8:8" x14ac:dyDescent="0.2">
      <c r="H668" s="49"/>
    </row>
    <row r="669" spans="8:8" x14ac:dyDescent="0.2">
      <c r="H669" s="49"/>
    </row>
    <row r="670" spans="8:8" x14ac:dyDescent="0.2">
      <c r="H670" s="49"/>
    </row>
    <row r="671" spans="8:8" x14ac:dyDescent="0.2">
      <c r="H671" s="49"/>
    </row>
    <row r="672" spans="8:8" x14ac:dyDescent="0.2">
      <c r="H672" s="49"/>
    </row>
    <row r="673" spans="8:8" x14ac:dyDescent="0.2">
      <c r="H673" s="49"/>
    </row>
    <row r="674" spans="8:8" x14ac:dyDescent="0.2">
      <c r="H674" s="49"/>
    </row>
    <row r="675" spans="8:8" x14ac:dyDescent="0.2">
      <c r="H675" s="49"/>
    </row>
    <row r="676" spans="8:8" x14ac:dyDescent="0.2">
      <c r="H676" s="49"/>
    </row>
    <row r="677" spans="8:8" x14ac:dyDescent="0.2">
      <c r="H677" s="49"/>
    </row>
    <row r="678" spans="8:8" x14ac:dyDescent="0.2">
      <c r="H678" s="49"/>
    </row>
    <row r="679" spans="8:8" x14ac:dyDescent="0.2">
      <c r="H679" s="49"/>
    </row>
    <row r="680" spans="8:8" x14ac:dyDescent="0.2">
      <c r="H680" s="49"/>
    </row>
    <row r="681" spans="8:8" x14ac:dyDescent="0.2">
      <c r="H681" s="49"/>
    </row>
    <row r="682" spans="8:8" x14ac:dyDescent="0.2">
      <c r="H682" s="49"/>
    </row>
    <row r="683" spans="8:8" x14ac:dyDescent="0.2">
      <c r="H683" s="49"/>
    </row>
    <row r="684" spans="8:8" x14ac:dyDescent="0.2">
      <c r="H684" s="49"/>
    </row>
    <row r="685" spans="8:8" x14ac:dyDescent="0.2">
      <c r="H685" s="49"/>
    </row>
    <row r="686" spans="8:8" x14ac:dyDescent="0.2">
      <c r="H686" s="49"/>
    </row>
    <row r="687" spans="8:8" x14ac:dyDescent="0.2">
      <c r="H687" s="49"/>
    </row>
    <row r="688" spans="8:8" x14ac:dyDescent="0.2">
      <c r="H688" s="49"/>
    </row>
    <row r="689" spans="8:8" x14ac:dyDescent="0.2">
      <c r="H689" s="49"/>
    </row>
    <row r="690" spans="8:8" x14ac:dyDescent="0.2">
      <c r="H690" s="49"/>
    </row>
    <row r="691" spans="8:8" x14ac:dyDescent="0.2">
      <c r="H691" s="49"/>
    </row>
    <row r="692" spans="8:8" x14ac:dyDescent="0.2">
      <c r="H692" s="49"/>
    </row>
    <row r="693" spans="8:8" x14ac:dyDescent="0.2">
      <c r="H693" s="49"/>
    </row>
    <row r="694" spans="8:8" x14ac:dyDescent="0.2">
      <c r="H694" s="49"/>
    </row>
    <row r="695" spans="8:8" x14ac:dyDescent="0.2">
      <c r="H695" s="49"/>
    </row>
    <row r="696" spans="8:8" x14ac:dyDescent="0.2">
      <c r="H696" s="49"/>
    </row>
    <row r="697" spans="8:8" x14ac:dyDescent="0.2">
      <c r="H697" s="49"/>
    </row>
    <row r="698" spans="8:8" x14ac:dyDescent="0.2">
      <c r="H698" s="49"/>
    </row>
    <row r="699" spans="8:8" x14ac:dyDescent="0.2">
      <c r="H699" s="49"/>
    </row>
    <row r="700" spans="8:8" x14ac:dyDescent="0.2">
      <c r="H700" s="49"/>
    </row>
    <row r="701" spans="8:8" x14ac:dyDescent="0.2">
      <c r="H701" s="49"/>
    </row>
    <row r="702" spans="8:8" x14ac:dyDescent="0.2">
      <c r="H702" s="49"/>
    </row>
    <row r="703" spans="8:8" x14ac:dyDescent="0.2">
      <c r="H703" s="49"/>
    </row>
    <row r="704" spans="8:8" x14ac:dyDescent="0.2">
      <c r="H704" s="49"/>
    </row>
    <row r="705" spans="8:8" x14ac:dyDescent="0.2">
      <c r="H705" s="49"/>
    </row>
    <row r="706" spans="8:8" x14ac:dyDescent="0.2">
      <c r="H706" s="49"/>
    </row>
    <row r="707" spans="8:8" x14ac:dyDescent="0.2">
      <c r="H707" s="49"/>
    </row>
    <row r="708" spans="8:8" x14ac:dyDescent="0.2">
      <c r="H708" s="49"/>
    </row>
    <row r="709" spans="8:8" x14ac:dyDescent="0.2">
      <c r="H709" s="49"/>
    </row>
    <row r="710" spans="8:8" x14ac:dyDescent="0.2">
      <c r="H710" s="49"/>
    </row>
    <row r="711" spans="8:8" x14ac:dyDescent="0.2">
      <c r="H711" s="49"/>
    </row>
    <row r="712" spans="8:8" x14ac:dyDescent="0.2">
      <c r="H712" s="49"/>
    </row>
    <row r="713" spans="8:8" x14ac:dyDescent="0.2">
      <c r="H713" s="49"/>
    </row>
    <row r="714" spans="8:8" x14ac:dyDescent="0.2">
      <c r="H714" s="49"/>
    </row>
    <row r="715" spans="8:8" x14ac:dyDescent="0.2">
      <c r="H715" s="49"/>
    </row>
    <row r="716" spans="8:8" x14ac:dyDescent="0.2">
      <c r="H716" s="49"/>
    </row>
    <row r="717" spans="8:8" x14ac:dyDescent="0.2">
      <c r="H717" s="49"/>
    </row>
    <row r="718" spans="8:8" x14ac:dyDescent="0.2">
      <c r="H718" s="49"/>
    </row>
    <row r="719" spans="8:8" x14ac:dyDescent="0.2">
      <c r="H719" s="49"/>
    </row>
    <row r="720" spans="8:8" x14ac:dyDescent="0.2">
      <c r="H720" s="49"/>
    </row>
    <row r="721" spans="8:8" x14ac:dyDescent="0.2">
      <c r="H721" s="49"/>
    </row>
    <row r="722" spans="8:8" x14ac:dyDescent="0.2">
      <c r="H722" s="49"/>
    </row>
    <row r="723" spans="8:8" x14ac:dyDescent="0.2">
      <c r="H723" s="49"/>
    </row>
    <row r="724" spans="8:8" x14ac:dyDescent="0.2">
      <c r="H724" s="49"/>
    </row>
    <row r="725" spans="8:8" x14ac:dyDescent="0.2">
      <c r="H725" s="49"/>
    </row>
    <row r="726" spans="8:8" x14ac:dyDescent="0.2">
      <c r="H726" s="49"/>
    </row>
    <row r="727" spans="8:8" x14ac:dyDescent="0.2">
      <c r="H727" s="49"/>
    </row>
    <row r="728" spans="8:8" x14ac:dyDescent="0.2">
      <c r="H728" s="49"/>
    </row>
    <row r="729" spans="8:8" x14ac:dyDescent="0.2">
      <c r="H729" s="49"/>
    </row>
    <row r="730" spans="8:8" x14ac:dyDescent="0.2">
      <c r="H730" s="49"/>
    </row>
    <row r="731" spans="8:8" x14ac:dyDescent="0.2">
      <c r="H731" s="49"/>
    </row>
    <row r="732" spans="8:8" x14ac:dyDescent="0.2">
      <c r="H732" s="49"/>
    </row>
    <row r="733" spans="8:8" x14ac:dyDescent="0.2">
      <c r="H733" s="49"/>
    </row>
    <row r="734" spans="8:8" x14ac:dyDescent="0.2">
      <c r="H734" s="49"/>
    </row>
    <row r="735" spans="8:8" x14ac:dyDescent="0.2">
      <c r="H735" s="49"/>
    </row>
    <row r="736" spans="8:8" x14ac:dyDescent="0.2">
      <c r="H736" s="49"/>
    </row>
    <row r="737" spans="8:8" x14ac:dyDescent="0.2">
      <c r="H737" s="49"/>
    </row>
    <row r="738" spans="8:8" x14ac:dyDescent="0.2">
      <c r="H738" s="49"/>
    </row>
    <row r="739" spans="8:8" x14ac:dyDescent="0.2">
      <c r="H739" s="49"/>
    </row>
    <row r="740" spans="8:8" x14ac:dyDescent="0.2">
      <c r="H740" s="49"/>
    </row>
    <row r="741" spans="8:8" x14ac:dyDescent="0.2">
      <c r="H741" s="49"/>
    </row>
    <row r="742" spans="8:8" x14ac:dyDescent="0.2">
      <c r="H742" s="49"/>
    </row>
    <row r="743" spans="8:8" x14ac:dyDescent="0.2">
      <c r="H743" s="49"/>
    </row>
    <row r="744" spans="8:8" x14ac:dyDescent="0.2">
      <c r="H744" s="49"/>
    </row>
    <row r="745" spans="8:8" x14ac:dyDescent="0.2">
      <c r="H745" s="49"/>
    </row>
    <row r="746" spans="8:8" x14ac:dyDescent="0.2">
      <c r="H746" s="49"/>
    </row>
    <row r="747" spans="8:8" x14ac:dyDescent="0.2">
      <c r="H747" s="49"/>
    </row>
    <row r="748" spans="8:8" x14ac:dyDescent="0.2">
      <c r="H748" s="49"/>
    </row>
    <row r="749" spans="8:8" x14ac:dyDescent="0.2">
      <c r="H749" s="49"/>
    </row>
    <row r="750" spans="8:8" x14ac:dyDescent="0.2">
      <c r="H750" s="49"/>
    </row>
    <row r="751" spans="8:8" x14ac:dyDescent="0.2">
      <c r="H751" s="49"/>
    </row>
    <row r="752" spans="8:8" x14ac:dyDescent="0.2">
      <c r="H752" s="49"/>
    </row>
    <row r="753" spans="8:8" x14ac:dyDescent="0.2">
      <c r="H753" s="49"/>
    </row>
    <row r="754" spans="8:8" x14ac:dyDescent="0.2">
      <c r="H754" s="49"/>
    </row>
    <row r="755" spans="8:8" x14ac:dyDescent="0.2">
      <c r="H755" s="49"/>
    </row>
    <row r="756" spans="8:8" x14ac:dyDescent="0.2">
      <c r="H756" s="49"/>
    </row>
    <row r="757" spans="8:8" x14ac:dyDescent="0.2">
      <c r="H757" s="49"/>
    </row>
    <row r="758" spans="8:8" x14ac:dyDescent="0.2">
      <c r="H758" s="49"/>
    </row>
    <row r="759" spans="8:8" x14ac:dyDescent="0.2">
      <c r="H759" s="49"/>
    </row>
    <row r="760" spans="8:8" x14ac:dyDescent="0.2">
      <c r="H760" s="49"/>
    </row>
    <row r="761" spans="8:8" x14ac:dyDescent="0.2">
      <c r="H761" s="49"/>
    </row>
    <row r="762" spans="8:8" x14ac:dyDescent="0.2">
      <c r="H762" s="49"/>
    </row>
    <row r="763" spans="8:8" x14ac:dyDescent="0.2">
      <c r="H763" s="49"/>
    </row>
    <row r="764" spans="8:8" x14ac:dyDescent="0.2">
      <c r="H764" s="49"/>
    </row>
    <row r="765" spans="8:8" x14ac:dyDescent="0.2">
      <c r="H765" s="49"/>
    </row>
    <row r="766" spans="8:8" x14ac:dyDescent="0.2">
      <c r="H766" s="49"/>
    </row>
    <row r="767" spans="8:8" x14ac:dyDescent="0.2">
      <c r="H767" s="49"/>
    </row>
    <row r="768" spans="8:8" x14ac:dyDescent="0.2">
      <c r="H768" s="49"/>
    </row>
    <row r="769" spans="8:8" x14ac:dyDescent="0.2">
      <c r="H769" s="49"/>
    </row>
    <row r="770" spans="8:8" x14ac:dyDescent="0.2">
      <c r="H770" s="49"/>
    </row>
    <row r="771" spans="8:8" x14ac:dyDescent="0.2">
      <c r="H771" s="49"/>
    </row>
    <row r="772" spans="8:8" x14ac:dyDescent="0.2">
      <c r="H772" s="49"/>
    </row>
    <row r="773" spans="8:8" x14ac:dyDescent="0.2">
      <c r="H773" s="49"/>
    </row>
    <row r="774" spans="8:8" x14ac:dyDescent="0.2">
      <c r="H774" s="49"/>
    </row>
    <row r="775" spans="8:8" x14ac:dyDescent="0.2">
      <c r="H775" s="49"/>
    </row>
    <row r="776" spans="8:8" x14ac:dyDescent="0.2">
      <c r="H776" s="49"/>
    </row>
    <row r="777" spans="8:8" x14ac:dyDescent="0.2">
      <c r="H777" s="49"/>
    </row>
    <row r="778" spans="8:8" x14ac:dyDescent="0.2">
      <c r="H778" s="49"/>
    </row>
    <row r="779" spans="8:8" x14ac:dyDescent="0.2">
      <c r="H779" s="49"/>
    </row>
    <row r="780" spans="8:8" x14ac:dyDescent="0.2">
      <c r="H780" s="49"/>
    </row>
    <row r="781" spans="8:8" x14ac:dyDescent="0.2">
      <c r="H781" s="49"/>
    </row>
    <row r="782" spans="8:8" x14ac:dyDescent="0.2">
      <c r="H782" s="49"/>
    </row>
    <row r="783" spans="8:8" x14ac:dyDescent="0.2">
      <c r="H783" s="49"/>
    </row>
    <row r="784" spans="8:8" x14ac:dyDescent="0.2">
      <c r="H784" s="49"/>
    </row>
    <row r="785" spans="8:8" x14ac:dyDescent="0.2">
      <c r="H785" s="49"/>
    </row>
    <row r="786" spans="8:8" x14ac:dyDescent="0.2">
      <c r="H786" s="49"/>
    </row>
    <row r="787" spans="8:8" x14ac:dyDescent="0.2">
      <c r="H787" s="49"/>
    </row>
    <row r="788" spans="8:8" x14ac:dyDescent="0.2">
      <c r="H788" s="49"/>
    </row>
    <row r="789" spans="8:8" x14ac:dyDescent="0.2">
      <c r="H789" s="49"/>
    </row>
    <row r="790" spans="8:8" x14ac:dyDescent="0.2">
      <c r="H790" s="49"/>
    </row>
    <row r="791" spans="8:8" x14ac:dyDescent="0.2">
      <c r="H791" s="49"/>
    </row>
    <row r="792" spans="8:8" x14ac:dyDescent="0.2">
      <c r="H792" s="49"/>
    </row>
    <row r="793" spans="8:8" x14ac:dyDescent="0.2">
      <c r="H793" s="49"/>
    </row>
    <row r="794" spans="8:8" x14ac:dyDescent="0.2">
      <c r="H794" s="49"/>
    </row>
    <row r="795" spans="8:8" x14ac:dyDescent="0.2">
      <c r="H795" s="49"/>
    </row>
    <row r="796" spans="8:8" x14ac:dyDescent="0.2">
      <c r="H796" s="49"/>
    </row>
    <row r="797" spans="8:8" x14ac:dyDescent="0.2">
      <c r="H797" s="49"/>
    </row>
    <row r="798" spans="8:8" x14ac:dyDescent="0.2">
      <c r="H798" s="49"/>
    </row>
    <row r="799" spans="8:8" x14ac:dyDescent="0.2">
      <c r="H799" s="49"/>
    </row>
    <row r="800" spans="8:8" x14ac:dyDescent="0.2">
      <c r="H800" s="49"/>
    </row>
    <row r="801" spans="8:8" x14ac:dyDescent="0.2">
      <c r="H801" s="49"/>
    </row>
    <row r="802" spans="8:8" x14ac:dyDescent="0.2">
      <c r="H802" s="49"/>
    </row>
    <row r="803" spans="8:8" x14ac:dyDescent="0.2">
      <c r="H803" s="49"/>
    </row>
    <row r="804" spans="8:8" x14ac:dyDescent="0.2">
      <c r="H804" s="49"/>
    </row>
    <row r="805" spans="8:8" x14ac:dyDescent="0.2">
      <c r="H805" s="49"/>
    </row>
    <row r="806" spans="8:8" x14ac:dyDescent="0.2">
      <c r="H806" s="49"/>
    </row>
    <row r="807" spans="8:8" x14ac:dyDescent="0.2">
      <c r="H807" s="49"/>
    </row>
    <row r="808" spans="8:8" x14ac:dyDescent="0.2">
      <c r="H808" s="49"/>
    </row>
    <row r="809" spans="8:8" x14ac:dyDescent="0.2">
      <c r="H809" s="49"/>
    </row>
    <row r="810" spans="8:8" x14ac:dyDescent="0.2">
      <c r="H810" s="49"/>
    </row>
    <row r="811" spans="8:8" x14ac:dyDescent="0.2">
      <c r="H811" s="49"/>
    </row>
    <row r="812" spans="8:8" x14ac:dyDescent="0.2">
      <c r="H812" s="49"/>
    </row>
    <row r="813" spans="8:8" x14ac:dyDescent="0.2">
      <c r="H813" s="49"/>
    </row>
    <row r="814" spans="8:8" x14ac:dyDescent="0.2">
      <c r="H814" s="49"/>
    </row>
    <row r="815" spans="8:8" x14ac:dyDescent="0.2">
      <c r="H815" s="49"/>
    </row>
    <row r="816" spans="8:8" x14ac:dyDescent="0.2">
      <c r="H816" s="49"/>
    </row>
    <row r="817" spans="8:8" x14ac:dyDescent="0.2">
      <c r="H817" s="49"/>
    </row>
    <row r="818" spans="8:8" x14ac:dyDescent="0.2">
      <c r="H818" s="49"/>
    </row>
    <row r="819" spans="8:8" x14ac:dyDescent="0.2">
      <c r="H819" s="49"/>
    </row>
    <row r="820" spans="8:8" x14ac:dyDescent="0.2">
      <c r="H820" s="49"/>
    </row>
    <row r="821" spans="8:8" x14ac:dyDescent="0.2">
      <c r="H821" s="49"/>
    </row>
    <row r="822" spans="8:8" x14ac:dyDescent="0.2">
      <c r="H822" s="49"/>
    </row>
    <row r="823" spans="8:8" x14ac:dyDescent="0.2">
      <c r="H823" s="49"/>
    </row>
    <row r="824" spans="8:8" x14ac:dyDescent="0.2">
      <c r="H824" s="49"/>
    </row>
    <row r="825" spans="8:8" x14ac:dyDescent="0.2">
      <c r="H825" s="49"/>
    </row>
    <row r="826" spans="8:8" x14ac:dyDescent="0.2">
      <c r="H826" s="49"/>
    </row>
    <row r="827" spans="8:8" x14ac:dyDescent="0.2">
      <c r="H827" s="49"/>
    </row>
    <row r="828" spans="8:8" x14ac:dyDescent="0.2">
      <c r="H828" s="49"/>
    </row>
    <row r="829" spans="8:8" x14ac:dyDescent="0.2">
      <c r="H829" s="49"/>
    </row>
    <row r="830" spans="8:8" x14ac:dyDescent="0.2">
      <c r="H830" s="49"/>
    </row>
    <row r="831" spans="8:8" x14ac:dyDescent="0.2">
      <c r="H831" s="49"/>
    </row>
    <row r="832" spans="8:8" x14ac:dyDescent="0.2">
      <c r="H832" s="49"/>
    </row>
    <row r="833" spans="8:8" x14ac:dyDescent="0.2">
      <c r="H833" s="49"/>
    </row>
    <row r="834" spans="8:8" x14ac:dyDescent="0.2">
      <c r="H834" s="49"/>
    </row>
    <row r="835" spans="8:8" x14ac:dyDescent="0.2">
      <c r="H835" s="49"/>
    </row>
    <row r="836" spans="8:8" x14ac:dyDescent="0.2">
      <c r="H836" s="49"/>
    </row>
    <row r="837" spans="8:8" x14ac:dyDescent="0.2">
      <c r="H837" s="49"/>
    </row>
    <row r="838" spans="8:8" x14ac:dyDescent="0.2">
      <c r="H838" s="49"/>
    </row>
    <row r="839" spans="8:8" x14ac:dyDescent="0.2">
      <c r="H839" s="49"/>
    </row>
    <row r="840" spans="8:8" x14ac:dyDescent="0.2">
      <c r="H840" s="49"/>
    </row>
    <row r="841" spans="8:8" x14ac:dyDescent="0.2">
      <c r="H841" s="49"/>
    </row>
    <row r="842" spans="8:8" x14ac:dyDescent="0.2">
      <c r="H842" s="49"/>
    </row>
    <row r="843" spans="8:8" x14ac:dyDescent="0.2">
      <c r="H843" s="49"/>
    </row>
    <row r="844" spans="8:8" x14ac:dyDescent="0.2">
      <c r="H844" s="49"/>
    </row>
    <row r="845" spans="8:8" x14ac:dyDescent="0.2">
      <c r="H845" s="49"/>
    </row>
    <row r="846" spans="8:8" x14ac:dyDescent="0.2">
      <c r="H846" s="49"/>
    </row>
    <row r="847" spans="8:8" x14ac:dyDescent="0.2">
      <c r="H847" s="49"/>
    </row>
    <row r="848" spans="8:8" x14ac:dyDescent="0.2">
      <c r="H848" s="49"/>
    </row>
    <row r="849" spans="8:8" x14ac:dyDescent="0.2">
      <c r="H849" s="49"/>
    </row>
    <row r="850" spans="8:8" x14ac:dyDescent="0.2">
      <c r="H850" s="49"/>
    </row>
    <row r="851" spans="8:8" x14ac:dyDescent="0.2">
      <c r="H851" s="49"/>
    </row>
    <row r="852" spans="8:8" x14ac:dyDescent="0.2">
      <c r="H852" s="49"/>
    </row>
    <row r="853" spans="8:8" x14ac:dyDescent="0.2">
      <c r="H853" s="49"/>
    </row>
    <row r="854" spans="8:8" x14ac:dyDescent="0.2">
      <c r="H854" s="49"/>
    </row>
    <row r="855" spans="8:8" x14ac:dyDescent="0.2">
      <c r="H855" s="49"/>
    </row>
    <row r="856" spans="8:8" x14ac:dyDescent="0.2">
      <c r="H856" s="49"/>
    </row>
    <row r="857" spans="8:8" x14ac:dyDescent="0.2">
      <c r="H857" s="49"/>
    </row>
    <row r="858" spans="8:8" x14ac:dyDescent="0.2">
      <c r="H858" s="49"/>
    </row>
    <row r="859" spans="8:8" x14ac:dyDescent="0.2">
      <c r="H859" s="49"/>
    </row>
    <row r="860" spans="8:8" x14ac:dyDescent="0.2">
      <c r="H860" s="49"/>
    </row>
    <row r="861" spans="8:8" x14ac:dyDescent="0.2">
      <c r="H861" s="49"/>
    </row>
    <row r="862" spans="8:8" x14ac:dyDescent="0.2">
      <c r="H862" s="49"/>
    </row>
    <row r="863" spans="8:8" x14ac:dyDescent="0.2">
      <c r="H863" s="49"/>
    </row>
    <row r="864" spans="8:8" x14ac:dyDescent="0.2">
      <c r="H864" s="49"/>
    </row>
    <row r="865" spans="8:8" x14ac:dyDescent="0.2">
      <c r="H865" s="49"/>
    </row>
    <row r="866" spans="8:8" x14ac:dyDescent="0.2">
      <c r="H866" s="49"/>
    </row>
    <row r="867" spans="8:8" x14ac:dyDescent="0.2">
      <c r="H867" s="49"/>
    </row>
    <row r="868" spans="8:8" x14ac:dyDescent="0.2">
      <c r="H868" s="49"/>
    </row>
    <row r="869" spans="8:8" x14ac:dyDescent="0.2">
      <c r="H869" s="49"/>
    </row>
    <row r="870" spans="8:8" x14ac:dyDescent="0.2">
      <c r="H870" s="49"/>
    </row>
    <row r="871" spans="8:8" x14ac:dyDescent="0.2">
      <c r="H871" s="49"/>
    </row>
    <row r="872" spans="8:8" x14ac:dyDescent="0.2">
      <c r="H872" s="49"/>
    </row>
    <row r="873" spans="8:8" x14ac:dyDescent="0.2">
      <c r="H873" s="49"/>
    </row>
    <row r="874" spans="8:8" x14ac:dyDescent="0.2">
      <c r="H874" s="49"/>
    </row>
    <row r="875" spans="8:8" x14ac:dyDescent="0.2">
      <c r="H875" s="49"/>
    </row>
    <row r="876" spans="8:8" x14ac:dyDescent="0.2">
      <c r="H876" s="49"/>
    </row>
    <row r="877" spans="8:8" x14ac:dyDescent="0.2">
      <c r="H877" s="49"/>
    </row>
    <row r="878" spans="8:8" x14ac:dyDescent="0.2">
      <c r="H878" s="49"/>
    </row>
    <row r="879" spans="8:8" x14ac:dyDescent="0.2">
      <c r="H879" s="49"/>
    </row>
    <row r="880" spans="8:8" x14ac:dyDescent="0.2">
      <c r="H880" s="49"/>
    </row>
    <row r="881" spans="8:8" x14ac:dyDescent="0.2">
      <c r="H881" s="49"/>
    </row>
    <row r="882" spans="8:8" x14ac:dyDescent="0.2">
      <c r="H882" s="49"/>
    </row>
    <row r="883" spans="8:8" x14ac:dyDescent="0.2">
      <c r="H883" s="49"/>
    </row>
    <row r="884" spans="8:8" x14ac:dyDescent="0.2">
      <c r="H884" s="49"/>
    </row>
    <row r="885" spans="8:8" x14ac:dyDescent="0.2">
      <c r="H885" s="49"/>
    </row>
    <row r="886" spans="8:8" x14ac:dyDescent="0.2">
      <c r="H886" s="49"/>
    </row>
    <row r="887" spans="8:8" x14ac:dyDescent="0.2">
      <c r="H887" s="49"/>
    </row>
    <row r="888" spans="8:8" x14ac:dyDescent="0.2">
      <c r="H888" s="49"/>
    </row>
    <row r="889" spans="8:8" x14ac:dyDescent="0.2">
      <c r="H889" s="49"/>
    </row>
    <row r="890" spans="8:8" x14ac:dyDescent="0.2">
      <c r="H890" s="49"/>
    </row>
    <row r="891" spans="8:8" x14ac:dyDescent="0.2">
      <c r="H891" s="49"/>
    </row>
    <row r="892" spans="8:8" x14ac:dyDescent="0.2">
      <c r="H892" s="49"/>
    </row>
    <row r="893" spans="8:8" x14ac:dyDescent="0.2">
      <c r="H893" s="49"/>
    </row>
    <row r="894" spans="8:8" x14ac:dyDescent="0.2">
      <c r="H894" s="49"/>
    </row>
    <row r="895" spans="8:8" x14ac:dyDescent="0.2">
      <c r="H895" s="49"/>
    </row>
    <row r="896" spans="8:8" x14ac:dyDescent="0.2">
      <c r="H896" s="49"/>
    </row>
    <row r="897" spans="8:8" x14ac:dyDescent="0.2">
      <c r="H897" s="49"/>
    </row>
    <row r="898" spans="8:8" x14ac:dyDescent="0.2">
      <c r="H898" s="49"/>
    </row>
    <row r="899" spans="8:8" x14ac:dyDescent="0.2">
      <c r="H899" s="49"/>
    </row>
    <row r="900" spans="8:8" x14ac:dyDescent="0.2">
      <c r="H900" s="49"/>
    </row>
    <row r="901" spans="8:8" x14ac:dyDescent="0.2">
      <c r="H901" s="49"/>
    </row>
    <row r="902" spans="8:8" x14ac:dyDescent="0.2">
      <c r="H902" s="49"/>
    </row>
    <row r="903" spans="8:8" x14ac:dyDescent="0.2">
      <c r="H903" s="49"/>
    </row>
    <row r="904" spans="8:8" x14ac:dyDescent="0.2">
      <c r="H904" s="49"/>
    </row>
    <row r="905" spans="8:8" x14ac:dyDescent="0.2">
      <c r="H905" s="49"/>
    </row>
    <row r="906" spans="8:8" x14ac:dyDescent="0.2">
      <c r="H906" s="49"/>
    </row>
    <row r="907" spans="8:8" x14ac:dyDescent="0.2">
      <c r="H907" s="49"/>
    </row>
    <row r="908" spans="8:8" x14ac:dyDescent="0.2">
      <c r="H908" s="49"/>
    </row>
    <row r="909" spans="8:8" x14ac:dyDescent="0.2">
      <c r="H909" s="49"/>
    </row>
    <row r="910" spans="8:8" x14ac:dyDescent="0.2">
      <c r="H910" s="49"/>
    </row>
    <row r="911" spans="8:8" x14ac:dyDescent="0.2">
      <c r="H911" s="49"/>
    </row>
    <row r="912" spans="8:8" x14ac:dyDescent="0.2">
      <c r="H912" s="49"/>
    </row>
    <row r="913" spans="8:8" x14ac:dyDescent="0.2">
      <c r="H913" s="49"/>
    </row>
    <row r="914" spans="8:8" x14ac:dyDescent="0.2">
      <c r="H914" s="49"/>
    </row>
    <row r="915" spans="8:8" x14ac:dyDescent="0.2">
      <c r="H915" s="49"/>
    </row>
    <row r="916" spans="8:8" x14ac:dyDescent="0.2">
      <c r="H916" s="49"/>
    </row>
    <row r="917" spans="8:8" x14ac:dyDescent="0.2">
      <c r="H917" s="49"/>
    </row>
    <row r="918" spans="8:8" x14ac:dyDescent="0.2">
      <c r="H918" s="49"/>
    </row>
    <row r="919" spans="8:8" x14ac:dyDescent="0.2">
      <c r="H919" s="49"/>
    </row>
    <row r="920" spans="8:8" x14ac:dyDescent="0.2">
      <c r="H920" s="49"/>
    </row>
    <row r="921" spans="8:8" x14ac:dyDescent="0.2">
      <c r="H921" s="49"/>
    </row>
    <row r="922" spans="8:8" x14ac:dyDescent="0.2">
      <c r="H922" s="49"/>
    </row>
    <row r="923" spans="8:8" x14ac:dyDescent="0.2">
      <c r="H923" s="49"/>
    </row>
    <row r="924" spans="8:8" x14ac:dyDescent="0.2">
      <c r="H924" s="49"/>
    </row>
    <row r="925" spans="8:8" x14ac:dyDescent="0.2">
      <c r="H925" s="49"/>
    </row>
    <row r="926" spans="8:8" x14ac:dyDescent="0.2">
      <c r="H926" s="49"/>
    </row>
    <row r="927" spans="8:8" x14ac:dyDescent="0.2">
      <c r="H927" s="49"/>
    </row>
    <row r="928" spans="8:8" x14ac:dyDescent="0.2">
      <c r="H928" s="49"/>
    </row>
    <row r="929" spans="8:8" x14ac:dyDescent="0.2">
      <c r="H929" s="49"/>
    </row>
    <row r="930" spans="8:8" x14ac:dyDescent="0.2">
      <c r="H930" s="49"/>
    </row>
    <row r="931" spans="8:8" x14ac:dyDescent="0.2">
      <c r="H931" s="49"/>
    </row>
    <row r="932" spans="8:8" x14ac:dyDescent="0.2">
      <c r="H932" s="49"/>
    </row>
    <row r="933" spans="8:8" x14ac:dyDescent="0.2">
      <c r="H933" s="49"/>
    </row>
    <row r="934" spans="8:8" x14ac:dyDescent="0.2">
      <c r="H934" s="49"/>
    </row>
    <row r="935" spans="8:8" x14ac:dyDescent="0.2">
      <c r="H935" s="49"/>
    </row>
    <row r="936" spans="8:8" x14ac:dyDescent="0.2">
      <c r="H936" s="49"/>
    </row>
    <row r="937" spans="8:8" x14ac:dyDescent="0.2">
      <c r="H937" s="49"/>
    </row>
    <row r="938" spans="8:8" x14ac:dyDescent="0.2">
      <c r="H938" s="49"/>
    </row>
    <row r="939" spans="8:8" x14ac:dyDescent="0.2">
      <c r="H939" s="49"/>
    </row>
    <row r="940" spans="8:8" x14ac:dyDescent="0.2">
      <c r="H940" s="49"/>
    </row>
    <row r="941" spans="8:8" x14ac:dyDescent="0.2">
      <c r="H941" s="49"/>
    </row>
    <row r="942" spans="8:8" x14ac:dyDescent="0.2">
      <c r="H942" s="49"/>
    </row>
    <row r="943" spans="8:8" x14ac:dyDescent="0.2">
      <c r="H943" s="49"/>
    </row>
    <row r="944" spans="8:8" x14ac:dyDescent="0.2">
      <c r="H944" s="49"/>
    </row>
    <row r="945" spans="8:8" x14ac:dyDescent="0.2">
      <c r="H945" s="49"/>
    </row>
    <row r="946" spans="8:8" x14ac:dyDescent="0.2">
      <c r="H946" s="49"/>
    </row>
    <row r="947" spans="8:8" x14ac:dyDescent="0.2">
      <c r="H947" s="49"/>
    </row>
    <row r="948" spans="8:8" x14ac:dyDescent="0.2">
      <c r="H948" s="49"/>
    </row>
    <row r="949" spans="8:8" x14ac:dyDescent="0.2">
      <c r="H949" s="49"/>
    </row>
    <row r="950" spans="8:8" x14ac:dyDescent="0.2">
      <c r="H950" s="49"/>
    </row>
    <row r="951" spans="8:8" x14ac:dyDescent="0.2">
      <c r="H951" s="49"/>
    </row>
    <row r="952" spans="8:8" x14ac:dyDescent="0.2">
      <c r="H952" s="49"/>
    </row>
    <row r="953" spans="8:8" x14ac:dyDescent="0.2">
      <c r="H953" s="49"/>
    </row>
    <row r="954" spans="8:8" x14ac:dyDescent="0.2">
      <c r="H954" s="49"/>
    </row>
    <row r="955" spans="8:8" x14ac:dyDescent="0.2">
      <c r="H955" s="49"/>
    </row>
    <row r="956" spans="8:8" x14ac:dyDescent="0.2">
      <c r="H956" s="49"/>
    </row>
    <row r="957" spans="8:8" x14ac:dyDescent="0.2">
      <c r="H957" s="49"/>
    </row>
    <row r="958" spans="8:8" x14ac:dyDescent="0.2">
      <c r="H958" s="49"/>
    </row>
    <row r="959" spans="8:8" x14ac:dyDescent="0.2">
      <c r="H959" s="49"/>
    </row>
    <row r="960" spans="8:8" x14ac:dyDescent="0.2">
      <c r="H960" s="49"/>
    </row>
    <row r="961" spans="8:8" x14ac:dyDescent="0.2">
      <c r="H961" s="49"/>
    </row>
    <row r="962" spans="8:8" x14ac:dyDescent="0.2">
      <c r="H962" s="49"/>
    </row>
    <row r="963" spans="8:8" x14ac:dyDescent="0.2">
      <c r="H963" s="49"/>
    </row>
    <row r="964" spans="8:8" x14ac:dyDescent="0.2">
      <c r="H964" s="49"/>
    </row>
    <row r="965" spans="8:8" x14ac:dyDescent="0.2">
      <c r="H965" s="49"/>
    </row>
    <row r="966" spans="8:8" x14ac:dyDescent="0.2">
      <c r="H966" s="49"/>
    </row>
    <row r="967" spans="8:8" x14ac:dyDescent="0.2">
      <c r="H967" s="49"/>
    </row>
    <row r="968" spans="8:8" x14ac:dyDescent="0.2">
      <c r="H968" s="49"/>
    </row>
    <row r="969" spans="8:8" x14ac:dyDescent="0.2">
      <c r="H969" s="49"/>
    </row>
    <row r="970" spans="8:8" x14ac:dyDescent="0.2">
      <c r="H970" s="49"/>
    </row>
    <row r="971" spans="8:8" x14ac:dyDescent="0.2">
      <c r="H971" s="49"/>
    </row>
    <row r="972" spans="8:8" x14ac:dyDescent="0.2">
      <c r="H972" s="49"/>
    </row>
    <row r="973" spans="8:8" x14ac:dyDescent="0.2">
      <c r="H973" s="49"/>
    </row>
    <row r="974" spans="8:8" x14ac:dyDescent="0.2">
      <c r="H974" s="49"/>
    </row>
    <row r="975" spans="8:8" x14ac:dyDescent="0.2">
      <c r="H975" s="49"/>
    </row>
    <row r="976" spans="8:8" x14ac:dyDescent="0.2">
      <c r="H976" s="49"/>
    </row>
    <row r="977" spans="8:8" x14ac:dyDescent="0.2">
      <c r="H977" s="49"/>
    </row>
    <row r="978" spans="8:8" x14ac:dyDescent="0.2">
      <c r="H978" s="49"/>
    </row>
    <row r="979" spans="8:8" x14ac:dyDescent="0.2">
      <c r="H979" s="49"/>
    </row>
    <row r="980" spans="8:8" x14ac:dyDescent="0.2">
      <c r="H980" s="49"/>
    </row>
    <row r="981" spans="8:8" x14ac:dyDescent="0.2">
      <c r="H981" s="49"/>
    </row>
    <row r="982" spans="8:8" x14ac:dyDescent="0.2">
      <c r="H982" s="49"/>
    </row>
    <row r="983" spans="8:8" x14ac:dyDescent="0.2">
      <c r="H983" s="49"/>
    </row>
    <row r="984" spans="8:8" x14ac:dyDescent="0.2">
      <c r="H984" s="49"/>
    </row>
    <row r="985" spans="8:8" x14ac:dyDescent="0.2">
      <c r="H985" s="49"/>
    </row>
    <row r="986" spans="8:8" x14ac:dyDescent="0.2">
      <c r="H986" s="49"/>
    </row>
    <row r="987" spans="8:8" x14ac:dyDescent="0.2">
      <c r="H987" s="49"/>
    </row>
    <row r="988" spans="8:8" x14ac:dyDescent="0.2">
      <c r="H988" s="49"/>
    </row>
    <row r="989" spans="8:8" x14ac:dyDescent="0.2">
      <c r="H989" s="49"/>
    </row>
    <row r="990" spans="8:8" x14ac:dyDescent="0.2">
      <c r="H990" s="49"/>
    </row>
    <row r="991" spans="8:8" x14ac:dyDescent="0.2">
      <c r="H991" s="49"/>
    </row>
    <row r="992" spans="8:8" x14ac:dyDescent="0.2">
      <c r="H992" s="49"/>
    </row>
    <row r="993" spans="8:8" x14ac:dyDescent="0.2">
      <c r="H993" s="49"/>
    </row>
    <row r="994" spans="8:8" x14ac:dyDescent="0.2">
      <c r="H994" s="49"/>
    </row>
    <row r="995" spans="8:8" x14ac:dyDescent="0.2">
      <c r="H995" s="49"/>
    </row>
    <row r="996" spans="8:8" x14ac:dyDescent="0.2">
      <c r="H996" s="49"/>
    </row>
    <row r="997" spans="8:8" x14ac:dyDescent="0.2">
      <c r="H997" s="49"/>
    </row>
    <row r="998" spans="8:8" x14ac:dyDescent="0.2">
      <c r="H998" s="49"/>
    </row>
    <row r="999" spans="8:8" x14ac:dyDescent="0.2">
      <c r="H999" s="49"/>
    </row>
    <row r="1000" spans="8:8" x14ac:dyDescent="0.2">
      <c r="H1000" s="49"/>
    </row>
    <row r="1001" spans="8:8" x14ac:dyDescent="0.2">
      <c r="H1001" s="49"/>
    </row>
    <row r="1002" spans="8:8" x14ac:dyDescent="0.2">
      <c r="H1002" s="49"/>
    </row>
    <row r="1003" spans="8:8" x14ac:dyDescent="0.2">
      <c r="H1003" s="49"/>
    </row>
    <row r="1004" spans="8:8" x14ac:dyDescent="0.2">
      <c r="H1004" s="49"/>
    </row>
    <row r="1005" spans="8:8" x14ac:dyDescent="0.2">
      <c r="H1005" s="49"/>
    </row>
    <row r="1006" spans="8:8" x14ac:dyDescent="0.2">
      <c r="H1006" s="49"/>
    </row>
    <row r="1007" spans="8:8" x14ac:dyDescent="0.2">
      <c r="H1007" s="49"/>
    </row>
    <row r="1008" spans="8:8" x14ac:dyDescent="0.2">
      <c r="H1008" s="49"/>
    </row>
    <row r="1009" spans="8:8" x14ac:dyDescent="0.2">
      <c r="H1009" s="49"/>
    </row>
    <row r="1010" spans="8:8" x14ac:dyDescent="0.2">
      <c r="H1010" s="49"/>
    </row>
    <row r="1011" spans="8:8" x14ac:dyDescent="0.2">
      <c r="H1011" s="49"/>
    </row>
    <row r="1012" spans="8:8" x14ac:dyDescent="0.2">
      <c r="H1012" s="49"/>
    </row>
    <row r="1013" spans="8:8" x14ac:dyDescent="0.2">
      <c r="H1013" s="49"/>
    </row>
    <row r="1014" spans="8:8" x14ac:dyDescent="0.2">
      <c r="H1014" s="49"/>
    </row>
    <row r="1015" spans="8:8" x14ac:dyDescent="0.2">
      <c r="H1015" s="49"/>
    </row>
    <row r="1016" spans="8:8" x14ac:dyDescent="0.2">
      <c r="H1016" s="49"/>
    </row>
    <row r="1017" spans="8:8" x14ac:dyDescent="0.2">
      <c r="H1017" s="49"/>
    </row>
    <row r="1018" spans="8:8" x14ac:dyDescent="0.2">
      <c r="H1018" s="49"/>
    </row>
    <row r="1019" spans="8:8" x14ac:dyDescent="0.2">
      <c r="H1019" s="49"/>
    </row>
    <row r="1020" spans="8:8" x14ac:dyDescent="0.2">
      <c r="H1020" s="49"/>
    </row>
    <row r="1021" spans="8:8" x14ac:dyDescent="0.2">
      <c r="H1021" s="49"/>
    </row>
    <row r="1022" spans="8:8" x14ac:dyDescent="0.2">
      <c r="H1022" s="49"/>
    </row>
    <row r="1023" spans="8:8" x14ac:dyDescent="0.2">
      <c r="H1023" s="49"/>
    </row>
    <row r="1024" spans="8:8" x14ac:dyDescent="0.2">
      <c r="H1024" s="49"/>
    </row>
    <row r="1025" spans="8:8" x14ac:dyDescent="0.2">
      <c r="H1025" s="49"/>
    </row>
    <row r="1026" spans="8:8" x14ac:dyDescent="0.2">
      <c r="H1026" s="49"/>
    </row>
    <row r="1027" spans="8:8" x14ac:dyDescent="0.2">
      <c r="H1027" s="49"/>
    </row>
    <row r="1028" spans="8:8" x14ac:dyDescent="0.2">
      <c r="H1028" s="49"/>
    </row>
    <row r="1029" spans="8:8" x14ac:dyDescent="0.2">
      <c r="H1029" s="49"/>
    </row>
    <row r="1030" spans="8:8" x14ac:dyDescent="0.2">
      <c r="H1030" s="49"/>
    </row>
    <row r="1031" spans="8:8" x14ac:dyDescent="0.2">
      <c r="H1031" s="49"/>
    </row>
    <row r="1032" spans="8:8" x14ac:dyDescent="0.2">
      <c r="H1032" s="49"/>
    </row>
    <row r="1033" spans="8:8" x14ac:dyDescent="0.2">
      <c r="H1033" s="49"/>
    </row>
    <row r="1034" spans="8:8" x14ac:dyDescent="0.2">
      <c r="H1034" s="49"/>
    </row>
    <row r="1035" spans="8:8" x14ac:dyDescent="0.2">
      <c r="H1035" s="49"/>
    </row>
    <row r="1036" spans="8:8" x14ac:dyDescent="0.2">
      <c r="H1036" s="49"/>
    </row>
    <row r="1037" spans="8:8" x14ac:dyDescent="0.2">
      <c r="H1037" s="49"/>
    </row>
    <row r="1038" spans="8:8" x14ac:dyDescent="0.2">
      <c r="H1038" s="49"/>
    </row>
    <row r="1039" spans="8:8" x14ac:dyDescent="0.2">
      <c r="H1039" s="49"/>
    </row>
    <row r="1040" spans="8:8" x14ac:dyDescent="0.2">
      <c r="H1040" s="49"/>
    </row>
    <row r="1041" spans="8:8" x14ac:dyDescent="0.2">
      <c r="H1041" s="49"/>
    </row>
    <row r="1042" spans="8:8" x14ac:dyDescent="0.2">
      <c r="H1042" s="49"/>
    </row>
    <row r="1043" spans="8:8" x14ac:dyDescent="0.2">
      <c r="H1043" s="49"/>
    </row>
    <row r="1044" spans="8:8" x14ac:dyDescent="0.2">
      <c r="H1044" s="49"/>
    </row>
    <row r="1045" spans="8:8" x14ac:dyDescent="0.2">
      <c r="H1045" s="49"/>
    </row>
    <row r="1046" spans="8:8" x14ac:dyDescent="0.2">
      <c r="H1046" s="49"/>
    </row>
    <row r="1047" spans="8:8" x14ac:dyDescent="0.2">
      <c r="H1047" s="49"/>
    </row>
    <row r="1048" spans="8:8" x14ac:dyDescent="0.2">
      <c r="H1048" s="49"/>
    </row>
    <row r="1049" spans="8:8" x14ac:dyDescent="0.2">
      <c r="H1049" s="49"/>
    </row>
    <row r="1050" spans="8:8" x14ac:dyDescent="0.2">
      <c r="H1050" s="49"/>
    </row>
    <row r="1051" spans="8:8" x14ac:dyDescent="0.2">
      <c r="H1051" s="49"/>
    </row>
    <row r="1052" spans="8:8" x14ac:dyDescent="0.2">
      <c r="H1052" s="49"/>
    </row>
    <row r="1053" spans="8:8" x14ac:dyDescent="0.2">
      <c r="H1053" s="49"/>
    </row>
    <row r="1054" spans="8:8" x14ac:dyDescent="0.2">
      <c r="H1054" s="49"/>
    </row>
    <row r="1055" spans="8:8" x14ac:dyDescent="0.2">
      <c r="H1055" s="49"/>
    </row>
    <row r="1056" spans="8:8" x14ac:dyDescent="0.2">
      <c r="H1056" s="49"/>
    </row>
    <row r="1057" spans="8:8" x14ac:dyDescent="0.2">
      <c r="H1057" s="49"/>
    </row>
    <row r="1058" spans="8:8" x14ac:dyDescent="0.2">
      <c r="H1058" s="49"/>
    </row>
    <row r="1059" spans="8:8" x14ac:dyDescent="0.2">
      <c r="H1059" s="49"/>
    </row>
    <row r="1060" spans="8:8" x14ac:dyDescent="0.2">
      <c r="H1060" s="49"/>
    </row>
    <row r="1061" spans="8:8" x14ac:dyDescent="0.2">
      <c r="H1061" s="49"/>
    </row>
    <row r="1062" spans="8:8" x14ac:dyDescent="0.2">
      <c r="H1062" s="49"/>
    </row>
    <row r="1063" spans="8:8" x14ac:dyDescent="0.2">
      <c r="H1063" s="49"/>
    </row>
    <row r="1064" spans="8:8" x14ac:dyDescent="0.2">
      <c r="H1064" s="49"/>
    </row>
    <row r="1065" spans="8:8" x14ac:dyDescent="0.2">
      <c r="H1065" s="49"/>
    </row>
    <row r="1066" spans="8:8" x14ac:dyDescent="0.2">
      <c r="H1066" s="49"/>
    </row>
    <row r="1067" spans="8:8" x14ac:dyDescent="0.2">
      <c r="H1067" s="49"/>
    </row>
    <row r="1068" spans="8:8" x14ac:dyDescent="0.2">
      <c r="H1068" s="49"/>
    </row>
    <row r="1069" spans="8:8" x14ac:dyDescent="0.2">
      <c r="H1069" s="49"/>
    </row>
    <row r="1070" spans="8:8" x14ac:dyDescent="0.2">
      <c r="H1070" s="49"/>
    </row>
    <row r="1071" spans="8:8" x14ac:dyDescent="0.2">
      <c r="H1071" s="49"/>
    </row>
    <row r="1072" spans="8:8" x14ac:dyDescent="0.2">
      <c r="H1072" s="49"/>
    </row>
    <row r="1073" spans="8:8" x14ac:dyDescent="0.2">
      <c r="H1073" s="49"/>
    </row>
    <row r="1074" spans="8:8" x14ac:dyDescent="0.2">
      <c r="H1074" s="49"/>
    </row>
    <row r="1075" spans="8:8" x14ac:dyDescent="0.2">
      <c r="H1075" s="49"/>
    </row>
    <row r="1076" spans="8:8" x14ac:dyDescent="0.2">
      <c r="H1076" s="49"/>
    </row>
    <row r="1077" spans="8:8" x14ac:dyDescent="0.2">
      <c r="H1077" s="49"/>
    </row>
    <row r="1078" spans="8:8" x14ac:dyDescent="0.2">
      <c r="H1078" s="49"/>
    </row>
    <row r="1079" spans="8:8" x14ac:dyDescent="0.2">
      <c r="H1079" s="49"/>
    </row>
    <row r="1080" spans="8:8" x14ac:dyDescent="0.2">
      <c r="H1080" s="49"/>
    </row>
    <row r="1081" spans="8:8" x14ac:dyDescent="0.2">
      <c r="H1081" s="49"/>
    </row>
    <row r="1082" spans="8:8" x14ac:dyDescent="0.2">
      <c r="H1082" s="49"/>
    </row>
    <row r="1083" spans="8:8" x14ac:dyDescent="0.2">
      <c r="H1083" s="49"/>
    </row>
    <row r="1084" spans="8:8" x14ac:dyDescent="0.2">
      <c r="H1084" s="49"/>
    </row>
    <row r="1085" spans="8:8" x14ac:dyDescent="0.2">
      <c r="H1085" s="49"/>
    </row>
    <row r="1086" spans="8:8" x14ac:dyDescent="0.2">
      <c r="H1086" s="49"/>
    </row>
    <row r="1087" spans="8:8" x14ac:dyDescent="0.2">
      <c r="H1087" s="49"/>
    </row>
    <row r="1088" spans="8:8" x14ac:dyDescent="0.2">
      <c r="H1088" s="49"/>
    </row>
    <row r="1089" spans="8:8" x14ac:dyDescent="0.2">
      <c r="H1089" s="49"/>
    </row>
    <row r="1090" spans="8:8" x14ac:dyDescent="0.2">
      <c r="H1090" s="49"/>
    </row>
    <row r="1091" spans="8:8" x14ac:dyDescent="0.2">
      <c r="H1091" s="49"/>
    </row>
    <row r="1092" spans="8:8" x14ac:dyDescent="0.2">
      <c r="H1092" s="49"/>
    </row>
    <row r="1093" spans="8:8" x14ac:dyDescent="0.2">
      <c r="H1093" s="49"/>
    </row>
    <row r="1094" spans="8:8" x14ac:dyDescent="0.2">
      <c r="H1094" s="49"/>
    </row>
    <row r="1095" spans="8:8" x14ac:dyDescent="0.2">
      <c r="H1095" s="49"/>
    </row>
    <row r="1096" spans="8:8" x14ac:dyDescent="0.2">
      <c r="H1096" s="49"/>
    </row>
    <row r="1097" spans="8:8" x14ac:dyDescent="0.2">
      <c r="H1097" s="49"/>
    </row>
    <row r="1098" spans="8:8" x14ac:dyDescent="0.2">
      <c r="H1098" s="49"/>
    </row>
    <row r="1099" spans="8:8" x14ac:dyDescent="0.2">
      <c r="H1099" s="49"/>
    </row>
    <row r="1100" spans="8:8" x14ac:dyDescent="0.2">
      <c r="H1100" s="49"/>
    </row>
    <row r="1101" spans="8:8" x14ac:dyDescent="0.2">
      <c r="H1101" s="49"/>
    </row>
    <row r="1102" spans="8:8" x14ac:dyDescent="0.2">
      <c r="H1102" s="49"/>
    </row>
    <row r="1103" spans="8:8" x14ac:dyDescent="0.2">
      <c r="H1103" s="49"/>
    </row>
    <row r="1104" spans="8:8" x14ac:dyDescent="0.2">
      <c r="H1104" s="49"/>
    </row>
    <row r="1105" spans="8:8" x14ac:dyDescent="0.2">
      <c r="H1105" s="49"/>
    </row>
    <row r="1106" spans="8:8" x14ac:dyDescent="0.2">
      <c r="H1106" s="49"/>
    </row>
    <row r="1107" spans="8:8" x14ac:dyDescent="0.2">
      <c r="H1107" s="49"/>
    </row>
    <row r="1108" spans="8:8" x14ac:dyDescent="0.2">
      <c r="H1108" s="49"/>
    </row>
    <row r="1109" spans="8:8" x14ac:dyDescent="0.2">
      <c r="H1109" s="49"/>
    </row>
    <row r="1110" spans="8:8" x14ac:dyDescent="0.2">
      <c r="H1110" s="49"/>
    </row>
    <row r="1111" spans="8:8" x14ac:dyDescent="0.2">
      <c r="H1111" s="49"/>
    </row>
    <row r="1112" spans="8:8" x14ac:dyDescent="0.2">
      <c r="H1112" s="49"/>
    </row>
    <row r="1113" spans="8:8" x14ac:dyDescent="0.2">
      <c r="H1113" s="49"/>
    </row>
    <row r="1114" spans="8:8" x14ac:dyDescent="0.2">
      <c r="H1114" s="49"/>
    </row>
    <row r="1115" spans="8:8" x14ac:dyDescent="0.2">
      <c r="H1115" s="49"/>
    </row>
    <row r="1116" spans="8:8" x14ac:dyDescent="0.2">
      <c r="H1116" s="49"/>
    </row>
    <row r="1117" spans="8:8" x14ac:dyDescent="0.2">
      <c r="H1117" s="49"/>
    </row>
    <row r="1118" spans="8:8" x14ac:dyDescent="0.2">
      <c r="H1118" s="49"/>
    </row>
    <row r="1119" spans="8:8" x14ac:dyDescent="0.2">
      <c r="H1119" s="49"/>
    </row>
    <row r="1120" spans="8:8" x14ac:dyDescent="0.2">
      <c r="H1120" s="49"/>
    </row>
    <row r="1121" spans="8:8" x14ac:dyDescent="0.2">
      <c r="H1121" s="49"/>
    </row>
    <row r="1122" spans="8:8" x14ac:dyDescent="0.2">
      <c r="H1122" s="49"/>
    </row>
    <row r="1123" spans="8:8" x14ac:dyDescent="0.2">
      <c r="H1123" s="49"/>
    </row>
    <row r="1124" spans="8:8" x14ac:dyDescent="0.2">
      <c r="H1124" s="49"/>
    </row>
    <row r="1125" spans="8:8" x14ac:dyDescent="0.2">
      <c r="H1125" s="49"/>
    </row>
    <row r="1126" spans="8:8" x14ac:dyDescent="0.2">
      <c r="H1126" s="49"/>
    </row>
    <row r="1127" spans="8:8" x14ac:dyDescent="0.2">
      <c r="H1127" s="49"/>
    </row>
    <row r="1128" spans="8:8" x14ac:dyDescent="0.2">
      <c r="H1128" s="49"/>
    </row>
    <row r="1129" spans="8:8" x14ac:dyDescent="0.2">
      <c r="H1129" s="49"/>
    </row>
    <row r="1130" spans="8:8" x14ac:dyDescent="0.2">
      <c r="H1130" s="49"/>
    </row>
    <row r="1131" spans="8:8" x14ac:dyDescent="0.2">
      <c r="H1131" s="49"/>
    </row>
    <row r="1132" spans="8:8" x14ac:dyDescent="0.2">
      <c r="H1132" s="49"/>
    </row>
    <row r="1133" spans="8:8" x14ac:dyDescent="0.2">
      <c r="H1133" s="49"/>
    </row>
    <row r="1134" spans="8:8" x14ac:dyDescent="0.2">
      <c r="H1134" s="49"/>
    </row>
    <row r="1135" spans="8:8" x14ac:dyDescent="0.2">
      <c r="H1135" s="49"/>
    </row>
    <row r="1136" spans="8:8" x14ac:dyDescent="0.2">
      <c r="H1136" s="49"/>
    </row>
    <row r="1137" spans="8:8" x14ac:dyDescent="0.2">
      <c r="H1137" s="49"/>
    </row>
    <row r="1138" spans="8:8" x14ac:dyDescent="0.2">
      <c r="H1138" s="49"/>
    </row>
    <row r="1139" spans="8:8" x14ac:dyDescent="0.2">
      <c r="H1139" s="49"/>
    </row>
    <row r="1140" spans="8:8" x14ac:dyDescent="0.2">
      <c r="H1140" s="49"/>
    </row>
    <row r="1141" spans="8:8" x14ac:dyDescent="0.2">
      <c r="H1141" s="49"/>
    </row>
    <row r="1142" spans="8:8" x14ac:dyDescent="0.2">
      <c r="H1142" s="49"/>
    </row>
    <row r="1143" spans="8:8" x14ac:dyDescent="0.2">
      <c r="H1143" s="49"/>
    </row>
    <row r="1144" spans="8:8" x14ac:dyDescent="0.2">
      <c r="H1144" s="49"/>
    </row>
    <row r="1145" spans="8:8" x14ac:dyDescent="0.2">
      <c r="H1145" s="49"/>
    </row>
    <row r="1146" spans="8:8" x14ac:dyDescent="0.2">
      <c r="H1146" s="49"/>
    </row>
    <row r="1147" spans="8:8" x14ac:dyDescent="0.2">
      <c r="H1147" s="49"/>
    </row>
    <row r="1148" spans="8:8" x14ac:dyDescent="0.2">
      <c r="H1148" s="49"/>
    </row>
    <row r="1149" spans="8:8" x14ac:dyDescent="0.2">
      <c r="H1149" s="49"/>
    </row>
    <row r="1150" spans="8:8" x14ac:dyDescent="0.2">
      <c r="H1150" s="49"/>
    </row>
    <row r="1151" spans="8:8" x14ac:dyDescent="0.2">
      <c r="H1151" s="49"/>
    </row>
    <row r="1152" spans="8:8" x14ac:dyDescent="0.2">
      <c r="H1152" s="49"/>
    </row>
    <row r="1153" spans="8:8" x14ac:dyDescent="0.2">
      <c r="H1153" s="49"/>
    </row>
    <row r="1154" spans="8:8" x14ac:dyDescent="0.2">
      <c r="H1154" s="49"/>
    </row>
    <row r="1155" spans="8:8" x14ac:dyDescent="0.2">
      <c r="H1155" s="49"/>
    </row>
    <row r="1156" spans="8:8" x14ac:dyDescent="0.2">
      <c r="H1156" s="49"/>
    </row>
    <row r="1157" spans="8:8" x14ac:dyDescent="0.2">
      <c r="H1157" s="49"/>
    </row>
    <row r="1158" spans="8:8" x14ac:dyDescent="0.2">
      <c r="H1158" s="49"/>
    </row>
    <row r="1159" spans="8:8" x14ac:dyDescent="0.2">
      <c r="H1159" s="49"/>
    </row>
    <row r="1160" spans="8:8" x14ac:dyDescent="0.2">
      <c r="H1160" s="49"/>
    </row>
    <row r="1161" spans="8:8" x14ac:dyDescent="0.2">
      <c r="H1161" s="49"/>
    </row>
    <row r="1162" spans="8:8" x14ac:dyDescent="0.2">
      <c r="H1162" s="49"/>
    </row>
    <row r="1163" spans="8:8" x14ac:dyDescent="0.2">
      <c r="H1163" s="49"/>
    </row>
    <row r="1164" spans="8:8" x14ac:dyDescent="0.2">
      <c r="H1164" s="49"/>
    </row>
    <row r="1165" spans="8:8" x14ac:dyDescent="0.2">
      <c r="H1165" s="49"/>
    </row>
    <row r="1166" spans="8:8" x14ac:dyDescent="0.2">
      <c r="H1166" s="49"/>
    </row>
    <row r="1167" spans="8:8" x14ac:dyDescent="0.2">
      <c r="H1167" s="49"/>
    </row>
    <row r="1168" spans="8:8" x14ac:dyDescent="0.2">
      <c r="H1168" s="49"/>
    </row>
    <row r="1169" spans="8:8" x14ac:dyDescent="0.2">
      <c r="H1169" s="49"/>
    </row>
    <row r="1170" spans="8:8" x14ac:dyDescent="0.2">
      <c r="H1170" s="49"/>
    </row>
    <row r="1171" spans="8:8" x14ac:dyDescent="0.2">
      <c r="H1171" s="49"/>
    </row>
    <row r="1172" spans="8:8" x14ac:dyDescent="0.2">
      <c r="H1172" s="49"/>
    </row>
    <row r="1173" spans="8:8" x14ac:dyDescent="0.2">
      <c r="H1173" s="49"/>
    </row>
    <row r="1174" spans="8:8" x14ac:dyDescent="0.2">
      <c r="H1174" s="49"/>
    </row>
    <row r="1175" spans="8:8" x14ac:dyDescent="0.2">
      <c r="H1175" s="49"/>
    </row>
    <row r="1176" spans="8:8" x14ac:dyDescent="0.2">
      <c r="H1176" s="49"/>
    </row>
    <row r="1177" spans="8:8" x14ac:dyDescent="0.2">
      <c r="H1177" s="49"/>
    </row>
    <row r="1178" spans="8:8" x14ac:dyDescent="0.2">
      <c r="H1178" s="49"/>
    </row>
    <row r="1179" spans="8:8" x14ac:dyDescent="0.2">
      <c r="H1179" s="49"/>
    </row>
    <row r="1180" spans="8:8" x14ac:dyDescent="0.2">
      <c r="H1180" s="49"/>
    </row>
    <row r="1181" spans="8:8" x14ac:dyDescent="0.2">
      <c r="H1181" s="49"/>
    </row>
    <row r="1182" spans="8:8" x14ac:dyDescent="0.2">
      <c r="H1182" s="49"/>
    </row>
    <row r="1183" spans="8:8" x14ac:dyDescent="0.2">
      <c r="H1183" s="49"/>
    </row>
    <row r="1184" spans="8:8" x14ac:dyDescent="0.2">
      <c r="H1184" s="49"/>
    </row>
    <row r="1185" spans="8:8" x14ac:dyDescent="0.2">
      <c r="H1185" s="49"/>
    </row>
    <row r="1186" spans="8:8" x14ac:dyDescent="0.2">
      <c r="H1186" s="49"/>
    </row>
    <row r="1187" spans="8:8" x14ac:dyDescent="0.2">
      <c r="H1187" s="49"/>
    </row>
    <row r="1188" spans="8:8" x14ac:dyDescent="0.2">
      <c r="H1188" s="49"/>
    </row>
    <row r="1189" spans="8:8" x14ac:dyDescent="0.2">
      <c r="H1189" s="49"/>
    </row>
    <row r="1190" spans="8:8" x14ac:dyDescent="0.2">
      <c r="H1190" s="49"/>
    </row>
    <row r="1191" spans="8:8" x14ac:dyDescent="0.2">
      <c r="H1191" s="49"/>
    </row>
    <row r="1192" spans="8:8" x14ac:dyDescent="0.2">
      <c r="H1192" s="49"/>
    </row>
    <row r="1193" spans="8:8" x14ac:dyDescent="0.2">
      <c r="H1193" s="49"/>
    </row>
    <row r="1194" spans="8:8" x14ac:dyDescent="0.2">
      <c r="H1194" s="49"/>
    </row>
    <row r="1195" spans="8:8" x14ac:dyDescent="0.2">
      <c r="H1195" s="49"/>
    </row>
    <row r="1196" spans="8:8" x14ac:dyDescent="0.2">
      <c r="H1196" s="49"/>
    </row>
    <row r="1197" spans="8:8" x14ac:dyDescent="0.2">
      <c r="H1197" s="49"/>
    </row>
    <row r="1198" spans="8:8" x14ac:dyDescent="0.2">
      <c r="H1198" s="49"/>
    </row>
    <row r="1199" spans="8:8" x14ac:dyDescent="0.2">
      <c r="H1199" s="49"/>
    </row>
    <row r="1200" spans="8:8" x14ac:dyDescent="0.2">
      <c r="H1200" s="49"/>
    </row>
    <row r="1201" spans="8:8" x14ac:dyDescent="0.2">
      <c r="H1201" s="49"/>
    </row>
    <row r="1202" spans="8:8" x14ac:dyDescent="0.2">
      <c r="H1202" s="49"/>
    </row>
    <row r="1203" spans="8:8" x14ac:dyDescent="0.2">
      <c r="H1203" s="49"/>
    </row>
    <row r="1204" spans="8:8" x14ac:dyDescent="0.2">
      <c r="H1204" s="49"/>
    </row>
    <row r="1205" spans="8:8" x14ac:dyDescent="0.2">
      <c r="H1205" s="49"/>
    </row>
    <row r="1206" spans="8:8" x14ac:dyDescent="0.2">
      <c r="H1206" s="49"/>
    </row>
    <row r="1207" spans="8:8" x14ac:dyDescent="0.2">
      <c r="H1207" s="49"/>
    </row>
    <row r="1208" spans="8:8" x14ac:dyDescent="0.2">
      <c r="H1208" s="49"/>
    </row>
    <row r="1209" spans="8:8" x14ac:dyDescent="0.2">
      <c r="H1209" s="49"/>
    </row>
    <row r="1210" spans="8:8" x14ac:dyDescent="0.2">
      <c r="H1210" s="49"/>
    </row>
    <row r="1211" spans="8:8" x14ac:dyDescent="0.2">
      <c r="H1211" s="49"/>
    </row>
    <row r="1212" spans="8:8" x14ac:dyDescent="0.2">
      <c r="H1212" s="49"/>
    </row>
    <row r="1213" spans="8:8" x14ac:dyDescent="0.2">
      <c r="H1213" s="49"/>
    </row>
    <row r="1214" spans="8:8" x14ac:dyDescent="0.2">
      <c r="H1214" s="49"/>
    </row>
    <row r="1215" spans="8:8" x14ac:dyDescent="0.2">
      <c r="H1215" s="49"/>
    </row>
    <row r="1216" spans="8:8" x14ac:dyDescent="0.2">
      <c r="H1216" s="49"/>
    </row>
    <row r="1217" spans="8:8" x14ac:dyDescent="0.2">
      <c r="H1217" s="49"/>
    </row>
    <row r="1218" spans="8:8" x14ac:dyDescent="0.2">
      <c r="H1218" s="49"/>
    </row>
    <row r="1219" spans="8:8" x14ac:dyDescent="0.2">
      <c r="H1219" s="49"/>
    </row>
    <row r="1220" spans="8:8" x14ac:dyDescent="0.2">
      <c r="H1220" s="49"/>
    </row>
    <row r="1221" spans="8:8" x14ac:dyDescent="0.2">
      <c r="H1221" s="49"/>
    </row>
    <row r="1222" spans="8:8" x14ac:dyDescent="0.2">
      <c r="H1222" s="49"/>
    </row>
    <row r="1223" spans="8:8" x14ac:dyDescent="0.2">
      <c r="H1223" s="49"/>
    </row>
    <row r="1224" spans="8:8" x14ac:dyDescent="0.2">
      <c r="H1224" s="49"/>
    </row>
    <row r="1225" spans="8:8" x14ac:dyDescent="0.2">
      <c r="H1225" s="49"/>
    </row>
    <row r="1226" spans="8:8" x14ac:dyDescent="0.2">
      <c r="H1226" s="49"/>
    </row>
    <row r="1227" spans="8:8" x14ac:dyDescent="0.2">
      <c r="H1227" s="49"/>
    </row>
    <row r="1228" spans="8:8" x14ac:dyDescent="0.2">
      <c r="H1228" s="49"/>
    </row>
    <row r="1229" spans="8:8" x14ac:dyDescent="0.2">
      <c r="H1229" s="49"/>
    </row>
    <row r="1230" spans="8:8" x14ac:dyDescent="0.2">
      <c r="H1230" s="49"/>
    </row>
    <row r="1231" spans="8:8" x14ac:dyDescent="0.2">
      <c r="H1231" s="49"/>
    </row>
    <row r="1232" spans="8:8" x14ac:dyDescent="0.2">
      <c r="H1232" s="49"/>
    </row>
    <row r="1233" spans="8:8" x14ac:dyDescent="0.2">
      <c r="H1233" s="49"/>
    </row>
    <row r="1234" spans="8:8" x14ac:dyDescent="0.2">
      <c r="H1234" s="49"/>
    </row>
    <row r="1235" spans="8:8" x14ac:dyDescent="0.2">
      <c r="H1235" s="49"/>
    </row>
    <row r="1236" spans="8:8" x14ac:dyDescent="0.2">
      <c r="H1236" s="49"/>
    </row>
    <row r="1237" spans="8:8" x14ac:dyDescent="0.2">
      <c r="H1237" s="49"/>
    </row>
    <row r="1238" spans="8:8" x14ac:dyDescent="0.2">
      <c r="H1238" s="49"/>
    </row>
    <row r="1239" spans="8:8" x14ac:dyDescent="0.2">
      <c r="H1239" s="49"/>
    </row>
    <row r="1240" spans="8:8" x14ac:dyDescent="0.2">
      <c r="H1240" s="49"/>
    </row>
    <row r="1241" spans="8:8" x14ac:dyDescent="0.2">
      <c r="H1241" s="49"/>
    </row>
    <row r="1242" spans="8:8" x14ac:dyDescent="0.2">
      <c r="H1242" s="49"/>
    </row>
    <row r="1243" spans="8:8" x14ac:dyDescent="0.2">
      <c r="H1243" s="49"/>
    </row>
    <row r="1244" spans="8:8" x14ac:dyDescent="0.2">
      <c r="H1244" s="49"/>
    </row>
    <row r="1245" spans="8:8" x14ac:dyDescent="0.2">
      <c r="H1245" s="49"/>
    </row>
    <row r="1246" spans="8:8" x14ac:dyDescent="0.2">
      <c r="H1246" s="49"/>
    </row>
    <row r="1247" spans="8:8" x14ac:dyDescent="0.2">
      <c r="H1247" s="49"/>
    </row>
    <row r="1248" spans="8:8" x14ac:dyDescent="0.2">
      <c r="H1248" s="49"/>
    </row>
    <row r="1249" spans="8:117" x14ac:dyDescent="0.2">
      <c r="H1249" s="49"/>
    </row>
    <row r="1250" spans="8:117" x14ac:dyDescent="0.2">
      <c r="H1250" s="49"/>
    </row>
    <row r="1251" spans="8:117" x14ac:dyDescent="0.2">
      <c r="H1251" s="49"/>
    </row>
    <row r="1252" spans="8:117" x14ac:dyDescent="0.2">
      <c r="H1252" s="49"/>
    </row>
    <row r="1253" spans="8:117" x14ac:dyDescent="0.2">
      <c r="H1253" s="49"/>
    </row>
    <row r="1254" spans="8:117" x14ac:dyDescent="0.2">
      <c r="H1254" s="49"/>
    </row>
    <row r="1255" spans="8:117" x14ac:dyDescent="0.2">
      <c r="H1255" s="49"/>
      <c r="DM1255" s="37"/>
    </row>
    <row r="1256" spans="8:117" x14ac:dyDescent="0.2">
      <c r="H1256" s="49"/>
    </row>
    <row r="1257" spans="8:117" x14ac:dyDescent="0.2">
      <c r="H1257" s="49"/>
    </row>
    <row r="1258" spans="8:117" x14ac:dyDescent="0.2">
      <c r="H1258" s="49"/>
    </row>
    <row r="1259" spans="8:117" x14ac:dyDescent="0.2">
      <c r="H1259" s="49"/>
    </row>
    <row r="1260" spans="8:117" x14ac:dyDescent="0.2">
      <c r="H1260" s="49"/>
    </row>
    <row r="1261" spans="8:117" x14ac:dyDescent="0.2">
      <c r="H1261" s="49"/>
    </row>
    <row r="1262" spans="8:117" x14ac:dyDescent="0.2">
      <c r="H1262" s="49"/>
    </row>
    <row r="1263" spans="8:117" x14ac:dyDescent="0.2">
      <c r="H1263" s="49"/>
    </row>
    <row r="1264" spans="8:117" x14ac:dyDescent="0.2">
      <c r="H1264" s="49"/>
    </row>
    <row r="1265" spans="8:88" x14ac:dyDescent="0.2">
      <c r="H1265" s="49"/>
    </row>
    <row r="1266" spans="8:88" x14ac:dyDescent="0.2">
      <c r="H1266" s="49"/>
    </row>
    <row r="1267" spans="8:88" x14ac:dyDescent="0.2">
      <c r="H1267" s="49"/>
    </row>
    <row r="1268" spans="8:88" x14ac:dyDescent="0.2">
      <c r="H1268" s="49"/>
    </row>
    <row r="1269" spans="8:88" x14ac:dyDescent="0.2">
      <c r="H1269" s="49"/>
    </row>
    <row r="1270" spans="8:88" x14ac:dyDescent="0.2">
      <c r="H1270" s="49"/>
    </row>
    <row r="1271" spans="8:88" x14ac:dyDescent="0.2">
      <c r="H1271" s="49"/>
    </row>
    <row r="1272" spans="8:88" x14ac:dyDescent="0.2">
      <c r="H1272" s="49"/>
      <c r="CJ1272" s="37"/>
    </row>
    <row r="1273" spans="8:88" x14ac:dyDescent="0.2">
      <c r="H1273" s="49"/>
    </row>
    <row r="1274" spans="8:88" x14ac:dyDescent="0.2">
      <c r="H1274" s="49"/>
    </row>
    <row r="1275" spans="8:88" x14ac:dyDescent="0.2">
      <c r="H1275" s="49"/>
    </row>
    <row r="1276" spans="8:88" x14ac:dyDescent="0.2">
      <c r="H1276" s="49"/>
    </row>
    <row r="1277" spans="8:88" x14ac:dyDescent="0.2">
      <c r="H1277" s="49"/>
    </row>
    <row r="1278" spans="8:88" x14ac:dyDescent="0.2">
      <c r="H1278" s="49"/>
    </row>
    <row r="1279" spans="8:88" x14ac:dyDescent="0.2">
      <c r="H1279" s="49"/>
    </row>
    <row r="1280" spans="8:88" x14ac:dyDescent="0.2">
      <c r="H1280" s="49"/>
    </row>
    <row r="1281" spans="8:8" x14ac:dyDescent="0.2">
      <c r="H1281" s="49"/>
    </row>
    <row r="1282" spans="8:8" x14ac:dyDescent="0.2">
      <c r="H1282" s="49"/>
    </row>
    <row r="1283" spans="8:8" x14ac:dyDescent="0.2">
      <c r="H1283" s="49"/>
    </row>
    <row r="1284" spans="8:8" x14ac:dyDescent="0.2">
      <c r="H1284" s="49"/>
    </row>
    <row r="1285" spans="8:8" x14ac:dyDescent="0.2">
      <c r="H1285" s="49"/>
    </row>
    <row r="1286" spans="8:8" x14ac:dyDescent="0.2">
      <c r="H1286" s="49"/>
    </row>
    <row r="1287" spans="8:8" x14ac:dyDescent="0.2">
      <c r="H1287" s="49"/>
    </row>
    <row r="1288" spans="8:8" x14ac:dyDescent="0.2">
      <c r="H1288" s="49"/>
    </row>
    <row r="1289" spans="8:8" x14ac:dyDescent="0.2">
      <c r="H1289" s="49"/>
    </row>
    <row r="1290" spans="8:8" x14ac:dyDescent="0.2">
      <c r="H1290" s="49"/>
    </row>
    <row r="1291" spans="8:8" x14ac:dyDescent="0.2">
      <c r="H1291" s="49"/>
    </row>
    <row r="1292" spans="8:8" x14ac:dyDescent="0.2">
      <c r="H1292" s="49"/>
    </row>
    <row r="1293" spans="8:8" x14ac:dyDescent="0.2">
      <c r="H1293" s="49"/>
    </row>
    <row r="1294" spans="8:8" x14ac:dyDescent="0.2">
      <c r="H1294" s="49"/>
    </row>
    <row r="1295" spans="8:8" x14ac:dyDescent="0.2">
      <c r="H1295" s="49"/>
    </row>
    <row r="1296" spans="8:8" x14ac:dyDescent="0.2">
      <c r="H1296" s="49"/>
    </row>
    <row r="1297" spans="8:8" x14ac:dyDescent="0.2">
      <c r="H1297" s="49"/>
    </row>
    <row r="1298" spans="8:8" x14ac:dyDescent="0.2">
      <c r="H1298" s="49"/>
    </row>
    <row r="1299" spans="8:8" x14ac:dyDescent="0.2">
      <c r="H1299" s="49"/>
    </row>
    <row r="1300" spans="8:8" x14ac:dyDescent="0.2">
      <c r="H1300" s="49"/>
    </row>
    <row r="1301" spans="8:8" x14ac:dyDescent="0.2">
      <c r="H1301" s="49"/>
    </row>
    <row r="1302" spans="8:8" x14ac:dyDescent="0.2">
      <c r="H1302" s="49"/>
    </row>
    <row r="1303" spans="8:8" x14ac:dyDescent="0.2">
      <c r="H1303" s="49"/>
    </row>
    <row r="1304" spans="8:8" x14ac:dyDescent="0.2">
      <c r="H1304" s="49"/>
    </row>
    <row r="1305" spans="8:8" x14ac:dyDescent="0.2">
      <c r="H1305" s="49"/>
    </row>
    <row r="1306" spans="8:8" x14ac:dyDescent="0.2">
      <c r="H1306" s="49"/>
    </row>
    <row r="1307" spans="8:8" x14ac:dyDescent="0.2">
      <c r="H1307" s="49"/>
    </row>
    <row r="1308" spans="8:8" x14ac:dyDescent="0.2">
      <c r="H1308" s="49"/>
    </row>
    <row r="1309" spans="8:8" x14ac:dyDescent="0.2">
      <c r="H1309" s="49"/>
    </row>
    <row r="1310" spans="8:8" x14ac:dyDescent="0.2">
      <c r="H1310" s="49"/>
    </row>
    <row r="1311" spans="8:8" x14ac:dyDescent="0.2">
      <c r="H1311" s="49"/>
    </row>
    <row r="1312" spans="8:8" x14ac:dyDescent="0.2">
      <c r="H1312" s="49"/>
    </row>
    <row r="1313" spans="8:134" x14ac:dyDescent="0.2">
      <c r="H1313" s="49"/>
    </row>
    <row r="1314" spans="8:134" x14ac:dyDescent="0.2">
      <c r="H1314" s="49"/>
    </row>
    <row r="1315" spans="8:134" x14ac:dyDescent="0.2">
      <c r="H1315" s="49"/>
    </row>
    <row r="1316" spans="8:134" x14ac:dyDescent="0.2">
      <c r="H1316" s="49"/>
    </row>
    <row r="1317" spans="8:134" x14ac:dyDescent="0.2">
      <c r="H1317" s="49"/>
    </row>
    <row r="1318" spans="8:134" x14ac:dyDescent="0.2">
      <c r="H1318" s="49"/>
    </row>
    <row r="1319" spans="8:134" x14ac:dyDescent="0.2">
      <c r="H1319" s="49"/>
    </row>
    <row r="1320" spans="8:134" x14ac:dyDescent="0.2">
      <c r="H1320" s="49"/>
    </row>
    <row r="1321" spans="8:134" x14ac:dyDescent="0.2">
      <c r="H1321" s="49"/>
    </row>
    <row r="1322" spans="8:134" x14ac:dyDescent="0.2">
      <c r="H1322" s="49"/>
    </row>
    <row r="1323" spans="8:134" x14ac:dyDescent="0.2">
      <c r="H1323" s="49"/>
    </row>
    <row r="1324" spans="8:134" x14ac:dyDescent="0.2">
      <c r="H1324" s="49"/>
    </row>
    <row r="1325" spans="8:134" x14ac:dyDescent="0.2">
      <c r="H1325" s="49"/>
    </row>
    <row r="1326" spans="8:134" x14ac:dyDescent="0.2">
      <c r="H1326" s="49"/>
    </row>
    <row r="1327" spans="8:134" x14ac:dyDescent="0.2">
      <c r="H1327" s="49"/>
    </row>
    <row r="1328" spans="8:134" x14ac:dyDescent="0.2">
      <c r="H1328" s="49"/>
      <c r="ED1328" s="37"/>
    </row>
    <row r="1329" spans="8:8" x14ac:dyDescent="0.2">
      <c r="H1329" s="49"/>
    </row>
    <row r="1330" spans="8:8" x14ac:dyDescent="0.2">
      <c r="H1330" s="49"/>
    </row>
    <row r="1331" spans="8:8" x14ac:dyDescent="0.2">
      <c r="H1331" s="49"/>
    </row>
    <row r="1332" spans="8:8" x14ac:dyDescent="0.2">
      <c r="H1332" s="49"/>
    </row>
    <row r="1333" spans="8:8" x14ac:dyDescent="0.2">
      <c r="H1333" s="49"/>
    </row>
    <row r="1334" spans="8:8" x14ac:dyDescent="0.2">
      <c r="H1334" s="49"/>
    </row>
    <row r="1335" spans="8:8" x14ac:dyDescent="0.2">
      <c r="H1335" s="49"/>
    </row>
    <row r="1336" spans="8:8" x14ac:dyDescent="0.2">
      <c r="H1336" s="49"/>
    </row>
    <row r="1337" spans="8:8" x14ac:dyDescent="0.2">
      <c r="H1337" s="49"/>
    </row>
    <row r="1338" spans="8:8" x14ac:dyDescent="0.2">
      <c r="H1338" s="49"/>
    </row>
    <row r="1339" spans="8:8" x14ac:dyDescent="0.2">
      <c r="H1339" s="49"/>
    </row>
    <row r="1340" spans="8:8" x14ac:dyDescent="0.2">
      <c r="H1340" s="49"/>
    </row>
    <row r="1341" spans="8:8" x14ac:dyDescent="0.2">
      <c r="H1341" s="49"/>
    </row>
    <row r="1342" spans="8:8" x14ac:dyDescent="0.2">
      <c r="H1342" s="49"/>
    </row>
    <row r="1343" spans="8:8" x14ac:dyDescent="0.2">
      <c r="H1343" s="49"/>
    </row>
    <row r="1344" spans="8:8" x14ac:dyDescent="0.2">
      <c r="H1344" s="49"/>
    </row>
    <row r="1345" spans="8:8" x14ac:dyDescent="0.2">
      <c r="H1345" s="49"/>
    </row>
    <row r="1346" spans="8:8" x14ac:dyDescent="0.2">
      <c r="H1346" s="49"/>
    </row>
    <row r="1347" spans="8:8" x14ac:dyDescent="0.2">
      <c r="H1347" s="49"/>
    </row>
    <row r="1348" spans="8:8" x14ac:dyDescent="0.2">
      <c r="H1348" s="49"/>
    </row>
    <row r="1349" spans="8:8" x14ac:dyDescent="0.2">
      <c r="H1349" s="49"/>
    </row>
    <row r="1350" spans="8:8" x14ac:dyDescent="0.2">
      <c r="H1350" s="49"/>
    </row>
    <row r="1351" spans="8:8" x14ac:dyDescent="0.2">
      <c r="H1351" s="49"/>
    </row>
    <row r="1352" spans="8:8" x14ac:dyDescent="0.2">
      <c r="H1352" s="49"/>
    </row>
    <row r="1353" spans="8:8" x14ac:dyDescent="0.2">
      <c r="H1353" s="49"/>
    </row>
    <row r="1354" spans="8:8" x14ac:dyDescent="0.2">
      <c r="H1354" s="49"/>
    </row>
    <row r="1355" spans="8:8" x14ac:dyDescent="0.2">
      <c r="H1355" s="49"/>
    </row>
    <row r="1356" spans="8:8" x14ac:dyDescent="0.2">
      <c r="H1356" s="49"/>
    </row>
    <row r="1357" spans="8:8" x14ac:dyDescent="0.2">
      <c r="H1357" s="49"/>
    </row>
    <row r="1358" spans="8:8" x14ac:dyDescent="0.2">
      <c r="H1358" s="49"/>
    </row>
    <row r="1359" spans="8:8" x14ac:dyDescent="0.2">
      <c r="H1359" s="49"/>
    </row>
    <row r="1360" spans="8:8" x14ac:dyDescent="0.2">
      <c r="H1360" s="49"/>
    </row>
    <row r="1361" spans="8:8" x14ac:dyDescent="0.2">
      <c r="H1361" s="49"/>
    </row>
    <row r="1362" spans="8:8" x14ac:dyDescent="0.2">
      <c r="H1362" s="49"/>
    </row>
    <row r="1363" spans="8:8" x14ac:dyDescent="0.2">
      <c r="H1363" s="49"/>
    </row>
    <row r="1364" spans="8:8" x14ac:dyDescent="0.2">
      <c r="H1364" s="49"/>
    </row>
    <row r="1365" spans="8:8" x14ac:dyDescent="0.2">
      <c r="H1365" s="49"/>
    </row>
    <row r="1366" spans="8:8" x14ac:dyDescent="0.2">
      <c r="H1366" s="49"/>
    </row>
    <row r="1367" spans="8:8" x14ac:dyDescent="0.2">
      <c r="H1367" s="49"/>
    </row>
    <row r="1368" spans="8:8" x14ac:dyDescent="0.2">
      <c r="H1368" s="49"/>
    </row>
    <row r="1369" spans="8:8" x14ac:dyDescent="0.2">
      <c r="H1369" s="49"/>
    </row>
    <row r="1370" spans="8:8" x14ac:dyDescent="0.2">
      <c r="H1370" s="49"/>
    </row>
    <row r="1371" spans="8:8" x14ac:dyDescent="0.2">
      <c r="H1371" s="49"/>
    </row>
    <row r="1372" spans="8:8" x14ac:dyDescent="0.2">
      <c r="H1372" s="49"/>
    </row>
    <row r="1373" spans="8:8" x14ac:dyDescent="0.2">
      <c r="H1373" s="49"/>
    </row>
    <row r="1374" spans="8:8" x14ac:dyDescent="0.2">
      <c r="H1374" s="49"/>
    </row>
    <row r="1375" spans="8:8" x14ac:dyDescent="0.2">
      <c r="H1375" s="49"/>
    </row>
    <row r="1376" spans="8:8" x14ac:dyDescent="0.2">
      <c r="H1376" s="49"/>
    </row>
    <row r="1377" spans="8:8" x14ac:dyDescent="0.2">
      <c r="H1377" s="49"/>
    </row>
    <row r="1378" spans="8:8" x14ac:dyDescent="0.2">
      <c r="H1378" s="49"/>
    </row>
    <row r="1379" spans="8:8" x14ac:dyDescent="0.2">
      <c r="H1379" s="49"/>
    </row>
    <row r="1380" spans="8:8" x14ac:dyDescent="0.2">
      <c r="H1380" s="49"/>
    </row>
    <row r="1381" spans="8:8" x14ac:dyDescent="0.2">
      <c r="H1381" s="49"/>
    </row>
    <row r="1382" spans="8:8" x14ac:dyDescent="0.2">
      <c r="H1382" s="49"/>
    </row>
    <row r="1383" spans="8:8" x14ac:dyDescent="0.2">
      <c r="H1383" s="49"/>
    </row>
    <row r="1384" spans="8:8" x14ac:dyDescent="0.2">
      <c r="H1384" s="49"/>
    </row>
    <row r="1385" spans="8:8" x14ac:dyDescent="0.2">
      <c r="H1385" s="49"/>
    </row>
    <row r="1386" spans="8:8" x14ac:dyDescent="0.2">
      <c r="H1386" s="49"/>
    </row>
    <row r="1387" spans="8:8" x14ac:dyDescent="0.2">
      <c r="H1387" s="49"/>
    </row>
    <row r="1388" spans="8:8" x14ac:dyDescent="0.2">
      <c r="H1388" s="49"/>
    </row>
    <row r="1389" spans="8:8" x14ac:dyDescent="0.2">
      <c r="H1389" s="49"/>
    </row>
    <row r="1390" spans="8:8" x14ac:dyDescent="0.2">
      <c r="H1390" s="49"/>
    </row>
    <row r="1391" spans="8:8" x14ac:dyDescent="0.2">
      <c r="H1391" s="49"/>
    </row>
    <row r="1392" spans="8:8" x14ac:dyDescent="0.2">
      <c r="H1392" s="49"/>
    </row>
    <row r="1393" spans="8:8" x14ac:dyDescent="0.2">
      <c r="H1393" s="49"/>
    </row>
    <row r="1394" spans="8:8" x14ac:dyDescent="0.2">
      <c r="H1394" s="49"/>
    </row>
    <row r="1395" spans="8:8" x14ac:dyDescent="0.2">
      <c r="H1395" s="49"/>
    </row>
    <row r="1396" spans="8:8" x14ac:dyDescent="0.2">
      <c r="H1396" s="49"/>
    </row>
    <row r="1397" spans="8:8" x14ac:dyDescent="0.2">
      <c r="H1397" s="49"/>
    </row>
    <row r="1398" spans="8:8" x14ac:dyDescent="0.2">
      <c r="H1398" s="49"/>
    </row>
    <row r="1399" spans="8:8" x14ac:dyDescent="0.2">
      <c r="H1399" s="49"/>
    </row>
    <row r="1400" spans="8:8" x14ac:dyDescent="0.2">
      <c r="H1400" s="49"/>
    </row>
    <row r="1401" spans="8:8" x14ac:dyDescent="0.2">
      <c r="H1401" s="49"/>
    </row>
    <row r="1402" spans="8:8" x14ac:dyDescent="0.2">
      <c r="H1402" s="49"/>
    </row>
    <row r="1403" spans="8:8" x14ac:dyDescent="0.2">
      <c r="H1403" s="49"/>
    </row>
    <row r="1404" spans="8:8" x14ac:dyDescent="0.2">
      <c r="H1404" s="49"/>
    </row>
    <row r="1405" spans="8:8" x14ac:dyDescent="0.2">
      <c r="H1405" s="49"/>
    </row>
    <row r="1406" spans="8:8" x14ac:dyDescent="0.2">
      <c r="H1406" s="49"/>
    </row>
    <row r="1407" spans="8:8" x14ac:dyDescent="0.2">
      <c r="H1407" s="49"/>
    </row>
    <row r="1408" spans="8:8" x14ac:dyDescent="0.2">
      <c r="H1408" s="49"/>
    </row>
    <row r="1409" spans="8:8" x14ac:dyDescent="0.2">
      <c r="H1409" s="49"/>
    </row>
    <row r="1410" spans="8:8" x14ac:dyDescent="0.2">
      <c r="H1410" s="49"/>
    </row>
    <row r="1411" spans="8:8" x14ac:dyDescent="0.2">
      <c r="H1411" s="49"/>
    </row>
    <row r="1412" spans="8:8" x14ac:dyDescent="0.2">
      <c r="H1412" s="49"/>
    </row>
    <row r="1413" spans="8:8" x14ac:dyDescent="0.2">
      <c r="H1413" s="49"/>
    </row>
    <row r="1414" spans="8:8" x14ac:dyDescent="0.2">
      <c r="H1414" s="49"/>
    </row>
    <row r="1415" spans="8:8" x14ac:dyDescent="0.2">
      <c r="H1415" s="49"/>
    </row>
    <row r="1416" spans="8:8" x14ac:dyDescent="0.2">
      <c r="H1416" s="49"/>
    </row>
    <row r="1417" spans="8:8" x14ac:dyDescent="0.2">
      <c r="H1417" s="49"/>
    </row>
    <row r="1418" spans="8:8" x14ac:dyDescent="0.2">
      <c r="H1418" s="49"/>
    </row>
    <row r="1419" spans="8:8" x14ac:dyDescent="0.2">
      <c r="H1419" s="49"/>
    </row>
    <row r="1420" spans="8:8" x14ac:dyDescent="0.2">
      <c r="H1420" s="49"/>
    </row>
    <row r="1421" spans="8:8" x14ac:dyDescent="0.2">
      <c r="H1421" s="49"/>
    </row>
    <row r="1422" spans="8:8" x14ac:dyDescent="0.2">
      <c r="H1422" s="49"/>
    </row>
    <row r="1423" spans="8:8" x14ac:dyDescent="0.2">
      <c r="H1423" s="49"/>
    </row>
    <row r="1424" spans="8:8" x14ac:dyDescent="0.2">
      <c r="H1424" s="49"/>
    </row>
    <row r="1425" spans="8:8" x14ac:dyDescent="0.2">
      <c r="H1425" s="49"/>
    </row>
    <row r="1426" spans="8:8" x14ac:dyDescent="0.2">
      <c r="H1426" s="49"/>
    </row>
    <row r="1427" spans="8:8" x14ac:dyDescent="0.2">
      <c r="H1427" s="49"/>
    </row>
    <row r="1428" spans="8:8" x14ac:dyDescent="0.2">
      <c r="H1428" s="49"/>
    </row>
    <row r="1429" spans="8:8" x14ac:dyDescent="0.2">
      <c r="H1429" s="49"/>
    </row>
    <row r="1430" spans="8:8" x14ac:dyDescent="0.2">
      <c r="H1430" s="49"/>
    </row>
    <row r="1431" spans="8:8" x14ac:dyDescent="0.2">
      <c r="H1431" s="49"/>
    </row>
    <row r="1432" spans="8:8" x14ac:dyDescent="0.2">
      <c r="H1432" s="49"/>
    </row>
    <row r="1433" spans="8:8" x14ac:dyDescent="0.2">
      <c r="H1433" s="49"/>
    </row>
    <row r="1434" spans="8:8" x14ac:dyDescent="0.2">
      <c r="H1434" s="49"/>
    </row>
    <row r="1435" spans="8:8" x14ac:dyDescent="0.2">
      <c r="H1435" s="49"/>
    </row>
    <row r="1436" spans="8:8" x14ac:dyDescent="0.2">
      <c r="H1436" s="49"/>
    </row>
    <row r="1437" spans="8:8" x14ac:dyDescent="0.2">
      <c r="H1437" s="49"/>
    </row>
    <row r="1438" spans="8:8" x14ac:dyDescent="0.2">
      <c r="H1438" s="49"/>
    </row>
    <row r="1439" spans="8:8" x14ac:dyDescent="0.2">
      <c r="H1439" s="49"/>
    </row>
    <row r="1440" spans="8:8" x14ac:dyDescent="0.2">
      <c r="H1440" s="49"/>
    </row>
    <row r="1441" spans="8:8" x14ac:dyDescent="0.2">
      <c r="H1441" s="49"/>
    </row>
    <row r="1442" spans="8:8" x14ac:dyDescent="0.2">
      <c r="H1442" s="49"/>
    </row>
    <row r="1443" spans="8:8" x14ac:dyDescent="0.2">
      <c r="H1443" s="49"/>
    </row>
    <row r="1444" spans="8:8" x14ac:dyDescent="0.2">
      <c r="H1444" s="49"/>
    </row>
    <row r="1445" spans="8:8" x14ac:dyDescent="0.2">
      <c r="H1445" s="49"/>
    </row>
    <row r="1446" spans="8:8" x14ac:dyDescent="0.2">
      <c r="H1446" s="49"/>
    </row>
    <row r="1447" spans="8:8" x14ac:dyDescent="0.2">
      <c r="H1447" s="49"/>
    </row>
    <row r="1448" spans="8:8" x14ac:dyDescent="0.2">
      <c r="H1448" s="49"/>
    </row>
    <row r="1449" spans="8:8" x14ac:dyDescent="0.2">
      <c r="H1449" s="49"/>
    </row>
    <row r="1450" spans="8:8" x14ac:dyDescent="0.2">
      <c r="H1450" s="49"/>
    </row>
    <row r="1451" spans="8:8" x14ac:dyDescent="0.2">
      <c r="H1451" s="49"/>
    </row>
    <row r="1452" spans="8:8" x14ac:dyDescent="0.2">
      <c r="H1452" s="49"/>
    </row>
    <row r="1453" spans="8:8" x14ac:dyDescent="0.2">
      <c r="H1453" s="49"/>
    </row>
    <row r="1454" spans="8:8" x14ac:dyDescent="0.2">
      <c r="H1454" s="49"/>
    </row>
    <row r="1455" spans="8:8" x14ac:dyDescent="0.2">
      <c r="H1455" s="49"/>
    </row>
    <row r="1456" spans="8:8" x14ac:dyDescent="0.2">
      <c r="H1456" s="49"/>
    </row>
    <row r="1457" spans="8:8" x14ac:dyDescent="0.2">
      <c r="H1457" s="49"/>
    </row>
    <row r="1458" spans="8:8" x14ac:dyDescent="0.2">
      <c r="H1458" s="49"/>
    </row>
    <row r="1459" spans="8:8" x14ac:dyDescent="0.2">
      <c r="H1459" s="49"/>
    </row>
    <row r="1460" spans="8:8" x14ac:dyDescent="0.2">
      <c r="H1460" s="49"/>
    </row>
    <row r="1461" spans="8:8" x14ac:dyDescent="0.2">
      <c r="H1461" s="49"/>
    </row>
    <row r="1462" spans="8:8" x14ac:dyDescent="0.2">
      <c r="H1462" s="49"/>
    </row>
    <row r="1463" spans="8:8" x14ac:dyDescent="0.2">
      <c r="H1463" s="49"/>
    </row>
    <row r="1464" spans="8:8" x14ac:dyDescent="0.2">
      <c r="H1464" s="49"/>
    </row>
    <row r="1465" spans="8:8" x14ac:dyDescent="0.2">
      <c r="H1465" s="49"/>
    </row>
    <row r="1466" spans="8:8" x14ac:dyDescent="0.2">
      <c r="H1466" s="49"/>
    </row>
    <row r="1467" spans="8:8" x14ac:dyDescent="0.2">
      <c r="H1467" s="49"/>
    </row>
    <row r="1468" spans="8:8" x14ac:dyDescent="0.2">
      <c r="H1468" s="49"/>
    </row>
    <row r="1469" spans="8:8" x14ac:dyDescent="0.2">
      <c r="H1469" s="49"/>
    </row>
    <row r="1470" spans="8:8" x14ac:dyDescent="0.2">
      <c r="H1470" s="49"/>
    </row>
    <row r="1471" spans="8:8" x14ac:dyDescent="0.2">
      <c r="H1471" s="49"/>
    </row>
    <row r="1472" spans="8:8" x14ac:dyDescent="0.2">
      <c r="H1472" s="49"/>
    </row>
    <row r="1473" spans="8:8" x14ac:dyDescent="0.2">
      <c r="H1473" s="49"/>
    </row>
    <row r="1474" spans="8:8" x14ac:dyDescent="0.2">
      <c r="H1474" s="49"/>
    </row>
    <row r="1475" spans="8:8" x14ac:dyDescent="0.2">
      <c r="H1475" s="49"/>
    </row>
    <row r="1476" spans="8:8" x14ac:dyDescent="0.2">
      <c r="H1476" s="49"/>
    </row>
    <row r="1477" spans="8:8" x14ac:dyDescent="0.2">
      <c r="H1477" s="49"/>
    </row>
    <row r="1478" spans="8:8" x14ac:dyDescent="0.2">
      <c r="H1478" s="49"/>
    </row>
    <row r="1479" spans="8:8" x14ac:dyDescent="0.2">
      <c r="H1479" s="49"/>
    </row>
    <row r="1480" spans="8:8" x14ac:dyDescent="0.2">
      <c r="H1480" s="49"/>
    </row>
    <row r="1481" spans="8:8" x14ac:dyDescent="0.2">
      <c r="H1481" s="49"/>
    </row>
    <row r="1482" spans="8:8" x14ac:dyDescent="0.2">
      <c r="H1482" s="49"/>
    </row>
    <row r="1483" spans="8:8" x14ac:dyDescent="0.2">
      <c r="H1483" s="49"/>
    </row>
    <row r="1484" spans="8:8" x14ac:dyDescent="0.2">
      <c r="H1484" s="49"/>
    </row>
    <row r="1485" spans="8:8" x14ac:dyDescent="0.2">
      <c r="H1485" s="49"/>
    </row>
    <row r="1486" spans="8:8" x14ac:dyDescent="0.2">
      <c r="H1486" s="49"/>
    </row>
    <row r="1487" spans="8:8" x14ac:dyDescent="0.2">
      <c r="H1487" s="49"/>
    </row>
    <row r="1488" spans="8:8" x14ac:dyDescent="0.2">
      <c r="H1488" s="49"/>
    </row>
    <row r="1489" spans="8:8" x14ac:dyDescent="0.2">
      <c r="H1489" s="49"/>
    </row>
    <row r="1490" spans="8:8" x14ac:dyDescent="0.2">
      <c r="H1490" s="49"/>
    </row>
    <row r="1491" spans="8:8" x14ac:dyDescent="0.2">
      <c r="H1491" s="49"/>
    </row>
    <row r="1492" spans="8:8" x14ac:dyDescent="0.2">
      <c r="H1492" s="49"/>
    </row>
    <row r="1493" spans="8:8" x14ac:dyDescent="0.2">
      <c r="H1493" s="49"/>
    </row>
    <row r="1494" spans="8:8" x14ac:dyDescent="0.2">
      <c r="H1494" s="49"/>
    </row>
    <row r="1495" spans="8:8" x14ac:dyDescent="0.2">
      <c r="H1495" s="49"/>
    </row>
    <row r="1496" spans="8:8" x14ac:dyDescent="0.2">
      <c r="H1496" s="49"/>
    </row>
    <row r="1497" spans="8:8" x14ac:dyDescent="0.2">
      <c r="H1497" s="49"/>
    </row>
    <row r="1498" spans="8:8" x14ac:dyDescent="0.2">
      <c r="H1498" s="49"/>
    </row>
    <row r="1499" spans="8:8" x14ac:dyDescent="0.2">
      <c r="H1499" s="49"/>
    </row>
    <row r="1500" spans="8:8" x14ac:dyDescent="0.2">
      <c r="H1500" s="49"/>
    </row>
    <row r="1501" spans="8:8" x14ac:dyDescent="0.2">
      <c r="H1501" s="49"/>
    </row>
    <row r="1502" spans="8:8" x14ac:dyDescent="0.2">
      <c r="H1502" s="49"/>
    </row>
    <row r="1503" spans="8:8" x14ac:dyDescent="0.2">
      <c r="H1503" s="49"/>
    </row>
    <row r="1504" spans="8:8" x14ac:dyDescent="0.2">
      <c r="H1504" s="49"/>
    </row>
    <row r="1505" spans="8:8" x14ac:dyDescent="0.2">
      <c r="H1505" s="49"/>
    </row>
    <row r="1506" spans="8:8" x14ac:dyDescent="0.2">
      <c r="H1506" s="49"/>
    </row>
    <row r="1507" spans="8:8" x14ac:dyDescent="0.2">
      <c r="H1507" s="49"/>
    </row>
    <row r="1508" spans="8:8" x14ac:dyDescent="0.2">
      <c r="H1508" s="49"/>
    </row>
    <row r="1509" spans="8:8" x14ac:dyDescent="0.2">
      <c r="H1509" s="49"/>
    </row>
    <row r="1510" spans="8:8" x14ac:dyDescent="0.2">
      <c r="H1510" s="49"/>
    </row>
    <row r="1511" spans="8:8" x14ac:dyDescent="0.2">
      <c r="H1511" s="49"/>
    </row>
    <row r="1512" spans="8:8" x14ac:dyDescent="0.2">
      <c r="H1512" s="49"/>
    </row>
    <row r="1513" spans="8:8" x14ac:dyDescent="0.2">
      <c r="H1513" s="49"/>
    </row>
    <row r="1514" spans="8:8" x14ac:dyDescent="0.2">
      <c r="H1514" s="49"/>
    </row>
    <row r="1515" spans="8:8" x14ac:dyDescent="0.2">
      <c r="H1515" s="49"/>
    </row>
    <row r="1516" spans="8:8" x14ac:dyDescent="0.2">
      <c r="H1516" s="49"/>
    </row>
    <row r="1517" spans="8:8" x14ac:dyDescent="0.2">
      <c r="H1517" s="49"/>
    </row>
    <row r="1518" spans="8:8" x14ac:dyDescent="0.2">
      <c r="H1518" s="49"/>
    </row>
    <row r="1519" spans="8:8" x14ac:dyDescent="0.2">
      <c r="H1519" s="49"/>
    </row>
    <row r="1520" spans="8:8" x14ac:dyDescent="0.2">
      <c r="H1520" s="49"/>
    </row>
    <row r="1521" spans="8:8" x14ac:dyDescent="0.2">
      <c r="H1521" s="49"/>
    </row>
    <row r="1522" spans="8:8" x14ac:dyDescent="0.2">
      <c r="H1522" s="49"/>
    </row>
    <row r="1523" spans="8:8" x14ac:dyDescent="0.2">
      <c r="H1523" s="49"/>
    </row>
    <row r="1524" spans="8:8" x14ac:dyDescent="0.2">
      <c r="H1524" s="49"/>
    </row>
    <row r="1525" spans="8:8" x14ac:dyDescent="0.2">
      <c r="H1525" s="49"/>
    </row>
    <row r="1526" spans="8:8" x14ac:dyDescent="0.2">
      <c r="H1526" s="49"/>
    </row>
    <row r="1527" spans="8:8" x14ac:dyDescent="0.2">
      <c r="H1527" s="49"/>
    </row>
    <row r="1528" spans="8:8" x14ac:dyDescent="0.2">
      <c r="H1528" s="49"/>
    </row>
    <row r="1529" spans="8:8" x14ac:dyDescent="0.2">
      <c r="H1529" s="49"/>
    </row>
    <row r="1530" spans="8:8" x14ac:dyDescent="0.2">
      <c r="H1530" s="49"/>
    </row>
    <row r="1531" spans="8:8" x14ac:dyDescent="0.2">
      <c r="H1531" s="49"/>
    </row>
    <row r="1532" spans="8:8" x14ac:dyDescent="0.2">
      <c r="H1532" s="49"/>
    </row>
    <row r="1533" spans="8:8" x14ac:dyDescent="0.2">
      <c r="H1533" s="49"/>
    </row>
    <row r="1534" spans="8:8" x14ac:dyDescent="0.2">
      <c r="H1534" s="49"/>
    </row>
    <row r="1535" spans="8:8" x14ac:dyDescent="0.2">
      <c r="H1535" s="49"/>
    </row>
    <row r="1536" spans="8:8" x14ac:dyDescent="0.2">
      <c r="H1536" s="49"/>
    </row>
    <row r="1537" spans="8:8" x14ac:dyDescent="0.2">
      <c r="H1537" s="49"/>
    </row>
    <row r="1538" spans="8:8" x14ac:dyDescent="0.2">
      <c r="H1538" s="49"/>
    </row>
    <row r="1539" spans="8:8" x14ac:dyDescent="0.2">
      <c r="H1539" s="49"/>
    </row>
    <row r="1540" spans="8:8" x14ac:dyDescent="0.2">
      <c r="H1540" s="49"/>
    </row>
    <row r="1541" spans="8:8" x14ac:dyDescent="0.2">
      <c r="H1541" s="49"/>
    </row>
    <row r="1542" spans="8:8" x14ac:dyDescent="0.2">
      <c r="H1542" s="49"/>
    </row>
    <row r="1543" spans="8:8" x14ac:dyDescent="0.2">
      <c r="H1543" s="49"/>
    </row>
    <row r="1544" spans="8:8" x14ac:dyDescent="0.2">
      <c r="H1544" s="49"/>
    </row>
    <row r="1545" spans="8:8" x14ac:dyDescent="0.2">
      <c r="H1545" s="49"/>
    </row>
    <row r="1546" spans="8:8" x14ac:dyDescent="0.2">
      <c r="H1546" s="49"/>
    </row>
    <row r="1547" spans="8:8" x14ac:dyDescent="0.2">
      <c r="H1547" s="49"/>
    </row>
    <row r="1548" spans="8:8" x14ac:dyDescent="0.2">
      <c r="H1548" s="49"/>
    </row>
    <row r="1549" spans="8:8" x14ac:dyDescent="0.2">
      <c r="H1549" s="49"/>
    </row>
    <row r="1550" spans="8:8" x14ac:dyDescent="0.2">
      <c r="H1550" s="49"/>
    </row>
    <row r="1551" spans="8:8" x14ac:dyDescent="0.2">
      <c r="H1551" s="49"/>
    </row>
    <row r="1552" spans="8:8" x14ac:dyDescent="0.2">
      <c r="H1552" s="49"/>
    </row>
    <row r="1553" spans="8:8" x14ac:dyDescent="0.2">
      <c r="H1553" s="49"/>
    </row>
    <row r="1554" spans="8:8" x14ac:dyDescent="0.2">
      <c r="H1554" s="49"/>
    </row>
    <row r="1555" spans="8:8" x14ac:dyDescent="0.2">
      <c r="H1555" s="49"/>
    </row>
    <row r="1556" spans="8:8" x14ac:dyDescent="0.2">
      <c r="H1556" s="49"/>
    </row>
    <row r="1557" spans="8:8" x14ac:dyDescent="0.2">
      <c r="H1557" s="49"/>
    </row>
    <row r="1558" spans="8:8" x14ac:dyDescent="0.2">
      <c r="H1558" s="49"/>
    </row>
    <row r="1559" spans="8:8" x14ac:dyDescent="0.2">
      <c r="H1559" s="49"/>
    </row>
    <row r="1560" spans="8:8" x14ac:dyDescent="0.2">
      <c r="H1560" s="49"/>
    </row>
    <row r="1561" spans="8:8" x14ac:dyDescent="0.2">
      <c r="H1561" s="49"/>
    </row>
    <row r="1562" spans="8:8" x14ac:dyDescent="0.2">
      <c r="H1562" s="49"/>
    </row>
    <row r="1563" spans="8:8" x14ac:dyDescent="0.2">
      <c r="H1563" s="49"/>
    </row>
    <row r="1564" spans="8:8" x14ac:dyDescent="0.2">
      <c r="H1564" s="49"/>
    </row>
    <row r="1565" spans="8:8" x14ac:dyDescent="0.2">
      <c r="H1565" s="49"/>
    </row>
    <row r="1566" spans="8:8" x14ac:dyDescent="0.2">
      <c r="H1566" s="49"/>
    </row>
    <row r="1567" spans="8:8" x14ac:dyDescent="0.2">
      <c r="H1567" s="49"/>
    </row>
    <row r="1568" spans="8:8" x14ac:dyDescent="0.2">
      <c r="H1568" s="49"/>
    </row>
    <row r="1569" spans="8:8" x14ac:dyDescent="0.2">
      <c r="H1569" s="49"/>
    </row>
    <row r="1570" spans="8:8" x14ac:dyDescent="0.2">
      <c r="H1570" s="49"/>
    </row>
    <row r="1571" spans="8:8" x14ac:dyDescent="0.2">
      <c r="H1571" s="49"/>
    </row>
    <row r="1572" spans="8:8" x14ac:dyDescent="0.2">
      <c r="H1572" s="49"/>
    </row>
    <row r="1573" spans="8:8" x14ac:dyDescent="0.2">
      <c r="H1573" s="49"/>
    </row>
    <row r="1574" spans="8:8" x14ac:dyDescent="0.2">
      <c r="H1574" s="49"/>
    </row>
    <row r="1575" spans="8:8" x14ac:dyDescent="0.2">
      <c r="H1575" s="49"/>
    </row>
    <row r="1576" spans="8:8" x14ac:dyDescent="0.2">
      <c r="H1576" s="49"/>
    </row>
    <row r="1577" spans="8:8" x14ac:dyDescent="0.2">
      <c r="H1577" s="49"/>
    </row>
    <row r="1578" spans="8:8" x14ac:dyDescent="0.2">
      <c r="H1578" s="49"/>
    </row>
    <row r="1579" spans="8:8" x14ac:dyDescent="0.2">
      <c r="H1579" s="49"/>
    </row>
    <row r="1580" spans="8:8" x14ac:dyDescent="0.2">
      <c r="H1580" s="49"/>
    </row>
    <row r="1581" spans="8:8" x14ac:dyDescent="0.2">
      <c r="H1581" s="49"/>
    </row>
    <row r="1582" spans="8:8" x14ac:dyDescent="0.2">
      <c r="H1582" s="49"/>
    </row>
    <row r="1583" spans="8:8" x14ac:dyDescent="0.2">
      <c r="H1583" s="49"/>
    </row>
    <row r="1584" spans="8:8" x14ac:dyDescent="0.2">
      <c r="H1584" s="49"/>
    </row>
    <row r="1585" spans="8:8" x14ac:dyDescent="0.2">
      <c r="H1585" s="49"/>
    </row>
    <row r="1586" spans="8:8" x14ac:dyDescent="0.2">
      <c r="H1586" s="49"/>
    </row>
    <row r="1587" spans="8:8" x14ac:dyDescent="0.2">
      <c r="H1587" s="49"/>
    </row>
    <row r="1588" spans="8:8" x14ac:dyDescent="0.2">
      <c r="H1588" s="49"/>
    </row>
    <row r="1589" spans="8:8" x14ac:dyDescent="0.2">
      <c r="H1589" s="49"/>
    </row>
    <row r="1590" spans="8:8" x14ac:dyDescent="0.2">
      <c r="H1590" s="49"/>
    </row>
    <row r="1591" spans="8:8" x14ac:dyDescent="0.2">
      <c r="H1591" s="49"/>
    </row>
    <row r="1592" spans="8:8" x14ac:dyDescent="0.2">
      <c r="H1592" s="49"/>
    </row>
    <row r="1593" spans="8:8" x14ac:dyDescent="0.2">
      <c r="H1593" s="49"/>
    </row>
    <row r="1594" spans="8:8" x14ac:dyDescent="0.2">
      <c r="H1594" s="49"/>
    </row>
    <row r="1595" spans="8:8" x14ac:dyDescent="0.2">
      <c r="H1595" s="49"/>
    </row>
    <row r="1596" spans="8:8" x14ac:dyDescent="0.2">
      <c r="H1596" s="49"/>
    </row>
    <row r="1597" spans="8:8" x14ac:dyDescent="0.2">
      <c r="H1597" s="49"/>
    </row>
    <row r="1598" spans="8:8" x14ac:dyDescent="0.2">
      <c r="H1598" s="49"/>
    </row>
    <row r="1599" spans="8:8" x14ac:dyDescent="0.2">
      <c r="H1599" s="49"/>
    </row>
    <row r="1600" spans="8:8" x14ac:dyDescent="0.2">
      <c r="H1600" s="49"/>
    </row>
    <row r="1601" spans="8:8" x14ac:dyDescent="0.2">
      <c r="H1601" s="49"/>
    </row>
    <row r="1602" spans="8:8" x14ac:dyDescent="0.2">
      <c r="H1602" s="49"/>
    </row>
    <row r="1603" spans="8:8" x14ac:dyDescent="0.2">
      <c r="H1603" s="49"/>
    </row>
    <row r="1604" spans="8:8" x14ac:dyDescent="0.2">
      <c r="H1604" s="49"/>
    </row>
    <row r="1605" spans="8:8" x14ac:dyDescent="0.2">
      <c r="H1605" s="49"/>
    </row>
    <row r="1606" spans="8:8" x14ac:dyDescent="0.2">
      <c r="H1606" s="49"/>
    </row>
    <row r="1607" spans="8:8" x14ac:dyDescent="0.2">
      <c r="H1607" s="49"/>
    </row>
    <row r="1608" spans="8:8" x14ac:dyDescent="0.2">
      <c r="H1608" s="49"/>
    </row>
    <row r="1609" spans="8:8" x14ac:dyDescent="0.2">
      <c r="H1609" s="49"/>
    </row>
    <row r="1610" spans="8:8" x14ac:dyDescent="0.2">
      <c r="H1610" s="49"/>
    </row>
    <row r="1611" spans="8:8" x14ac:dyDescent="0.2">
      <c r="H1611" s="49"/>
    </row>
    <row r="1612" spans="8:8" x14ac:dyDescent="0.2">
      <c r="H1612" s="49"/>
    </row>
    <row r="1613" spans="8:8" x14ac:dyDescent="0.2">
      <c r="H1613" s="49"/>
    </row>
    <row r="1614" spans="8:8" x14ac:dyDescent="0.2">
      <c r="H1614" s="49"/>
    </row>
    <row r="1615" spans="8:8" x14ac:dyDescent="0.2">
      <c r="H1615" s="49"/>
    </row>
    <row r="1616" spans="8:8" x14ac:dyDescent="0.2">
      <c r="H1616" s="49"/>
    </row>
    <row r="1617" spans="8:8" x14ac:dyDescent="0.2">
      <c r="H1617" s="49"/>
    </row>
    <row r="1618" spans="8:8" x14ac:dyDescent="0.2">
      <c r="H1618" s="49"/>
    </row>
    <row r="1619" spans="8:8" x14ac:dyDescent="0.2">
      <c r="H1619" s="49"/>
    </row>
    <row r="1620" spans="8:8" x14ac:dyDescent="0.2">
      <c r="H1620" s="49"/>
    </row>
    <row r="1621" spans="8:8" x14ac:dyDescent="0.2">
      <c r="H1621" s="49"/>
    </row>
    <row r="1622" spans="8:8" x14ac:dyDescent="0.2">
      <c r="H1622" s="49"/>
    </row>
    <row r="1623" spans="8:8" x14ac:dyDescent="0.2">
      <c r="H1623" s="49"/>
    </row>
    <row r="1624" spans="8:8" x14ac:dyDescent="0.2">
      <c r="H1624" s="49"/>
    </row>
    <row r="1625" spans="8:8" x14ac:dyDescent="0.2">
      <c r="H1625" s="49"/>
    </row>
    <row r="1626" spans="8:8" x14ac:dyDescent="0.2">
      <c r="H1626" s="49"/>
    </row>
    <row r="1627" spans="8:8" x14ac:dyDescent="0.2">
      <c r="H1627" s="49"/>
    </row>
    <row r="1628" spans="8:8" x14ac:dyDescent="0.2">
      <c r="H1628" s="49"/>
    </row>
    <row r="1629" spans="8:8" x14ac:dyDescent="0.2">
      <c r="H1629" s="49"/>
    </row>
    <row r="1630" spans="8:8" x14ac:dyDescent="0.2">
      <c r="H1630" s="49"/>
    </row>
    <row r="1631" spans="8:8" x14ac:dyDescent="0.2">
      <c r="H1631" s="49"/>
    </row>
    <row r="1632" spans="8:8" x14ac:dyDescent="0.2">
      <c r="H1632" s="49"/>
    </row>
    <row r="1633" spans="8:81" x14ac:dyDescent="0.2">
      <c r="H1633" s="49"/>
    </row>
    <row r="1634" spans="8:81" x14ac:dyDescent="0.2">
      <c r="H1634" s="49"/>
    </row>
    <row r="1635" spans="8:81" x14ac:dyDescent="0.2">
      <c r="H1635" s="49"/>
    </row>
    <row r="1636" spans="8:81" x14ac:dyDescent="0.2">
      <c r="H1636" s="49"/>
    </row>
    <row r="1637" spans="8:81" x14ac:dyDescent="0.2">
      <c r="H1637" s="49"/>
    </row>
    <row r="1638" spans="8:81" x14ac:dyDescent="0.2">
      <c r="H1638" s="49"/>
    </row>
    <row r="1639" spans="8:81" x14ac:dyDescent="0.2">
      <c r="H1639" s="49"/>
      <c r="CC1639" s="37"/>
    </row>
    <row r="1640" spans="8:81" x14ac:dyDescent="0.2">
      <c r="H1640" s="49"/>
    </row>
    <row r="1641" spans="8:81" x14ac:dyDescent="0.2">
      <c r="H1641" s="49"/>
    </row>
    <row r="1642" spans="8:81" x14ac:dyDescent="0.2">
      <c r="H1642" s="49"/>
    </row>
    <row r="1643" spans="8:81" x14ac:dyDescent="0.2">
      <c r="H1643" s="49"/>
    </row>
    <row r="1644" spans="8:81" x14ac:dyDescent="0.2">
      <c r="H1644" s="49"/>
    </row>
    <row r="1645" spans="8:81" x14ac:dyDescent="0.2">
      <c r="H1645" s="49"/>
    </row>
    <row r="1646" spans="8:81" x14ac:dyDescent="0.2">
      <c r="H1646" s="49"/>
    </row>
    <row r="1647" spans="8:81" x14ac:dyDescent="0.2">
      <c r="H1647" s="49"/>
    </row>
    <row r="1648" spans="8:81" x14ac:dyDescent="0.2">
      <c r="H1648" s="49"/>
    </row>
    <row r="1649" spans="8:8" x14ac:dyDescent="0.2">
      <c r="H1649" s="49"/>
    </row>
    <row r="1650" spans="8:8" x14ac:dyDescent="0.2">
      <c r="H1650" s="49"/>
    </row>
    <row r="1651" spans="8:8" x14ac:dyDescent="0.2">
      <c r="H1651" s="49"/>
    </row>
    <row r="1652" spans="8:8" x14ac:dyDescent="0.2">
      <c r="H1652" s="49"/>
    </row>
    <row r="1653" spans="8:8" x14ac:dyDescent="0.2">
      <c r="H1653" s="49"/>
    </row>
    <row r="1654" spans="8:8" x14ac:dyDescent="0.2">
      <c r="H1654" s="49"/>
    </row>
    <row r="1655" spans="8:8" x14ac:dyDescent="0.2">
      <c r="H1655" s="49"/>
    </row>
    <row r="1656" spans="8:8" x14ac:dyDescent="0.2">
      <c r="H1656" s="49"/>
    </row>
    <row r="1657" spans="8:8" x14ac:dyDescent="0.2">
      <c r="H1657" s="49"/>
    </row>
    <row r="1658" spans="8:8" x14ac:dyDescent="0.2">
      <c r="H1658" s="49"/>
    </row>
    <row r="1659" spans="8:8" x14ac:dyDescent="0.2">
      <c r="H1659" s="49"/>
    </row>
    <row r="1660" spans="8:8" x14ac:dyDescent="0.2">
      <c r="H1660" s="49"/>
    </row>
    <row r="1661" spans="8:8" x14ac:dyDescent="0.2">
      <c r="H1661" s="49"/>
    </row>
    <row r="1662" spans="8:8" x14ac:dyDescent="0.2">
      <c r="H1662" s="49"/>
    </row>
    <row r="1663" spans="8:8" x14ac:dyDescent="0.2">
      <c r="H1663" s="49"/>
    </row>
    <row r="1664" spans="8:8" x14ac:dyDescent="0.2">
      <c r="H1664" s="49"/>
    </row>
    <row r="1665" spans="8:8" x14ac:dyDescent="0.2">
      <c r="H1665" s="49"/>
    </row>
    <row r="1666" spans="8:8" x14ac:dyDescent="0.2">
      <c r="H1666" s="49"/>
    </row>
    <row r="1667" spans="8:8" x14ac:dyDescent="0.2">
      <c r="H1667" s="49"/>
    </row>
    <row r="1668" spans="8:8" x14ac:dyDescent="0.2">
      <c r="H1668" s="49"/>
    </row>
    <row r="1669" spans="8:8" x14ac:dyDescent="0.2">
      <c r="H1669" s="49"/>
    </row>
    <row r="1670" spans="8:8" x14ac:dyDescent="0.2">
      <c r="H1670" s="49"/>
    </row>
    <row r="1671" spans="8:8" x14ac:dyDescent="0.2">
      <c r="H1671" s="49"/>
    </row>
    <row r="1672" spans="8:8" x14ac:dyDescent="0.2">
      <c r="H1672" s="49"/>
    </row>
    <row r="1673" spans="8:8" x14ac:dyDescent="0.2">
      <c r="H1673" s="49"/>
    </row>
    <row r="1674" spans="8:8" x14ac:dyDescent="0.2">
      <c r="H1674" s="49"/>
    </row>
    <row r="1675" spans="8:8" x14ac:dyDescent="0.2">
      <c r="H1675" s="49"/>
    </row>
    <row r="1676" spans="8:8" x14ac:dyDescent="0.2">
      <c r="H1676" s="49"/>
    </row>
    <row r="1677" spans="8:8" x14ac:dyDescent="0.2">
      <c r="H1677" s="49"/>
    </row>
    <row r="1678" spans="8:8" x14ac:dyDescent="0.2">
      <c r="H1678" s="49"/>
    </row>
    <row r="1679" spans="8:8" x14ac:dyDescent="0.2">
      <c r="H1679" s="49"/>
    </row>
    <row r="1680" spans="8:8" x14ac:dyDescent="0.2">
      <c r="H1680" s="49"/>
    </row>
    <row r="1681" spans="8:8" x14ac:dyDescent="0.2">
      <c r="H1681" s="49"/>
    </row>
    <row r="1682" spans="8:8" x14ac:dyDescent="0.2">
      <c r="H1682" s="49"/>
    </row>
    <row r="1683" spans="8:8" x14ac:dyDescent="0.2">
      <c r="H1683" s="49"/>
    </row>
    <row r="1684" spans="8:8" x14ac:dyDescent="0.2">
      <c r="H1684" s="49"/>
    </row>
    <row r="1685" spans="8:8" x14ac:dyDescent="0.2">
      <c r="H1685" s="49"/>
    </row>
    <row r="1686" spans="8:8" x14ac:dyDescent="0.2">
      <c r="H1686" s="49"/>
    </row>
    <row r="1687" spans="8:8" x14ac:dyDescent="0.2">
      <c r="H1687" s="49"/>
    </row>
    <row r="1688" spans="8:8" x14ac:dyDescent="0.2">
      <c r="H1688" s="49"/>
    </row>
    <row r="1689" spans="8:8" x14ac:dyDescent="0.2">
      <c r="H1689" s="49"/>
    </row>
    <row r="1690" spans="8:8" x14ac:dyDescent="0.2">
      <c r="H1690" s="49"/>
    </row>
    <row r="1691" spans="8:8" x14ac:dyDescent="0.2">
      <c r="H1691" s="49"/>
    </row>
    <row r="1692" spans="8:8" x14ac:dyDescent="0.2">
      <c r="H1692" s="49"/>
    </row>
    <row r="1693" spans="8:8" x14ac:dyDescent="0.2">
      <c r="H1693" s="49"/>
    </row>
    <row r="1694" spans="8:8" x14ac:dyDescent="0.2">
      <c r="H1694" s="49"/>
    </row>
    <row r="1695" spans="8:8" x14ac:dyDescent="0.2">
      <c r="H1695" s="49"/>
    </row>
    <row r="1696" spans="8:8" x14ac:dyDescent="0.2">
      <c r="H1696" s="49"/>
    </row>
    <row r="1697" spans="8:8" x14ac:dyDescent="0.2">
      <c r="H1697" s="49"/>
    </row>
    <row r="1698" spans="8:8" x14ac:dyDescent="0.2">
      <c r="H1698" s="49"/>
    </row>
    <row r="1699" spans="8:8" x14ac:dyDescent="0.2">
      <c r="H1699" s="49"/>
    </row>
    <row r="1700" spans="8:8" x14ac:dyDescent="0.2">
      <c r="H1700" s="49"/>
    </row>
    <row r="1701" spans="8:8" x14ac:dyDescent="0.2">
      <c r="H1701" s="49"/>
    </row>
    <row r="1702" spans="8:8" x14ac:dyDescent="0.2">
      <c r="H1702" s="49"/>
    </row>
    <row r="1703" spans="8:8" x14ac:dyDescent="0.2">
      <c r="H1703" s="49"/>
    </row>
    <row r="1704" spans="8:8" x14ac:dyDescent="0.2">
      <c r="H1704" s="49"/>
    </row>
    <row r="1705" spans="8:8" x14ac:dyDescent="0.2">
      <c r="H1705" s="49"/>
    </row>
    <row r="1706" spans="8:8" x14ac:dyDescent="0.2">
      <c r="H1706" s="49"/>
    </row>
    <row r="1707" spans="8:8" x14ac:dyDescent="0.2">
      <c r="H1707" s="49"/>
    </row>
    <row r="1708" spans="8:8" x14ac:dyDescent="0.2">
      <c r="H1708" s="49"/>
    </row>
    <row r="1709" spans="8:8" x14ac:dyDescent="0.2">
      <c r="H1709" s="49"/>
    </row>
    <row r="1710" spans="8:8" x14ac:dyDescent="0.2">
      <c r="H1710" s="49"/>
    </row>
    <row r="1711" spans="8:8" x14ac:dyDescent="0.2">
      <c r="H1711" s="49"/>
    </row>
    <row r="1712" spans="8:8" x14ac:dyDescent="0.2">
      <c r="H1712" s="49"/>
    </row>
    <row r="1713" spans="8:8" x14ac:dyDescent="0.2">
      <c r="H1713" s="49"/>
    </row>
    <row r="1714" spans="8:8" x14ac:dyDescent="0.2">
      <c r="H1714" s="49"/>
    </row>
    <row r="1715" spans="8:8" x14ac:dyDescent="0.2">
      <c r="H1715" s="49"/>
    </row>
    <row r="1716" spans="8:8" x14ac:dyDescent="0.2">
      <c r="H1716" s="49"/>
    </row>
    <row r="1717" spans="8:8" x14ac:dyDescent="0.2">
      <c r="H1717" s="49"/>
    </row>
    <row r="1718" spans="8:8" x14ac:dyDescent="0.2">
      <c r="H1718" s="49"/>
    </row>
    <row r="1719" spans="8:8" x14ac:dyDescent="0.2">
      <c r="H1719" s="49"/>
    </row>
    <row r="1720" spans="8:8" x14ac:dyDescent="0.2">
      <c r="H1720" s="49"/>
    </row>
    <row r="1721" spans="8:8" x14ac:dyDescent="0.2">
      <c r="H1721" s="49"/>
    </row>
    <row r="1722" spans="8:8" x14ac:dyDescent="0.2">
      <c r="H1722" s="49"/>
    </row>
    <row r="1723" spans="8:8" x14ac:dyDescent="0.2">
      <c r="H1723" s="49"/>
    </row>
    <row r="1724" spans="8:8" x14ac:dyDescent="0.2">
      <c r="H1724" s="49"/>
    </row>
    <row r="1725" spans="8:8" x14ac:dyDescent="0.2">
      <c r="H1725" s="49"/>
    </row>
    <row r="1726" spans="8:8" x14ac:dyDescent="0.2">
      <c r="H1726" s="49"/>
    </row>
    <row r="1727" spans="8:8" x14ac:dyDescent="0.2">
      <c r="H1727" s="49"/>
    </row>
    <row r="1728" spans="8:8" x14ac:dyDescent="0.2">
      <c r="H1728" s="49"/>
    </row>
    <row r="1729" spans="8:8" x14ac:dyDescent="0.2">
      <c r="H1729" s="49"/>
    </row>
    <row r="1730" spans="8:8" x14ac:dyDescent="0.2">
      <c r="H1730" s="49"/>
    </row>
    <row r="1731" spans="8:8" x14ac:dyDescent="0.2">
      <c r="H1731" s="49"/>
    </row>
    <row r="1732" spans="8:8" x14ac:dyDescent="0.2">
      <c r="H1732" s="49"/>
    </row>
    <row r="1733" spans="8:8" x14ac:dyDescent="0.2">
      <c r="H1733" s="49"/>
    </row>
    <row r="1734" spans="8:8" x14ac:dyDescent="0.2">
      <c r="H1734" s="49"/>
    </row>
    <row r="1735" spans="8:8" x14ac:dyDescent="0.2">
      <c r="H1735" s="49"/>
    </row>
    <row r="1736" spans="8:8" x14ac:dyDescent="0.2">
      <c r="H1736" s="49"/>
    </row>
    <row r="1737" spans="8:8" x14ac:dyDescent="0.2">
      <c r="H1737" s="49"/>
    </row>
    <row r="1738" spans="8:8" x14ac:dyDescent="0.2">
      <c r="H1738" s="49"/>
    </row>
    <row r="1739" spans="8:8" x14ac:dyDescent="0.2">
      <c r="H1739" s="49"/>
    </row>
    <row r="1740" spans="8:8" x14ac:dyDescent="0.2">
      <c r="H1740" s="49"/>
    </row>
    <row r="1741" spans="8:8" x14ac:dyDescent="0.2">
      <c r="H1741" s="49"/>
    </row>
    <row r="1742" spans="8:8" x14ac:dyDescent="0.2">
      <c r="H1742" s="49"/>
    </row>
    <row r="1743" spans="8:8" x14ac:dyDescent="0.2">
      <c r="H1743" s="49"/>
    </row>
    <row r="1744" spans="8:8" x14ac:dyDescent="0.2">
      <c r="H1744" s="49"/>
    </row>
    <row r="1745" spans="8:8" x14ac:dyDescent="0.2">
      <c r="H1745" s="49"/>
    </row>
    <row r="1746" spans="8:8" x14ac:dyDescent="0.2">
      <c r="H1746" s="49"/>
    </row>
    <row r="1747" spans="8:8" x14ac:dyDescent="0.2">
      <c r="H1747" s="49"/>
    </row>
    <row r="1748" spans="8:8" x14ac:dyDescent="0.2">
      <c r="H1748" s="49"/>
    </row>
    <row r="1749" spans="8:8" x14ac:dyDescent="0.2">
      <c r="H1749" s="49"/>
    </row>
    <row r="1750" spans="8:8" x14ac:dyDescent="0.2">
      <c r="H1750" s="49"/>
    </row>
    <row r="1751" spans="8:8" x14ac:dyDescent="0.2">
      <c r="H1751" s="49"/>
    </row>
    <row r="1752" spans="8:8" x14ac:dyDescent="0.2">
      <c r="H1752" s="49"/>
    </row>
    <row r="1753" spans="8:8" x14ac:dyDescent="0.2">
      <c r="H1753" s="49"/>
    </row>
    <row r="1754" spans="8:8" x14ac:dyDescent="0.2">
      <c r="H1754" s="49"/>
    </row>
    <row r="1755" spans="8:8" x14ac:dyDescent="0.2">
      <c r="H1755" s="49"/>
    </row>
    <row r="1756" spans="8:8" x14ac:dyDescent="0.2">
      <c r="H1756" s="49"/>
    </row>
    <row r="1757" spans="8:8" x14ac:dyDescent="0.2">
      <c r="H1757" s="49"/>
    </row>
    <row r="1758" spans="8:8" x14ac:dyDescent="0.2">
      <c r="H1758" s="49"/>
    </row>
    <row r="1759" spans="8:8" x14ac:dyDescent="0.2">
      <c r="H1759" s="49"/>
    </row>
    <row r="1760" spans="8:8" x14ac:dyDescent="0.2">
      <c r="H1760" s="49"/>
    </row>
    <row r="1761" spans="8:8" x14ac:dyDescent="0.2">
      <c r="H1761" s="49"/>
    </row>
    <row r="1762" spans="8:8" x14ac:dyDescent="0.2">
      <c r="H1762" s="49"/>
    </row>
    <row r="1763" spans="8:8" x14ac:dyDescent="0.2">
      <c r="H1763" s="49"/>
    </row>
    <row r="1764" spans="8:8" x14ac:dyDescent="0.2">
      <c r="H1764" s="49"/>
    </row>
    <row r="1765" spans="8:8" x14ac:dyDescent="0.2">
      <c r="H1765" s="49"/>
    </row>
    <row r="1766" spans="8:8" x14ac:dyDescent="0.2">
      <c r="H1766" s="49"/>
    </row>
    <row r="1767" spans="8:8" x14ac:dyDescent="0.2">
      <c r="H1767" s="49"/>
    </row>
    <row r="1768" spans="8:8" x14ac:dyDescent="0.2">
      <c r="H1768" s="49"/>
    </row>
    <row r="1769" spans="8:8" x14ac:dyDescent="0.2">
      <c r="H1769" s="49"/>
    </row>
    <row r="1770" spans="8:8" x14ac:dyDescent="0.2">
      <c r="H1770" s="49"/>
    </row>
    <row r="1771" spans="8:8" x14ac:dyDescent="0.2">
      <c r="H1771" s="49"/>
    </row>
    <row r="1772" spans="8:8" x14ac:dyDescent="0.2">
      <c r="H1772" s="49"/>
    </row>
    <row r="1773" spans="8:8" x14ac:dyDescent="0.2">
      <c r="H1773" s="49"/>
    </row>
    <row r="1774" spans="8:8" x14ac:dyDescent="0.2">
      <c r="H1774" s="49"/>
    </row>
    <row r="1775" spans="8:8" x14ac:dyDescent="0.2">
      <c r="H1775" s="49"/>
    </row>
    <row r="1776" spans="8:8" x14ac:dyDescent="0.2">
      <c r="H1776" s="49"/>
    </row>
    <row r="1777" spans="8:8" x14ac:dyDescent="0.2">
      <c r="H1777" s="49"/>
    </row>
    <row r="1778" spans="8:8" x14ac:dyDescent="0.2">
      <c r="H1778" s="49"/>
    </row>
    <row r="1779" spans="8:8" x14ac:dyDescent="0.2">
      <c r="H1779" s="49"/>
    </row>
    <row r="1780" spans="8:8" x14ac:dyDescent="0.2">
      <c r="H1780" s="49"/>
    </row>
    <row r="1781" spans="8:8" x14ac:dyDescent="0.2">
      <c r="H1781" s="49"/>
    </row>
    <row r="1782" spans="8:8" x14ac:dyDescent="0.2">
      <c r="H1782" s="49"/>
    </row>
    <row r="1783" spans="8:8" x14ac:dyDescent="0.2">
      <c r="H1783" s="49"/>
    </row>
    <row r="1784" spans="8:8" x14ac:dyDescent="0.2">
      <c r="H1784" s="49"/>
    </row>
    <row r="1785" spans="8:8" x14ac:dyDescent="0.2">
      <c r="H1785" s="49"/>
    </row>
    <row r="1786" spans="8:8" x14ac:dyDescent="0.2">
      <c r="H1786" s="49"/>
    </row>
    <row r="1787" spans="8:8" x14ac:dyDescent="0.2">
      <c r="H1787" s="49"/>
    </row>
    <row r="1788" spans="8:8" x14ac:dyDescent="0.2">
      <c r="H1788" s="49"/>
    </row>
    <row r="1789" spans="8:8" x14ac:dyDescent="0.2">
      <c r="H1789" s="49"/>
    </row>
    <row r="1790" spans="8:8" x14ac:dyDescent="0.2">
      <c r="H1790" s="49"/>
    </row>
    <row r="1791" spans="8:8" x14ac:dyDescent="0.2">
      <c r="H1791" s="49"/>
    </row>
    <row r="1792" spans="8:8" x14ac:dyDescent="0.2">
      <c r="H1792" s="49"/>
    </row>
    <row r="1793" spans="8:8" x14ac:dyDescent="0.2">
      <c r="H1793" s="49"/>
    </row>
    <row r="1794" spans="8:8" x14ac:dyDescent="0.2">
      <c r="H1794" s="49"/>
    </row>
    <row r="1795" spans="8:8" x14ac:dyDescent="0.2">
      <c r="H1795" s="49"/>
    </row>
    <row r="1796" spans="8:8" x14ac:dyDescent="0.2">
      <c r="H1796" s="49"/>
    </row>
    <row r="1797" spans="8:8" x14ac:dyDescent="0.2">
      <c r="H1797" s="49"/>
    </row>
    <row r="1798" spans="8:8" x14ac:dyDescent="0.2">
      <c r="H1798" s="49"/>
    </row>
    <row r="1799" spans="8:8" x14ac:dyDescent="0.2">
      <c r="H1799" s="49"/>
    </row>
    <row r="1800" spans="8:8" x14ac:dyDescent="0.2">
      <c r="H1800" s="49"/>
    </row>
    <row r="1801" spans="8:8" x14ac:dyDescent="0.2">
      <c r="H1801" s="49"/>
    </row>
    <row r="1802" spans="8:8" x14ac:dyDescent="0.2">
      <c r="H1802" s="49"/>
    </row>
    <row r="1803" spans="8:8" x14ac:dyDescent="0.2">
      <c r="H1803" s="49"/>
    </row>
    <row r="1804" spans="8:8" x14ac:dyDescent="0.2">
      <c r="H1804" s="49"/>
    </row>
    <row r="1805" spans="8:8" x14ac:dyDescent="0.2">
      <c r="H1805" s="49"/>
    </row>
    <row r="1806" spans="8:8" x14ac:dyDescent="0.2">
      <c r="H1806" s="49"/>
    </row>
    <row r="1807" spans="8:8" x14ac:dyDescent="0.2">
      <c r="H1807" s="49"/>
    </row>
    <row r="1808" spans="8:8" x14ac:dyDescent="0.2">
      <c r="H1808" s="49"/>
    </row>
    <row r="1809" spans="8:8" x14ac:dyDescent="0.2">
      <c r="H1809" s="49"/>
    </row>
    <row r="1810" spans="8:8" x14ac:dyDescent="0.2">
      <c r="H1810" s="49"/>
    </row>
    <row r="1811" spans="8:8" x14ac:dyDescent="0.2">
      <c r="H1811" s="49"/>
    </row>
    <row r="1812" spans="8:8" x14ac:dyDescent="0.2">
      <c r="H1812" s="49"/>
    </row>
    <row r="1813" spans="8:8" x14ac:dyDescent="0.2">
      <c r="H1813" s="49"/>
    </row>
    <row r="1814" spans="8:8" x14ac:dyDescent="0.2">
      <c r="H1814" s="49"/>
    </row>
    <row r="1815" spans="8:8" x14ac:dyDescent="0.2">
      <c r="H1815" s="49"/>
    </row>
    <row r="1816" spans="8:8" x14ac:dyDescent="0.2">
      <c r="H1816" s="49"/>
    </row>
    <row r="1817" spans="8:8" x14ac:dyDescent="0.2">
      <c r="H1817" s="49"/>
    </row>
    <row r="1818" spans="8:8" x14ac:dyDescent="0.2">
      <c r="H1818" s="49"/>
    </row>
    <row r="1819" spans="8:8" x14ac:dyDescent="0.2">
      <c r="H1819" s="49"/>
    </row>
    <row r="1820" spans="8:8" x14ac:dyDescent="0.2">
      <c r="H1820" s="49"/>
    </row>
    <row r="1821" spans="8:8" x14ac:dyDescent="0.2">
      <c r="H1821" s="49"/>
    </row>
    <row r="1822" spans="8:8" x14ac:dyDescent="0.2">
      <c r="H1822" s="49"/>
    </row>
    <row r="1823" spans="8:8" x14ac:dyDescent="0.2">
      <c r="H1823" s="49"/>
    </row>
    <row r="1824" spans="8:8" x14ac:dyDescent="0.2">
      <c r="H1824" s="49"/>
    </row>
    <row r="1825" spans="8:8" x14ac:dyDescent="0.2">
      <c r="H1825" s="49"/>
    </row>
    <row r="1826" spans="8:8" x14ac:dyDescent="0.2">
      <c r="H1826" s="49"/>
    </row>
    <row r="1827" spans="8:8" x14ac:dyDescent="0.2">
      <c r="H1827" s="49"/>
    </row>
    <row r="1828" spans="8:8" x14ac:dyDescent="0.2">
      <c r="H1828" s="49"/>
    </row>
    <row r="1829" spans="8:8" x14ac:dyDescent="0.2">
      <c r="H1829" s="49"/>
    </row>
    <row r="1830" spans="8:8" x14ac:dyDescent="0.2">
      <c r="H1830" s="49"/>
    </row>
    <row r="1831" spans="8:8" x14ac:dyDescent="0.2">
      <c r="H1831" s="49"/>
    </row>
    <row r="1832" spans="8:8" x14ac:dyDescent="0.2">
      <c r="H1832" s="49"/>
    </row>
    <row r="1833" spans="8:8" x14ac:dyDescent="0.2">
      <c r="H1833" s="49"/>
    </row>
    <row r="1834" spans="8:8" x14ac:dyDescent="0.2">
      <c r="H1834" s="49"/>
    </row>
    <row r="1835" spans="8:8" x14ac:dyDescent="0.2">
      <c r="H1835" s="49"/>
    </row>
    <row r="1836" spans="8:8" x14ac:dyDescent="0.2">
      <c r="H1836" s="49"/>
    </row>
    <row r="1837" spans="8:8" x14ac:dyDescent="0.2">
      <c r="H1837" s="49"/>
    </row>
    <row r="1838" spans="8:8" x14ac:dyDescent="0.2">
      <c r="H1838" s="49"/>
    </row>
    <row r="1839" spans="8:8" x14ac:dyDescent="0.2">
      <c r="H1839" s="49"/>
    </row>
    <row r="1840" spans="8:8" x14ac:dyDescent="0.2">
      <c r="H1840" s="49"/>
    </row>
    <row r="1841" spans="8:8" x14ac:dyDescent="0.2">
      <c r="H1841" s="49"/>
    </row>
    <row r="1842" spans="8:8" x14ac:dyDescent="0.2">
      <c r="H1842" s="49"/>
    </row>
    <row r="1843" spans="8:8" x14ac:dyDescent="0.2">
      <c r="H1843" s="49"/>
    </row>
    <row r="1844" spans="8:8" x14ac:dyDescent="0.2">
      <c r="H1844" s="49"/>
    </row>
    <row r="1845" spans="8:8" x14ac:dyDescent="0.2">
      <c r="H1845" s="49"/>
    </row>
    <row r="1846" spans="8:8" x14ac:dyDescent="0.2">
      <c r="H1846" s="49"/>
    </row>
    <row r="1847" spans="8:8" x14ac:dyDescent="0.2">
      <c r="H1847" s="49"/>
    </row>
    <row r="1848" spans="8:8" x14ac:dyDescent="0.2">
      <c r="H1848" s="49"/>
    </row>
    <row r="1849" spans="8:8" x14ac:dyDescent="0.2">
      <c r="H1849" s="49"/>
    </row>
    <row r="1850" spans="8:8" x14ac:dyDescent="0.2">
      <c r="H1850" s="49"/>
    </row>
    <row r="1851" spans="8:8" x14ac:dyDescent="0.2">
      <c r="H1851" s="49"/>
    </row>
    <row r="1852" spans="8:8" x14ac:dyDescent="0.2">
      <c r="H1852" s="49"/>
    </row>
    <row r="1853" spans="8:8" x14ac:dyDescent="0.2">
      <c r="H1853" s="49"/>
    </row>
    <row r="1854" spans="8:8" x14ac:dyDescent="0.2">
      <c r="H1854" s="49"/>
    </row>
    <row r="1855" spans="8:8" x14ac:dyDescent="0.2">
      <c r="H1855" s="49"/>
    </row>
    <row r="1856" spans="8:8" x14ac:dyDescent="0.2">
      <c r="H1856" s="49"/>
    </row>
    <row r="1857" spans="8:8" x14ac:dyDescent="0.2">
      <c r="H1857" s="49"/>
    </row>
    <row r="1858" spans="8:8" x14ac:dyDescent="0.2">
      <c r="H1858" s="49"/>
    </row>
    <row r="1859" spans="8:8" x14ac:dyDescent="0.2">
      <c r="H1859" s="49"/>
    </row>
    <row r="1860" spans="8:8" x14ac:dyDescent="0.2">
      <c r="H1860" s="49"/>
    </row>
    <row r="1861" spans="8:8" x14ac:dyDescent="0.2">
      <c r="H1861" s="49"/>
    </row>
    <row r="1862" spans="8:8" x14ac:dyDescent="0.2">
      <c r="H1862" s="49"/>
    </row>
    <row r="1863" spans="8:8" x14ac:dyDescent="0.2">
      <c r="H1863" s="49"/>
    </row>
    <row r="1864" spans="8:8" x14ac:dyDescent="0.2">
      <c r="H1864" s="49"/>
    </row>
    <row r="1865" spans="8:8" x14ac:dyDescent="0.2">
      <c r="H1865" s="49"/>
    </row>
    <row r="1866" spans="8:8" x14ac:dyDescent="0.2">
      <c r="H1866" s="49"/>
    </row>
    <row r="1867" spans="8:8" x14ac:dyDescent="0.2">
      <c r="H1867" s="49"/>
    </row>
    <row r="1868" spans="8:8" x14ac:dyDescent="0.2">
      <c r="H1868" s="49"/>
    </row>
    <row r="1869" spans="8:8" x14ac:dyDescent="0.2">
      <c r="H1869" s="49"/>
    </row>
    <row r="1870" spans="8:8" x14ac:dyDescent="0.2">
      <c r="H1870" s="49"/>
    </row>
    <row r="1871" spans="8:8" x14ac:dyDescent="0.2">
      <c r="H1871" s="49"/>
    </row>
    <row r="1872" spans="8:8" x14ac:dyDescent="0.2">
      <c r="H1872" s="49"/>
    </row>
    <row r="1873" spans="8:8" x14ac:dyDescent="0.2">
      <c r="H1873" s="49"/>
    </row>
    <row r="1874" spans="8:8" x14ac:dyDescent="0.2">
      <c r="H1874" s="49"/>
    </row>
    <row r="1875" spans="8:8" x14ac:dyDescent="0.2">
      <c r="H1875" s="49"/>
    </row>
    <row r="1876" spans="8:8" x14ac:dyDescent="0.2">
      <c r="H1876" s="49"/>
    </row>
    <row r="1877" spans="8:8" x14ac:dyDescent="0.2">
      <c r="H1877" s="49"/>
    </row>
    <row r="1878" spans="8:8" x14ac:dyDescent="0.2">
      <c r="H1878" s="49"/>
    </row>
    <row r="1879" spans="8:8" x14ac:dyDescent="0.2">
      <c r="H1879" s="49"/>
    </row>
    <row r="1880" spans="8:8" x14ac:dyDescent="0.2">
      <c r="H1880" s="49"/>
    </row>
    <row r="1881" spans="8:8" x14ac:dyDescent="0.2">
      <c r="H1881" s="49"/>
    </row>
    <row r="1882" spans="8:8" x14ac:dyDescent="0.2">
      <c r="H1882" s="49"/>
    </row>
    <row r="1883" spans="8:8" x14ac:dyDescent="0.2">
      <c r="H1883" s="49"/>
    </row>
    <row r="1884" spans="8:8" x14ac:dyDescent="0.2">
      <c r="H1884" s="49"/>
    </row>
    <row r="1885" spans="8:8" x14ac:dyDescent="0.2">
      <c r="H1885" s="49"/>
    </row>
    <row r="1886" spans="8:8" x14ac:dyDescent="0.2">
      <c r="H1886" s="49"/>
    </row>
    <row r="1887" spans="8:8" x14ac:dyDescent="0.2">
      <c r="H1887" s="49"/>
    </row>
    <row r="1888" spans="8:8" x14ac:dyDescent="0.2">
      <c r="H1888" s="49"/>
    </row>
    <row r="1889" spans="8:8" x14ac:dyDescent="0.2">
      <c r="H1889" s="49"/>
    </row>
    <row r="1890" spans="8:8" x14ac:dyDescent="0.2">
      <c r="H1890" s="49"/>
    </row>
    <row r="1891" spans="8:8" x14ac:dyDescent="0.2">
      <c r="H1891" s="49"/>
    </row>
    <row r="1892" spans="8:8" x14ac:dyDescent="0.2">
      <c r="H1892" s="49"/>
    </row>
    <row r="1893" spans="8:8" x14ac:dyDescent="0.2">
      <c r="H1893" s="49"/>
    </row>
    <row r="1894" spans="8:8" x14ac:dyDescent="0.2">
      <c r="H1894" s="49"/>
    </row>
    <row r="1895" spans="8:8" x14ac:dyDescent="0.2">
      <c r="H1895" s="49"/>
    </row>
    <row r="1896" spans="8:8" x14ac:dyDescent="0.2">
      <c r="H1896" s="49"/>
    </row>
    <row r="1897" spans="8:8" x14ac:dyDescent="0.2">
      <c r="H1897" s="49"/>
    </row>
    <row r="1898" spans="8:8" x14ac:dyDescent="0.2">
      <c r="H1898" s="49"/>
    </row>
    <row r="1899" spans="8:8" x14ac:dyDescent="0.2">
      <c r="H1899" s="49"/>
    </row>
    <row r="1900" spans="8:8" x14ac:dyDescent="0.2">
      <c r="H1900" s="49"/>
    </row>
    <row r="1901" spans="8:8" x14ac:dyDescent="0.2">
      <c r="H1901" s="49"/>
    </row>
    <row r="1902" spans="8:8" x14ac:dyDescent="0.2">
      <c r="H1902" s="49"/>
    </row>
    <row r="1903" spans="8:8" x14ac:dyDescent="0.2">
      <c r="H1903" s="49"/>
    </row>
    <row r="1904" spans="8:8" x14ac:dyDescent="0.2">
      <c r="H1904" s="49"/>
    </row>
    <row r="1905" spans="8:8" x14ac:dyDescent="0.2">
      <c r="H1905" s="49"/>
    </row>
    <row r="1906" spans="8:8" x14ac:dyDescent="0.2">
      <c r="H1906" s="49"/>
    </row>
    <row r="1907" spans="8:8" x14ac:dyDescent="0.2">
      <c r="H1907" s="49"/>
    </row>
    <row r="1908" spans="8:8" x14ac:dyDescent="0.2">
      <c r="H1908" s="49"/>
    </row>
    <row r="1909" spans="8:8" x14ac:dyDescent="0.2">
      <c r="H1909" s="49"/>
    </row>
    <row r="1910" spans="8:8" x14ac:dyDescent="0.2">
      <c r="H1910" s="49"/>
    </row>
    <row r="1911" spans="8:8" x14ac:dyDescent="0.2">
      <c r="H1911" s="49"/>
    </row>
    <row r="1912" spans="8:8" x14ac:dyDescent="0.2">
      <c r="H1912" s="49"/>
    </row>
    <row r="1913" spans="8:8" x14ac:dyDescent="0.2">
      <c r="H1913" s="49"/>
    </row>
    <row r="1914" spans="8:8" x14ac:dyDescent="0.2">
      <c r="H1914" s="49"/>
    </row>
    <row r="1915" spans="8:8" x14ac:dyDescent="0.2">
      <c r="H1915" s="49"/>
    </row>
    <row r="1916" spans="8:8" x14ac:dyDescent="0.2">
      <c r="H1916" s="49"/>
    </row>
    <row r="1917" spans="8:8" x14ac:dyDescent="0.2">
      <c r="H1917" s="49"/>
    </row>
    <row r="1918" spans="8:8" x14ac:dyDescent="0.2">
      <c r="H1918" s="49"/>
    </row>
    <row r="1919" spans="8:8" x14ac:dyDescent="0.2">
      <c r="H1919" s="49"/>
    </row>
    <row r="1920" spans="8:8" x14ac:dyDescent="0.2">
      <c r="H1920" s="49"/>
    </row>
    <row r="1921" spans="8:8" x14ac:dyDescent="0.2">
      <c r="H1921" s="49"/>
    </row>
    <row r="1922" spans="8:8" x14ac:dyDescent="0.2">
      <c r="H1922" s="49"/>
    </row>
    <row r="1923" spans="8:8" x14ac:dyDescent="0.2">
      <c r="H1923" s="49"/>
    </row>
    <row r="1924" spans="8:8" x14ac:dyDescent="0.2">
      <c r="H1924" s="49"/>
    </row>
    <row r="1925" spans="8:8" x14ac:dyDescent="0.2">
      <c r="H1925" s="49"/>
    </row>
    <row r="1926" spans="8:8" x14ac:dyDescent="0.2">
      <c r="H1926" s="49"/>
    </row>
    <row r="1927" spans="8:8" x14ac:dyDescent="0.2">
      <c r="H1927" s="49"/>
    </row>
    <row r="1928" spans="8:8" x14ac:dyDescent="0.2">
      <c r="H1928" s="49"/>
    </row>
    <row r="1929" spans="8:8" x14ac:dyDescent="0.2">
      <c r="H1929" s="49"/>
    </row>
    <row r="1930" spans="8:8" x14ac:dyDescent="0.2">
      <c r="H1930" s="49"/>
    </row>
    <row r="1931" spans="8:8" x14ac:dyDescent="0.2">
      <c r="H1931" s="49"/>
    </row>
    <row r="1932" spans="8:8" x14ac:dyDescent="0.2">
      <c r="H1932" s="49"/>
    </row>
    <row r="1933" spans="8:8" x14ac:dyDescent="0.2">
      <c r="H1933" s="49"/>
    </row>
    <row r="1934" spans="8:8" x14ac:dyDescent="0.2">
      <c r="H1934" s="49"/>
    </row>
    <row r="1935" spans="8:8" x14ac:dyDescent="0.2">
      <c r="H1935" s="49"/>
    </row>
    <row r="1936" spans="8:8" x14ac:dyDescent="0.2">
      <c r="H1936" s="49"/>
    </row>
    <row r="1937" spans="8:8" x14ac:dyDescent="0.2">
      <c r="H1937" s="49"/>
    </row>
    <row r="1938" spans="8:8" x14ac:dyDescent="0.2">
      <c r="H1938" s="49"/>
    </row>
    <row r="1939" spans="8:8" x14ac:dyDescent="0.2">
      <c r="H1939" s="49"/>
    </row>
    <row r="1940" spans="8:8" x14ac:dyDescent="0.2">
      <c r="H1940" s="49"/>
    </row>
    <row r="1941" spans="8:8" x14ac:dyDescent="0.2">
      <c r="H1941" s="49"/>
    </row>
    <row r="1942" spans="8:8" x14ac:dyDescent="0.2">
      <c r="H1942" s="49"/>
    </row>
    <row r="1943" spans="8:8" x14ac:dyDescent="0.2">
      <c r="H1943" s="49"/>
    </row>
    <row r="1944" spans="8:8" x14ac:dyDescent="0.2">
      <c r="H1944" s="49"/>
    </row>
    <row r="1945" spans="8:8" x14ac:dyDescent="0.2">
      <c r="H1945" s="49"/>
    </row>
    <row r="1946" spans="8:8" x14ac:dyDescent="0.2">
      <c r="H1946" s="49"/>
    </row>
    <row r="1947" spans="8:8" x14ac:dyDescent="0.2">
      <c r="H1947" s="49"/>
    </row>
    <row r="1948" spans="8:8" x14ac:dyDescent="0.2">
      <c r="H1948" s="49"/>
    </row>
    <row r="1949" spans="8:8" x14ac:dyDescent="0.2">
      <c r="H1949" s="49"/>
    </row>
    <row r="1950" spans="8:8" x14ac:dyDescent="0.2">
      <c r="H1950" s="49"/>
    </row>
    <row r="1951" spans="8:8" x14ac:dyDescent="0.2">
      <c r="H1951" s="49"/>
    </row>
    <row r="1952" spans="8:8" x14ac:dyDescent="0.2">
      <c r="H1952" s="49"/>
    </row>
    <row r="1953" spans="8:8" x14ac:dyDescent="0.2">
      <c r="H1953" s="49"/>
    </row>
    <row r="1954" spans="8:8" x14ac:dyDescent="0.2">
      <c r="H1954" s="49"/>
    </row>
    <row r="1955" spans="8:8" x14ac:dyDescent="0.2">
      <c r="H1955" s="49"/>
    </row>
    <row r="1956" spans="8:8" x14ac:dyDescent="0.2">
      <c r="H1956" s="49"/>
    </row>
    <row r="1957" spans="8:8" x14ac:dyDescent="0.2">
      <c r="H1957" s="49"/>
    </row>
    <row r="1958" spans="8:8" x14ac:dyDescent="0.2">
      <c r="H1958" s="49"/>
    </row>
    <row r="1959" spans="8:8" x14ac:dyDescent="0.2">
      <c r="H1959" s="49"/>
    </row>
    <row r="1960" spans="8:8" x14ac:dyDescent="0.2">
      <c r="H1960" s="49"/>
    </row>
    <row r="1961" spans="8:8" x14ac:dyDescent="0.2">
      <c r="H1961" s="49"/>
    </row>
    <row r="1962" spans="8:8" x14ac:dyDescent="0.2">
      <c r="H1962" s="49"/>
    </row>
    <row r="1963" spans="8:8" x14ac:dyDescent="0.2">
      <c r="H1963" s="49"/>
    </row>
    <row r="1964" spans="8:8" x14ac:dyDescent="0.2">
      <c r="H1964" s="49"/>
    </row>
    <row r="1965" spans="8:8" x14ac:dyDescent="0.2">
      <c r="H1965" s="49"/>
    </row>
    <row r="1966" spans="8:8" x14ac:dyDescent="0.2">
      <c r="H1966" s="49"/>
    </row>
    <row r="1967" spans="8:8" x14ac:dyDescent="0.2">
      <c r="H1967" s="49"/>
    </row>
    <row r="1968" spans="8:8" x14ac:dyDescent="0.2">
      <c r="H1968" s="49"/>
    </row>
    <row r="1969" spans="8:8" x14ac:dyDescent="0.2">
      <c r="H1969" s="49"/>
    </row>
    <row r="1970" spans="8:8" x14ac:dyDescent="0.2">
      <c r="H1970" s="49"/>
    </row>
    <row r="1971" spans="8:8" x14ac:dyDescent="0.2">
      <c r="H1971" s="49"/>
    </row>
    <row r="1972" spans="8:8" x14ac:dyDescent="0.2">
      <c r="H1972" s="49"/>
    </row>
    <row r="1973" spans="8:8" x14ac:dyDescent="0.2">
      <c r="H1973" s="49"/>
    </row>
    <row r="1974" spans="8:8" x14ac:dyDescent="0.2">
      <c r="H1974" s="49"/>
    </row>
    <row r="1975" spans="8:8" x14ac:dyDescent="0.2">
      <c r="H1975" s="49"/>
    </row>
    <row r="1976" spans="8:8" x14ac:dyDescent="0.2">
      <c r="H1976" s="49"/>
    </row>
    <row r="1977" spans="8:8" x14ac:dyDescent="0.2">
      <c r="H1977" s="49"/>
    </row>
    <row r="1978" spans="8:8" x14ac:dyDescent="0.2">
      <c r="H1978" s="49"/>
    </row>
    <row r="1979" spans="8:8" x14ac:dyDescent="0.2">
      <c r="H1979" s="49"/>
    </row>
    <row r="1980" spans="8:8" x14ac:dyDescent="0.2">
      <c r="H1980" s="49"/>
    </row>
    <row r="1981" spans="8:8" x14ac:dyDescent="0.2">
      <c r="H1981" s="49"/>
    </row>
    <row r="1982" spans="8:8" x14ac:dyDescent="0.2">
      <c r="H1982" s="49"/>
    </row>
    <row r="1983" spans="8:8" x14ac:dyDescent="0.2">
      <c r="H1983" s="49"/>
    </row>
    <row r="1984" spans="8:8" x14ac:dyDescent="0.2">
      <c r="H1984" s="49"/>
    </row>
    <row r="1985" spans="8:8" x14ac:dyDescent="0.2">
      <c r="H1985" s="49"/>
    </row>
    <row r="1986" spans="8:8" x14ac:dyDescent="0.2">
      <c r="H1986" s="49"/>
    </row>
    <row r="1987" spans="8:8" x14ac:dyDescent="0.2">
      <c r="H1987" s="49"/>
    </row>
    <row r="1988" spans="8:8" x14ac:dyDescent="0.2">
      <c r="H1988" s="49"/>
    </row>
    <row r="1989" spans="8:8" x14ac:dyDescent="0.2">
      <c r="H1989" s="49"/>
    </row>
    <row r="1990" spans="8:8" x14ac:dyDescent="0.2">
      <c r="H1990" s="49"/>
    </row>
    <row r="1991" spans="8:8" x14ac:dyDescent="0.2">
      <c r="H1991" s="49"/>
    </row>
    <row r="1992" spans="8:8" x14ac:dyDescent="0.2">
      <c r="H1992" s="49"/>
    </row>
    <row r="1993" spans="8:8" x14ac:dyDescent="0.2">
      <c r="H1993" s="49"/>
    </row>
    <row r="1994" spans="8:8" x14ac:dyDescent="0.2">
      <c r="H1994" s="49"/>
    </row>
    <row r="1995" spans="8:8" x14ac:dyDescent="0.2">
      <c r="H1995" s="49"/>
    </row>
    <row r="1996" spans="8:8" x14ac:dyDescent="0.2">
      <c r="H1996" s="49"/>
    </row>
    <row r="1997" spans="8:8" x14ac:dyDescent="0.2">
      <c r="H1997" s="49"/>
    </row>
    <row r="1998" spans="8:8" x14ac:dyDescent="0.2">
      <c r="H1998" s="49"/>
    </row>
    <row r="1999" spans="8:8" x14ac:dyDescent="0.2">
      <c r="H1999" s="49"/>
    </row>
    <row r="2000" spans="8:8" x14ac:dyDescent="0.2">
      <c r="H2000" s="49"/>
    </row>
    <row r="2001" spans="8:8" x14ac:dyDescent="0.2">
      <c r="H2001" s="49"/>
    </row>
    <row r="2002" spans="8:8" x14ac:dyDescent="0.2">
      <c r="H2002" s="49"/>
    </row>
    <row r="2003" spans="8:8" x14ac:dyDescent="0.2">
      <c r="H2003" s="49"/>
    </row>
    <row r="2004" spans="8:8" x14ac:dyDescent="0.2">
      <c r="H2004" s="49"/>
    </row>
    <row r="2005" spans="8:8" x14ac:dyDescent="0.2">
      <c r="H2005" s="49"/>
    </row>
    <row r="2006" spans="8:8" x14ac:dyDescent="0.2">
      <c r="H2006" s="49"/>
    </row>
    <row r="2007" spans="8:8" x14ac:dyDescent="0.2">
      <c r="H2007" s="49"/>
    </row>
    <row r="2008" spans="8:8" x14ac:dyDescent="0.2">
      <c r="H2008" s="49"/>
    </row>
    <row r="2009" spans="8:8" x14ac:dyDescent="0.2">
      <c r="H2009" s="49"/>
    </row>
    <row r="2010" spans="8:8" x14ac:dyDescent="0.2">
      <c r="H2010" s="49"/>
    </row>
    <row r="2011" spans="8:8" x14ac:dyDescent="0.2">
      <c r="H2011" s="49"/>
    </row>
    <row r="2012" spans="8:8" x14ac:dyDescent="0.2">
      <c r="H2012" s="49"/>
    </row>
    <row r="2013" spans="8:8" x14ac:dyDescent="0.2">
      <c r="H2013" s="49"/>
    </row>
    <row r="2014" spans="8:8" x14ac:dyDescent="0.2">
      <c r="H2014" s="49"/>
    </row>
    <row r="2015" spans="8:8" x14ac:dyDescent="0.2">
      <c r="H2015" s="49"/>
    </row>
    <row r="2016" spans="8:8" x14ac:dyDescent="0.2">
      <c r="H2016" s="49"/>
    </row>
    <row r="2017" spans="8:8" x14ac:dyDescent="0.2">
      <c r="H2017" s="49"/>
    </row>
    <row r="2018" spans="8:8" x14ac:dyDescent="0.2">
      <c r="H2018" s="49"/>
    </row>
    <row r="2019" spans="8:8" x14ac:dyDescent="0.2">
      <c r="H2019" s="49"/>
    </row>
    <row r="2020" spans="8:8" x14ac:dyDescent="0.2">
      <c r="H2020" s="49"/>
    </row>
    <row r="2021" spans="8:8" x14ac:dyDescent="0.2">
      <c r="H2021" s="49"/>
    </row>
    <row r="2022" spans="8:8" x14ac:dyDescent="0.2">
      <c r="H2022" s="49"/>
    </row>
    <row r="2023" spans="8:8" x14ac:dyDescent="0.2">
      <c r="H2023" s="49"/>
    </row>
    <row r="2024" spans="8:8" x14ac:dyDescent="0.2">
      <c r="H2024" s="49"/>
    </row>
    <row r="2025" spans="8:8" x14ac:dyDescent="0.2">
      <c r="H2025" s="49"/>
    </row>
    <row r="2026" spans="8:8" x14ac:dyDescent="0.2">
      <c r="H2026" s="49"/>
    </row>
    <row r="2027" spans="8:8" x14ac:dyDescent="0.2">
      <c r="H2027" s="49"/>
    </row>
    <row r="2028" spans="8:8" x14ac:dyDescent="0.2">
      <c r="H2028" s="49"/>
    </row>
    <row r="2029" spans="8:8" x14ac:dyDescent="0.2">
      <c r="H2029" s="49"/>
    </row>
    <row r="2030" spans="8:8" x14ac:dyDescent="0.2">
      <c r="H2030" s="49"/>
    </row>
    <row r="2031" spans="8:8" x14ac:dyDescent="0.2">
      <c r="H2031" s="49"/>
    </row>
    <row r="2032" spans="8:8" x14ac:dyDescent="0.2">
      <c r="H2032" s="49"/>
    </row>
    <row r="2033" spans="8:8" x14ac:dyDescent="0.2">
      <c r="H2033" s="49"/>
    </row>
    <row r="2034" spans="8:8" x14ac:dyDescent="0.2">
      <c r="H2034" s="49"/>
    </row>
    <row r="2035" spans="8:8" x14ac:dyDescent="0.2">
      <c r="H2035" s="49"/>
    </row>
    <row r="2036" spans="8:8" x14ac:dyDescent="0.2">
      <c r="H2036" s="49"/>
    </row>
    <row r="2037" spans="8:8" x14ac:dyDescent="0.2">
      <c r="H2037" s="49"/>
    </row>
    <row r="2038" spans="8:8" x14ac:dyDescent="0.2">
      <c r="H2038" s="49"/>
    </row>
    <row r="2039" spans="8:8" x14ac:dyDescent="0.2">
      <c r="H2039" s="49"/>
    </row>
    <row r="2040" spans="8:8" x14ac:dyDescent="0.2">
      <c r="H2040" s="49"/>
    </row>
    <row r="2041" spans="8:8" x14ac:dyDescent="0.2">
      <c r="H2041" s="49"/>
    </row>
    <row r="2042" spans="8:8" x14ac:dyDescent="0.2">
      <c r="H2042" s="49"/>
    </row>
    <row r="2043" spans="8:8" x14ac:dyDescent="0.2">
      <c r="H2043" s="49"/>
    </row>
    <row r="2044" spans="8:8" x14ac:dyDescent="0.2">
      <c r="H2044" s="49"/>
    </row>
    <row r="2045" spans="8:8" x14ac:dyDescent="0.2">
      <c r="H2045" s="49"/>
    </row>
    <row r="2046" spans="8:8" x14ac:dyDescent="0.2">
      <c r="H2046" s="49"/>
    </row>
    <row r="2047" spans="8:8" x14ac:dyDescent="0.2">
      <c r="H2047" s="49"/>
    </row>
    <row r="2048" spans="8:8" x14ac:dyDescent="0.2">
      <c r="H2048" s="49"/>
    </row>
    <row r="2049" spans="8:8" x14ac:dyDescent="0.2">
      <c r="H2049" s="49"/>
    </row>
    <row r="2050" spans="8:8" x14ac:dyDescent="0.2">
      <c r="H2050" s="49"/>
    </row>
    <row r="2051" spans="8:8" x14ac:dyDescent="0.2">
      <c r="H2051" s="49"/>
    </row>
    <row r="2052" spans="8:8" x14ac:dyDescent="0.2">
      <c r="H2052" s="49"/>
    </row>
    <row r="2053" spans="8:8" x14ac:dyDescent="0.2">
      <c r="H2053" s="49"/>
    </row>
    <row r="2054" spans="8:8" x14ac:dyDescent="0.2">
      <c r="H2054" s="49"/>
    </row>
    <row r="2055" spans="8:8" x14ac:dyDescent="0.2">
      <c r="H2055" s="49"/>
    </row>
    <row r="2056" spans="8:8" x14ac:dyDescent="0.2">
      <c r="H2056" s="49"/>
    </row>
    <row r="2057" spans="8:8" x14ac:dyDescent="0.2">
      <c r="H2057" s="49"/>
    </row>
    <row r="2058" spans="8:8" x14ac:dyDescent="0.2">
      <c r="H2058" s="49"/>
    </row>
    <row r="2059" spans="8:8" x14ac:dyDescent="0.2">
      <c r="H2059" s="49"/>
    </row>
    <row r="2060" spans="8:8" x14ac:dyDescent="0.2">
      <c r="H2060" s="49"/>
    </row>
    <row r="2061" spans="8:8" x14ac:dyDescent="0.2">
      <c r="H2061" s="49"/>
    </row>
    <row r="2062" spans="8:8" x14ac:dyDescent="0.2">
      <c r="H2062" s="49"/>
    </row>
    <row r="2063" spans="8:8" x14ac:dyDescent="0.2">
      <c r="H2063" s="49"/>
    </row>
    <row r="2064" spans="8:8" x14ac:dyDescent="0.2">
      <c r="H2064" s="49"/>
    </row>
    <row r="2065" spans="8:8" x14ac:dyDescent="0.2">
      <c r="H2065" s="49"/>
    </row>
    <row r="2066" spans="8:8" x14ac:dyDescent="0.2">
      <c r="H2066" s="49"/>
    </row>
    <row r="2067" spans="8:8" x14ac:dyDescent="0.2">
      <c r="H2067" s="49"/>
    </row>
    <row r="2068" spans="8:8" x14ac:dyDescent="0.2">
      <c r="H2068" s="49"/>
    </row>
    <row r="2069" spans="8:8" x14ac:dyDescent="0.2">
      <c r="H2069" s="49"/>
    </row>
    <row r="2070" spans="8:8" x14ac:dyDescent="0.2">
      <c r="H2070" s="49"/>
    </row>
    <row r="2071" spans="8:8" x14ac:dyDescent="0.2">
      <c r="H2071" s="49"/>
    </row>
    <row r="2072" spans="8:8" x14ac:dyDescent="0.2">
      <c r="H2072" s="49"/>
    </row>
    <row r="2073" spans="8:8" x14ac:dyDescent="0.2">
      <c r="H2073" s="49"/>
    </row>
    <row r="2074" spans="8:8" x14ac:dyDescent="0.2">
      <c r="H2074" s="49"/>
    </row>
    <row r="2075" spans="8:8" x14ac:dyDescent="0.2">
      <c r="H2075" s="49"/>
    </row>
    <row r="2076" spans="8:8" x14ac:dyDescent="0.2">
      <c r="H2076" s="49"/>
    </row>
    <row r="2077" spans="8:8" x14ac:dyDescent="0.2">
      <c r="H2077" s="49"/>
    </row>
    <row r="2078" spans="8:8" x14ac:dyDescent="0.2">
      <c r="H2078" s="49"/>
    </row>
    <row r="2079" spans="8:8" x14ac:dyDescent="0.2">
      <c r="H2079" s="49"/>
    </row>
    <row r="2080" spans="8:8" x14ac:dyDescent="0.2">
      <c r="H2080" s="49"/>
    </row>
    <row r="2081" spans="8:8" x14ac:dyDescent="0.2">
      <c r="H2081" s="49"/>
    </row>
    <row r="2082" spans="8:8" x14ac:dyDescent="0.2">
      <c r="H2082" s="49"/>
    </row>
    <row r="2083" spans="8:8" x14ac:dyDescent="0.2">
      <c r="H2083" s="49"/>
    </row>
    <row r="2084" spans="8:8" x14ac:dyDescent="0.2">
      <c r="H2084" s="49"/>
    </row>
    <row r="2085" spans="8:8" x14ac:dyDescent="0.2">
      <c r="H2085" s="49"/>
    </row>
    <row r="2086" spans="8:8" x14ac:dyDescent="0.2">
      <c r="H2086" s="49"/>
    </row>
    <row r="2087" spans="8:8" x14ac:dyDescent="0.2">
      <c r="H2087" s="49"/>
    </row>
    <row r="2088" spans="8:8" x14ac:dyDescent="0.2">
      <c r="H2088" s="49"/>
    </row>
    <row r="2089" spans="8:8" x14ac:dyDescent="0.2">
      <c r="H2089" s="49"/>
    </row>
    <row r="2090" spans="8:8" x14ac:dyDescent="0.2">
      <c r="H2090" s="49"/>
    </row>
    <row r="2091" spans="8:8" x14ac:dyDescent="0.2">
      <c r="H2091" s="49"/>
    </row>
    <row r="2092" spans="8:8" x14ac:dyDescent="0.2">
      <c r="H2092" s="49"/>
    </row>
    <row r="2093" spans="8:8" x14ac:dyDescent="0.2">
      <c r="H2093" s="49"/>
    </row>
    <row r="2094" spans="8:8" x14ac:dyDescent="0.2">
      <c r="H2094" s="49"/>
    </row>
    <row r="2095" spans="8:8" x14ac:dyDescent="0.2">
      <c r="H2095" s="49"/>
    </row>
    <row r="2096" spans="8:8" x14ac:dyDescent="0.2">
      <c r="H2096" s="49"/>
    </row>
    <row r="2097" spans="8:8" x14ac:dyDescent="0.2">
      <c r="H2097" s="49"/>
    </row>
    <row r="2098" spans="8:8" x14ac:dyDescent="0.2">
      <c r="H2098" s="49"/>
    </row>
    <row r="2099" spans="8:8" x14ac:dyDescent="0.2">
      <c r="H2099" s="49"/>
    </row>
    <row r="2100" spans="8:8" x14ac:dyDescent="0.2">
      <c r="H2100" s="49"/>
    </row>
    <row r="2101" spans="8:8" x14ac:dyDescent="0.2">
      <c r="H2101" s="49"/>
    </row>
    <row r="2102" spans="8:8" x14ac:dyDescent="0.2">
      <c r="H2102" s="49"/>
    </row>
    <row r="2103" spans="8:8" x14ac:dyDescent="0.2">
      <c r="H2103" s="49"/>
    </row>
    <row r="2104" spans="8:8" x14ac:dyDescent="0.2">
      <c r="H2104" s="49"/>
    </row>
    <row r="2105" spans="8:8" x14ac:dyDescent="0.2">
      <c r="H2105" s="49"/>
    </row>
    <row r="2106" spans="8:8" x14ac:dyDescent="0.2">
      <c r="H2106" s="49"/>
    </row>
    <row r="2107" spans="8:8" x14ac:dyDescent="0.2">
      <c r="H2107" s="49"/>
    </row>
    <row r="2108" spans="8:8" x14ac:dyDescent="0.2">
      <c r="H2108" s="49"/>
    </row>
    <row r="2109" spans="8:8" x14ac:dyDescent="0.2">
      <c r="H2109" s="49"/>
    </row>
    <row r="2110" spans="8:8" x14ac:dyDescent="0.2">
      <c r="H2110" s="49"/>
    </row>
    <row r="2111" spans="8:8" x14ac:dyDescent="0.2">
      <c r="H2111" s="49"/>
    </row>
    <row r="2112" spans="8:8" x14ac:dyDescent="0.2">
      <c r="H2112" s="49"/>
    </row>
    <row r="2113" spans="8:8" x14ac:dyDescent="0.2">
      <c r="H2113" s="49"/>
    </row>
    <row r="2114" spans="8:8" x14ac:dyDescent="0.2">
      <c r="H2114" s="49"/>
    </row>
    <row r="2115" spans="8:8" x14ac:dyDescent="0.2">
      <c r="H2115" s="49"/>
    </row>
    <row r="2116" spans="8:8" x14ac:dyDescent="0.2">
      <c r="H2116" s="49"/>
    </row>
    <row r="2117" spans="8:8" x14ac:dyDescent="0.2">
      <c r="H2117" s="49"/>
    </row>
    <row r="2118" spans="8:8" x14ac:dyDescent="0.2">
      <c r="H2118" s="49"/>
    </row>
    <row r="2119" spans="8:8" x14ac:dyDescent="0.2">
      <c r="H2119" s="49"/>
    </row>
    <row r="2120" spans="8:8" x14ac:dyDescent="0.2">
      <c r="H2120" s="49"/>
    </row>
    <row r="2121" spans="8:8" x14ac:dyDescent="0.2">
      <c r="H2121" s="49"/>
    </row>
    <row r="2122" spans="8:8" x14ac:dyDescent="0.2">
      <c r="H2122" s="49"/>
    </row>
    <row r="2123" spans="8:8" x14ac:dyDescent="0.2">
      <c r="H2123" s="49"/>
    </row>
    <row r="2124" spans="8:8" x14ac:dyDescent="0.2">
      <c r="H2124" s="49"/>
    </row>
    <row r="2125" spans="8:8" x14ac:dyDescent="0.2">
      <c r="H2125" s="49"/>
    </row>
    <row r="2126" spans="8:8" x14ac:dyDescent="0.2">
      <c r="H2126" s="49"/>
    </row>
    <row r="2127" spans="8:8" x14ac:dyDescent="0.2">
      <c r="H2127" s="49"/>
    </row>
    <row r="2128" spans="8:8" x14ac:dyDescent="0.2">
      <c r="H2128" s="49"/>
    </row>
    <row r="2129" spans="8:8" x14ac:dyDescent="0.2">
      <c r="H2129" s="49"/>
    </row>
    <row r="2130" spans="8:8" x14ac:dyDescent="0.2">
      <c r="H2130" s="49"/>
    </row>
    <row r="2131" spans="8:8" x14ac:dyDescent="0.2">
      <c r="H2131" s="49"/>
    </row>
    <row r="2132" spans="8:8" x14ac:dyDescent="0.2">
      <c r="H2132" s="49"/>
    </row>
    <row r="2133" spans="8:8" x14ac:dyDescent="0.2">
      <c r="H2133" s="49"/>
    </row>
    <row r="2134" spans="8:8" x14ac:dyDescent="0.2">
      <c r="H2134" s="49"/>
    </row>
    <row r="2135" spans="8:8" x14ac:dyDescent="0.2">
      <c r="H2135" s="49"/>
    </row>
    <row r="2136" spans="8:8" x14ac:dyDescent="0.2">
      <c r="H2136" s="49"/>
    </row>
    <row r="2137" spans="8:8" x14ac:dyDescent="0.2">
      <c r="H2137" s="49"/>
    </row>
    <row r="2138" spans="8:8" x14ac:dyDescent="0.2">
      <c r="H2138" s="49"/>
    </row>
    <row r="2139" spans="8:8" x14ac:dyDescent="0.2">
      <c r="H2139" s="49"/>
    </row>
    <row r="2140" spans="8:8" x14ac:dyDescent="0.2">
      <c r="H2140" s="49"/>
    </row>
    <row r="2141" spans="8:8" x14ac:dyDescent="0.2">
      <c r="H2141" s="49"/>
    </row>
    <row r="2142" spans="8:8" x14ac:dyDescent="0.2">
      <c r="H2142" s="49"/>
    </row>
    <row r="2143" spans="8:8" x14ac:dyDescent="0.2">
      <c r="H2143" s="49"/>
    </row>
    <row r="2144" spans="8:8" x14ac:dyDescent="0.2">
      <c r="H2144" s="49"/>
    </row>
    <row r="2145" spans="8:8" x14ac:dyDescent="0.2">
      <c r="H2145" s="49"/>
    </row>
    <row r="2146" spans="8:8" x14ac:dyDescent="0.2">
      <c r="H2146" s="49"/>
    </row>
    <row r="2147" spans="8:8" x14ac:dyDescent="0.2">
      <c r="H2147" s="49"/>
    </row>
    <row r="2148" spans="8:8" x14ac:dyDescent="0.2">
      <c r="H2148" s="49"/>
    </row>
    <row r="2149" spans="8:8" x14ac:dyDescent="0.2">
      <c r="H2149" s="49"/>
    </row>
    <row r="2150" spans="8:8" x14ac:dyDescent="0.2">
      <c r="H2150" s="49"/>
    </row>
    <row r="2151" spans="8:8" x14ac:dyDescent="0.2">
      <c r="H2151" s="49"/>
    </row>
    <row r="2152" spans="8:8" x14ac:dyDescent="0.2">
      <c r="H2152" s="49"/>
    </row>
    <row r="2153" spans="8:8" x14ac:dyDescent="0.2">
      <c r="H2153" s="49"/>
    </row>
    <row r="2154" spans="8:8" x14ac:dyDescent="0.2">
      <c r="H2154" s="49"/>
    </row>
    <row r="2155" spans="8:8" x14ac:dyDescent="0.2">
      <c r="H2155" s="49"/>
    </row>
    <row r="2156" spans="8:8" x14ac:dyDescent="0.2">
      <c r="H2156" s="49"/>
    </row>
    <row r="2157" spans="8:8" x14ac:dyDescent="0.2">
      <c r="H2157" s="49"/>
    </row>
    <row r="2158" spans="8:8" x14ac:dyDescent="0.2">
      <c r="H2158" s="49"/>
    </row>
    <row r="2159" spans="8:8" x14ac:dyDescent="0.2">
      <c r="H2159" s="49"/>
    </row>
    <row r="2160" spans="8:8" x14ac:dyDescent="0.2">
      <c r="H2160" s="49"/>
    </row>
    <row r="2161" spans="8:8" x14ac:dyDescent="0.2">
      <c r="H2161" s="49"/>
    </row>
    <row r="2162" spans="8:8" x14ac:dyDescent="0.2">
      <c r="H2162" s="49"/>
    </row>
    <row r="2163" spans="8:8" x14ac:dyDescent="0.2">
      <c r="H2163" s="49"/>
    </row>
    <row r="2164" spans="8:8" x14ac:dyDescent="0.2">
      <c r="H2164" s="49"/>
    </row>
    <row r="2165" spans="8:8" x14ac:dyDescent="0.2">
      <c r="H2165" s="49"/>
    </row>
    <row r="2166" spans="8:8" x14ac:dyDescent="0.2">
      <c r="H2166" s="49"/>
    </row>
    <row r="2167" spans="8:8" x14ac:dyDescent="0.2">
      <c r="H2167" s="49"/>
    </row>
    <row r="2168" spans="8:8" x14ac:dyDescent="0.2">
      <c r="H2168" s="49"/>
    </row>
    <row r="2169" spans="8:8" x14ac:dyDescent="0.2">
      <c r="H2169" s="49"/>
    </row>
    <row r="2170" spans="8:8" x14ac:dyDescent="0.2">
      <c r="H2170" s="49"/>
    </row>
    <row r="2171" spans="8:8" x14ac:dyDescent="0.2">
      <c r="H2171" s="49"/>
    </row>
    <row r="2172" spans="8:8" x14ac:dyDescent="0.2">
      <c r="H2172" s="49"/>
    </row>
    <row r="2173" spans="8:8" x14ac:dyDescent="0.2">
      <c r="H2173" s="49"/>
    </row>
    <row r="2174" spans="8:8" x14ac:dyDescent="0.2">
      <c r="H2174" s="49"/>
    </row>
    <row r="2175" spans="8:8" x14ac:dyDescent="0.2">
      <c r="H2175" s="49"/>
    </row>
    <row r="2176" spans="8:8" x14ac:dyDescent="0.2">
      <c r="H2176" s="49"/>
    </row>
    <row r="2177" spans="8:8" x14ac:dyDescent="0.2">
      <c r="H2177" s="49"/>
    </row>
    <row r="2178" spans="8:8" x14ac:dyDescent="0.2">
      <c r="H2178" s="49"/>
    </row>
    <row r="2179" spans="8:8" x14ac:dyDescent="0.2">
      <c r="H2179" s="49"/>
    </row>
    <row r="2180" spans="8:8" x14ac:dyDescent="0.2">
      <c r="H2180" s="49"/>
    </row>
    <row r="2181" spans="8:8" x14ac:dyDescent="0.2">
      <c r="H2181" s="49"/>
    </row>
    <row r="2182" spans="8:8" x14ac:dyDescent="0.2">
      <c r="H2182" s="49"/>
    </row>
    <row r="2183" spans="8:8" x14ac:dyDescent="0.2">
      <c r="H2183" s="49"/>
    </row>
    <row r="2184" spans="8:8" x14ac:dyDescent="0.2">
      <c r="H2184" s="49"/>
    </row>
    <row r="2185" spans="8:8" x14ac:dyDescent="0.2">
      <c r="H2185" s="49"/>
    </row>
    <row r="2186" spans="8:8" x14ac:dyDescent="0.2">
      <c r="H2186" s="49"/>
    </row>
    <row r="2187" spans="8:8" x14ac:dyDescent="0.2">
      <c r="H2187" s="49"/>
    </row>
    <row r="2188" spans="8:8" x14ac:dyDescent="0.2">
      <c r="H2188" s="49"/>
    </row>
    <row r="2189" spans="8:8" x14ac:dyDescent="0.2">
      <c r="H2189" s="49"/>
    </row>
    <row r="2190" spans="8:8" x14ac:dyDescent="0.2">
      <c r="H2190" s="49"/>
    </row>
    <row r="2191" spans="8:8" x14ac:dyDescent="0.2">
      <c r="H2191" s="49"/>
    </row>
    <row r="2192" spans="8:8" x14ac:dyDescent="0.2">
      <c r="H2192" s="49"/>
    </row>
    <row r="2193" spans="8:8" x14ac:dyDescent="0.2">
      <c r="H2193" s="49"/>
    </row>
    <row r="2194" spans="8:8" x14ac:dyDescent="0.2">
      <c r="H2194" s="49"/>
    </row>
    <row r="2195" spans="8:8" x14ac:dyDescent="0.2">
      <c r="H2195" s="49"/>
    </row>
    <row r="2196" spans="8:8" x14ac:dyDescent="0.2">
      <c r="H2196" s="49"/>
    </row>
    <row r="2197" spans="8:8" x14ac:dyDescent="0.2">
      <c r="H2197" s="49"/>
    </row>
    <row r="2198" spans="8:8" x14ac:dyDescent="0.2">
      <c r="H2198" s="49"/>
    </row>
    <row r="2199" spans="8:8" x14ac:dyDescent="0.2">
      <c r="H2199" s="49"/>
    </row>
    <row r="2200" spans="8:8" x14ac:dyDescent="0.2">
      <c r="H2200" s="49"/>
    </row>
    <row r="2201" spans="8:8" x14ac:dyDescent="0.2">
      <c r="H2201" s="49"/>
    </row>
    <row r="2202" spans="8:8" x14ac:dyDescent="0.2">
      <c r="H2202" s="49"/>
    </row>
    <row r="2203" spans="8:8" x14ac:dyDescent="0.2">
      <c r="H2203" s="49"/>
    </row>
    <row r="2204" spans="8:8" x14ac:dyDescent="0.2">
      <c r="H2204" s="49"/>
    </row>
    <row r="2205" spans="8:8" x14ac:dyDescent="0.2">
      <c r="H2205" s="49"/>
    </row>
    <row r="2206" spans="8:8" x14ac:dyDescent="0.2">
      <c r="H2206" s="49"/>
    </row>
    <row r="2207" spans="8:8" x14ac:dyDescent="0.2">
      <c r="H2207" s="49"/>
    </row>
    <row r="2208" spans="8:8" x14ac:dyDescent="0.2">
      <c r="H2208" s="49"/>
    </row>
    <row r="2209" spans="8:8" x14ac:dyDescent="0.2">
      <c r="H2209" s="49"/>
    </row>
    <row r="2210" spans="8:8" x14ac:dyDescent="0.2">
      <c r="H2210" s="49"/>
    </row>
    <row r="2211" spans="8:8" x14ac:dyDescent="0.2">
      <c r="H2211" s="49"/>
    </row>
    <row r="2212" spans="8:8" x14ac:dyDescent="0.2">
      <c r="H2212" s="49"/>
    </row>
    <row r="2213" spans="8:8" x14ac:dyDescent="0.2">
      <c r="H2213" s="49"/>
    </row>
    <row r="2214" spans="8:8" x14ac:dyDescent="0.2">
      <c r="H2214" s="49"/>
    </row>
    <row r="2215" spans="8:8" x14ac:dyDescent="0.2">
      <c r="H2215" s="49"/>
    </row>
    <row r="2216" spans="8:8" x14ac:dyDescent="0.2">
      <c r="H2216" s="49"/>
    </row>
    <row r="2217" spans="8:8" x14ac:dyDescent="0.2">
      <c r="H2217" s="49"/>
    </row>
    <row r="2218" spans="8:8" x14ac:dyDescent="0.2">
      <c r="H2218" s="49"/>
    </row>
    <row r="2219" spans="8:8" x14ac:dyDescent="0.2">
      <c r="H2219" s="49"/>
    </row>
    <row r="2220" spans="8:8" x14ac:dyDescent="0.2">
      <c r="H2220" s="49"/>
    </row>
    <row r="2221" spans="8:8" x14ac:dyDescent="0.2">
      <c r="H2221" s="49"/>
    </row>
    <row r="2222" spans="8:8" x14ac:dyDescent="0.2">
      <c r="H2222" s="49"/>
    </row>
    <row r="2223" spans="8:8" x14ac:dyDescent="0.2">
      <c r="H2223" s="49"/>
    </row>
    <row r="2224" spans="8:8" x14ac:dyDescent="0.2">
      <c r="H2224" s="49"/>
    </row>
    <row r="2225" spans="8:8" x14ac:dyDescent="0.2">
      <c r="H2225" s="49"/>
    </row>
    <row r="2226" spans="8:8" x14ac:dyDescent="0.2">
      <c r="H2226" s="49"/>
    </row>
    <row r="2227" spans="8:8" x14ac:dyDescent="0.2">
      <c r="H2227" s="49"/>
    </row>
    <row r="2228" spans="8:8" x14ac:dyDescent="0.2">
      <c r="H2228" s="49"/>
    </row>
    <row r="2229" spans="8:8" x14ac:dyDescent="0.2">
      <c r="H2229" s="49"/>
    </row>
    <row r="2230" spans="8:8" x14ac:dyDescent="0.2">
      <c r="H2230" s="49"/>
    </row>
    <row r="2231" spans="8:8" x14ac:dyDescent="0.2">
      <c r="H2231" s="49"/>
    </row>
    <row r="2232" spans="8:8" x14ac:dyDescent="0.2">
      <c r="H2232" s="49"/>
    </row>
    <row r="2233" spans="8:8" x14ac:dyDescent="0.2">
      <c r="H2233" s="49"/>
    </row>
    <row r="2234" spans="8:8" x14ac:dyDescent="0.2">
      <c r="H2234" s="49"/>
    </row>
    <row r="2235" spans="8:8" x14ac:dyDescent="0.2">
      <c r="H2235" s="49"/>
    </row>
    <row r="2236" spans="8:8" x14ac:dyDescent="0.2">
      <c r="H2236" s="49"/>
    </row>
    <row r="2237" spans="8:8" x14ac:dyDescent="0.2">
      <c r="H2237" s="49"/>
    </row>
    <row r="2238" spans="8:8" x14ac:dyDescent="0.2">
      <c r="H2238" s="49"/>
    </row>
    <row r="2239" spans="8:8" x14ac:dyDescent="0.2">
      <c r="H2239" s="49"/>
    </row>
    <row r="2240" spans="8:8" x14ac:dyDescent="0.2">
      <c r="H2240" s="49"/>
    </row>
    <row r="2241" spans="8:113" x14ac:dyDescent="0.2">
      <c r="H2241" s="49"/>
    </row>
    <row r="2242" spans="8:113" x14ac:dyDescent="0.2">
      <c r="H2242" s="49"/>
    </row>
    <row r="2243" spans="8:113" x14ac:dyDescent="0.2">
      <c r="H2243" s="49"/>
    </row>
    <row r="2244" spans="8:113" x14ac:dyDescent="0.2">
      <c r="H2244" s="49"/>
    </row>
    <row r="2245" spans="8:113" x14ac:dyDescent="0.2">
      <c r="H2245" s="49"/>
    </row>
    <row r="2246" spans="8:113" x14ac:dyDescent="0.2">
      <c r="H2246" s="49"/>
    </row>
    <row r="2247" spans="8:113" x14ac:dyDescent="0.2">
      <c r="H2247" s="49"/>
    </row>
    <row r="2248" spans="8:113" x14ac:dyDescent="0.2">
      <c r="H2248" s="49"/>
    </row>
    <row r="2249" spans="8:113" x14ac:dyDescent="0.2">
      <c r="H2249" s="49"/>
    </row>
    <row r="2250" spans="8:113" x14ac:dyDescent="0.2">
      <c r="H2250" s="49"/>
      <c r="DI2250" s="37"/>
    </row>
    <row r="2251" spans="8:113" x14ac:dyDescent="0.2">
      <c r="H2251" s="49"/>
    </row>
    <row r="2252" spans="8:113" x14ac:dyDescent="0.2">
      <c r="H2252" s="49"/>
    </row>
    <row r="2253" spans="8:113" x14ac:dyDescent="0.2">
      <c r="H2253" s="49"/>
    </row>
    <row r="2254" spans="8:113" x14ac:dyDescent="0.2">
      <c r="H2254" s="49"/>
    </row>
    <row r="2255" spans="8:113" x14ac:dyDescent="0.2">
      <c r="H2255" s="49"/>
    </row>
    <row r="2256" spans="8:113" x14ac:dyDescent="0.2">
      <c r="H2256" s="49"/>
    </row>
    <row r="2257" spans="8:118" x14ac:dyDescent="0.2">
      <c r="H2257" s="49"/>
    </row>
    <row r="2258" spans="8:118" x14ac:dyDescent="0.2">
      <c r="H2258" s="49"/>
    </row>
    <row r="2259" spans="8:118" x14ac:dyDescent="0.2">
      <c r="H2259" s="49"/>
    </row>
    <row r="2260" spans="8:118" x14ac:dyDescent="0.2">
      <c r="H2260" s="49"/>
    </row>
    <row r="2261" spans="8:118" x14ac:dyDescent="0.2">
      <c r="H2261" s="49"/>
    </row>
    <row r="2262" spans="8:118" x14ac:dyDescent="0.2">
      <c r="H2262" s="49"/>
    </row>
    <row r="2263" spans="8:118" x14ac:dyDescent="0.2">
      <c r="H2263" s="49"/>
    </row>
    <row r="2264" spans="8:118" x14ac:dyDescent="0.2">
      <c r="H2264" s="49"/>
    </row>
    <row r="2265" spans="8:118" x14ac:dyDescent="0.2">
      <c r="H2265" s="49"/>
    </row>
    <row r="2266" spans="8:118" x14ac:dyDescent="0.2">
      <c r="H2266" s="49"/>
    </row>
    <row r="2267" spans="8:118" x14ac:dyDescent="0.2">
      <c r="H2267" s="49"/>
    </row>
    <row r="2268" spans="8:118" x14ac:dyDescent="0.2">
      <c r="H2268" s="49"/>
    </row>
    <row r="2269" spans="8:118" x14ac:dyDescent="0.2">
      <c r="H2269" s="49"/>
    </row>
    <row r="2270" spans="8:118" x14ac:dyDescent="0.2">
      <c r="H2270" s="49"/>
    </row>
    <row r="2271" spans="8:118" x14ac:dyDescent="0.2">
      <c r="H2271" s="49"/>
    </row>
    <row r="2272" spans="8:118" x14ac:dyDescent="0.2">
      <c r="H2272" s="49"/>
      <c r="DN2272" s="37"/>
    </row>
    <row r="2273" spans="8:8" x14ac:dyDescent="0.2">
      <c r="H2273" s="49"/>
    </row>
    <row r="2274" spans="8:8" x14ac:dyDescent="0.2">
      <c r="H2274" s="49"/>
    </row>
    <row r="2275" spans="8:8" x14ac:dyDescent="0.2">
      <c r="H2275" s="49"/>
    </row>
    <row r="2276" spans="8:8" x14ac:dyDescent="0.2">
      <c r="H2276" s="49"/>
    </row>
    <row r="2277" spans="8:8" x14ac:dyDescent="0.2">
      <c r="H2277" s="49"/>
    </row>
    <row r="2278" spans="8:8" x14ac:dyDescent="0.2">
      <c r="H2278" s="49"/>
    </row>
    <row r="2279" spans="8:8" x14ac:dyDescent="0.2">
      <c r="H2279" s="49"/>
    </row>
    <row r="2280" spans="8:8" x14ac:dyDescent="0.2">
      <c r="H2280" s="49"/>
    </row>
    <row r="2281" spans="8:8" x14ac:dyDescent="0.2">
      <c r="H2281" s="49"/>
    </row>
    <row r="2282" spans="8:8" x14ac:dyDescent="0.2">
      <c r="H2282" s="49"/>
    </row>
    <row r="2283" spans="8:8" x14ac:dyDescent="0.2">
      <c r="H2283" s="49"/>
    </row>
    <row r="2284" spans="8:8" x14ac:dyDescent="0.2">
      <c r="H2284" s="49"/>
    </row>
    <row r="2285" spans="8:8" x14ac:dyDescent="0.2">
      <c r="H2285" s="49"/>
    </row>
    <row r="2286" spans="8:8" x14ac:dyDescent="0.2">
      <c r="H2286" s="49"/>
    </row>
    <row r="2287" spans="8:8" x14ac:dyDescent="0.2">
      <c r="H2287" s="49"/>
    </row>
    <row r="2288" spans="8:8" x14ac:dyDescent="0.2">
      <c r="H2288" s="49"/>
    </row>
    <row r="2289" spans="8:8" x14ac:dyDescent="0.2">
      <c r="H2289" s="49"/>
    </row>
    <row r="2290" spans="8:8" x14ac:dyDescent="0.2">
      <c r="H2290" s="49"/>
    </row>
    <row r="2291" spans="8:8" x14ac:dyDescent="0.2">
      <c r="H2291" s="49"/>
    </row>
    <row r="2292" spans="8:8" x14ac:dyDescent="0.2">
      <c r="H2292" s="49"/>
    </row>
    <row r="2293" spans="8:8" x14ac:dyDescent="0.2">
      <c r="H2293" s="49"/>
    </row>
    <row r="2294" spans="8:8" x14ac:dyDescent="0.2">
      <c r="H2294" s="49"/>
    </row>
    <row r="2295" spans="8:8" x14ac:dyDescent="0.2">
      <c r="H2295" s="49"/>
    </row>
    <row r="2296" spans="8:8" x14ac:dyDescent="0.2">
      <c r="H2296" s="49"/>
    </row>
    <row r="2297" spans="8:8" x14ac:dyDescent="0.2">
      <c r="H2297" s="49"/>
    </row>
    <row r="2298" spans="8:8" x14ac:dyDescent="0.2">
      <c r="H2298" s="49"/>
    </row>
    <row r="2299" spans="8:8" x14ac:dyDescent="0.2">
      <c r="H2299" s="49"/>
    </row>
    <row r="2300" spans="8:8" x14ac:dyDescent="0.2">
      <c r="H2300" s="49"/>
    </row>
    <row r="2301" spans="8:8" x14ac:dyDescent="0.2">
      <c r="H2301" s="49"/>
    </row>
    <row r="2302" spans="8:8" x14ac:dyDescent="0.2">
      <c r="H2302" s="49"/>
    </row>
    <row r="2303" spans="8:8" x14ac:dyDescent="0.2">
      <c r="H2303" s="49"/>
    </row>
    <row r="2304" spans="8:8" x14ac:dyDescent="0.2">
      <c r="H2304" s="49"/>
    </row>
    <row r="2305" spans="8:8" x14ac:dyDescent="0.2">
      <c r="H2305" s="49"/>
    </row>
    <row r="2306" spans="8:8" x14ac:dyDescent="0.2">
      <c r="H2306" s="49"/>
    </row>
    <row r="2307" spans="8:8" x14ac:dyDescent="0.2">
      <c r="H2307" s="49"/>
    </row>
    <row r="2308" spans="8:8" x14ac:dyDescent="0.2">
      <c r="H2308" s="49"/>
    </row>
    <row r="2309" spans="8:8" x14ac:dyDescent="0.2">
      <c r="H2309" s="49"/>
    </row>
    <row r="2310" spans="8:8" x14ac:dyDescent="0.2">
      <c r="H2310" s="49"/>
    </row>
    <row r="2311" spans="8:8" x14ac:dyDescent="0.2">
      <c r="H2311" s="49"/>
    </row>
    <row r="2312" spans="8:8" x14ac:dyDescent="0.2">
      <c r="H2312" s="49"/>
    </row>
    <row r="2313" spans="8:8" x14ac:dyDescent="0.2">
      <c r="H2313" s="49"/>
    </row>
    <row r="2314" spans="8:8" x14ac:dyDescent="0.2">
      <c r="H2314" s="49"/>
    </row>
    <row r="2315" spans="8:8" x14ac:dyDescent="0.2">
      <c r="H2315" s="49"/>
    </row>
    <row r="2316" spans="8:8" x14ac:dyDescent="0.2">
      <c r="H2316" s="49"/>
    </row>
    <row r="2317" spans="8:8" x14ac:dyDescent="0.2">
      <c r="H2317" s="49"/>
    </row>
    <row r="2318" spans="8:8" x14ac:dyDescent="0.2">
      <c r="H2318" s="49"/>
    </row>
    <row r="2319" spans="8:8" x14ac:dyDescent="0.2">
      <c r="H2319" s="49"/>
    </row>
    <row r="2320" spans="8:8" x14ac:dyDescent="0.2">
      <c r="H2320" s="49"/>
    </row>
    <row r="2321" spans="8:8" x14ac:dyDescent="0.2">
      <c r="H2321" s="49"/>
    </row>
    <row r="2322" spans="8:8" x14ac:dyDescent="0.2">
      <c r="H2322" s="49"/>
    </row>
    <row r="2323" spans="8:8" x14ac:dyDescent="0.2">
      <c r="H2323" s="49"/>
    </row>
    <row r="2324" spans="8:8" x14ac:dyDescent="0.2">
      <c r="H2324" s="49"/>
    </row>
    <row r="2325" spans="8:8" x14ac:dyDescent="0.2">
      <c r="H2325" s="49"/>
    </row>
    <row r="2326" spans="8:8" x14ac:dyDescent="0.2">
      <c r="H2326" s="49"/>
    </row>
    <row r="2327" spans="8:8" x14ac:dyDescent="0.2">
      <c r="H2327" s="49"/>
    </row>
    <row r="2328" spans="8:8" x14ac:dyDescent="0.2">
      <c r="H2328" s="49"/>
    </row>
    <row r="2329" spans="8:8" x14ac:dyDescent="0.2">
      <c r="H2329" s="49"/>
    </row>
    <row r="2330" spans="8:8" x14ac:dyDescent="0.2">
      <c r="H2330" s="49"/>
    </row>
    <row r="2331" spans="8:8" x14ac:dyDescent="0.2">
      <c r="H2331" s="49"/>
    </row>
    <row r="2332" spans="8:8" x14ac:dyDescent="0.2">
      <c r="H2332" s="49"/>
    </row>
    <row r="2333" spans="8:8" x14ac:dyDescent="0.2">
      <c r="H2333" s="49"/>
    </row>
    <row r="2334" spans="8:8" x14ac:dyDescent="0.2">
      <c r="H2334" s="49"/>
    </row>
    <row r="2335" spans="8:8" x14ac:dyDescent="0.2">
      <c r="H2335" s="49"/>
    </row>
    <row r="2336" spans="8:8" x14ac:dyDescent="0.2">
      <c r="H2336" s="49"/>
    </row>
    <row r="2337" spans="8:8" x14ac:dyDescent="0.2">
      <c r="H2337" s="49"/>
    </row>
    <row r="2338" spans="8:8" x14ac:dyDescent="0.2">
      <c r="H2338" s="49"/>
    </row>
    <row r="2339" spans="8:8" x14ac:dyDescent="0.2">
      <c r="H2339" s="49"/>
    </row>
    <row r="2340" spans="8:8" x14ac:dyDescent="0.2">
      <c r="H2340" s="49"/>
    </row>
    <row r="2341" spans="8:8" x14ac:dyDescent="0.2">
      <c r="H2341" s="49"/>
    </row>
    <row r="2342" spans="8:8" x14ac:dyDescent="0.2">
      <c r="H2342" s="49"/>
    </row>
    <row r="2343" spans="8:8" x14ac:dyDescent="0.2">
      <c r="H2343" s="49"/>
    </row>
    <row r="2344" spans="8:8" x14ac:dyDescent="0.2">
      <c r="H2344" s="49"/>
    </row>
    <row r="2345" spans="8:8" x14ac:dyDescent="0.2">
      <c r="H2345" s="49"/>
    </row>
    <row r="2346" spans="8:8" x14ac:dyDescent="0.2">
      <c r="H2346" s="49"/>
    </row>
    <row r="2347" spans="8:8" x14ac:dyDescent="0.2">
      <c r="H2347" s="49"/>
    </row>
    <row r="2348" spans="8:8" x14ac:dyDescent="0.2">
      <c r="H2348" s="49"/>
    </row>
    <row r="2349" spans="8:8" x14ac:dyDescent="0.2">
      <c r="H2349" s="49"/>
    </row>
    <row r="2350" spans="8:8" x14ac:dyDescent="0.2">
      <c r="H2350" s="49"/>
    </row>
    <row r="2351" spans="8:8" x14ac:dyDescent="0.2">
      <c r="H2351" s="49"/>
    </row>
    <row r="2352" spans="8:8" x14ac:dyDescent="0.2">
      <c r="H2352" s="49"/>
    </row>
    <row r="2353" spans="8:8" x14ac:dyDescent="0.2">
      <c r="H2353" s="49"/>
    </row>
    <row r="2354" spans="8:8" x14ac:dyDescent="0.2">
      <c r="H2354" s="49"/>
    </row>
    <row r="2355" spans="8:8" x14ac:dyDescent="0.2">
      <c r="H2355" s="49"/>
    </row>
    <row r="2356" spans="8:8" x14ac:dyDescent="0.2">
      <c r="H2356" s="49"/>
    </row>
    <row r="2357" spans="8:8" x14ac:dyDescent="0.2">
      <c r="H2357" s="49"/>
    </row>
    <row r="2358" spans="8:8" x14ac:dyDescent="0.2">
      <c r="H2358" s="49"/>
    </row>
    <row r="2359" spans="8:8" x14ac:dyDescent="0.2">
      <c r="H2359" s="49"/>
    </row>
    <row r="2360" spans="8:8" x14ac:dyDescent="0.2">
      <c r="H2360" s="49"/>
    </row>
    <row r="2361" spans="8:8" x14ac:dyDescent="0.2">
      <c r="H2361" s="49"/>
    </row>
    <row r="2362" spans="8:8" x14ac:dyDescent="0.2">
      <c r="H2362" s="49"/>
    </row>
    <row r="2363" spans="8:8" x14ac:dyDescent="0.2">
      <c r="H2363" s="49"/>
    </row>
    <row r="2364" spans="8:8" x14ac:dyDescent="0.2">
      <c r="H2364" s="49"/>
    </row>
    <row r="2365" spans="8:8" x14ac:dyDescent="0.2">
      <c r="H2365" s="49"/>
    </row>
    <row r="2366" spans="8:8" x14ac:dyDescent="0.2">
      <c r="H2366" s="49"/>
    </row>
    <row r="2367" spans="8:8" x14ac:dyDescent="0.2">
      <c r="H2367" s="49"/>
    </row>
    <row r="2368" spans="8:8" x14ac:dyDescent="0.2">
      <c r="H2368" s="49"/>
    </row>
    <row r="2369" spans="8:8" x14ac:dyDescent="0.2">
      <c r="H2369" s="49"/>
    </row>
    <row r="2370" spans="8:8" x14ac:dyDescent="0.2">
      <c r="H2370" s="49"/>
    </row>
    <row r="2371" spans="8:8" x14ac:dyDescent="0.2">
      <c r="H2371" s="49"/>
    </row>
    <row r="2372" spans="8:8" x14ac:dyDescent="0.2">
      <c r="H2372" s="49"/>
    </row>
    <row r="2373" spans="8:8" x14ac:dyDescent="0.2">
      <c r="H2373" s="49"/>
    </row>
    <row r="2374" spans="8:8" x14ac:dyDescent="0.2">
      <c r="H2374" s="49"/>
    </row>
    <row r="2375" spans="8:8" x14ac:dyDescent="0.2">
      <c r="H2375" s="49"/>
    </row>
    <row r="2376" spans="8:8" x14ac:dyDescent="0.2">
      <c r="H2376" s="49"/>
    </row>
    <row r="2377" spans="8:8" x14ac:dyDescent="0.2">
      <c r="H2377" s="49"/>
    </row>
    <row r="2378" spans="8:8" x14ac:dyDescent="0.2">
      <c r="H2378" s="49"/>
    </row>
    <row r="2379" spans="8:8" x14ac:dyDescent="0.2">
      <c r="H2379" s="49"/>
    </row>
    <row r="2380" spans="8:8" x14ac:dyDescent="0.2">
      <c r="H2380" s="49"/>
    </row>
    <row r="2381" spans="8:8" x14ac:dyDescent="0.2">
      <c r="H2381" s="49"/>
    </row>
    <row r="2382" spans="8:8" x14ac:dyDescent="0.2">
      <c r="H2382" s="49"/>
    </row>
    <row r="2383" spans="8:8" x14ac:dyDescent="0.2">
      <c r="H2383" s="49"/>
    </row>
    <row r="2384" spans="8:8" x14ac:dyDescent="0.2">
      <c r="H2384" s="49"/>
    </row>
    <row r="2385" spans="8:8" x14ac:dyDescent="0.2">
      <c r="H2385" s="49"/>
    </row>
    <row r="2386" spans="8:8" x14ac:dyDescent="0.2">
      <c r="H2386" s="49"/>
    </row>
    <row r="2387" spans="8:8" x14ac:dyDescent="0.2">
      <c r="H2387" s="49"/>
    </row>
    <row r="2388" spans="8:8" x14ac:dyDescent="0.2">
      <c r="H2388" s="49"/>
    </row>
    <row r="2389" spans="8:8" x14ac:dyDescent="0.2">
      <c r="H2389" s="49"/>
    </row>
    <row r="2390" spans="8:8" x14ac:dyDescent="0.2">
      <c r="H2390" s="49"/>
    </row>
    <row r="2391" spans="8:8" x14ac:dyDescent="0.2">
      <c r="H2391" s="49"/>
    </row>
    <row r="2392" spans="8:8" x14ac:dyDescent="0.2">
      <c r="H2392" s="49"/>
    </row>
    <row r="2393" spans="8:8" x14ac:dyDescent="0.2">
      <c r="H2393" s="49"/>
    </row>
    <row r="2394" spans="8:8" x14ac:dyDescent="0.2">
      <c r="H2394" s="49"/>
    </row>
    <row r="2395" spans="8:8" x14ac:dyDescent="0.2">
      <c r="H2395" s="49"/>
    </row>
    <row r="2396" spans="8:8" x14ac:dyDescent="0.2">
      <c r="H2396" s="49"/>
    </row>
    <row r="2397" spans="8:8" x14ac:dyDescent="0.2">
      <c r="H2397" s="49"/>
    </row>
    <row r="2398" spans="8:8" x14ac:dyDescent="0.2">
      <c r="H2398" s="49"/>
    </row>
    <row r="2399" spans="8:8" x14ac:dyDescent="0.2">
      <c r="H2399" s="49"/>
    </row>
    <row r="2400" spans="8:8" x14ac:dyDescent="0.2">
      <c r="H2400" s="49"/>
    </row>
    <row r="2401" spans="8:8" x14ac:dyDescent="0.2">
      <c r="H2401" s="49"/>
    </row>
    <row r="2402" spans="8:8" x14ac:dyDescent="0.2">
      <c r="H2402" s="49"/>
    </row>
    <row r="2403" spans="8:8" x14ac:dyDescent="0.2">
      <c r="H2403" s="49"/>
    </row>
    <row r="2404" spans="8:8" x14ac:dyDescent="0.2">
      <c r="H2404" s="49"/>
    </row>
    <row r="2405" spans="8:8" x14ac:dyDescent="0.2">
      <c r="H2405" s="49"/>
    </row>
    <row r="2406" spans="8:8" x14ac:dyDescent="0.2">
      <c r="H2406" s="49"/>
    </row>
    <row r="2407" spans="8:8" x14ac:dyDescent="0.2">
      <c r="H2407" s="49"/>
    </row>
    <row r="2408" spans="8:8" x14ac:dyDescent="0.2">
      <c r="H2408" s="49"/>
    </row>
    <row r="2409" spans="8:8" x14ac:dyDescent="0.2">
      <c r="H2409" s="49"/>
    </row>
    <row r="2410" spans="8:8" x14ac:dyDescent="0.2">
      <c r="H2410" s="49"/>
    </row>
    <row r="2411" spans="8:8" x14ac:dyDescent="0.2">
      <c r="H2411" s="49"/>
    </row>
    <row r="2412" spans="8:8" x14ac:dyDescent="0.2">
      <c r="H2412" s="49"/>
    </row>
    <row r="2413" spans="8:8" x14ac:dyDescent="0.2">
      <c r="H2413" s="49"/>
    </row>
    <row r="2414" spans="8:8" x14ac:dyDescent="0.2">
      <c r="H2414" s="49"/>
    </row>
    <row r="2415" spans="8:8" x14ac:dyDescent="0.2">
      <c r="H2415" s="49"/>
    </row>
    <row r="2416" spans="8:8" x14ac:dyDescent="0.2">
      <c r="H2416" s="49"/>
    </row>
    <row r="2417" spans="8:8" x14ac:dyDescent="0.2">
      <c r="H2417" s="49"/>
    </row>
    <row r="2418" spans="8:8" x14ac:dyDescent="0.2">
      <c r="H2418" s="49"/>
    </row>
    <row r="2419" spans="8:8" x14ac:dyDescent="0.2">
      <c r="H2419" s="49"/>
    </row>
    <row r="2420" spans="8:8" x14ac:dyDescent="0.2">
      <c r="H2420" s="49"/>
    </row>
    <row r="2421" spans="8:8" x14ac:dyDescent="0.2">
      <c r="H2421" s="49"/>
    </row>
    <row r="2422" spans="8:8" x14ac:dyDescent="0.2">
      <c r="H2422" s="49"/>
    </row>
    <row r="2423" spans="8:8" x14ac:dyDescent="0.2">
      <c r="H2423" s="49"/>
    </row>
    <row r="2424" spans="8:8" x14ac:dyDescent="0.2">
      <c r="H2424" s="49"/>
    </row>
    <row r="2425" spans="8:8" x14ac:dyDescent="0.2">
      <c r="H2425" s="49"/>
    </row>
    <row r="2426" spans="8:8" x14ac:dyDescent="0.2">
      <c r="H2426" s="49"/>
    </row>
    <row r="2427" spans="8:8" x14ac:dyDescent="0.2">
      <c r="H2427" s="49"/>
    </row>
    <row r="2428" spans="8:8" x14ac:dyDescent="0.2">
      <c r="H2428" s="49"/>
    </row>
    <row r="2429" spans="8:8" x14ac:dyDescent="0.2">
      <c r="H2429" s="49"/>
    </row>
    <row r="2430" spans="8:8" x14ac:dyDescent="0.2">
      <c r="H2430" s="49"/>
    </row>
    <row r="2431" spans="8:8" x14ac:dyDescent="0.2">
      <c r="H2431" s="49"/>
    </row>
    <row r="2432" spans="8:8" x14ac:dyDescent="0.2">
      <c r="H2432" s="49"/>
    </row>
    <row r="2433" spans="8:8" x14ac:dyDescent="0.2">
      <c r="H2433" s="49"/>
    </row>
    <row r="2434" spans="8:8" x14ac:dyDescent="0.2">
      <c r="H2434" s="49"/>
    </row>
    <row r="2435" spans="8:8" x14ac:dyDescent="0.2">
      <c r="H2435" s="49"/>
    </row>
    <row r="2436" spans="8:8" x14ac:dyDescent="0.2">
      <c r="H2436" s="49"/>
    </row>
    <row r="2437" spans="8:8" x14ac:dyDescent="0.2">
      <c r="H2437" s="49"/>
    </row>
    <row r="2438" spans="8:8" x14ac:dyDescent="0.2">
      <c r="H2438" s="49"/>
    </row>
    <row r="2439" spans="8:8" x14ac:dyDescent="0.2">
      <c r="H2439" s="49"/>
    </row>
    <row r="2440" spans="8:8" x14ac:dyDescent="0.2">
      <c r="H2440" s="49"/>
    </row>
    <row r="2441" spans="8:8" x14ac:dyDescent="0.2">
      <c r="H2441" s="49"/>
    </row>
    <row r="2442" spans="8:8" x14ac:dyDescent="0.2">
      <c r="H2442" s="49"/>
    </row>
    <row r="2443" spans="8:8" x14ac:dyDescent="0.2">
      <c r="H2443" s="49"/>
    </row>
    <row r="2444" spans="8:8" x14ac:dyDescent="0.2">
      <c r="H2444" s="49"/>
    </row>
    <row r="2445" spans="8:8" x14ac:dyDescent="0.2">
      <c r="H2445" s="49"/>
    </row>
    <row r="2446" spans="8:8" x14ac:dyDescent="0.2">
      <c r="H2446" s="49"/>
    </row>
    <row r="2447" spans="8:8" x14ac:dyDescent="0.2">
      <c r="H2447" s="49"/>
    </row>
    <row r="2448" spans="8:8" x14ac:dyDescent="0.2">
      <c r="H2448" s="49"/>
    </row>
    <row r="2449" spans="8:8" x14ac:dyDescent="0.2">
      <c r="H2449" s="49"/>
    </row>
    <row r="2450" spans="8:8" x14ac:dyDescent="0.2">
      <c r="H2450" s="49"/>
    </row>
    <row r="2451" spans="8:8" x14ac:dyDescent="0.2">
      <c r="H2451" s="49"/>
    </row>
    <row r="2452" spans="8:8" x14ac:dyDescent="0.2">
      <c r="H2452" s="49"/>
    </row>
    <row r="2453" spans="8:8" x14ac:dyDescent="0.2">
      <c r="H2453" s="49"/>
    </row>
    <row r="2454" spans="8:8" x14ac:dyDescent="0.2">
      <c r="H2454" s="49"/>
    </row>
    <row r="2455" spans="8:8" x14ac:dyDescent="0.2">
      <c r="H2455" s="49"/>
    </row>
    <row r="2456" spans="8:8" x14ac:dyDescent="0.2">
      <c r="H2456" s="49"/>
    </row>
    <row r="2457" spans="8:8" x14ac:dyDescent="0.2">
      <c r="H2457" s="49"/>
    </row>
    <row r="2458" spans="8:8" x14ac:dyDescent="0.2">
      <c r="H2458" s="49"/>
    </row>
    <row r="2459" spans="8:8" x14ac:dyDescent="0.2">
      <c r="H2459" s="49"/>
    </row>
    <row r="2460" spans="8:8" x14ac:dyDescent="0.2">
      <c r="H2460" s="49"/>
    </row>
    <row r="2461" spans="8:8" x14ac:dyDescent="0.2">
      <c r="H2461" s="49"/>
    </row>
    <row r="2462" spans="8:8" x14ac:dyDescent="0.2">
      <c r="H2462" s="49"/>
    </row>
    <row r="2463" spans="8:8" x14ac:dyDescent="0.2">
      <c r="H2463" s="49"/>
    </row>
    <row r="2464" spans="8:8" x14ac:dyDescent="0.2">
      <c r="H2464" s="49"/>
    </row>
    <row r="2465" spans="8:8" x14ac:dyDescent="0.2">
      <c r="H2465" s="49"/>
    </row>
    <row r="2466" spans="8:8" x14ac:dyDescent="0.2">
      <c r="H2466" s="49"/>
    </row>
    <row r="2467" spans="8:8" x14ac:dyDescent="0.2">
      <c r="H2467" s="49"/>
    </row>
    <row r="2468" spans="8:8" x14ac:dyDescent="0.2">
      <c r="H2468" s="49"/>
    </row>
    <row r="2469" spans="8:8" x14ac:dyDescent="0.2">
      <c r="H2469" s="49"/>
    </row>
    <row r="2470" spans="8:8" x14ac:dyDescent="0.2">
      <c r="H2470" s="49"/>
    </row>
    <row r="2471" spans="8:8" x14ac:dyDescent="0.2">
      <c r="H2471" s="49"/>
    </row>
    <row r="2472" spans="8:8" x14ac:dyDescent="0.2">
      <c r="H2472" s="49"/>
    </row>
    <row r="2473" spans="8:8" x14ac:dyDescent="0.2">
      <c r="H2473" s="49"/>
    </row>
    <row r="2474" spans="8:8" x14ac:dyDescent="0.2">
      <c r="H2474" s="49"/>
    </row>
    <row r="2475" spans="8:8" x14ac:dyDescent="0.2">
      <c r="H2475" s="49"/>
    </row>
    <row r="2476" spans="8:8" x14ac:dyDescent="0.2">
      <c r="H2476" s="49"/>
    </row>
    <row r="2477" spans="8:8" x14ac:dyDescent="0.2">
      <c r="H2477" s="49"/>
    </row>
    <row r="2478" spans="8:8" x14ac:dyDescent="0.2">
      <c r="H2478" s="49"/>
    </row>
    <row r="2479" spans="8:8" x14ac:dyDescent="0.2">
      <c r="H2479" s="49"/>
    </row>
    <row r="2480" spans="8:8" x14ac:dyDescent="0.2">
      <c r="H2480" s="49"/>
    </row>
    <row r="2481" spans="8:8" x14ac:dyDescent="0.2">
      <c r="H2481" s="49"/>
    </row>
    <row r="2482" spans="8:8" x14ac:dyDescent="0.2">
      <c r="H2482" s="49"/>
    </row>
    <row r="2483" spans="8:8" x14ac:dyDescent="0.2">
      <c r="H2483" s="49"/>
    </row>
    <row r="2484" spans="8:8" x14ac:dyDescent="0.2">
      <c r="H2484" s="49"/>
    </row>
    <row r="2485" spans="8:8" x14ac:dyDescent="0.2">
      <c r="H2485" s="49"/>
    </row>
    <row r="2486" spans="8:8" x14ac:dyDescent="0.2">
      <c r="H2486" s="49"/>
    </row>
    <row r="2487" spans="8:8" x14ac:dyDescent="0.2">
      <c r="H2487" s="49"/>
    </row>
    <row r="2488" spans="8:8" x14ac:dyDescent="0.2">
      <c r="H2488" s="49"/>
    </row>
    <row r="2489" spans="8:8" x14ac:dyDescent="0.2">
      <c r="H2489" s="49"/>
    </row>
    <row r="2490" spans="8:8" x14ac:dyDescent="0.2">
      <c r="H2490" s="49"/>
    </row>
    <row r="2491" spans="8:8" x14ac:dyDescent="0.2">
      <c r="H2491" s="49"/>
    </row>
    <row r="2492" spans="8:8" x14ac:dyDescent="0.2">
      <c r="H2492" s="49"/>
    </row>
    <row r="2493" spans="8:8" x14ac:dyDescent="0.2">
      <c r="H2493" s="49"/>
    </row>
    <row r="2494" spans="8:8" x14ac:dyDescent="0.2">
      <c r="H2494" s="49"/>
    </row>
    <row r="2495" spans="8:8" x14ac:dyDescent="0.2">
      <c r="H2495" s="49"/>
    </row>
    <row r="2496" spans="8:8" x14ac:dyDescent="0.2">
      <c r="H2496" s="49"/>
    </row>
    <row r="2497" spans="8:8" x14ac:dyDescent="0.2">
      <c r="H2497" s="49"/>
    </row>
    <row r="2498" spans="8:8" x14ac:dyDescent="0.2">
      <c r="H2498" s="49"/>
    </row>
    <row r="2499" spans="8:8" x14ac:dyDescent="0.2">
      <c r="H2499" s="49"/>
    </row>
    <row r="2500" spans="8:8" x14ac:dyDescent="0.2">
      <c r="H2500" s="49"/>
    </row>
    <row r="2501" spans="8:8" x14ac:dyDescent="0.2">
      <c r="H2501" s="49"/>
    </row>
    <row r="2502" spans="8:8" x14ac:dyDescent="0.2">
      <c r="H2502" s="49"/>
    </row>
    <row r="2503" spans="8:8" x14ac:dyDescent="0.2">
      <c r="H2503" s="49"/>
    </row>
    <row r="2504" spans="8:8" x14ac:dyDescent="0.2">
      <c r="H2504" s="49"/>
    </row>
    <row r="2505" spans="8:8" x14ac:dyDescent="0.2">
      <c r="H2505" s="49"/>
    </row>
    <row r="2506" spans="8:8" x14ac:dyDescent="0.2">
      <c r="H2506" s="49"/>
    </row>
    <row r="2507" spans="8:8" x14ac:dyDescent="0.2">
      <c r="H2507" s="49"/>
    </row>
    <row r="2508" spans="8:8" x14ac:dyDescent="0.2">
      <c r="H2508" s="49"/>
    </row>
    <row r="2509" spans="8:8" x14ac:dyDescent="0.2">
      <c r="H2509" s="49"/>
    </row>
    <row r="2510" spans="8:8" x14ac:dyDescent="0.2">
      <c r="H2510" s="49"/>
    </row>
    <row r="2511" spans="8:8" x14ac:dyDescent="0.2">
      <c r="H2511" s="49"/>
    </row>
    <row r="2512" spans="8:8" x14ac:dyDescent="0.2">
      <c r="H2512" s="49"/>
    </row>
    <row r="2513" spans="8:8" x14ac:dyDescent="0.2">
      <c r="H2513" s="49"/>
    </row>
    <row r="2514" spans="8:8" x14ac:dyDescent="0.2">
      <c r="H2514" s="49"/>
    </row>
    <row r="2515" spans="8:8" x14ac:dyDescent="0.2">
      <c r="H2515" s="49"/>
    </row>
    <row r="2516" spans="8:8" x14ac:dyDescent="0.2">
      <c r="H2516" s="49"/>
    </row>
    <row r="2517" spans="8:8" x14ac:dyDescent="0.2">
      <c r="H2517" s="49"/>
    </row>
    <row r="2518" spans="8:8" x14ac:dyDescent="0.2">
      <c r="H2518" s="49"/>
    </row>
    <row r="2519" spans="8:8" x14ac:dyDescent="0.2">
      <c r="H2519" s="49"/>
    </row>
    <row r="2520" spans="8:8" x14ac:dyDescent="0.2">
      <c r="H2520" s="49"/>
    </row>
    <row r="2521" spans="8:8" x14ac:dyDescent="0.2">
      <c r="H2521" s="49"/>
    </row>
    <row r="2522" spans="8:8" x14ac:dyDescent="0.2">
      <c r="H2522" s="49"/>
    </row>
    <row r="2523" spans="8:8" x14ac:dyDescent="0.2">
      <c r="H2523" s="49"/>
    </row>
    <row r="2524" spans="8:8" x14ac:dyDescent="0.2">
      <c r="H2524" s="49"/>
    </row>
    <row r="2525" spans="8:8" x14ac:dyDescent="0.2">
      <c r="H2525" s="49"/>
    </row>
    <row r="2526" spans="8:8" x14ac:dyDescent="0.2">
      <c r="H2526" s="49"/>
    </row>
    <row r="2527" spans="8:8" x14ac:dyDescent="0.2">
      <c r="H2527" s="49"/>
    </row>
    <row r="2528" spans="8:8" x14ac:dyDescent="0.2">
      <c r="H2528" s="49"/>
    </row>
    <row r="2529" spans="8:8" x14ac:dyDescent="0.2">
      <c r="H2529" s="49"/>
    </row>
    <row r="2530" spans="8:8" x14ac:dyDescent="0.2">
      <c r="H2530" s="49"/>
    </row>
    <row r="2531" spans="8:8" x14ac:dyDescent="0.2">
      <c r="H2531" s="49"/>
    </row>
    <row r="2532" spans="8:8" x14ac:dyDescent="0.2">
      <c r="H2532" s="49"/>
    </row>
    <row r="2533" spans="8:8" x14ac:dyDescent="0.2">
      <c r="H2533" s="49"/>
    </row>
    <row r="2534" spans="8:8" x14ac:dyDescent="0.2">
      <c r="H2534" s="49"/>
    </row>
    <row r="2535" spans="8:8" x14ac:dyDescent="0.2">
      <c r="H2535" s="49"/>
    </row>
    <row r="2536" spans="8:8" x14ac:dyDescent="0.2">
      <c r="H2536" s="49"/>
    </row>
    <row r="2537" spans="8:8" x14ac:dyDescent="0.2">
      <c r="H2537" s="49"/>
    </row>
    <row r="2538" spans="8:8" x14ac:dyDescent="0.2">
      <c r="H2538" s="49"/>
    </row>
    <row r="2539" spans="8:8" x14ac:dyDescent="0.2">
      <c r="H2539" s="49"/>
    </row>
    <row r="2540" spans="8:8" x14ac:dyDescent="0.2">
      <c r="H2540" s="49"/>
    </row>
    <row r="2541" spans="8:8" x14ac:dyDescent="0.2">
      <c r="H2541" s="49"/>
    </row>
    <row r="2542" spans="8:8" x14ac:dyDescent="0.2">
      <c r="H2542" s="49"/>
    </row>
    <row r="2543" spans="8:8" x14ac:dyDescent="0.2">
      <c r="H2543" s="49"/>
    </row>
    <row r="2544" spans="8:8" x14ac:dyDescent="0.2">
      <c r="H2544" s="49"/>
    </row>
    <row r="2545" spans="8:8" x14ac:dyDescent="0.2">
      <c r="H2545" s="49"/>
    </row>
    <row r="2546" spans="8:8" x14ac:dyDescent="0.2">
      <c r="H2546" s="49"/>
    </row>
    <row r="2547" spans="8:8" x14ac:dyDescent="0.2">
      <c r="H2547" s="49"/>
    </row>
    <row r="2548" spans="8:8" x14ac:dyDescent="0.2">
      <c r="H2548" s="49"/>
    </row>
    <row r="2549" spans="8:8" x14ac:dyDescent="0.2">
      <c r="H2549" s="49"/>
    </row>
    <row r="2550" spans="8:8" x14ac:dyDescent="0.2">
      <c r="H2550" s="49"/>
    </row>
    <row r="2551" spans="8:8" x14ac:dyDescent="0.2">
      <c r="H2551" s="49"/>
    </row>
    <row r="2552" spans="8:8" x14ac:dyDescent="0.2">
      <c r="H2552" s="49"/>
    </row>
    <row r="2553" spans="8:8" x14ac:dyDescent="0.2">
      <c r="H2553" s="49"/>
    </row>
    <row r="2554" spans="8:8" x14ac:dyDescent="0.2">
      <c r="H2554" s="49"/>
    </row>
    <row r="2555" spans="8:8" x14ac:dyDescent="0.2">
      <c r="H2555" s="49"/>
    </row>
    <row r="2556" spans="8:8" x14ac:dyDescent="0.2">
      <c r="H2556" s="49"/>
    </row>
    <row r="2557" spans="8:8" x14ac:dyDescent="0.2">
      <c r="H2557" s="49"/>
    </row>
    <row r="2558" spans="8:8" x14ac:dyDescent="0.2">
      <c r="H2558" s="49"/>
    </row>
    <row r="2559" spans="8:8" x14ac:dyDescent="0.2">
      <c r="H2559" s="49"/>
    </row>
    <row r="2560" spans="8:8" x14ac:dyDescent="0.2">
      <c r="H2560" s="49"/>
    </row>
    <row r="2561" spans="8:8" x14ac:dyDescent="0.2">
      <c r="H2561" s="49"/>
    </row>
    <row r="2562" spans="8:8" x14ac:dyDescent="0.2">
      <c r="H2562" s="49"/>
    </row>
    <row r="2563" spans="8:8" x14ac:dyDescent="0.2">
      <c r="H2563" s="49"/>
    </row>
    <row r="2564" spans="8:8" x14ac:dyDescent="0.2">
      <c r="H2564" s="49"/>
    </row>
    <row r="2565" spans="8:8" x14ac:dyDescent="0.2">
      <c r="H2565" s="49"/>
    </row>
    <row r="2566" spans="8:8" x14ac:dyDescent="0.2">
      <c r="H2566" s="49"/>
    </row>
    <row r="2567" spans="8:8" x14ac:dyDescent="0.2">
      <c r="H2567" s="49"/>
    </row>
    <row r="2568" spans="8:8" x14ac:dyDescent="0.2">
      <c r="H2568" s="49"/>
    </row>
    <row r="2569" spans="8:8" x14ac:dyDescent="0.2">
      <c r="H2569" s="49"/>
    </row>
    <row r="2570" spans="8:8" x14ac:dyDescent="0.2">
      <c r="H2570" s="49"/>
    </row>
    <row r="2571" spans="8:8" x14ac:dyDescent="0.2">
      <c r="H2571" s="49"/>
    </row>
    <row r="2572" spans="8:8" x14ac:dyDescent="0.2">
      <c r="H2572" s="49"/>
    </row>
    <row r="2573" spans="8:8" x14ac:dyDescent="0.2">
      <c r="H2573" s="49"/>
    </row>
    <row r="2574" spans="8:8" x14ac:dyDescent="0.2">
      <c r="H2574" s="49"/>
    </row>
    <row r="2575" spans="8:8" x14ac:dyDescent="0.2">
      <c r="H2575" s="49"/>
    </row>
    <row r="2576" spans="8:8" x14ac:dyDescent="0.2">
      <c r="H2576" s="49"/>
    </row>
    <row r="2577" spans="8:8" x14ac:dyDescent="0.2">
      <c r="H2577" s="49"/>
    </row>
    <row r="2578" spans="8:8" x14ac:dyDescent="0.2">
      <c r="H2578" s="49"/>
    </row>
    <row r="2579" spans="8:8" x14ac:dyDescent="0.2">
      <c r="H2579" s="49"/>
    </row>
    <row r="2580" spans="8:8" x14ac:dyDescent="0.2">
      <c r="H2580" s="49"/>
    </row>
    <row r="2581" spans="8:8" x14ac:dyDescent="0.2">
      <c r="H2581" s="49"/>
    </row>
    <row r="2582" spans="8:8" x14ac:dyDescent="0.2">
      <c r="H2582" s="49"/>
    </row>
    <row r="2583" spans="8:8" x14ac:dyDescent="0.2">
      <c r="H2583" s="49"/>
    </row>
    <row r="2584" spans="8:8" x14ac:dyDescent="0.2">
      <c r="H2584" s="49"/>
    </row>
    <row r="2585" spans="8:8" x14ac:dyDescent="0.2">
      <c r="H2585" s="49"/>
    </row>
    <row r="2586" spans="8:8" x14ac:dyDescent="0.2">
      <c r="H2586" s="49"/>
    </row>
    <row r="2587" spans="8:8" x14ac:dyDescent="0.2">
      <c r="H2587" s="49"/>
    </row>
    <row r="2588" spans="8:8" x14ac:dyDescent="0.2">
      <c r="H2588" s="49"/>
    </row>
    <row r="2589" spans="8:8" x14ac:dyDescent="0.2">
      <c r="H2589" s="49"/>
    </row>
    <row r="2590" spans="8:8" x14ac:dyDescent="0.2">
      <c r="H2590" s="49"/>
    </row>
    <row r="2591" spans="8:8" x14ac:dyDescent="0.2">
      <c r="H2591" s="49"/>
    </row>
    <row r="2592" spans="8:8" x14ac:dyDescent="0.2">
      <c r="H2592" s="49"/>
    </row>
    <row r="2593" spans="8:8" x14ac:dyDescent="0.2">
      <c r="H2593" s="49"/>
    </row>
    <row r="2594" spans="8:8" x14ac:dyDescent="0.2">
      <c r="H2594" s="49"/>
    </row>
    <row r="2595" spans="8:8" x14ac:dyDescent="0.2">
      <c r="H2595" s="49"/>
    </row>
    <row r="2596" spans="8:8" x14ac:dyDescent="0.2">
      <c r="H2596" s="49"/>
    </row>
    <row r="2597" spans="8:8" x14ac:dyDescent="0.2">
      <c r="H2597" s="49"/>
    </row>
    <row r="2598" spans="8:8" x14ac:dyDescent="0.2">
      <c r="H2598" s="49"/>
    </row>
    <row r="2599" spans="8:8" x14ac:dyDescent="0.2">
      <c r="H2599" s="49"/>
    </row>
    <row r="2600" spans="8:8" x14ac:dyDescent="0.2">
      <c r="H2600" s="49"/>
    </row>
    <row r="2601" spans="8:8" x14ac:dyDescent="0.2">
      <c r="H2601" s="49"/>
    </row>
    <row r="2602" spans="8:8" x14ac:dyDescent="0.2">
      <c r="H2602" s="49"/>
    </row>
    <row r="2603" spans="8:8" x14ac:dyDescent="0.2">
      <c r="H2603" s="49"/>
    </row>
    <row r="2604" spans="8:8" x14ac:dyDescent="0.2">
      <c r="H2604" s="49"/>
    </row>
    <row r="2605" spans="8:8" x14ac:dyDescent="0.2">
      <c r="H2605" s="49"/>
    </row>
    <row r="2606" spans="8:8" x14ac:dyDescent="0.2">
      <c r="H2606" s="49"/>
    </row>
    <row r="2607" spans="8:8" x14ac:dyDescent="0.2">
      <c r="H2607" s="49"/>
    </row>
    <row r="2608" spans="8:8" x14ac:dyDescent="0.2">
      <c r="H2608" s="49"/>
    </row>
    <row r="2609" spans="8:8" x14ac:dyDescent="0.2">
      <c r="H2609" s="49"/>
    </row>
    <row r="2610" spans="8:8" x14ac:dyDescent="0.2">
      <c r="H2610" s="49"/>
    </row>
    <row r="2611" spans="8:8" x14ac:dyDescent="0.2">
      <c r="H2611" s="49"/>
    </row>
    <row r="2612" spans="8:8" x14ac:dyDescent="0.2">
      <c r="H2612" s="49"/>
    </row>
    <row r="2613" spans="8:8" x14ac:dyDescent="0.2">
      <c r="H2613" s="49"/>
    </row>
    <row r="2614" spans="8:8" x14ac:dyDescent="0.2">
      <c r="H2614" s="49"/>
    </row>
    <row r="2615" spans="8:8" x14ac:dyDescent="0.2">
      <c r="H2615" s="49"/>
    </row>
    <row r="2616" spans="8:8" x14ac:dyDescent="0.2">
      <c r="H2616" s="49"/>
    </row>
    <row r="2617" spans="8:8" x14ac:dyDescent="0.2">
      <c r="H2617" s="49"/>
    </row>
    <row r="2618" spans="8:8" x14ac:dyDescent="0.2">
      <c r="H2618" s="49"/>
    </row>
    <row r="2619" spans="8:8" x14ac:dyDescent="0.2">
      <c r="H2619" s="49"/>
    </row>
    <row r="2620" spans="8:8" x14ac:dyDescent="0.2">
      <c r="H2620" s="49"/>
    </row>
    <row r="2621" spans="8:8" x14ac:dyDescent="0.2">
      <c r="H2621" s="49"/>
    </row>
    <row r="2622" spans="8:8" x14ac:dyDescent="0.2">
      <c r="H2622" s="49"/>
    </row>
    <row r="2623" spans="8:8" x14ac:dyDescent="0.2">
      <c r="H2623" s="49"/>
    </row>
    <row r="2624" spans="8:8" x14ac:dyDescent="0.2">
      <c r="H2624" s="49"/>
    </row>
    <row r="2625" spans="8:8" x14ac:dyDescent="0.2">
      <c r="H2625" s="49"/>
    </row>
    <row r="2626" spans="8:8" x14ac:dyDescent="0.2">
      <c r="H2626" s="49"/>
    </row>
    <row r="2627" spans="8:8" x14ac:dyDescent="0.2">
      <c r="H2627" s="49"/>
    </row>
    <row r="2628" spans="8:8" x14ac:dyDescent="0.2">
      <c r="H2628" s="49"/>
    </row>
    <row r="2629" spans="8:8" x14ac:dyDescent="0.2">
      <c r="H2629" s="49"/>
    </row>
    <row r="2630" spans="8:8" x14ac:dyDescent="0.2">
      <c r="H2630" s="49"/>
    </row>
    <row r="2631" spans="8:8" x14ac:dyDescent="0.2">
      <c r="H2631" s="49"/>
    </row>
    <row r="2632" spans="8:8" x14ac:dyDescent="0.2">
      <c r="H2632" s="49"/>
    </row>
    <row r="2633" spans="8:8" x14ac:dyDescent="0.2">
      <c r="H2633" s="49"/>
    </row>
    <row r="2634" spans="8:8" x14ac:dyDescent="0.2">
      <c r="H2634" s="49"/>
    </row>
    <row r="2635" spans="8:8" x14ac:dyDescent="0.2">
      <c r="H2635" s="49"/>
    </row>
    <row r="2636" spans="8:8" x14ac:dyDescent="0.2">
      <c r="H2636" s="49"/>
    </row>
    <row r="2637" spans="8:8" x14ac:dyDescent="0.2">
      <c r="H2637" s="49"/>
    </row>
    <row r="2638" spans="8:8" x14ac:dyDescent="0.2">
      <c r="H2638" s="49"/>
    </row>
    <row r="2639" spans="8:8" x14ac:dyDescent="0.2">
      <c r="H2639" s="49"/>
    </row>
    <row r="2640" spans="8:8" x14ac:dyDescent="0.2">
      <c r="H2640" s="49"/>
    </row>
    <row r="2641" spans="8:8" x14ac:dyDescent="0.2">
      <c r="H2641" s="49"/>
    </row>
    <row r="2642" spans="8:8" x14ac:dyDescent="0.2">
      <c r="H2642" s="49"/>
    </row>
    <row r="2643" spans="8:8" x14ac:dyDescent="0.2">
      <c r="H2643" s="49"/>
    </row>
    <row r="2644" spans="8:8" x14ac:dyDescent="0.2">
      <c r="H2644" s="49"/>
    </row>
    <row r="2645" spans="8:8" x14ac:dyDescent="0.2">
      <c r="H2645" s="49"/>
    </row>
    <row r="2646" spans="8:8" x14ac:dyDescent="0.2">
      <c r="H2646" s="49"/>
    </row>
    <row r="2647" spans="8:8" x14ac:dyDescent="0.2">
      <c r="H2647" s="49"/>
    </row>
    <row r="2648" spans="8:8" x14ac:dyDescent="0.2">
      <c r="H2648" s="49"/>
    </row>
    <row r="2649" spans="8:8" x14ac:dyDescent="0.2">
      <c r="H2649" s="49"/>
    </row>
    <row r="2650" spans="8:8" x14ac:dyDescent="0.2">
      <c r="H2650" s="49"/>
    </row>
    <row r="2651" spans="8:8" x14ac:dyDescent="0.2">
      <c r="H2651" s="49"/>
    </row>
    <row r="2652" spans="8:8" x14ac:dyDescent="0.2">
      <c r="H2652" s="49"/>
    </row>
    <row r="2653" spans="8:8" x14ac:dyDescent="0.2">
      <c r="H2653" s="49"/>
    </row>
    <row r="2654" spans="8:8" x14ac:dyDescent="0.2">
      <c r="H2654" s="49"/>
    </row>
    <row r="2655" spans="8:8" x14ac:dyDescent="0.2">
      <c r="H2655" s="49"/>
    </row>
    <row r="2656" spans="8:8" x14ac:dyDescent="0.2">
      <c r="H2656" s="49"/>
    </row>
    <row r="2657" spans="8:8" x14ac:dyDescent="0.2">
      <c r="H2657" s="49"/>
    </row>
    <row r="2658" spans="8:8" x14ac:dyDescent="0.2">
      <c r="H2658" s="49"/>
    </row>
    <row r="2659" spans="8:8" x14ac:dyDescent="0.2">
      <c r="H2659" s="49"/>
    </row>
    <row r="2660" spans="8:8" x14ac:dyDescent="0.2">
      <c r="H2660" s="49"/>
    </row>
    <row r="2661" spans="8:8" x14ac:dyDescent="0.2">
      <c r="H2661" s="49"/>
    </row>
    <row r="2662" spans="8:8" x14ac:dyDescent="0.2">
      <c r="H2662" s="49"/>
    </row>
    <row r="2663" spans="8:8" x14ac:dyDescent="0.2">
      <c r="H2663" s="49"/>
    </row>
    <row r="2664" spans="8:8" x14ac:dyDescent="0.2">
      <c r="H2664" s="49"/>
    </row>
    <row r="2665" spans="8:8" x14ac:dyDescent="0.2">
      <c r="H2665" s="49"/>
    </row>
    <row r="2666" spans="8:8" x14ac:dyDescent="0.2">
      <c r="H2666" s="49"/>
    </row>
    <row r="2667" spans="8:8" x14ac:dyDescent="0.2">
      <c r="H2667" s="49"/>
    </row>
    <row r="2668" spans="8:8" x14ac:dyDescent="0.2">
      <c r="H2668" s="49"/>
    </row>
    <row r="2669" spans="8:8" x14ac:dyDescent="0.2">
      <c r="H2669" s="49"/>
    </row>
    <row r="2670" spans="8:8" x14ac:dyDescent="0.2">
      <c r="H2670" s="49"/>
    </row>
    <row r="2671" spans="8:8" x14ac:dyDescent="0.2">
      <c r="H2671" s="49"/>
    </row>
    <row r="2672" spans="8:8" x14ac:dyDescent="0.2">
      <c r="H2672" s="49"/>
    </row>
    <row r="2673" spans="8:8" x14ac:dyDescent="0.2">
      <c r="H2673" s="49"/>
    </row>
    <row r="2674" spans="8:8" x14ac:dyDescent="0.2">
      <c r="H2674" s="49"/>
    </row>
    <row r="2675" spans="8:8" x14ac:dyDescent="0.2">
      <c r="H2675" s="49"/>
    </row>
    <row r="2676" spans="8:8" x14ac:dyDescent="0.2">
      <c r="H2676" s="49"/>
    </row>
    <row r="2677" spans="8:8" x14ac:dyDescent="0.2">
      <c r="H2677" s="49"/>
    </row>
    <row r="2678" spans="8:8" x14ac:dyDescent="0.2">
      <c r="H2678" s="49"/>
    </row>
    <row r="2679" spans="8:8" x14ac:dyDescent="0.2">
      <c r="H2679" s="49"/>
    </row>
    <row r="2680" spans="8:8" x14ac:dyDescent="0.2">
      <c r="H2680" s="49"/>
    </row>
    <row r="2681" spans="8:8" x14ac:dyDescent="0.2">
      <c r="H2681" s="49"/>
    </row>
    <row r="2682" spans="8:8" x14ac:dyDescent="0.2">
      <c r="H2682" s="49"/>
    </row>
    <row r="2683" spans="8:8" x14ac:dyDescent="0.2">
      <c r="H2683" s="49"/>
    </row>
    <row r="2684" spans="8:8" x14ac:dyDescent="0.2">
      <c r="H2684" s="49"/>
    </row>
    <row r="2685" spans="8:8" x14ac:dyDescent="0.2">
      <c r="H2685" s="49"/>
    </row>
    <row r="2686" spans="8:8" x14ac:dyDescent="0.2">
      <c r="H2686" s="49"/>
    </row>
    <row r="2687" spans="8:8" x14ac:dyDescent="0.2">
      <c r="H2687" s="49"/>
    </row>
    <row r="2688" spans="8:8" x14ac:dyDescent="0.2">
      <c r="H2688" s="49"/>
    </row>
    <row r="2689" spans="8:8" x14ac:dyDescent="0.2">
      <c r="H2689" s="49"/>
    </row>
    <row r="2690" spans="8:8" x14ac:dyDescent="0.2">
      <c r="H2690" s="49"/>
    </row>
    <row r="2691" spans="8:8" x14ac:dyDescent="0.2">
      <c r="H2691" s="49"/>
    </row>
    <row r="2692" spans="8:8" x14ac:dyDescent="0.2">
      <c r="H2692" s="49"/>
    </row>
    <row r="2693" spans="8:8" x14ac:dyDescent="0.2">
      <c r="H2693" s="49"/>
    </row>
    <row r="2694" spans="8:8" x14ac:dyDescent="0.2">
      <c r="H2694" s="49"/>
    </row>
    <row r="2695" spans="8:8" x14ac:dyDescent="0.2">
      <c r="H2695" s="49"/>
    </row>
    <row r="2696" spans="8:8" x14ac:dyDescent="0.2">
      <c r="H2696" s="49"/>
    </row>
    <row r="2697" spans="8:8" x14ac:dyDescent="0.2">
      <c r="H2697" s="49"/>
    </row>
    <row r="2698" spans="8:8" x14ac:dyDescent="0.2">
      <c r="H2698" s="49"/>
    </row>
    <row r="2699" spans="8:8" x14ac:dyDescent="0.2">
      <c r="H2699" s="49"/>
    </row>
    <row r="2700" spans="8:8" x14ac:dyDescent="0.2">
      <c r="H2700" s="49"/>
    </row>
    <row r="2701" spans="8:8" x14ac:dyDescent="0.2">
      <c r="H2701" s="49"/>
    </row>
    <row r="2702" spans="8:8" x14ac:dyDescent="0.2">
      <c r="H2702" s="49"/>
    </row>
    <row r="2703" spans="8:8" x14ac:dyDescent="0.2">
      <c r="H2703" s="49"/>
    </row>
    <row r="2704" spans="8:8" x14ac:dyDescent="0.2">
      <c r="H2704" s="49"/>
    </row>
    <row r="2705" spans="8:8" x14ac:dyDescent="0.2">
      <c r="H2705" s="49"/>
    </row>
    <row r="2706" spans="8:8" x14ac:dyDescent="0.2">
      <c r="H2706" s="49"/>
    </row>
    <row r="2707" spans="8:8" x14ac:dyDescent="0.2">
      <c r="H2707" s="49"/>
    </row>
    <row r="2708" spans="8:8" x14ac:dyDescent="0.2">
      <c r="H2708" s="49"/>
    </row>
    <row r="2709" spans="8:8" x14ac:dyDescent="0.2">
      <c r="H2709" s="49"/>
    </row>
    <row r="2710" spans="8:8" x14ac:dyDescent="0.2">
      <c r="H2710" s="49"/>
    </row>
    <row r="2711" spans="8:8" x14ac:dyDescent="0.2">
      <c r="H2711" s="49"/>
    </row>
    <row r="2712" spans="8:8" x14ac:dyDescent="0.2">
      <c r="H2712" s="49"/>
    </row>
    <row r="2713" spans="8:8" x14ac:dyDescent="0.2">
      <c r="H2713" s="49"/>
    </row>
    <row r="2714" spans="8:8" x14ac:dyDescent="0.2">
      <c r="H2714" s="49"/>
    </row>
    <row r="2715" spans="8:8" x14ac:dyDescent="0.2">
      <c r="H2715" s="49"/>
    </row>
    <row r="2716" spans="8:8" x14ac:dyDescent="0.2">
      <c r="H2716" s="49"/>
    </row>
    <row r="2717" spans="8:8" x14ac:dyDescent="0.2">
      <c r="H2717" s="49"/>
    </row>
    <row r="2718" spans="8:8" x14ac:dyDescent="0.2">
      <c r="H2718" s="49"/>
    </row>
    <row r="2719" spans="8:8" x14ac:dyDescent="0.2">
      <c r="H2719" s="49"/>
    </row>
    <row r="2720" spans="8:8" x14ac:dyDescent="0.2">
      <c r="H2720" s="49"/>
    </row>
    <row r="2721" spans="8:8" x14ac:dyDescent="0.2">
      <c r="H2721" s="49"/>
    </row>
    <row r="2722" spans="8:8" x14ac:dyDescent="0.2">
      <c r="H2722" s="49"/>
    </row>
    <row r="2723" spans="8:8" x14ac:dyDescent="0.2">
      <c r="H2723" s="49"/>
    </row>
    <row r="2724" spans="8:8" x14ac:dyDescent="0.2">
      <c r="H2724" s="49"/>
    </row>
    <row r="2725" spans="8:8" x14ac:dyDescent="0.2">
      <c r="H2725" s="49"/>
    </row>
    <row r="2726" spans="8:8" x14ac:dyDescent="0.2">
      <c r="H2726" s="49"/>
    </row>
    <row r="2727" spans="8:8" x14ac:dyDescent="0.2">
      <c r="H2727" s="49"/>
    </row>
    <row r="2728" spans="8:8" x14ac:dyDescent="0.2">
      <c r="H2728" s="49"/>
    </row>
    <row r="2729" spans="8:8" x14ac:dyDescent="0.2">
      <c r="H2729" s="49"/>
    </row>
    <row r="2730" spans="8:8" x14ac:dyDescent="0.2">
      <c r="H2730" s="49"/>
    </row>
    <row r="2731" spans="8:8" x14ac:dyDescent="0.2">
      <c r="H2731" s="49"/>
    </row>
    <row r="2732" spans="8:8" x14ac:dyDescent="0.2">
      <c r="H2732" s="49"/>
    </row>
    <row r="2733" spans="8:8" x14ac:dyDescent="0.2">
      <c r="H2733" s="49"/>
    </row>
    <row r="2734" spans="8:8" x14ac:dyDescent="0.2">
      <c r="H2734" s="49"/>
    </row>
    <row r="2735" spans="8:8" x14ac:dyDescent="0.2">
      <c r="H2735" s="49"/>
    </row>
    <row r="2736" spans="8:8" x14ac:dyDescent="0.2">
      <c r="H2736" s="49"/>
    </row>
    <row r="2737" spans="8:8" x14ac:dyDescent="0.2">
      <c r="H2737" s="49"/>
    </row>
    <row r="2738" spans="8:8" x14ac:dyDescent="0.2">
      <c r="H2738" s="49"/>
    </row>
    <row r="2739" spans="8:8" x14ac:dyDescent="0.2">
      <c r="H2739" s="49"/>
    </row>
    <row r="2740" spans="8:8" x14ac:dyDescent="0.2">
      <c r="H2740" s="49"/>
    </row>
    <row r="2741" spans="8:8" x14ac:dyDescent="0.2">
      <c r="H2741" s="49"/>
    </row>
    <row r="2742" spans="8:8" x14ac:dyDescent="0.2">
      <c r="H2742" s="49"/>
    </row>
    <row r="2743" spans="8:8" x14ac:dyDescent="0.2">
      <c r="H2743" s="49"/>
    </row>
    <row r="2744" spans="8:8" x14ac:dyDescent="0.2">
      <c r="H2744" s="49"/>
    </row>
    <row r="2745" spans="8:8" x14ac:dyDescent="0.2">
      <c r="H2745" s="49"/>
    </row>
    <row r="2746" spans="8:8" x14ac:dyDescent="0.2">
      <c r="H2746" s="49"/>
    </row>
    <row r="2747" spans="8:8" x14ac:dyDescent="0.2">
      <c r="H2747" s="49"/>
    </row>
    <row r="2748" spans="8:8" x14ac:dyDescent="0.2">
      <c r="H2748" s="49"/>
    </row>
    <row r="2749" spans="8:8" x14ac:dyDescent="0.2">
      <c r="H2749" s="49"/>
    </row>
    <row r="2750" spans="8:8" x14ac:dyDescent="0.2">
      <c r="H2750" s="49"/>
    </row>
    <row r="2751" spans="8:8" x14ac:dyDescent="0.2">
      <c r="H2751" s="49"/>
    </row>
    <row r="2752" spans="8:8" x14ac:dyDescent="0.2">
      <c r="H2752" s="49"/>
    </row>
    <row r="2753" spans="8:8" x14ac:dyDescent="0.2">
      <c r="H2753" s="49"/>
    </row>
    <row r="2754" spans="8:8" x14ac:dyDescent="0.2">
      <c r="H2754" s="49"/>
    </row>
    <row r="2755" spans="8:8" x14ac:dyDescent="0.2">
      <c r="H2755" s="49"/>
    </row>
    <row r="2756" spans="8:8" x14ac:dyDescent="0.2">
      <c r="H2756" s="49"/>
    </row>
    <row r="2757" spans="8:8" x14ac:dyDescent="0.2">
      <c r="H2757" s="49"/>
    </row>
    <row r="2758" spans="8:8" x14ac:dyDescent="0.2">
      <c r="H2758" s="49"/>
    </row>
    <row r="2759" spans="8:8" x14ac:dyDescent="0.2">
      <c r="H2759" s="49"/>
    </row>
    <row r="2760" spans="8:8" x14ac:dyDescent="0.2">
      <c r="H2760" s="49"/>
    </row>
    <row r="2761" spans="8:8" x14ac:dyDescent="0.2">
      <c r="H2761" s="49"/>
    </row>
    <row r="2762" spans="8:8" x14ac:dyDescent="0.2">
      <c r="H2762" s="49"/>
    </row>
    <row r="2763" spans="8:8" x14ac:dyDescent="0.2">
      <c r="H2763" s="49"/>
    </row>
    <row r="2764" spans="8:8" x14ac:dyDescent="0.2">
      <c r="H2764" s="49"/>
    </row>
    <row r="2765" spans="8:8" x14ac:dyDescent="0.2">
      <c r="H2765" s="49"/>
    </row>
    <row r="2766" spans="8:8" x14ac:dyDescent="0.2">
      <c r="H2766" s="49"/>
    </row>
    <row r="2767" spans="8:8" x14ac:dyDescent="0.2">
      <c r="H2767" s="49"/>
    </row>
    <row r="2768" spans="8:8" x14ac:dyDescent="0.2">
      <c r="H2768" s="49"/>
    </row>
    <row r="2769" spans="8:8" x14ac:dyDescent="0.2">
      <c r="H2769" s="49"/>
    </row>
    <row r="2770" spans="8:8" x14ac:dyDescent="0.2">
      <c r="H2770" s="49"/>
    </row>
    <row r="2771" spans="8:8" x14ac:dyDescent="0.2">
      <c r="H2771" s="49"/>
    </row>
    <row r="2772" spans="8:8" x14ac:dyDescent="0.2">
      <c r="H2772" s="49"/>
    </row>
    <row r="2773" spans="8:8" x14ac:dyDescent="0.2">
      <c r="H2773" s="49"/>
    </row>
    <row r="2774" spans="8:8" x14ac:dyDescent="0.2">
      <c r="H2774" s="49"/>
    </row>
    <row r="2775" spans="8:8" x14ac:dyDescent="0.2">
      <c r="H2775" s="49"/>
    </row>
    <row r="2776" spans="8:8" x14ac:dyDescent="0.2">
      <c r="H2776" s="49"/>
    </row>
    <row r="2777" spans="8:8" x14ac:dyDescent="0.2">
      <c r="H2777" s="49"/>
    </row>
    <row r="2778" spans="8:8" x14ac:dyDescent="0.2">
      <c r="H2778" s="49"/>
    </row>
    <row r="2779" spans="8:8" x14ac:dyDescent="0.2">
      <c r="H2779" s="49"/>
    </row>
    <row r="2780" spans="8:8" x14ac:dyDescent="0.2">
      <c r="H2780" s="49"/>
    </row>
    <row r="2781" spans="8:8" x14ac:dyDescent="0.2">
      <c r="H2781" s="49"/>
    </row>
    <row r="2782" spans="8:8" x14ac:dyDescent="0.2">
      <c r="H2782" s="49"/>
    </row>
    <row r="2783" spans="8:8" x14ac:dyDescent="0.2">
      <c r="H2783" s="49"/>
    </row>
    <row r="2784" spans="8:8" x14ac:dyDescent="0.2">
      <c r="H2784" s="49"/>
    </row>
    <row r="2785" spans="8:8" x14ac:dyDescent="0.2">
      <c r="H2785" s="49"/>
    </row>
    <row r="2786" spans="8:8" x14ac:dyDescent="0.2">
      <c r="H2786" s="49"/>
    </row>
    <row r="2787" spans="8:8" x14ac:dyDescent="0.2">
      <c r="H2787" s="49"/>
    </row>
    <row r="2788" spans="8:8" x14ac:dyDescent="0.2">
      <c r="H2788" s="49"/>
    </row>
    <row r="2789" spans="8:8" x14ac:dyDescent="0.2">
      <c r="H2789" s="49"/>
    </row>
    <row r="2790" spans="8:8" x14ac:dyDescent="0.2">
      <c r="H2790" s="49"/>
    </row>
    <row r="2791" spans="8:8" x14ac:dyDescent="0.2">
      <c r="H2791" s="49"/>
    </row>
    <row r="2792" spans="8:8" x14ac:dyDescent="0.2">
      <c r="H2792" s="49"/>
    </row>
    <row r="2793" spans="8:8" x14ac:dyDescent="0.2">
      <c r="H2793" s="49"/>
    </row>
    <row r="2794" spans="8:8" x14ac:dyDescent="0.2">
      <c r="H2794" s="49"/>
    </row>
    <row r="2795" spans="8:8" x14ac:dyDescent="0.2">
      <c r="H2795" s="49"/>
    </row>
    <row r="2796" spans="8:8" x14ac:dyDescent="0.2">
      <c r="H2796" s="49"/>
    </row>
    <row r="2797" spans="8:8" x14ac:dyDescent="0.2">
      <c r="H2797" s="49"/>
    </row>
    <row r="2798" spans="8:8" x14ac:dyDescent="0.2">
      <c r="H2798" s="49"/>
    </row>
    <row r="2799" spans="8:8" x14ac:dyDescent="0.2">
      <c r="H2799" s="49"/>
    </row>
    <row r="2800" spans="8:8" x14ac:dyDescent="0.2">
      <c r="H2800" s="49"/>
    </row>
    <row r="2801" spans="8:8" x14ac:dyDescent="0.2">
      <c r="H2801" s="49"/>
    </row>
    <row r="2802" spans="8:8" x14ac:dyDescent="0.2">
      <c r="H2802" s="49"/>
    </row>
    <row r="2803" spans="8:8" x14ac:dyDescent="0.2">
      <c r="H2803" s="49"/>
    </row>
    <row r="2804" spans="8:8" x14ac:dyDescent="0.2">
      <c r="H2804" s="49"/>
    </row>
    <row r="2805" spans="8:8" x14ac:dyDescent="0.2">
      <c r="H2805" s="49"/>
    </row>
    <row r="2806" spans="8:8" x14ac:dyDescent="0.2">
      <c r="H2806" s="49"/>
    </row>
    <row r="2807" spans="8:8" x14ac:dyDescent="0.2">
      <c r="H2807" s="49"/>
    </row>
    <row r="2808" spans="8:8" x14ac:dyDescent="0.2">
      <c r="H2808" s="49"/>
    </row>
    <row r="2809" spans="8:8" x14ac:dyDescent="0.2">
      <c r="H2809" s="49"/>
    </row>
    <row r="2810" spans="8:8" x14ac:dyDescent="0.2">
      <c r="H2810" s="49"/>
    </row>
    <row r="2811" spans="8:8" x14ac:dyDescent="0.2">
      <c r="H2811" s="49"/>
    </row>
    <row r="2812" spans="8:8" x14ac:dyDescent="0.2">
      <c r="H2812" s="49"/>
    </row>
    <row r="2813" spans="8:8" x14ac:dyDescent="0.2">
      <c r="H2813" s="49"/>
    </row>
    <row r="2814" spans="8:8" x14ac:dyDescent="0.2">
      <c r="H2814" s="49"/>
    </row>
    <row r="2815" spans="8:8" x14ac:dyDescent="0.2">
      <c r="H2815" s="49"/>
    </row>
    <row r="2816" spans="8:8" x14ac:dyDescent="0.2">
      <c r="H2816" s="49"/>
    </row>
    <row r="2817" spans="8:8" x14ac:dyDescent="0.2">
      <c r="H2817" s="49"/>
    </row>
    <row r="2818" spans="8:8" x14ac:dyDescent="0.2">
      <c r="H2818" s="49"/>
    </row>
    <row r="2819" spans="8:8" x14ac:dyDescent="0.2">
      <c r="H2819" s="49"/>
    </row>
    <row r="2820" spans="8:8" x14ac:dyDescent="0.2">
      <c r="H2820" s="49"/>
    </row>
    <row r="2821" spans="8:8" x14ac:dyDescent="0.2">
      <c r="H2821" s="49"/>
    </row>
    <row r="2822" spans="8:8" x14ac:dyDescent="0.2">
      <c r="H2822" s="49"/>
    </row>
    <row r="2823" spans="8:8" x14ac:dyDescent="0.2">
      <c r="H2823" s="49"/>
    </row>
    <row r="2824" spans="8:8" x14ac:dyDescent="0.2">
      <c r="H2824" s="49"/>
    </row>
    <row r="2825" spans="8:8" x14ac:dyDescent="0.2">
      <c r="H2825" s="49"/>
    </row>
    <row r="2826" spans="8:8" x14ac:dyDescent="0.2">
      <c r="H2826" s="49"/>
    </row>
    <row r="2827" spans="8:8" x14ac:dyDescent="0.2">
      <c r="H2827" s="49"/>
    </row>
    <row r="2828" spans="8:8" x14ac:dyDescent="0.2">
      <c r="H2828" s="49"/>
    </row>
    <row r="2829" spans="8:8" x14ac:dyDescent="0.2">
      <c r="H2829" s="49"/>
    </row>
    <row r="2830" spans="8:8" x14ac:dyDescent="0.2">
      <c r="H2830" s="49"/>
    </row>
    <row r="2831" spans="8:8" x14ac:dyDescent="0.2">
      <c r="H2831" s="49"/>
    </row>
    <row r="2832" spans="8:8" x14ac:dyDescent="0.2">
      <c r="H2832" s="49"/>
    </row>
    <row r="2833" spans="8:8" x14ac:dyDescent="0.2">
      <c r="H2833" s="49"/>
    </row>
    <row r="2834" spans="8:8" x14ac:dyDescent="0.2">
      <c r="H2834" s="49"/>
    </row>
    <row r="2835" spans="8:8" x14ac:dyDescent="0.2">
      <c r="H2835" s="49"/>
    </row>
    <row r="2836" spans="8:8" x14ac:dyDescent="0.2">
      <c r="H2836" s="49"/>
    </row>
    <row r="2837" spans="8:8" x14ac:dyDescent="0.2">
      <c r="H2837" s="49"/>
    </row>
    <row r="2838" spans="8:8" x14ac:dyDescent="0.2">
      <c r="H2838" s="49"/>
    </row>
    <row r="2839" spans="8:8" x14ac:dyDescent="0.2">
      <c r="H2839" s="49"/>
    </row>
    <row r="2840" spans="8:8" x14ac:dyDescent="0.2">
      <c r="H2840" s="49"/>
    </row>
    <row r="2841" spans="8:8" x14ac:dyDescent="0.2">
      <c r="H2841" s="49"/>
    </row>
    <row r="2842" spans="8:8" x14ac:dyDescent="0.2">
      <c r="H2842" s="49"/>
    </row>
    <row r="2843" spans="8:8" x14ac:dyDescent="0.2">
      <c r="H2843" s="49"/>
    </row>
    <row r="2844" spans="8:8" x14ac:dyDescent="0.2">
      <c r="H2844" s="49"/>
    </row>
    <row r="2845" spans="8:8" x14ac:dyDescent="0.2">
      <c r="H2845" s="49"/>
    </row>
    <row r="2846" spans="8:8" x14ac:dyDescent="0.2">
      <c r="H2846" s="49"/>
    </row>
    <row r="2847" spans="8:8" x14ac:dyDescent="0.2">
      <c r="H2847" s="49"/>
    </row>
    <row r="2848" spans="8:8" x14ac:dyDescent="0.2">
      <c r="H2848" s="49"/>
    </row>
    <row r="2849" spans="8:8" x14ac:dyDescent="0.2">
      <c r="H2849" s="49"/>
    </row>
    <row r="2850" spans="8:8" x14ac:dyDescent="0.2">
      <c r="H2850" s="49"/>
    </row>
    <row r="2851" spans="8:8" x14ac:dyDescent="0.2">
      <c r="H2851" s="49"/>
    </row>
    <row r="2852" spans="8:8" x14ac:dyDescent="0.2">
      <c r="H2852" s="49"/>
    </row>
    <row r="2853" spans="8:8" x14ac:dyDescent="0.2">
      <c r="H2853" s="49"/>
    </row>
    <row r="2854" spans="8:8" x14ac:dyDescent="0.2">
      <c r="H2854" s="49"/>
    </row>
    <row r="2855" spans="8:8" x14ac:dyDescent="0.2">
      <c r="H2855" s="49"/>
    </row>
    <row r="2856" spans="8:8" x14ac:dyDescent="0.2">
      <c r="H2856" s="49"/>
    </row>
    <row r="2857" spans="8:8" x14ac:dyDescent="0.2">
      <c r="H2857" s="49"/>
    </row>
    <row r="2858" spans="8:8" x14ac:dyDescent="0.2">
      <c r="H2858" s="49"/>
    </row>
    <row r="2859" spans="8:8" x14ac:dyDescent="0.2">
      <c r="H2859" s="49"/>
    </row>
    <row r="2860" spans="8:8" x14ac:dyDescent="0.2">
      <c r="H2860" s="49"/>
    </row>
    <row r="2861" spans="8:8" x14ac:dyDescent="0.2">
      <c r="H2861" s="49"/>
    </row>
    <row r="2862" spans="8:8" x14ac:dyDescent="0.2">
      <c r="H2862" s="49"/>
    </row>
    <row r="2863" spans="8:8" x14ac:dyDescent="0.2">
      <c r="H2863" s="49"/>
    </row>
    <row r="2864" spans="8:8" x14ac:dyDescent="0.2">
      <c r="H2864" s="49"/>
    </row>
    <row r="2865" spans="8:8" x14ac:dyDescent="0.2">
      <c r="H2865" s="49"/>
    </row>
    <row r="2866" spans="8:8" x14ac:dyDescent="0.2">
      <c r="H2866" s="49"/>
    </row>
    <row r="2867" spans="8:8" x14ac:dyDescent="0.2">
      <c r="H2867" s="49"/>
    </row>
    <row r="2868" spans="8:8" x14ac:dyDescent="0.2">
      <c r="H2868" s="49"/>
    </row>
    <row r="2869" spans="8:8" x14ac:dyDescent="0.2">
      <c r="H2869" s="49"/>
    </row>
    <row r="2870" spans="8:8" x14ac:dyDescent="0.2">
      <c r="H2870" s="49"/>
    </row>
    <row r="2871" spans="8:8" x14ac:dyDescent="0.2">
      <c r="H2871" s="49"/>
    </row>
    <row r="2872" spans="8:8" x14ac:dyDescent="0.2">
      <c r="H2872" s="49"/>
    </row>
    <row r="2873" spans="8:8" x14ac:dyDescent="0.2">
      <c r="H2873" s="49"/>
    </row>
    <row r="2874" spans="8:8" x14ac:dyDescent="0.2">
      <c r="H2874" s="49"/>
    </row>
    <row r="2875" spans="8:8" x14ac:dyDescent="0.2">
      <c r="H2875" s="49"/>
    </row>
    <row r="2876" spans="8:8" x14ac:dyDescent="0.2">
      <c r="H2876" s="49"/>
    </row>
    <row r="2877" spans="8:8" x14ac:dyDescent="0.2">
      <c r="H2877" s="49"/>
    </row>
    <row r="2878" spans="8:8" x14ac:dyDescent="0.2">
      <c r="H2878" s="49"/>
    </row>
    <row r="2879" spans="8:8" x14ac:dyDescent="0.2">
      <c r="H2879" s="49"/>
    </row>
    <row r="2880" spans="8:8" x14ac:dyDescent="0.2">
      <c r="H2880" s="49"/>
    </row>
    <row r="2881" spans="8:8" x14ac:dyDescent="0.2">
      <c r="H2881" s="49"/>
    </row>
    <row r="2882" spans="8:8" x14ac:dyDescent="0.2">
      <c r="H2882" s="49"/>
    </row>
    <row r="2883" spans="8:8" x14ac:dyDescent="0.2">
      <c r="H2883" s="49"/>
    </row>
    <row r="2884" spans="8:8" x14ac:dyDescent="0.2">
      <c r="H2884" s="49"/>
    </row>
    <row r="2885" spans="8:8" x14ac:dyDescent="0.2">
      <c r="H2885" s="49"/>
    </row>
    <row r="2886" spans="8:8" x14ac:dyDescent="0.2">
      <c r="H2886" s="49"/>
    </row>
    <row r="2887" spans="8:8" x14ac:dyDescent="0.2">
      <c r="H2887" s="49"/>
    </row>
    <row r="2888" spans="8:8" x14ac:dyDescent="0.2">
      <c r="H2888" s="49"/>
    </row>
    <row r="2889" spans="8:8" x14ac:dyDescent="0.2">
      <c r="H2889" s="49"/>
    </row>
    <row r="2890" spans="8:8" x14ac:dyDescent="0.2">
      <c r="H2890" s="49"/>
    </row>
    <row r="2891" spans="8:8" x14ac:dyDescent="0.2">
      <c r="H2891" s="49"/>
    </row>
    <row r="2892" spans="8:8" x14ac:dyDescent="0.2">
      <c r="H2892" s="49"/>
    </row>
    <row r="2893" spans="8:8" x14ac:dyDescent="0.2">
      <c r="H2893" s="49"/>
    </row>
    <row r="2894" spans="8:8" x14ac:dyDescent="0.2">
      <c r="H2894" s="49"/>
    </row>
    <row r="2895" spans="8:8" x14ac:dyDescent="0.2">
      <c r="H2895" s="49"/>
    </row>
    <row r="2896" spans="8:8" x14ac:dyDescent="0.2">
      <c r="H2896" s="49"/>
    </row>
    <row r="2897" spans="8:8" x14ac:dyDescent="0.2">
      <c r="H2897" s="49"/>
    </row>
    <row r="2898" spans="8:8" x14ac:dyDescent="0.2">
      <c r="H2898" s="49"/>
    </row>
    <row r="2899" spans="8:8" x14ac:dyDescent="0.2">
      <c r="H2899" s="49"/>
    </row>
    <row r="2900" spans="8:8" x14ac:dyDescent="0.2">
      <c r="H2900" s="49"/>
    </row>
    <row r="2901" spans="8:8" x14ac:dyDescent="0.2">
      <c r="H2901" s="49"/>
    </row>
    <row r="2902" spans="8:8" x14ac:dyDescent="0.2">
      <c r="H2902" s="49"/>
    </row>
    <row r="2903" spans="8:8" x14ac:dyDescent="0.2">
      <c r="H2903" s="49"/>
    </row>
    <row r="2904" spans="8:8" x14ac:dyDescent="0.2">
      <c r="H2904" s="49"/>
    </row>
    <row r="2905" spans="8:8" x14ac:dyDescent="0.2">
      <c r="H2905" s="49"/>
    </row>
    <row r="2906" spans="8:8" x14ac:dyDescent="0.2">
      <c r="H2906" s="49"/>
    </row>
    <row r="2907" spans="8:8" x14ac:dyDescent="0.2">
      <c r="H2907" s="49"/>
    </row>
    <row r="2908" spans="8:8" x14ac:dyDescent="0.2">
      <c r="H2908" s="49"/>
    </row>
    <row r="2909" spans="8:8" x14ac:dyDescent="0.2">
      <c r="H2909" s="49"/>
    </row>
    <row r="2910" spans="8:8" x14ac:dyDescent="0.2">
      <c r="H2910" s="49"/>
    </row>
    <row r="2911" spans="8:8" x14ac:dyDescent="0.2">
      <c r="H2911" s="49"/>
    </row>
    <row r="2912" spans="8:8" x14ac:dyDescent="0.2">
      <c r="H2912" s="49"/>
    </row>
    <row r="2913" spans="8:8" x14ac:dyDescent="0.2">
      <c r="H2913" s="49"/>
    </row>
    <row r="2914" spans="8:8" x14ac:dyDescent="0.2">
      <c r="H2914" s="49"/>
    </row>
    <row r="2915" spans="8:8" x14ac:dyDescent="0.2">
      <c r="H2915" s="49"/>
    </row>
    <row r="2916" spans="8:8" x14ac:dyDescent="0.2">
      <c r="H2916" s="49"/>
    </row>
    <row r="2917" spans="8:8" x14ac:dyDescent="0.2">
      <c r="H2917" s="49"/>
    </row>
    <row r="2918" spans="8:8" x14ac:dyDescent="0.2">
      <c r="H2918" s="49"/>
    </row>
    <row r="2919" spans="8:8" x14ac:dyDescent="0.2">
      <c r="H2919" s="49"/>
    </row>
    <row r="2920" spans="8:8" x14ac:dyDescent="0.2">
      <c r="H2920" s="49"/>
    </row>
    <row r="2921" spans="8:8" x14ac:dyDescent="0.2">
      <c r="H2921" s="49"/>
    </row>
    <row r="2922" spans="8:8" x14ac:dyDescent="0.2">
      <c r="H2922" s="49"/>
    </row>
    <row r="2923" spans="8:8" x14ac:dyDescent="0.2">
      <c r="H2923" s="49"/>
    </row>
    <row r="2924" spans="8:8" x14ac:dyDescent="0.2">
      <c r="H2924" s="49"/>
    </row>
    <row r="2925" spans="8:8" x14ac:dyDescent="0.2">
      <c r="H2925" s="49"/>
    </row>
    <row r="2926" spans="8:8" x14ac:dyDescent="0.2">
      <c r="H2926" s="49"/>
    </row>
    <row r="2927" spans="8:8" x14ac:dyDescent="0.2">
      <c r="H2927" s="49"/>
    </row>
    <row r="2928" spans="8:8" x14ac:dyDescent="0.2">
      <c r="H2928" s="49"/>
    </row>
    <row r="2929" spans="8:8" x14ac:dyDescent="0.2">
      <c r="H2929" s="49"/>
    </row>
    <row r="2930" spans="8:8" x14ac:dyDescent="0.2">
      <c r="H2930" s="49"/>
    </row>
    <row r="2931" spans="8:8" x14ac:dyDescent="0.2">
      <c r="H2931" s="49"/>
    </row>
    <row r="2932" spans="8:8" x14ac:dyDescent="0.2">
      <c r="H2932" s="49"/>
    </row>
    <row r="2933" spans="8:8" x14ac:dyDescent="0.2">
      <c r="H2933" s="49"/>
    </row>
    <row r="2934" spans="8:8" x14ac:dyDescent="0.2">
      <c r="H2934" s="49"/>
    </row>
    <row r="2935" spans="8:8" x14ac:dyDescent="0.2">
      <c r="H2935" s="49"/>
    </row>
    <row r="2936" spans="8:8" x14ac:dyDescent="0.2">
      <c r="H2936" s="49"/>
    </row>
    <row r="2937" spans="8:8" x14ac:dyDescent="0.2">
      <c r="H2937" s="49"/>
    </row>
    <row r="2938" spans="8:8" x14ac:dyDescent="0.2">
      <c r="H2938" s="49"/>
    </row>
    <row r="2939" spans="8:8" x14ac:dyDescent="0.2">
      <c r="H2939" s="49"/>
    </row>
    <row r="2940" spans="8:8" x14ac:dyDescent="0.2">
      <c r="H2940" s="49"/>
    </row>
    <row r="2941" spans="8:8" x14ac:dyDescent="0.2">
      <c r="H2941" s="49"/>
    </row>
    <row r="2942" spans="8:8" x14ac:dyDescent="0.2">
      <c r="H2942" s="49"/>
    </row>
    <row r="2943" spans="8:8" x14ac:dyDescent="0.2">
      <c r="H2943" s="49"/>
    </row>
    <row r="2944" spans="8:8" x14ac:dyDescent="0.2">
      <c r="H2944" s="49"/>
    </row>
    <row r="2945" spans="8:8" x14ac:dyDescent="0.2">
      <c r="H2945" s="49"/>
    </row>
    <row r="2946" spans="8:8" x14ac:dyDescent="0.2">
      <c r="H2946" s="49"/>
    </row>
    <row r="2947" spans="8:8" x14ac:dyDescent="0.2">
      <c r="H2947" s="49"/>
    </row>
    <row r="2948" spans="8:8" x14ac:dyDescent="0.2">
      <c r="H2948" s="49"/>
    </row>
    <row r="2949" spans="8:8" x14ac:dyDescent="0.2">
      <c r="H2949" s="49"/>
    </row>
    <row r="2950" spans="8:8" x14ac:dyDescent="0.2">
      <c r="H2950" s="49"/>
    </row>
    <row r="2951" spans="8:8" x14ac:dyDescent="0.2">
      <c r="H2951" s="49"/>
    </row>
    <row r="2952" spans="8:8" x14ac:dyDescent="0.2">
      <c r="H2952" s="49"/>
    </row>
    <row r="2953" spans="8:8" x14ac:dyDescent="0.2">
      <c r="H2953" s="49"/>
    </row>
    <row r="2954" spans="8:8" x14ac:dyDescent="0.2">
      <c r="H2954" s="49"/>
    </row>
    <row r="2955" spans="8:8" x14ac:dyDescent="0.2">
      <c r="H2955" s="49"/>
    </row>
    <row r="2956" spans="8:8" x14ac:dyDescent="0.2">
      <c r="H2956" s="49"/>
    </row>
    <row r="2957" spans="8:8" x14ac:dyDescent="0.2">
      <c r="H2957" s="49"/>
    </row>
    <row r="2958" spans="8:8" x14ac:dyDescent="0.2">
      <c r="H2958" s="49"/>
    </row>
    <row r="2959" spans="8:8" x14ac:dyDescent="0.2">
      <c r="H2959" s="49"/>
    </row>
    <row r="2960" spans="8:8" x14ac:dyDescent="0.2">
      <c r="H2960" s="49"/>
    </row>
    <row r="2961" spans="8:8" x14ac:dyDescent="0.2">
      <c r="H2961" s="49"/>
    </row>
    <row r="2962" spans="8:8" x14ac:dyDescent="0.2">
      <c r="H2962" s="49"/>
    </row>
    <row r="2963" spans="8:8" x14ac:dyDescent="0.2">
      <c r="H2963" s="49"/>
    </row>
    <row r="2964" spans="8:8" x14ac:dyDescent="0.2">
      <c r="H2964" s="49"/>
    </row>
    <row r="2965" spans="8:8" x14ac:dyDescent="0.2">
      <c r="H2965" s="49"/>
    </row>
    <row r="2966" spans="8:8" x14ac:dyDescent="0.2">
      <c r="H2966" s="49"/>
    </row>
    <row r="2967" spans="8:8" x14ac:dyDescent="0.2">
      <c r="H2967" s="49"/>
    </row>
    <row r="2968" spans="8:8" x14ac:dyDescent="0.2">
      <c r="H2968" s="49"/>
    </row>
    <row r="2969" spans="8:8" x14ac:dyDescent="0.2">
      <c r="H2969" s="49"/>
    </row>
    <row r="2970" spans="8:8" x14ac:dyDescent="0.2">
      <c r="H2970" s="49"/>
    </row>
    <row r="2971" spans="8:8" x14ac:dyDescent="0.2">
      <c r="H2971" s="49"/>
    </row>
    <row r="2972" spans="8:8" x14ac:dyDescent="0.2">
      <c r="H2972" s="49"/>
    </row>
    <row r="2973" spans="8:8" x14ac:dyDescent="0.2">
      <c r="H2973" s="49"/>
    </row>
    <row r="2974" spans="8:8" x14ac:dyDescent="0.2">
      <c r="H2974" s="49"/>
    </row>
    <row r="2975" spans="8:8" x14ac:dyDescent="0.2">
      <c r="H2975" s="49"/>
    </row>
    <row r="2976" spans="8:8" x14ac:dyDescent="0.2">
      <c r="H2976" s="49"/>
    </row>
    <row r="2977" spans="8:8" x14ac:dyDescent="0.2">
      <c r="H2977" s="49"/>
    </row>
    <row r="2978" spans="8:8" x14ac:dyDescent="0.2">
      <c r="H2978" s="49"/>
    </row>
    <row r="2979" spans="8:8" x14ac:dyDescent="0.2">
      <c r="H2979" s="49"/>
    </row>
    <row r="2980" spans="8:8" x14ac:dyDescent="0.2">
      <c r="H2980" s="49"/>
    </row>
    <row r="2981" spans="8:8" x14ac:dyDescent="0.2">
      <c r="H2981" s="49"/>
    </row>
    <row r="2982" spans="8:8" x14ac:dyDescent="0.2">
      <c r="H2982" s="49"/>
    </row>
    <row r="2983" spans="8:8" x14ac:dyDescent="0.2">
      <c r="H2983" s="49"/>
    </row>
    <row r="2984" spans="8:8" x14ac:dyDescent="0.2">
      <c r="H2984" s="49"/>
    </row>
    <row r="2985" spans="8:8" x14ac:dyDescent="0.2">
      <c r="H2985" s="49"/>
    </row>
    <row r="2986" spans="8:8" x14ac:dyDescent="0.2">
      <c r="H2986" s="49"/>
    </row>
    <row r="2987" spans="8:8" x14ac:dyDescent="0.2">
      <c r="H2987" s="49"/>
    </row>
    <row r="2988" spans="8:8" x14ac:dyDescent="0.2">
      <c r="H2988" s="49"/>
    </row>
    <row r="2989" spans="8:8" x14ac:dyDescent="0.2">
      <c r="H2989" s="49"/>
    </row>
    <row r="2990" spans="8:8" x14ac:dyDescent="0.2">
      <c r="H2990" s="49"/>
    </row>
    <row r="2991" spans="8:8" x14ac:dyDescent="0.2">
      <c r="H2991" s="49"/>
    </row>
    <row r="2992" spans="8:8" x14ac:dyDescent="0.2">
      <c r="H2992" s="49"/>
    </row>
    <row r="2993" spans="8:8" x14ac:dyDescent="0.2">
      <c r="H2993" s="49"/>
    </row>
    <row r="2994" spans="8:8" x14ac:dyDescent="0.2">
      <c r="H2994" s="49"/>
    </row>
    <row r="2995" spans="8:8" x14ac:dyDescent="0.2">
      <c r="H2995" s="49"/>
    </row>
    <row r="2996" spans="8:8" x14ac:dyDescent="0.2">
      <c r="H2996" s="49"/>
    </row>
    <row r="2997" spans="8:8" x14ac:dyDescent="0.2">
      <c r="H2997" s="49"/>
    </row>
    <row r="2998" spans="8:8" x14ac:dyDescent="0.2">
      <c r="H2998" s="49"/>
    </row>
    <row r="2999" spans="8:8" x14ac:dyDescent="0.2">
      <c r="H2999" s="49"/>
    </row>
    <row r="3000" spans="8:8" x14ac:dyDescent="0.2">
      <c r="H3000" s="49"/>
    </row>
    <row r="3001" spans="8:8" x14ac:dyDescent="0.2">
      <c r="H3001" s="49"/>
    </row>
    <row r="3002" spans="8:8" x14ac:dyDescent="0.2">
      <c r="H3002" s="49"/>
    </row>
    <row r="3003" spans="8:8" x14ac:dyDescent="0.2">
      <c r="H3003" s="49"/>
    </row>
    <row r="3004" spans="8:8" x14ac:dyDescent="0.2">
      <c r="H3004" s="49"/>
    </row>
    <row r="3005" spans="8:8" x14ac:dyDescent="0.2">
      <c r="H3005" s="49"/>
    </row>
    <row r="3006" spans="8:8" x14ac:dyDescent="0.2">
      <c r="H3006" s="49"/>
    </row>
    <row r="3007" spans="8:8" x14ac:dyDescent="0.2">
      <c r="H3007" s="49"/>
    </row>
    <row r="3008" spans="8:8" x14ac:dyDescent="0.2">
      <c r="H3008" s="49"/>
    </row>
    <row r="3009" spans="8:8" x14ac:dyDescent="0.2">
      <c r="H3009" s="49"/>
    </row>
    <row r="3010" spans="8:8" x14ac:dyDescent="0.2">
      <c r="H3010" s="49"/>
    </row>
    <row r="3011" spans="8:8" x14ac:dyDescent="0.2">
      <c r="H3011" s="49"/>
    </row>
    <row r="3012" spans="8:8" x14ac:dyDescent="0.2">
      <c r="H3012" s="49"/>
    </row>
    <row r="3013" spans="8:8" x14ac:dyDescent="0.2">
      <c r="H3013" s="49"/>
    </row>
    <row r="3014" spans="8:8" x14ac:dyDescent="0.2">
      <c r="H3014" s="49"/>
    </row>
    <row r="3015" spans="8:8" x14ac:dyDescent="0.2">
      <c r="H3015" s="49"/>
    </row>
    <row r="3016" spans="8:8" x14ac:dyDescent="0.2">
      <c r="H3016" s="49"/>
    </row>
    <row r="3017" spans="8:8" x14ac:dyDescent="0.2">
      <c r="H3017" s="49"/>
    </row>
    <row r="3018" spans="8:8" x14ac:dyDescent="0.2">
      <c r="H3018" s="49"/>
    </row>
    <row r="3019" spans="8:8" x14ac:dyDescent="0.2">
      <c r="H3019" s="49"/>
    </row>
    <row r="3020" spans="8:8" x14ac:dyDescent="0.2">
      <c r="H3020" s="49"/>
    </row>
    <row r="3021" spans="8:8" x14ac:dyDescent="0.2">
      <c r="H3021" s="49"/>
    </row>
    <row r="3022" spans="8:8" x14ac:dyDescent="0.2">
      <c r="H3022" s="49"/>
    </row>
    <row r="3023" spans="8:8" x14ac:dyDescent="0.2">
      <c r="H3023" s="49"/>
    </row>
    <row r="3024" spans="8:8" x14ac:dyDescent="0.2">
      <c r="H3024" s="49"/>
    </row>
    <row r="3025" spans="8:8" x14ac:dyDescent="0.2">
      <c r="H3025" s="49"/>
    </row>
    <row r="3026" spans="8:8" x14ac:dyDescent="0.2">
      <c r="H3026" s="49"/>
    </row>
    <row r="3027" spans="8:8" x14ac:dyDescent="0.2">
      <c r="H3027" s="49"/>
    </row>
    <row r="3028" spans="8:8" x14ac:dyDescent="0.2">
      <c r="H3028" s="49"/>
    </row>
    <row r="3029" spans="8:8" x14ac:dyDescent="0.2">
      <c r="H3029" s="49"/>
    </row>
    <row r="3030" spans="8:8" x14ac:dyDescent="0.2">
      <c r="H3030" s="49"/>
    </row>
    <row r="3031" spans="8:8" x14ac:dyDescent="0.2">
      <c r="H3031" s="49"/>
    </row>
    <row r="3032" spans="8:8" x14ac:dyDescent="0.2">
      <c r="H3032" s="49"/>
    </row>
    <row r="3033" spans="8:8" x14ac:dyDescent="0.2">
      <c r="H3033" s="49"/>
    </row>
    <row r="3034" spans="8:8" x14ac:dyDescent="0.2">
      <c r="H3034" s="49"/>
    </row>
    <row r="3035" spans="8:8" x14ac:dyDescent="0.2">
      <c r="H3035" s="49"/>
    </row>
    <row r="3036" spans="8:8" x14ac:dyDescent="0.2">
      <c r="H3036" s="49"/>
    </row>
    <row r="3037" spans="8:8" x14ac:dyDescent="0.2">
      <c r="H3037" s="49"/>
    </row>
    <row r="3038" spans="8:8" x14ac:dyDescent="0.2">
      <c r="H3038" s="49"/>
    </row>
    <row r="3039" spans="8:8" x14ac:dyDescent="0.2">
      <c r="H3039" s="49"/>
    </row>
    <row r="3040" spans="8:8" x14ac:dyDescent="0.2">
      <c r="H3040" s="49"/>
    </row>
    <row r="3041" spans="8:8" x14ac:dyDescent="0.2">
      <c r="H3041" s="49"/>
    </row>
    <row r="3042" spans="8:8" x14ac:dyDescent="0.2">
      <c r="H3042" s="49"/>
    </row>
    <row r="3043" spans="8:8" x14ac:dyDescent="0.2">
      <c r="H3043" s="49"/>
    </row>
    <row r="3044" spans="8:8" x14ac:dyDescent="0.2">
      <c r="H3044" s="49"/>
    </row>
    <row r="3045" spans="8:8" x14ac:dyDescent="0.2">
      <c r="H3045" s="49"/>
    </row>
    <row r="3046" spans="8:8" x14ac:dyDescent="0.2">
      <c r="H3046" s="49"/>
    </row>
    <row r="3047" spans="8:8" x14ac:dyDescent="0.2">
      <c r="H3047" s="49"/>
    </row>
    <row r="3048" spans="8:8" x14ac:dyDescent="0.2">
      <c r="H3048" s="49"/>
    </row>
    <row r="3049" spans="8:8" x14ac:dyDescent="0.2">
      <c r="H3049" s="49"/>
    </row>
    <row r="3050" spans="8:8" x14ac:dyDescent="0.2">
      <c r="H3050" s="49"/>
    </row>
    <row r="3051" spans="8:8" x14ac:dyDescent="0.2">
      <c r="H3051" s="49"/>
    </row>
    <row r="3052" spans="8:8" x14ac:dyDescent="0.2">
      <c r="H3052" s="49"/>
    </row>
    <row r="3053" spans="8:8" x14ac:dyDescent="0.2">
      <c r="H3053" s="49"/>
    </row>
    <row r="3054" spans="8:8" x14ac:dyDescent="0.2">
      <c r="H3054" s="49"/>
    </row>
    <row r="3055" spans="8:8" x14ac:dyDescent="0.2">
      <c r="H3055" s="49"/>
    </row>
    <row r="3056" spans="8:8" x14ac:dyDescent="0.2">
      <c r="H3056" s="49"/>
    </row>
    <row r="3057" spans="8:8" x14ac:dyDescent="0.2">
      <c r="H3057" s="49"/>
    </row>
    <row r="3058" spans="8:8" x14ac:dyDescent="0.2">
      <c r="H3058" s="49"/>
    </row>
    <row r="3059" spans="8:8" x14ac:dyDescent="0.2">
      <c r="H3059" s="49"/>
    </row>
    <row r="3060" spans="8:8" x14ac:dyDescent="0.2">
      <c r="H3060" s="49"/>
    </row>
    <row r="3061" spans="8:8" x14ac:dyDescent="0.2">
      <c r="H3061" s="49"/>
    </row>
    <row r="3062" spans="8:8" x14ac:dyDescent="0.2">
      <c r="H3062" s="49"/>
    </row>
    <row r="3063" spans="8:8" x14ac:dyDescent="0.2">
      <c r="H3063" s="49"/>
    </row>
    <row r="3064" spans="8:8" x14ac:dyDescent="0.2">
      <c r="H3064" s="49"/>
    </row>
    <row r="3065" spans="8:8" x14ac:dyDescent="0.2">
      <c r="H3065" s="49"/>
    </row>
    <row r="3066" spans="8:8" x14ac:dyDescent="0.2">
      <c r="H3066" s="49"/>
    </row>
    <row r="3067" spans="8:8" x14ac:dyDescent="0.2">
      <c r="H3067" s="49"/>
    </row>
    <row r="3068" spans="8:8" x14ac:dyDescent="0.2">
      <c r="H3068" s="49"/>
    </row>
    <row r="3069" spans="8:8" x14ac:dyDescent="0.2">
      <c r="H3069" s="49"/>
    </row>
    <row r="3070" spans="8:8" x14ac:dyDescent="0.2">
      <c r="H3070" s="49"/>
    </row>
    <row r="3071" spans="8:8" x14ac:dyDescent="0.2">
      <c r="H3071" s="49"/>
    </row>
    <row r="3072" spans="8:8" x14ac:dyDescent="0.2">
      <c r="H3072" s="49"/>
    </row>
    <row r="3073" spans="8:8" x14ac:dyDescent="0.2">
      <c r="H3073" s="49"/>
    </row>
    <row r="3074" spans="8:8" x14ac:dyDescent="0.2">
      <c r="H3074" s="49"/>
    </row>
    <row r="3075" spans="8:8" x14ac:dyDescent="0.2">
      <c r="H3075" s="49"/>
    </row>
    <row r="3076" spans="8:8" x14ac:dyDescent="0.2">
      <c r="H3076" s="49"/>
    </row>
    <row r="3077" spans="8:8" x14ac:dyDescent="0.2">
      <c r="H3077" s="49"/>
    </row>
    <row r="3078" spans="8:8" x14ac:dyDescent="0.2">
      <c r="H3078" s="49"/>
    </row>
    <row r="3079" spans="8:8" x14ac:dyDescent="0.2">
      <c r="H3079" s="49"/>
    </row>
    <row r="3080" spans="8:8" x14ac:dyDescent="0.2">
      <c r="H3080" s="49"/>
    </row>
    <row r="3081" spans="8:8" x14ac:dyDescent="0.2">
      <c r="H3081" s="49"/>
    </row>
    <row r="3082" spans="8:8" x14ac:dyDescent="0.2">
      <c r="H3082" s="49"/>
    </row>
    <row r="3083" spans="8:8" x14ac:dyDescent="0.2">
      <c r="H3083" s="49"/>
    </row>
    <row r="3084" spans="8:8" x14ac:dyDescent="0.2">
      <c r="H3084" s="49"/>
    </row>
    <row r="3085" spans="8:8" x14ac:dyDescent="0.2">
      <c r="H3085" s="49"/>
    </row>
    <row r="3086" spans="8:8" x14ac:dyDescent="0.2">
      <c r="H3086" s="49"/>
    </row>
    <row r="3087" spans="8:8" x14ac:dyDescent="0.2">
      <c r="H3087" s="49"/>
    </row>
    <row r="3088" spans="8:8" x14ac:dyDescent="0.2">
      <c r="H3088" s="49"/>
    </row>
    <row r="3089" spans="8:8" x14ac:dyDescent="0.2">
      <c r="H3089" s="49"/>
    </row>
    <row r="3090" spans="8:8" x14ac:dyDescent="0.2">
      <c r="H3090" s="49"/>
    </row>
    <row r="3091" spans="8:8" x14ac:dyDescent="0.2">
      <c r="H3091" s="49"/>
    </row>
    <row r="3092" spans="8:8" x14ac:dyDescent="0.2">
      <c r="H3092" s="49"/>
    </row>
    <row r="3093" spans="8:8" x14ac:dyDescent="0.2">
      <c r="H3093" s="49"/>
    </row>
    <row r="3094" spans="8:8" x14ac:dyDescent="0.2">
      <c r="H3094" s="49"/>
    </row>
    <row r="3095" spans="8:8" x14ac:dyDescent="0.2">
      <c r="H3095" s="49"/>
    </row>
    <row r="3096" spans="8:8" x14ac:dyDescent="0.2">
      <c r="H3096" s="49"/>
    </row>
    <row r="3097" spans="8:8" x14ac:dyDescent="0.2">
      <c r="H3097" s="49"/>
    </row>
    <row r="3098" spans="8:8" x14ac:dyDescent="0.2">
      <c r="H3098" s="49"/>
    </row>
    <row r="3099" spans="8:8" x14ac:dyDescent="0.2">
      <c r="H3099" s="49"/>
    </row>
    <row r="3100" spans="8:8" x14ac:dyDescent="0.2">
      <c r="H3100" s="49"/>
    </row>
    <row r="3101" spans="8:8" x14ac:dyDescent="0.2">
      <c r="H3101" s="49"/>
    </row>
    <row r="3102" spans="8:8" x14ac:dyDescent="0.2">
      <c r="H3102" s="49"/>
    </row>
    <row r="3103" spans="8:8" x14ac:dyDescent="0.2">
      <c r="H3103" s="49"/>
    </row>
    <row r="3104" spans="8:8" x14ac:dyDescent="0.2">
      <c r="H3104" s="49"/>
    </row>
    <row r="3105" spans="8:8" x14ac:dyDescent="0.2">
      <c r="H3105" s="49"/>
    </row>
    <row r="3106" spans="8:8" x14ac:dyDescent="0.2">
      <c r="H3106" s="49"/>
    </row>
    <row r="3107" spans="8:8" x14ac:dyDescent="0.2">
      <c r="H3107" s="49"/>
    </row>
    <row r="3108" spans="8:8" x14ac:dyDescent="0.2">
      <c r="H3108" s="49"/>
    </row>
    <row r="3109" spans="8:8" x14ac:dyDescent="0.2">
      <c r="H3109" s="49"/>
    </row>
    <row r="3110" spans="8:8" x14ac:dyDescent="0.2">
      <c r="H3110" s="49"/>
    </row>
    <row r="3111" spans="8:8" x14ac:dyDescent="0.2">
      <c r="H3111" s="49"/>
    </row>
    <row r="3112" spans="8:8" x14ac:dyDescent="0.2">
      <c r="H3112" s="49"/>
    </row>
    <row r="3113" spans="8:8" x14ac:dyDescent="0.2">
      <c r="H3113" s="49"/>
    </row>
    <row r="3114" spans="8:8" x14ac:dyDescent="0.2">
      <c r="H3114" s="49"/>
    </row>
    <row r="3115" spans="8:8" x14ac:dyDescent="0.2">
      <c r="H3115" s="49"/>
    </row>
    <row r="3116" spans="8:8" x14ac:dyDescent="0.2">
      <c r="H3116" s="49"/>
    </row>
    <row r="3117" spans="8:8" x14ac:dyDescent="0.2">
      <c r="H3117" s="49"/>
    </row>
    <row r="3118" spans="8:8" x14ac:dyDescent="0.2">
      <c r="H3118" s="49"/>
    </row>
    <row r="3119" spans="8:8" x14ac:dyDescent="0.2">
      <c r="H3119" s="49"/>
    </row>
    <row r="3120" spans="8:8" x14ac:dyDescent="0.2">
      <c r="H3120" s="49"/>
    </row>
    <row r="3121" spans="8:8" x14ac:dyDescent="0.2">
      <c r="H3121" s="49"/>
    </row>
    <row r="3122" spans="8:8" x14ac:dyDescent="0.2">
      <c r="H3122" s="49"/>
    </row>
    <row r="3123" spans="8:8" x14ac:dyDescent="0.2">
      <c r="H3123" s="49"/>
    </row>
    <row r="3124" spans="8:8" x14ac:dyDescent="0.2">
      <c r="H3124" s="49"/>
    </row>
    <row r="3125" spans="8:8" x14ac:dyDescent="0.2">
      <c r="H3125" s="49"/>
    </row>
    <row r="3126" spans="8:8" x14ac:dyDescent="0.2">
      <c r="H3126" s="49"/>
    </row>
    <row r="3127" spans="8:8" x14ac:dyDescent="0.2">
      <c r="H3127" s="49"/>
    </row>
    <row r="3128" spans="8:8" x14ac:dyDescent="0.2">
      <c r="H3128" s="49"/>
    </row>
    <row r="3129" spans="8:8" x14ac:dyDescent="0.2">
      <c r="H3129" s="49"/>
    </row>
    <row r="3130" spans="8:8" x14ac:dyDescent="0.2">
      <c r="H3130" s="49"/>
    </row>
    <row r="3131" spans="8:8" x14ac:dyDescent="0.2">
      <c r="H3131" s="49"/>
    </row>
    <row r="3132" spans="8:8" x14ac:dyDescent="0.2">
      <c r="H3132" s="49"/>
    </row>
    <row r="3133" spans="8:8" x14ac:dyDescent="0.2">
      <c r="H3133" s="49"/>
    </row>
    <row r="3134" spans="8:8" x14ac:dyDescent="0.2">
      <c r="H3134" s="49"/>
    </row>
    <row r="3135" spans="8:8" x14ac:dyDescent="0.2">
      <c r="H3135" s="49"/>
    </row>
    <row r="3136" spans="8:8" x14ac:dyDescent="0.2">
      <c r="H3136" s="49"/>
    </row>
    <row r="3137" spans="8:8" x14ac:dyDescent="0.2">
      <c r="H3137" s="49"/>
    </row>
    <row r="3138" spans="8:8" x14ac:dyDescent="0.2">
      <c r="H3138" s="49"/>
    </row>
    <row r="3139" spans="8:8" x14ac:dyDescent="0.2">
      <c r="H3139" s="49"/>
    </row>
    <row r="3140" spans="8:8" x14ac:dyDescent="0.2">
      <c r="H3140" s="49"/>
    </row>
    <row r="3141" spans="8:8" x14ac:dyDescent="0.2">
      <c r="H3141" s="49"/>
    </row>
    <row r="3142" spans="8:8" x14ac:dyDescent="0.2">
      <c r="H3142" s="49"/>
    </row>
    <row r="3143" spans="8:8" x14ac:dyDescent="0.2">
      <c r="H3143" s="49"/>
    </row>
    <row r="3144" spans="8:8" x14ac:dyDescent="0.2">
      <c r="H3144" s="49"/>
    </row>
    <row r="3145" spans="8:8" x14ac:dyDescent="0.2">
      <c r="H3145" s="49"/>
    </row>
    <row r="3146" spans="8:8" x14ac:dyDescent="0.2">
      <c r="H3146" s="49"/>
    </row>
    <row r="3147" spans="8:8" x14ac:dyDescent="0.2">
      <c r="H3147" s="49"/>
    </row>
    <row r="3148" spans="8:8" x14ac:dyDescent="0.2">
      <c r="H3148" s="49"/>
    </row>
    <row r="3149" spans="8:8" x14ac:dyDescent="0.2">
      <c r="H3149" s="49"/>
    </row>
    <row r="3150" spans="8:8" x14ac:dyDescent="0.2">
      <c r="H3150" s="49"/>
    </row>
    <row r="3151" spans="8:8" x14ac:dyDescent="0.2">
      <c r="H3151" s="49"/>
    </row>
    <row r="3152" spans="8:8" x14ac:dyDescent="0.2">
      <c r="H3152" s="49"/>
    </row>
    <row r="3153" spans="8:8" x14ac:dyDescent="0.2">
      <c r="H3153" s="49"/>
    </row>
    <row r="3154" spans="8:8" x14ac:dyDescent="0.2">
      <c r="H3154" s="49"/>
    </row>
    <row r="3155" spans="8:8" x14ac:dyDescent="0.2">
      <c r="H3155" s="49"/>
    </row>
    <row r="3156" spans="8:8" x14ac:dyDescent="0.2">
      <c r="H3156" s="49"/>
    </row>
    <row r="3157" spans="8:8" x14ac:dyDescent="0.2">
      <c r="H3157" s="49"/>
    </row>
    <row r="3158" spans="8:8" x14ac:dyDescent="0.2">
      <c r="H3158" s="49"/>
    </row>
    <row r="3159" spans="8:8" x14ac:dyDescent="0.2">
      <c r="H3159" s="49"/>
    </row>
    <row r="3160" spans="8:8" x14ac:dyDescent="0.2">
      <c r="H3160" s="49"/>
    </row>
    <row r="3161" spans="8:8" x14ac:dyDescent="0.2">
      <c r="H3161" s="49"/>
    </row>
    <row r="3162" spans="8:8" x14ac:dyDescent="0.2">
      <c r="H3162" s="49"/>
    </row>
    <row r="3163" spans="8:8" x14ac:dyDescent="0.2">
      <c r="H3163" s="49"/>
    </row>
    <row r="3164" spans="8:8" x14ac:dyDescent="0.2">
      <c r="H3164" s="49"/>
    </row>
    <row r="3165" spans="8:8" x14ac:dyDescent="0.2">
      <c r="H3165" s="49"/>
    </row>
    <row r="3166" spans="8:8" x14ac:dyDescent="0.2">
      <c r="H3166" s="49"/>
    </row>
    <row r="3167" spans="8:8" x14ac:dyDescent="0.2">
      <c r="H3167" s="49"/>
    </row>
    <row r="3168" spans="8:8" x14ac:dyDescent="0.2">
      <c r="H3168" s="49"/>
    </row>
    <row r="3169" spans="8:8" x14ac:dyDescent="0.2">
      <c r="H3169" s="49"/>
    </row>
    <row r="3170" spans="8:8" x14ac:dyDescent="0.2">
      <c r="H3170" s="49"/>
    </row>
    <row r="3171" spans="8:8" x14ac:dyDescent="0.2">
      <c r="H3171" s="49"/>
    </row>
    <row r="3172" spans="8:8" x14ac:dyDescent="0.2">
      <c r="H3172" s="49"/>
    </row>
    <row r="3173" spans="8:8" x14ac:dyDescent="0.2">
      <c r="H3173" s="49"/>
    </row>
    <row r="3174" spans="8:8" x14ac:dyDescent="0.2">
      <c r="H3174" s="49"/>
    </row>
    <row r="3175" spans="8:8" x14ac:dyDescent="0.2">
      <c r="H3175" s="49"/>
    </row>
    <row r="3176" spans="8:8" x14ac:dyDescent="0.2">
      <c r="H3176" s="49"/>
    </row>
    <row r="3177" spans="8:8" x14ac:dyDescent="0.2">
      <c r="H3177" s="49"/>
    </row>
    <row r="3178" spans="8:8" x14ac:dyDescent="0.2">
      <c r="H3178" s="49"/>
    </row>
    <row r="3179" spans="8:8" x14ac:dyDescent="0.2">
      <c r="H3179" s="49"/>
    </row>
    <row r="3180" spans="8:8" x14ac:dyDescent="0.2">
      <c r="H3180" s="49"/>
    </row>
    <row r="3181" spans="8:8" x14ac:dyDescent="0.2">
      <c r="H3181" s="49"/>
    </row>
    <row r="3182" spans="8:8" x14ac:dyDescent="0.2">
      <c r="H3182" s="49"/>
    </row>
    <row r="3183" spans="8:8" x14ac:dyDescent="0.2">
      <c r="H3183" s="49"/>
    </row>
    <row r="3184" spans="8:8" x14ac:dyDescent="0.2">
      <c r="H3184" s="49"/>
    </row>
    <row r="3185" spans="8:8" x14ac:dyDescent="0.2">
      <c r="H3185" s="49"/>
    </row>
    <row r="3186" spans="8:8" x14ac:dyDescent="0.2">
      <c r="H3186" s="49"/>
    </row>
    <row r="3187" spans="8:8" x14ac:dyDescent="0.2">
      <c r="H3187" s="49"/>
    </row>
    <row r="3188" spans="8:8" x14ac:dyDescent="0.2">
      <c r="H3188" s="49"/>
    </row>
    <row r="3189" spans="8:8" x14ac:dyDescent="0.2">
      <c r="H3189" s="49"/>
    </row>
    <row r="3190" spans="8:8" x14ac:dyDescent="0.2">
      <c r="H3190" s="49"/>
    </row>
    <row r="3191" spans="8:8" x14ac:dyDescent="0.2">
      <c r="H3191" s="49"/>
    </row>
    <row r="3192" spans="8:8" x14ac:dyDescent="0.2">
      <c r="H3192" s="49"/>
    </row>
    <row r="3193" spans="8:8" x14ac:dyDescent="0.2">
      <c r="H3193" s="49"/>
    </row>
    <row r="3194" spans="8:8" x14ac:dyDescent="0.2">
      <c r="H3194" s="49"/>
    </row>
    <row r="3195" spans="8:8" x14ac:dyDescent="0.2">
      <c r="H3195" s="49"/>
    </row>
    <row r="3196" spans="8:8" x14ac:dyDescent="0.2">
      <c r="H3196" s="49"/>
    </row>
    <row r="3197" spans="8:8" x14ac:dyDescent="0.2">
      <c r="H3197" s="49"/>
    </row>
    <row r="3198" spans="8:8" x14ac:dyDescent="0.2">
      <c r="H3198" s="49"/>
    </row>
    <row r="3199" spans="8:8" x14ac:dyDescent="0.2">
      <c r="H3199" s="49"/>
    </row>
    <row r="3200" spans="8:8" x14ac:dyDescent="0.2">
      <c r="H3200" s="49"/>
    </row>
    <row r="3201" spans="8:8" x14ac:dyDescent="0.2">
      <c r="H3201" s="49"/>
    </row>
    <row r="3202" spans="8:8" x14ac:dyDescent="0.2">
      <c r="H3202" s="49"/>
    </row>
    <row r="3203" spans="8:8" x14ac:dyDescent="0.2">
      <c r="H3203" s="49"/>
    </row>
    <row r="3204" spans="8:8" x14ac:dyDescent="0.2">
      <c r="H3204" s="49"/>
    </row>
    <row r="3205" spans="8:8" x14ac:dyDescent="0.2">
      <c r="H3205" s="49"/>
    </row>
    <row r="3206" spans="8:8" x14ac:dyDescent="0.2">
      <c r="H3206" s="49"/>
    </row>
    <row r="3207" spans="8:8" x14ac:dyDescent="0.2">
      <c r="H3207" s="49"/>
    </row>
    <row r="3208" spans="8:8" x14ac:dyDescent="0.2">
      <c r="H3208" s="49"/>
    </row>
    <row r="3209" spans="8:8" x14ac:dyDescent="0.2">
      <c r="H3209" s="49"/>
    </row>
    <row r="3210" spans="8:8" x14ac:dyDescent="0.2">
      <c r="H3210" s="49"/>
    </row>
    <row r="3211" spans="8:8" x14ac:dyDescent="0.2">
      <c r="H3211" s="49"/>
    </row>
    <row r="3212" spans="8:8" x14ac:dyDescent="0.2">
      <c r="H3212" s="49"/>
    </row>
    <row r="3213" spans="8:8" x14ac:dyDescent="0.2">
      <c r="H3213" s="49"/>
    </row>
    <row r="3214" spans="8:8" x14ac:dyDescent="0.2">
      <c r="H3214" s="49"/>
    </row>
    <row r="3215" spans="8:8" x14ac:dyDescent="0.2">
      <c r="H3215" s="49"/>
    </row>
    <row r="3216" spans="8:8" x14ac:dyDescent="0.2">
      <c r="H3216" s="49"/>
    </row>
    <row r="3217" spans="8:8" x14ac:dyDescent="0.2">
      <c r="H3217" s="49"/>
    </row>
    <row r="3218" spans="8:8" x14ac:dyDescent="0.2">
      <c r="H3218" s="49"/>
    </row>
    <row r="3219" spans="8:8" x14ac:dyDescent="0.2">
      <c r="H3219" s="49"/>
    </row>
    <row r="3220" spans="8:8" x14ac:dyDescent="0.2">
      <c r="H3220" s="49"/>
    </row>
    <row r="3221" spans="8:8" x14ac:dyDescent="0.2">
      <c r="H3221" s="49"/>
    </row>
    <row r="3222" spans="8:8" x14ac:dyDescent="0.2">
      <c r="H3222" s="49"/>
    </row>
    <row r="3223" spans="8:8" x14ac:dyDescent="0.2">
      <c r="H3223" s="49"/>
    </row>
    <row r="3224" spans="8:8" x14ac:dyDescent="0.2">
      <c r="H3224" s="49"/>
    </row>
    <row r="3225" spans="8:8" x14ac:dyDescent="0.2">
      <c r="H3225" s="49"/>
    </row>
    <row r="3226" spans="8:8" x14ac:dyDescent="0.2">
      <c r="H3226" s="49"/>
    </row>
    <row r="3227" spans="8:8" x14ac:dyDescent="0.2">
      <c r="H3227" s="49"/>
    </row>
    <row r="3228" spans="8:8" x14ac:dyDescent="0.2">
      <c r="H3228" s="49"/>
    </row>
    <row r="3229" spans="8:8" x14ac:dyDescent="0.2">
      <c r="H3229" s="49"/>
    </row>
    <row r="3230" spans="8:8" x14ac:dyDescent="0.2">
      <c r="H3230" s="49"/>
    </row>
    <row r="3231" spans="8:8" x14ac:dyDescent="0.2">
      <c r="H3231" s="49"/>
    </row>
    <row r="3232" spans="8:8" x14ac:dyDescent="0.2">
      <c r="H3232" s="49"/>
    </row>
    <row r="3233" spans="8:8" x14ac:dyDescent="0.2">
      <c r="H3233" s="49"/>
    </row>
    <row r="3234" spans="8:8" x14ac:dyDescent="0.2">
      <c r="H3234" s="49"/>
    </row>
    <row r="3235" spans="8:8" x14ac:dyDescent="0.2">
      <c r="H3235" s="49"/>
    </row>
    <row r="3236" spans="8:8" x14ac:dyDescent="0.2">
      <c r="H3236" s="49"/>
    </row>
    <row r="3237" spans="8:8" x14ac:dyDescent="0.2">
      <c r="H3237" s="49"/>
    </row>
    <row r="3238" spans="8:8" x14ac:dyDescent="0.2">
      <c r="H3238" s="49"/>
    </row>
    <row r="3239" spans="8:8" x14ac:dyDescent="0.2">
      <c r="H3239" s="49"/>
    </row>
    <row r="3240" spans="8:8" x14ac:dyDescent="0.2">
      <c r="H3240" s="49"/>
    </row>
    <row r="3241" spans="8:8" x14ac:dyDescent="0.2">
      <c r="H3241" s="49"/>
    </row>
    <row r="3242" spans="8:8" x14ac:dyDescent="0.2">
      <c r="H3242" s="49"/>
    </row>
    <row r="3243" spans="8:8" x14ac:dyDescent="0.2">
      <c r="H3243" s="49"/>
    </row>
    <row r="3244" spans="8:8" x14ac:dyDescent="0.2">
      <c r="H3244" s="49"/>
    </row>
    <row r="3245" spans="8:8" x14ac:dyDescent="0.2">
      <c r="H3245" s="49"/>
    </row>
    <row r="3246" spans="8:8" x14ac:dyDescent="0.2">
      <c r="H3246" s="49"/>
    </row>
    <row r="3247" spans="8:8" x14ac:dyDescent="0.2">
      <c r="H3247" s="49"/>
    </row>
    <row r="3248" spans="8:8" x14ac:dyDescent="0.2">
      <c r="H3248" s="49"/>
    </row>
    <row r="3249" spans="8:8" x14ac:dyDescent="0.2">
      <c r="H3249" s="49"/>
    </row>
    <row r="3250" spans="8:8" x14ac:dyDescent="0.2">
      <c r="H3250" s="49"/>
    </row>
    <row r="3251" spans="8:8" x14ac:dyDescent="0.2">
      <c r="H3251" s="49"/>
    </row>
    <row r="3252" spans="8:8" x14ac:dyDescent="0.2">
      <c r="H3252" s="49"/>
    </row>
    <row r="3253" spans="8:8" x14ac:dyDescent="0.2">
      <c r="H3253" s="49"/>
    </row>
    <row r="3254" spans="8:8" x14ac:dyDescent="0.2">
      <c r="H3254" s="49"/>
    </row>
    <row r="3255" spans="8:8" x14ac:dyDescent="0.2">
      <c r="H3255" s="49"/>
    </row>
    <row r="3256" spans="8:8" x14ac:dyDescent="0.2">
      <c r="H3256" s="49"/>
    </row>
    <row r="3257" spans="8:8" x14ac:dyDescent="0.2">
      <c r="H3257" s="49"/>
    </row>
    <row r="3258" spans="8:8" x14ac:dyDescent="0.2">
      <c r="H3258" s="49"/>
    </row>
    <row r="3259" spans="8:8" x14ac:dyDescent="0.2">
      <c r="H3259" s="49"/>
    </row>
    <row r="3260" spans="8:8" x14ac:dyDescent="0.2">
      <c r="H3260" s="49"/>
    </row>
    <row r="3261" spans="8:8" x14ac:dyDescent="0.2">
      <c r="H3261" s="49"/>
    </row>
    <row r="3262" spans="8:8" x14ac:dyDescent="0.2">
      <c r="H3262" s="49"/>
    </row>
    <row r="3263" spans="8:8" x14ac:dyDescent="0.2">
      <c r="H3263" s="49"/>
    </row>
    <row r="3264" spans="8:8" x14ac:dyDescent="0.2">
      <c r="H3264" s="49"/>
    </row>
    <row r="3265" spans="8:62" x14ac:dyDescent="0.2">
      <c r="H3265" s="49"/>
    </row>
    <row r="3266" spans="8:62" x14ac:dyDescent="0.2">
      <c r="H3266" s="49"/>
    </row>
    <row r="3267" spans="8:62" x14ac:dyDescent="0.2">
      <c r="H3267" s="49"/>
      <c r="BJ3267" s="37"/>
    </row>
    <row r="3268" spans="8:62" x14ac:dyDescent="0.2">
      <c r="H3268" s="49"/>
    </row>
    <row r="3269" spans="8:62" x14ac:dyDescent="0.2">
      <c r="H3269" s="49"/>
    </row>
    <row r="3270" spans="8:62" x14ac:dyDescent="0.2">
      <c r="H3270" s="49"/>
    </row>
    <row r="3271" spans="8:62" x14ac:dyDescent="0.2">
      <c r="H3271" s="49"/>
    </row>
    <row r="3272" spans="8:62" x14ac:dyDescent="0.2">
      <c r="H3272" s="49"/>
    </row>
    <row r="3273" spans="8:62" x14ac:dyDescent="0.2">
      <c r="H3273" s="49"/>
    </row>
    <row r="3274" spans="8:62" x14ac:dyDescent="0.2">
      <c r="H3274" s="49"/>
    </row>
    <row r="3275" spans="8:62" x14ac:dyDescent="0.2">
      <c r="H3275" s="49"/>
    </row>
    <row r="3276" spans="8:62" x14ac:dyDescent="0.2">
      <c r="H3276" s="49"/>
    </row>
    <row r="3277" spans="8:62" x14ac:dyDescent="0.2">
      <c r="H3277" s="49"/>
    </row>
    <row r="3278" spans="8:62" x14ac:dyDescent="0.2">
      <c r="H3278" s="49"/>
    </row>
    <row r="3279" spans="8:62" x14ac:dyDescent="0.2">
      <c r="H3279" s="49"/>
    </row>
    <row r="3280" spans="8:62" x14ac:dyDescent="0.2">
      <c r="H3280" s="49"/>
    </row>
    <row r="3281" spans="8:8" x14ac:dyDescent="0.2">
      <c r="H3281" s="49"/>
    </row>
    <row r="3282" spans="8:8" x14ac:dyDescent="0.2">
      <c r="H3282" s="49"/>
    </row>
    <row r="3283" spans="8:8" x14ac:dyDescent="0.2">
      <c r="H3283" s="49"/>
    </row>
    <row r="3284" spans="8:8" x14ac:dyDescent="0.2">
      <c r="H3284" s="49"/>
    </row>
    <row r="3285" spans="8:8" x14ac:dyDescent="0.2">
      <c r="H3285" s="49"/>
    </row>
    <row r="3286" spans="8:8" x14ac:dyDescent="0.2">
      <c r="H3286" s="49"/>
    </row>
    <row r="3287" spans="8:8" x14ac:dyDescent="0.2">
      <c r="H3287" s="49"/>
    </row>
    <row r="3288" spans="8:8" x14ac:dyDescent="0.2">
      <c r="H3288" s="49"/>
    </row>
    <row r="3289" spans="8:8" x14ac:dyDescent="0.2">
      <c r="H3289" s="49"/>
    </row>
    <row r="3290" spans="8:8" x14ac:dyDescent="0.2">
      <c r="H3290" s="49"/>
    </row>
    <row r="3291" spans="8:8" x14ac:dyDescent="0.2">
      <c r="H3291" s="49"/>
    </row>
    <row r="3292" spans="8:8" x14ac:dyDescent="0.2">
      <c r="H3292" s="49"/>
    </row>
    <row r="3293" spans="8:8" x14ac:dyDescent="0.2">
      <c r="H3293" s="49"/>
    </row>
    <row r="3294" spans="8:8" x14ac:dyDescent="0.2">
      <c r="H3294" s="49"/>
    </row>
    <row r="3295" spans="8:8" x14ac:dyDescent="0.2">
      <c r="H3295" s="49"/>
    </row>
    <row r="3296" spans="8:8" x14ac:dyDescent="0.2">
      <c r="H3296" s="49"/>
    </row>
    <row r="3297" spans="8:8" x14ac:dyDescent="0.2">
      <c r="H3297" s="49"/>
    </row>
    <row r="3298" spans="8:8" x14ac:dyDescent="0.2">
      <c r="H3298" s="49"/>
    </row>
    <row r="3299" spans="8:8" x14ac:dyDescent="0.2">
      <c r="H3299" s="49"/>
    </row>
    <row r="3300" spans="8:8" x14ac:dyDescent="0.2">
      <c r="H3300" s="49"/>
    </row>
    <row r="3301" spans="8:8" x14ac:dyDescent="0.2">
      <c r="H3301" s="49"/>
    </row>
    <row r="3302" spans="8:8" x14ac:dyDescent="0.2">
      <c r="H3302" s="49"/>
    </row>
    <row r="3303" spans="8:8" x14ac:dyDescent="0.2">
      <c r="H3303" s="49"/>
    </row>
    <row r="3304" spans="8:8" x14ac:dyDescent="0.2">
      <c r="H3304" s="49"/>
    </row>
    <row r="3305" spans="8:8" x14ac:dyDescent="0.2">
      <c r="H3305" s="49"/>
    </row>
    <row r="3306" spans="8:8" x14ac:dyDescent="0.2">
      <c r="H3306" s="49"/>
    </row>
    <row r="3307" spans="8:8" x14ac:dyDescent="0.2">
      <c r="H3307" s="49"/>
    </row>
    <row r="3308" spans="8:8" x14ac:dyDescent="0.2">
      <c r="H3308" s="49"/>
    </row>
    <row r="3309" spans="8:8" x14ac:dyDescent="0.2">
      <c r="H3309" s="49"/>
    </row>
    <row r="3310" spans="8:8" x14ac:dyDescent="0.2">
      <c r="H3310" s="49"/>
    </row>
    <row r="3311" spans="8:8" x14ac:dyDescent="0.2">
      <c r="H3311" s="49"/>
    </row>
    <row r="3312" spans="8:8" x14ac:dyDescent="0.2">
      <c r="H3312" s="49"/>
    </row>
    <row r="3313" spans="8:63" x14ac:dyDescent="0.2">
      <c r="H3313" s="49"/>
    </row>
    <row r="3314" spans="8:63" x14ac:dyDescent="0.2">
      <c r="H3314" s="49"/>
    </row>
    <row r="3315" spans="8:63" x14ac:dyDescent="0.2">
      <c r="H3315" s="49"/>
    </row>
    <row r="3316" spans="8:63" x14ac:dyDescent="0.2">
      <c r="H3316" s="49"/>
      <c r="BK3316" s="37"/>
    </row>
    <row r="3317" spans="8:63" x14ac:dyDescent="0.2">
      <c r="H3317" s="49"/>
    </row>
    <row r="3318" spans="8:63" x14ac:dyDescent="0.2">
      <c r="H3318" s="49"/>
    </row>
    <row r="3319" spans="8:63" x14ac:dyDescent="0.2">
      <c r="H3319" s="49"/>
    </row>
    <row r="3320" spans="8:63" x14ac:dyDescent="0.2">
      <c r="H3320" s="49"/>
    </row>
    <row r="3321" spans="8:63" x14ac:dyDescent="0.2">
      <c r="H3321" s="49"/>
    </row>
    <row r="3322" spans="8:63" x14ac:dyDescent="0.2">
      <c r="H3322" s="49"/>
    </row>
    <row r="3323" spans="8:63" x14ac:dyDescent="0.2">
      <c r="H3323" s="49"/>
    </row>
    <row r="3324" spans="8:63" x14ac:dyDescent="0.2">
      <c r="H3324" s="49"/>
    </row>
    <row r="3325" spans="8:63" x14ac:dyDescent="0.2">
      <c r="H3325" s="49"/>
    </row>
    <row r="3326" spans="8:63" x14ac:dyDescent="0.2">
      <c r="H3326" s="49"/>
    </row>
    <row r="3327" spans="8:63" x14ac:dyDescent="0.2">
      <c r="H3327" s="49"/>
    </row>
    <row r="3328" spans="8:63" x14ac:dyDescent="0.2">
      <c r="H3328" s="49"/>
    </row>
    <row r="3329" spans="8:8" x14ac:dyDescent="0.2">
      <c r="H3329" s="49"/>
    </row>
    <row r="3330" spans="8:8" x14ac:dyDescent="0.2">
      <c r="H3330" s="49"/>
    </row>
    <row r="3331" spans="8:8" x14ac:dyDescent="0.2">
      <c r="H3331" s="49"/>
    </row>
    <row r="3332" spans="8:8" x14ac:dyDescent="0.2">
      <c r="H3332" s="49"/>
    </row>
    <row r="3333" spans="8:8" x14ac:dyDescent="0.2">
      <c r="H3333" s="49"/>
    </row>
    <row r="3334" spans="8:8" x14ac:dyDescent="0.2">
      <c r="H3334" s="49"/>
    </row>
    <row r="3335" spans="8:8" x14ac:dyDescent="0.2">
      <c r="H3335" s="49"/>
    </row>
    <row r="3336" spans="8:8" x14ac:dyDescent="0.2">
      <c r="H3336" s="49"/>
    </row>
    <row r="3337" spans="8:8" x14ac:dyDescent="0.2">
      <c r="H3337" s="49"/>
    </row>
    <row r="3338" spans="8:8" x14ac:dyDescent="0.2">
      <c r="H3338" s="49"/>
    </row>
    <row r="3339" spans="8:8" x14ac:dyDescent="0.2">
      <c r="H3339" s="49"/>
    </row>
    <row r="3340" spans="8:8" x14ac:dyDescent="0.2">
      <c r="H3340" s="49"/>
    </row>
    <row r="3341" spans="8:8" x14ac:dyDescent="0.2">
      <c r="H3341" s="49"/>
    </row>
    <row r="3342" spans="8:8" x14ac:dyDescent="0.2">
      <c r="H3342" s="49"/>
    </row>
    <row r="3343" spans="8:8" x14ac:dyDescent="0.2">
      <c r="H3343" s="49"/>
    </row>
    <row r="3344" spans="8:8" x14ac:dyDescent="0.2">
      <c r="H3344" s="49"/>
    </row>
    <row r="3345" spans="8:8" x14ac:dyDescent="0.2">
      <c r="H3345" s="49"/>
    </row>
    <row r="3346" spans="8:8" x14ac:dyDescent="0.2">
      <c r="H3346" s="49"/>
    </row>
    <row r="3347" spans="8:8" x14ac:dyDescent="0.2">
      <c r="H3347" s="49"/>
    </row>
    <row r="3348" spans="8:8" x14ac:dyDescent="0.2">
      <c r="H3348" s="49"/>
    </row>
    <row r="3349" spans="8:8" x14ac:dyDescent="0.2">
      <c r="H3349" s="49"/>
    </row>
    <row r="3350" spans="8:8" x14ac:dyDescent="0.2">
      <c r="H3350" s="49"/>
    </row>
    <row r="3351" spans="8:8" x14ac:dyDescent="0.2">
      <c r="H3351" s="49"/>
    </row>
    <row r="3352" spans="8:8" x14ac:dyDescent="0.2">
      <c r="H3352" s="49"/>
    </row>
    <row r="3353" spans="8:8" x14ac:dyDescent="0.2">
      <c r="H3353" s="49"/>
    </row>
    <row r="3354" spans="8:8" x14ac:dyDescent="0.2">
      <c r="H3354" s="49"/>
    </row>
    <row r="3355" spans="8:8" x14ac:dyDescent="0.2">
      <c r="H3355" s="49"/>
    </row>
    <row r="3356" spans="8:8" x14ac:dyDescent="0.2">
      <c r="H3356" s="49"/>
    </row>
    <row r="3357" spans="8:8" x14ac:dyDescent="0.2">
      <c r="H3357" s="49"/>
    </row>
    <row r="3358" spans="8:8" x14ac:dyDescent="0.2">
      <c r="H3358" s="49"/>
    </row>
    <row r="3359" spans="8:8" x14ac:dyDescent="0.2">
      <c r="H3359" s="49"/>
    </row>
    <row r="3360" spans="8:8" x14ac:dyDescent="0.2">
      <c r="H3360" s="49"/>
    </row>
    <row r="3361" spans="8:8" x14ac:dyDescent="0.2">
      <c r="H3361" s="49"/>
    </row>
    <row r="3362" spans="8:8" x14ac:dyDescent="0.2">
      <c r="H3362" s="49"/>
    </row>
    <row r="3363" spans="8:8" x14ac:dyDescent="0.2">
      <c r="H3363" s="49"/>
    </row>
    <row r="3364" spans="8:8" x14ac:dyDescent="0.2">
      <c r="H3364" s="49"/>
    </row>
    <row r="3365" spans="8:8" x14ac:dyDescent="0.2">
      <c r="H3365" s="49"/>
    </row>
    <row r="3366" spans="8:8" x14ac:dyDescent="0.2">
      <c r="H3366" s="49"/>
    </row>
    <row r="3367" spans="8:8" x14ac:dyDescent="0.2">
      <c r="H3367" s="49"/>
    </row>
    <row r="3368" spans="8:8" x14ac:dyDescent="0.2">
      <c r="H3368" s="49"/>
    </row>
    <row r="3369" spans="8:8" x14ac:dyDescent="0.2">
      <c r="H3369" s="49"/>
    </row>
    <row r="3370" spans="8:8" x14ac:dyDescent="0.2">
      <c r="H3370" s="49"/>
    </row>
    <row r="3371" spans="8:8" x14ac:dyDescent="0.2">
      <c r="H3371" s="49"/>
    </row>
    <row r="3372" spans="8:8" x14ac:dyDescent="0.2">
      <c r="H3372" s="49"/>
    </row>
    <row r="3373" spans="8:8" x14ac:dyDescent="0.2">
      <c r="H3373" s="49"/>
    </row>
    <row r="3374" spans="8:8" x14ac:dyDescent="0.2">
      <c r="H3374" s="49"/>
    </row>
    <row r="3375" spans="8:8" x14ac:dyDescent="0.2">
      <c r="H3375" s="49"/>
    </row>
    <row r="3376" spans="8:8" x14ac:dyDescent="0.2">
      <c r="H3376" s="49"/>
    </row>
    <row r="3377" spans="8:8" x14ac:dyDescent="0.2">
      <c r="H3377" s="49"/>
    </row>
    <row r="3378" spans="8:8" x14ac:dyDescent="0.2">
      <c r="H3378" s="49"/>
    </row>
    <row r="3379" spans="8:8" x14ac:dyDescent="0.2">
      <c r="H3379" s="49"/>
    </row>
    <row r="3380" spans="8:8" x14ac:dyDescent="0.2">
      <c r="H3380" s="49"/>
    </row>
    <row r="3381" spans="8:8" x14ac:dyDescent="0.2">
      <c r="H3381" s="49"/>
    </row>
    <row r="3382" spans="8:8" x14ac:dyDescent="0.2">
      <c r="H3382" s="49"/>
    </row>
    <row r="3383" spans="8:8" x14ac:dyDescent="0.2">
      <c r="H3383" s="49"/>
    </row>
    <row r="3384" spans="8:8" x14ac:dyDescent="0.2">
      <c r="H3384" s="49"/>
    </row>
    <row r="3385" spans="8:8" x14ac:dyDescent="0.2">
      <c r="H3385" s="49"/>
    </row>
    <row r="3386" spans="8:8" x14ac:dyDescent="0.2">
      <c r="H3386" s="49"/>
    </row>
    <row r="3387" spans="8:8" x14ac:dyDescent="0.2">
      <c r="H3387" s="49"/>
    </row>
    <row r="3388" spans="8:8" x14ac:dyDescent="0.2">
      <c r="H3388" s="49"/>
    </row>
    <row r="3389" spans="8:8" x14ac:dyDescent="0.2">
      <c r="H3389" s="49"/>
    </row>
    <row r="3390" spans="8:8" x14ac:dyDescent="0.2">
      <c r="H3390" s="49"/>
    </row>
    <row r="3391" spans="8:8" x14ac:dyDescent="0.2">
      <c r="H3391" s="49"/>
    </row>
    <row r="3392" spans="8:8" x14ac:dyDescent="0.2">
      <c r="H3392" s="49"/>
    </row>
    <row r="3393" spans="8:8" x14ac:dyDescent="0.2">
      <c r="H3393" s="49"/>
    </row>
    <row r="3394" spans="8:8" x14ac:dyDescent="0.2">
      <c r="H3394" s="49"/>
    </row>
    <row r="3395" spans="8:8" x14ac:dyDescent="0.2">
      <c r="H3395" s="49"/>
    </row>
    <row r="3396" spans="8:8" x14ac:dyDescent="0.2">
      <c r="H3396" s="49"/>
    </row>
    <row r="3397" spans="8:8" x14ac:dyDescent="0.2">
      <c r="H3397" s="49"/>
    </row>
    <row r="3398" spans="8:8" x14ac:dyDescent="0.2">
      <c r="H3398" s="49"/>
    </row>
    <row r="3399" spans="8:8" x14ac:dyDescent="0.2">
      <c r="H3399" s="49"/>
    </row>
    <row r="3400" spans="8:8" x14ac:dyDescent="0.2">
      <c r="H3400" s="49"/>
    </row>
    <row r="3401" spans="8:8" x14ac:dyDescent="0.2">
      <c r="H3401" s="49"/>
    </row>
    <row r="3402" spans="8:8" x14ac:dyDescent="0.2">
      <c r="H3402" s="49"/>
    </row>
    <row r="3403" spans="8:8" x14ac:dyDescent="0.2">
      <c r="H3403" s="49"/>
    </row>
    <row r="3404" spans="8:8" x14ac:dyDescent="0.2">
      <c r="H3404" s="49"/>
    </row>
    <row r="3405" spans="8:8" x14ac:dyDescent="0.2">
      <c r="H3405" s="49"/>
    </row>
    <row r="3406" spans="8:8" x14ac:dyDescent="0.2">
      <c r="H3406" s="49"/>
    </row>
    <row r="3407" spans="8:8" x14ac:dyDescent="0.2">
      <c r="H3407" s="49"/>
    </row>
    <row r="3408" spans="8:8" x14ac:dyDescent="0.2">
      <c r="H3408" s="49"/>
    </row>
    <row r="3409" spans="8:8" x14ac:dyDescent="0.2">
      <c r="H3409" s="49"/>
    </row>
    <row r="3410" spans="8:8" x14ac:dyDescent="0.2">
      <c r="H3410" s="49"/>
    </row>
    <row r="3411" spans="8:8" x14ac:dyDescent="0.2">
      <c r="H3411" s="49"/>
    </row>
    <row r="3412" spans="8:8" x14ac:dyDescent="0.2">
      <c r="H3412" s="49"/>
    </row>
    <row r="3413" spans="8:8" x14ac:dyDescent="0.2">
      <c r="H3413" s="49"/>
    </row>
    <row r="3414" spans="8:8" x14ac:dyDescent="0.2">
      <c r="H3414" s="49"/>
    </row>
    <row r="3415" spans="8:8" x14ac:dyDescent="0.2">
      <c r="H3415" s="49"/>
    </row>
    <row r="3416" spans="8:8" x14ac:dyDescent="0.2">
      <c r="H3416" s="49"/>
    </row>
    <row r="3417" spans="8:8" x14ac:dyDescent="0.2">
      <c r="H3417" s="49"/>
    </row>
    <row r="3418" spans="8:8" x14ac:dyDescent="0.2">
      <c r="H3418" s="49"/>
    </row>
    <row r="3419" spans="8:8" x14ac:dyDescent="0.2">
      <c r="H3419" s="49"/>
    </row>
    <row r="3420" spans="8:8" x14ac:dyDescent="0.2">
      <c r="H3420" s="49"/>
    </row>
    <row r="3421" spans="8:8" x14ac:dyDescent="0.2">
      <c r="H3421" s="49"/>
    </row>
    <row r="3422" spans="8:8" x14ac:dyDescent="0.2">
      <c r="H3422" s="49"/>
    </row>
    <row r="3423" spans="8:8" x14ac:dyDescent="0.2">
      <c r="H3423" s="49"/>
    </row>
    <row r="3424" spans="8:8" x14ac:dyDescent="0.2">
      <c r="H3424" s="49"/>
    </row>
    <row r="3425" spans="8:8" x14ac:dyDescent="0.2">
      <c r="H3425" s="49"/>
    </row>
    <row r="3426" spans="8:8" x14ac:dyDescent="0.2">
      <c r="H3426" s="49"/>
    </row>
    <row r="3427" spans="8:8" x14ac:dyDescent="0.2">
      <c r="H3427" s="49"/>
    </row>
    <row r="3428" spans="8:8" x14ac:dyDescent="0.2">
      <c r="H3428" s="49"/>
    </row>
    <row r="3429" spans="8:8" x14ac:dyDescent="0.2">
      <c r="H3429" s="49"/>
    </row>
    <row r="3430" spans="8:8" x14ac:dyDescent="0.2">
      <c r="H3430" s="49"/>
    </row>
    <row r="3431" spans="8:8" x14ac:dyDescent="0.2">
      <c r="H3431" s="49"/>
    </row>
    <row r="3432" spans="8:8" x14ac:dyDescent="0.2">
      <c r="H3432" s="49"/>
    </row>
    <row r="3433" spans="8:8" x14ac:dyDescent="0.2">
      <c r="H3433" s="49"/>
    </row>
    <row r="3434" spans="8:8" x14ac:dyDescent="0.2">
      <c r="H3434" s="49"/>
    </row>
    <row r="3435" spans="8:8" x14ac:dyDescent="0.2">
      <c r="H3435" s="49"/>
    </row>
    <row r="3436" spans="8:8" x14ac:dyDescent="0.2">
      <c r="H3436" s="49"/>
    </row>
    <row r="3437" spans="8:8" x14ac:dyDescent="0.2">
      <c r="H3437" s="49"/>
    </row>
    <row r="3438" spans="8:8" x14ac:dyDescent="0.2">
      <c r="H3438" s="49"/>
    </row>
    <row r="3439" spans="8:8" x14ac:dyDescent="0.2">
      <c r="H3439" s="49"/>
    </row>
    <row r="3440" spans="8:8" x14ac:dyDescent="0.2">
      <c r="H3440" s="49"/>
    </row>
    <row r="3441" spans="8:8" x14ac:dyDescent="0.2">
      <c r="H3441" s="49"/>
    </row>
    <row r="3442" spans="8:8" x14ac:dyDescent="0.2">
      <c r="H3442" s="49"/>
    </row>
    <row r="3443" spans="8:8" x14ac:dyDescent="0.2">
      <c r="H3443" s="49"/>
    </row>
    <row r="3444" spans="8:8" x14ac:dyDescent="0.2">
      <c r="H3444" s="49"/>
    </row>
    <row r="3445" spans="8:8" x14ac:dyDescent="0.2">
      <c r="H3445" s="49"/>
    </row>
    <row r="3446" spans="8:8" x14ac:dyDescent="0.2">
      <c r="H3446" s="49"/>
    </row>
    <row r="3447" spans="8:8" x14ac:dyDescent="0.2">
      <c r="H3447" s="49"/>
    </row>
    <row r="3448" spans="8:8" x14ac:dyDescent="0.2">
      <c r="H3448" s="49"/>
    </row>
    <row r="3449" spans="8:8" x14ac:dyDescent="0.2">
      <c r="H3449" s="49"/>
    </row>
    <row r="3450" spans="8:8" x14ac:dyDescent="0.2">
      <c r="H3450" s="49"/>
    </row>
    <row r="3451" spans="8:8" x14ac:dyDescent="0.2">
      <c r="H3451" s="49"/>
    </row>
    <row r="3452" spans="8:8" x14ac:dyDescent="0.2">
      <c r="H3452" s="49"/>
    </row>
    <row r="3453" spans="8:8" x14ac:dyDescent="0.2">
      <c r="H3453" s="49"/>
    </row>
    <row r="3454" spans="8:8" x14ac:dyDescent="0.2">
      <c r="H3454" s="49"/>
    </row>
    <row r="3455" spans="8:8" x14ac:dyDescent="0.2">
      <c r="H3455" s="49"/>
    </row>
    <row r="3456" spans="8:8" x14ac:dyDescent="0.2">
      <c r="H3456" s="49"/>
    </row>
    <row r="3457" spans="8:8" x14ac:dyDescent="0.2">
      <c r="H3457" s="49"/>
    </row>
    <row r="3458" spans="8:8" x14ac:dyDescent="0.2">
      <c r="H3458" s="49"/>
    </row>
    <row r="3459" spans="8:8" x14ac:dyDescent="0.2">
      <c r="H3459" s="49"/>
    </row>
    <row r="3460" spans="8:8" x14ac:dyDescent="0.2">
      <c r="H3460" s="49"/>
    </row>
    <row r="3461" spans="8:8" x14ac:dyDescent="0.2">
      <c r="H3461" s="49"/>
    </row>
    <row r="3462" spans="8:8" x14ac:dyDescent="0.2">
      <c r="H3462" s="49"/>
    </row>
    <row r="3463" spans="8:8" x14ac:dyDescent="0.2">
      <c r="H3463" s="49"/>
    </row>
    <row r="3464" spans="8:8" x14ac:dyDescent="0.2">
      <c r="H3464" s="49"/>
    </row>
    <row r="3465" spans="8:8" x14ac:dyDescent="0.2">
      <c r="H3465" s="49"/>
    </row>
    <row r="3466" spans="8:8" x14ac:dyDescent="0.2">
      <c r="H3466" s="49"/>
    </row>
    <row r="3467" spans="8:8" x14ac:dyDescent="0.2">
      <c r="H3467" s="49"/>
    </row>
    <row r="3468" spans="8:8" x14ac:dyDescent="0.2">
      <c r="H3468" s="49"/>
    </row>
    <row r="3469" spans="8:8" x14ac:dyDescent="0.2">
      <c r="H3469" s="49"/>
    </row>
    <row r="3470" spans="8:8" x14ac:dyDescent="0.2">
      <c r="H3470" s="49"/>
    </row>
    <row r="3471" spans="8:8" x14ac:dyDescent="0.2">
      <c r="H3471" s="49"/>
    </row>
    <row r="3472" spans="8:8" x14ac:dyDescent="0.2">
      <c r="H3472" s="49"/>
    </row>
    <row r="3473" spans="8:8" x14ac:dyDescent="0.2">
      <c r="H3473" s="49"/>
    </row>
    <row r="3474" spans="8:8" x14ac:dyDescent="0.2">
      <c r="H3474" s="49"/>
    </row>
    <row r="3475" spans="8:8" x14ac:dyDescent="0.2">
      <c r="H3475" s="49"/>
    </row>
    <row r="3476" spans="8:8" x14ac:dyDescent="0.2">
      <c r="H3476" s="49"/>
    </row>
    <row r="3477" spans="8:8" x14ac:dyDescent="0.2">
      <c r="H3477" s="49"/>
    </row>
    <row r="3478" spans="8:8" x14ac:dyDescent="0.2">
      <c r="H3478" s="49"/>
    </row>
    <row r="3479" spans="8:8" x14ac:dyDescent="0.2">
      <c r="H3479" s="49"/>
    </row>
    <row r="3480" spans="8:8" x14ac:dyDescent="0.2">
      <c r="H3480" s="49"/>
    </row>
    <row r="3481" spans="8:8" x14ac:dyDescent="0.2">
      <c r="H3481" s="49"/>
    </row>
    <row r="3482" spans="8:8" x14ac:dyDescent="0.2">
      <c r="H3482" s="49"/>
    </row>
    <row r="3483" spans="8:8" x14ac:dyDescent="0.2">
      <c r="H3483" s="49"/>
    </row>
    <row r="3484" spans="8:8" x14ac:dyDescent="0.2">
      <c r="H3484" s="49"/>
    </row>
    <row r="3485" spans="8:8" x14ac:dyDescent="0.2">
      <c r="H3485" s="49"/>
    </row>
    <row r="3486" spans="8:8" x14ac:dyDescent="0.2">
      <c r="H3486" s="49"/>
    </row>
    <row r="3487" spans="8:8" x14ac:dyDescent="0.2">
      <c r="H3487" s="49"/>
    </row>
    <row r="3488" spans="8:8" x14ac:dyDescent="0.2">
      <c r="H3488" s="49"/>
    </row>
    <row r="3489" spans="8:8" x14ac:dyDescent="0.2">
      <c r="H3489" s="49"/>
    </row>
    <row r="3490" spans="8:8" x14ac:dyDescent="0.2">
      <c r="H3490" s="49"/>
    </row>
    <row r="3491" spans="8:8" x14ac:dyDescent="0.2">
      <c r="H3491" s="49"/>
    </row>
    <row r="3492" spans="8:8" x14ac:dyDescent="0.2">
      <c r="H3492" s="49"/>
    </row>
    <row r="3493" spans="8:8" x14ac:dyDescent="0.2">
      <c r="H3493" s="49"/>
    </row>
    <row r="3494" spans="8:8" x14ac:dyDescent="0.2">
      <c r="H3494" s="49"/>
    </row>
    <row r="3495" spans="8:8" x14ac:dyDescent="0.2">
      <c r="H3495" s="49"/>
    </row>
    <row r="3496" spans="8:8" x14ac:dyDescent="0.2">
      <c r="H3496" s="49"/>
    </row>
    <row r="3497" spans="8:8" x14ac:dyDescent="0.2">
      <c r="H3497" s="49"/>
    </row>
    <row r="3498" spans="8:8" x14ac:dyDescent="0.2">
      <c r="H3498" s="49"/>
    </row>
    <row r="3499" spans="8:8" x14ac:dyDescent="0.2">
      <c r="H3499" s="49"/>
    </row>
    <row r="3500" spans="8:8" x14ac:dyDescent="0.2">
      <c r="H3500" s="49"/>
    </row>
    <row r="3501" spans="8:8" x14ac:dyDescent="0.2">
      <c r="H3501" s="49"/>
    </row>
    <row r="3502" spans="8:8" x14ac:dyDescent="0.2">
      <c r="H3502" s="49"/>
    </row>
    <row r="3503" spans="8:8" x14ac:dyDescent="0.2">
      <c r="H3503" s="49"/>
    </row>
    <row r="3504" spans="8:8" x14ac:dyDescent="0.2">
      <c r="H3504" s="49"/>
    </row>
    <row r="3505" spans="8:82" x14ac:dyDescent="0.2">
      <c r="H3505" s="49"/>
    </row>
    <row r="3506" spans="8:82" x14ac:dyDescent="0.2">
      <c r="H3506" s="49"/>
    </row>
    <row r="3507" spans="8:82" x14ac:dyDescent="0.2">
      <c r="H3507" s="49"/>
    </row>
    <row r="3508" spans="8:82" x14ac:dyDescent="0.2">
      <c r="H3508" s="49"/>
    </row>
    <row r="3509" spans="8:82" x14ac:dyDescent="0.2">
      <c r="H3509" s="49"/>
    </row>
    <row r="3510" spans="8:82" x14ac:dyDescent="0.2">
      <c r="H3510" s="49"/>
    </row>
    <row r="3511" spans="8:82" x14ac:dyDescent="0.2">
      <c r="H3511" s="49"/>
    </row>
    <row r="3512" spans="8:82" x14ac:dyDescent="0.2">
      <c r="H3512" s="49"/>
    </row>
    <row r="3513" spans="8:82" x14ac:dyDescent="0.2">
      <c r="H3513" s="49"/>
    </row>
    <row r="3514" spans="8:82" x14ac:dyDescent="0.2">
      <c r="H3514" s="49"/>
    </row>
    <row r="3515" spans="8:82" x14ac:dyDescent="0.2">
      <c r="H3515" s="49"/>
    </row>
    <row r="3516" spans="8:82" x14ac:dyDescent="0.2">
      <c r="H3516" s="49"/>
      <c r="CD3516" s="37"/>
    </row>
    <row r="3517" spans="8:82" x14ac:dyDescent="0.2">
      <c r="H3517" s="49"/>
      <c r="CD3517" s="37"/>
    </row>
    <row r="3518" spans="8:82" x14ac:dyDescent="0.2">
      <c r="H3518" s="49"/>
    </row>
    <row r="3519" spans="8:82" x14ac:dyDescent="0.2">
      <c r="H3519" s="49"/>
    </row>
    <row r="3520" spans="8:82" x14ac:dyDescent="0.2">
      <c r="H3520" s="49"/>
    </row>
    <row r="3521" spans="8:8" x14ac:dyDescent="0.2">
      <c r="H3521" s="49"/>
    </row>
    <row r="3522" spans="8:8" x14ac:dyDescent="0.2">
      <c r="H3522" s="49"/>
    </row>
    <row r="3523" spans="8:8" x14ac:dyDescent="0.2">
      <c r="H3523" s="49"/>
    </row>
    <row r="3524" spans="8:8" x14ac:dyDescent="0.2">
      <c r="H3524" s="49"/>
    </row>
    <row r="3525" spans="8:8" x14ac:dyDescent="0.2">
      <c r="H3525" s="49"/>
    </row>
    <row r="3526" spans="8:8" x14ac:dyDescent="0.2">
      <c r="H3526" s="49"/>
    </row>
    <row r="3527" spans="8:8" x14ac:dyDescent="0.2">
      <c r="H3527" s="49"/>
    </row>
    <row r="3528" spans="8:8" x14ac:dyDescent="0.2">
      <c r="H3528" s="49"/>
    </row>
    <row r="3529" spans="8:8" x14ac:dyDescent="0.2">
      <c r="H3529" s="49"/>
    </row>
    <row r="3530" spans="8:8" x14ac:dyDescent="0.2">
      <c r="H3530" s="49"/>
    </row>
    <row r="3531" spans="8:8" x14ac:dyDescent="0.2">
      <c r="H3531" s="49"/>
    </row>
    <row r="3532" spans="8:8" x14ac:dyDescent="0.2">
      <c r="H3532" s="49"/>
    </row>
    <row r="3533" spans="8:8" x14ac:dyDescent="0.2">
      <c r="H3533" s="49"/>
    </row>
    <row r="3534" spans="8:8" x14ac:dyDescent="0.2">
      <c r="H3534" s="49"/>
    </row>
    <row r="3535" spans="8:8" x14ac:dyDescent="0.2">
      <c r="H3535" s="49"/>
    </row>
    <row r="3536" spans="8:8" x14ac:dyDescent="0.2">
      <c r="H3536" s="49"/>
    </row>
    <row r="3537" spans="8:8" x14ac:dyDescent="0.2">
      <c r="H3537" s="49"/>
    </row>
    <row r="3538" spans="8:8" x14ac:dyDescent="0.2">
      <c r="H3538" s="49"/>
    </row>
    <row r="3539" spans="8:8" x14ac:dyDescent="0.2">
      <c r="H3539" s="49"/>
    </row>
    <row r="3540" spans="8:8" x14ac:dyDescent="0.2">
      <c r="H3540" s="49"/>
    </row>
    <row r="3541" spans="8:8" x14ac:dyDescent="0.2">
      <c r="H3541" s="49"/>
    </row>
    <row r="3542" spans="8:8" x14ac:dyDescent="0.2">
      <c r="H3542" s="49"/>
    </row>
    <row r="3543" spans="8:8" x14ac:dyDescent="0.2">
      <c r="H3543" s="49"/>
    </row>
    <row r="3544" spans="8:8" x14ac:dyDescent="0.2">
      <c r="H3544" s="49"/>
    </row>
    <row r="3545" spans="8:8" x14ac:dyDescent="0.2">
      <c r="H3545" s="49"/>
    </row>
    <row r="3546" spans="8:8" x14ac:dyDescent="0.2">
      <c r="H3546" s="49"/>
    </row>
    <row r="3547" spans="8:8" x14ac:dyDescent="0.2">
      <c r="H3547" s="49"/>
    </row>
    <row r="3548" spans="8:8" x14ac:dyDescent="0.2">
      <c r="H3548" s="49"/>
    </row>
    <row r="3549" spans="8:8" x14ac:dyDescent="0.2">
      <c r="H3549" s="49"/>
    </row>
    <row r="3550" spans="8:8" x14ac:dyDescent="0.2">
      <c r="H3550" s="49"/>
    </row>
    <row r="3551" spans="8:8" x14ac:dyDescent="0.2">
      <c r="H3551" s="49"/>
    </row>
    <row r="3552" spans="8:8" x14ac:dyDescent="0.2">
      <c r="H3552" s="49"/>
    </row>
    <row r="3553" spans="8:8" x14ac:dyDescent="0.2">
      <c r="H3553" s="49"/>
    </row>
    <row r="3554" spans="8:8" x14ac:dyDescent="0.2">
      <c r="H3554" s="49"/>
    </row>
    <row r="3555" spans="8:8" x14ac:dyDescent="0.2">
      <c r="H3555" s="49"/>
    </row>
    <row r="3556" spans="8:8" x14ac:dyDescent="0.2">
      <c r="H3556" s="49"/>
    </row>
    <row r="3557" spans="8:8" x14ac:dyDescent="0.2">
      <c r="H3557" s="49"/>
    </row>
    <row r="3558" spans="8:8" x14ac:dyDescent="0.2">
      <c r="H3558" s="49"/>
    </row>
    <row r="3559" spans="8:8" x14ac:dyDescent="0.2">
      <c r="H3559" s="49"/>
    </row>
    <row r="3560" spans="8:8" x14ac:dyDescent="0.2">
      <c r="H3560" s="49"/>
    </row>
    <row r="3561" spans="8:8" x14ac:dyDescent="0.2">
      <c r="H3561" s="49"/>
    </row>
    <row r="3562" spans="8:8" x14ac:dyDescent="0.2">
      <c r="H3562" s="49"/>
    </row>
    <row r="3563" spans="8:8" x14ac:dyDescent="0.2">
      <c r="H3563" s="49"/>
    </row>
    <row r="3564" spans="8:8" x14ac:dyDescent="0.2">
      <c r="H3564" s="49"/>
    </row>
    <row r="3565" spans="8:8" x14ac:dyDescent="0.2">
      <c r="H3565" s="49"/>
    </row>
    <row r="3566" spans="8:8" x14ac:dyDescent="0.2">
      <c r="H3566" s="49"/>
    </row>
    <row r="3567" spans="8:8" x14ac:dyDescent="0.2">
      <c r="H3567" s="49"/>
    </row>
    <row r="3568" spans="8:8" x14ac:dyDescent="0.2">
      <c r="H3568" s="49"/>
    </row>
    <row r="3569" spans="8:82" x14ac:dyDescent="0.2">
      <c r="H3569" s="49"/>
    </row>
    <row r="3570" spans="8:82" x14ac:dyDescent="0.2">
      <c r="H3570" s="49"/>
    </row>
    <row r="3571" spans="8:82" x14ac:dyDescent="0.2">
      <c r="H3571" s="49"/>
      <c r="CD3571" s="37"/>
    </row>
    <row r="3572" spans="8:82" x14ac:dyDescent="0.2">
      <c r="H3572" s="49"/>
      <c r="CD3572" s="37"/>
    </row>
    <row r="3573" spans="8:82" x14ac:dyDescent="0.2">
      <c r="H3573" s="49"/>
    </row>
    <row r="3574" spans="8:82" x14ac:dyDescent="0.2">
      <c r="H3574" s="49"/>
    </row>
    <row r="3575" spans="8:82" x14ac:dyDescent="0.2">
      <c r="H3575" s="49"/>
    </row>
    <row r="3576" spans="8:82" x14ac:dyDescent="0.2">
      <c r="H3576" s="49"/>
    </row>
    <row r="3577" spans="8:82" x14ac:dyDescent="0.2">
      <c r="H3577" s="49"/>
    </row>
    <row r="3578" spans="8:82" x14ac:dyDescent="0.2">
      <c r="H3578" s="49"/>
    </row>
    <row r="3579" spans="8:82" x14ac:dyDescent="0.2">
      <c r="H3579" s="49"/>
    </row>
    <row r="3580" spans="8:82" x14ac:dyDescent="0.2">
      <c r="H3580" s="49"/>
    </row>
    <row r="3581" spans="8:82" x14ac:dyDescent="0.2">
      <c r="H3581" s="49"/>
    </row>
    <row r="3582" spans="8:82" x14ac:dyDescent="0.2">
      <c r="H3582" s="49"/>
    </row>
    <row r="3583" spans="8:82" x14ac:dyDescent="0.2">
      <c r="H3583" s="49"/>
    </row>
    <row r="3584" spans="8:82" x14ac:dyDescent="0.2">
      <c r="H3584" s="49"/>
    </row>
    <row r="3585" spans="8:8" x14ac:dyDescent="0.2">
      <c r="H3585" s="49"/>
    </row>
    <row r="3586" spans="8:8" x14ac:dyDescent="0.2">
      <c r="H3586" s="49"/>
    </row>
    <row r="3587" spans="8:8" x14ac:dyDescent="0.2">
      <c r="H3587" s="49"/>
    </row>
    <row r="3588" spans="8:8" x14ac:dyDescent="0.2">
      <c r="H3588" s="49"/>
    </row>
    <row r="3589" spans="8:8" x14ac:dyDescent="0.2">
      <c r="H3589" s="49"/>
    </row>
    <row r="3590" spans="8:8" x14ac:dyDescent="0.2">
      <c r="H3590" s="49"/>
    </row>
    <row r="3591" spans="8:8" x14ac:dyDescent="0.2">
      <c r="H3591" s="49"/>
    </row>
    <row r="3592" spans="8:8" x14ac:dyDescent="0.2">
      <c r="H3592" s="49"/>
    </row>
    <row r="3593" spans="8:8" x14ac:dyDescent="0.2">
      <c r="H3593" s="49"/>
    </row>
    <row r="3594" spans="8:8" x14ac:dyDescent="0.2">
      <c r="H3594" s="49"/>
    </row>
    <row r="3595" spans="8:8" x14ac:dyDescent="0.2">
      <c r="H3595" s="49"/>
    </row>
    <row r="3596" spans="8:8" x14ac:dyDescent="0.2">
      <c r="H3596" s="49"/>
    </row>
    <row r="3597" spans="8:8" x14ac:dyDescent="0.2">
      <c r="H3597" s="49"/>
    </row>
    <row r="3598" spans="8:8" x14ac:dyDescent="0.2">
      <c r="H3598" s="49"/>
    </row>
    <row r="3599" spans="8:8" x14ac:dyDescent="0.2">
      <c r="H3599" s="49"/>
    </row>
    <row r="3600" spans="8:8" x14ac:dyDescent="0.2">
      <c r="H3600" s="49"/>
    </row>
    <row r="3601" spans="8:8" x14ac:dyDescent="0.2">
      <c r="H3601" s="49"/>
    </row>
    <row r="3602" spans="8:8" x14ac:dyDescent="0.2">
      <c r="H3602" s="49"/>
    </row>
    <row r="3603" spans="8:8" x14ac:dyDescent="0.2">
      <c r="H3603" s="49"/>
    </row>
    <row r="3604" spans="8:8" x14ac:dyDescent="0.2">
      <c r="H3604" s="49"/>
    </row>
    <row r="3605" spans="8:8" x14ac:dyDescent="0.2">
      <c r="H3605" s="49"/>
    </row>
    <row r="3606" spans="8:8" x14ac:dyDescent="0.2">
      <c r="H3606" s="49"/>
    </row>
    <row r="3607" spans="8:8" x14ac:dyDescent="0.2">
      <c r="H3607" s="49"/>
    </row>
    <row r="3608" spans="8:8" x14ac:dyDescent="0.2">
      <c r="H3608" s="49"/>
    </row>
    <row r="3609" spans="8:8" x14ac:dyDescent="0.2">
      <c r="H3609" s="49"/>
    </row>
    <row r="3610" spans="8:8" x14ac:dyDescent="0.2">
      <c r="H3610" s="49"/>
    </row>
    <row r="3611" spans="8:8" x14ac:dyDescent="0.2">
      <c r="H3611" s="49"/>
    </row>
    <row r="3612" spans="8:8" x14ac:dyDescent="0.2">
      <c r="H3612" s="49"/>
    </row>
    <row r="3613" spans="8:8" x14ac:dyDescent="0.2">
      <c r="H3613" s="49"/>
    </row>
    <row r="3614" spans="8:8" x14ac:dyDescent="0.2">
      <c r="H3614" s="49"/>
    </row>
    <row r="3615" spans="8:8" x14ac:dyDescent="0.2">
      <c r="H3615" s="49"/>
    </row>
    <row r="3616" spans="8:8" x14ac:dyDescent="0.2">
      <c r="H3616" s="49"/>
    </row>
    <row r="3617" spans="8:8" x14ac:dyDescent="0.2">
      <c r="H3617" s="49"/>
    </row>
    <row r="3618" spans="8:8" x14ac:dyDescent="0.2">
      <c r="H3618" s="49"/>
    </row>
    <row r="3619" spans="8:8" x14ac:dyDescent="0.2">
      <c r="H3619" s="49"/>
    </row>
    <row r="3620" spans="8:8" x14ac:dyDescent="0.2">
      <c r="H3620" s="49"/>
    </row>
    <row r="3621" spans="8:8" x14ac:dyDescent="0.2">
      <c r="H3621" s="49"/>
    </row>
    <row r="3622" spans="8:8" x14ac:dyDescent="0.2">
      <c r="H3622" s="49"/>
    </row>
    <row r="3623" spans="8:8" x14ac:dyDescent="0.2">
      <c r="H3623" s="49"/>
    </row>
    <row r="3624" spans="8:8" x14ac:dyDescent="0.2">
      <c r="H3624" s="49"/>
    </row>
    <row r="3625" spans="8:8" x14ac:dyDescent="0.2">
      <c r="H3625" s="49"/>
    </row>
    <row r="3626" spans="8:8" x14ac:dyDescent="0.2">
      <c r="H3626" s="49"/>
    </row>
    <row r="3627" spans="8:8" x14ac:dyDescent="0.2">
      <c r="H3627" s="49"/>
    </row>
    <row r="3628" spans="8:8" x14ac:dyDescent="0.2">
      <c r="H3628" s="49"/>
    </row>
    <row r="3629" spans="8:8" x14ac:dyDescent="0.2">
      <c r="H3629" s="49"/>
    </row>
    <row r="3630" spans="8:8" x14ac:dyDescent="0.2">
      <c r="H3630" s="49"/>
    </row>
    <row r="3631" spans="8:8" x14ac:dyDescent="0.2">
      <c r="H3631" s="49"/>
    </row>
    <row r="3632" spans="8:8" x14ac:dyDescent="0.2">
      <c r="H3632" s="49"/>
    </row>
    <row r="3633" spans="8:8" x14ac:dyDescent="0.2">
      <c r="H3633" s="49"/>
    </row>
    <row r="3634" spans="8:8" x14ac:dyDescent="0.2">
      <c r="H3634" s="49"/>
    </row>
    <row r="3635" spans="8:8" x14ac:dyDescent="0.2">
      <c r="H3635" s="49"/>
    </row>
    <row r="3636" spans="8:8" x14ac:dyDescent="0.2">
      <c r="H3636" s="49"/>
    </row>
    <row r="3637" spans="8:8" x14ac:dyDescent="0.2">
      <c r="H3637" s="49"/>
    </row>
    <row r="3638" spans="8:8" x14ac:dyDescent="0.2">
      <c r="H3638" s="49"/>
    </row>
    <row r="3639" spans="8:8" x14ac:dyDescent="0.2">
      <c r="H3639" s="49"/>
    </row>
    <row r="3640" spans="8:8" x14ac:dyDescent="0.2">
      <c r="H3640" s="49"/>
    </row>
    <row r="3641" spans="8:8" x14ac:dyDescent="0.2">
      <c r="H3641" s="49"/>
    </row>
    <row r="3642" spans="8:8" x14ac:dyDescent="0.2">
      <c r="H3642" s="49"/>
    </row>
    <row r="3643" spans="8:8" x14ac:dyDescent="0.2">
      <c r="H3643" s="49"/>
    </row>
    <row r="3644" spans="8:8" x14ac:dyDescent="0.2">
      <c r="H3644" s="49"/>
    </row>
    <row r="3645" spans="8:8" x14ac:dyDescent="0.2">
      <c r="H3645" s="49"/>
    </row>
    <row r="3646" spans="8:8" x14ac:dyDescent="0.2">
      <c r="H3646" s="49"/>
    </row>
    <row r="3647" spans="8:8" x14ac:dyDescent="0.2">
      <c r="H3647" s="49"/>
    </row>
    <row r="3648" spans="8:8" x14ac:dyDescent="0.2">
      <c r="H3648" s="49"/>
    </row>
    <row r="3649" spans="8:82" x14ac:dyDescent="0.2">
      <c r="H3649" s="49"/>
    </row>
    <row r="3650" spans="8:82" x14ac:dyDescent="0.2">
      <c r="H3650" s="49"/>
    </row>
    <row r="3651" spans="8:82" x14ac:dyDescent="0.2">
      <c r="H3651" s="49"/>
    </row>
    <row r="3652" spans="8:82" x14ac:dyDescent="0.2">
      <c r="H3652" s="49"/>
    </row>
    <row r="3653" spans="8:82" x14ac:dyDescent="0.2">
      <c r="H3653" s="49"/>
    </row>
    <row r="3654" spans="8:82" x14ac:dyDescent="0.2">
      <c r="H3654" s="49"/>
    </row>
    <row r="3655" spans="8:82" x14ac:dyDescent="0.2">
      <c r="H3655" s="49"/>
    </row>
    <row r="3656" spans="8:82" x14ac:dyDescent="0.2">
      <c r="H3656" s="49"/>
    </row>
    <row r="3657" spans="8:82" x14ac:dyDescent="0.2">
      <c r="H3657" s="49"/>
    </row>
    <row r="3658" spans="8:82" x14ac:dyDescent="0.2">
      <c r="H3658" s="49"/>
    </row>
    <row r="3659" spans="8:82" x14ac:dyDescent="0.2">
      <c r="H3659" s="49"/>
      <c r="CD3659" s="37"/>
    </row>
    <row r="3660" spans="8:82" x14ac:dyDescent="0.2">
      <c r="H3660" s="49"/>
      <c r="CD3660" s="37"/>
    </row>
    <row r="3661" spans="8:82" x14ac:dyDescent="0.2">
      <c r="H3661" s="49"/>
    </row>
    <row r="3662" spans="8:82" x14ac:dyDescent="0.2">
      <c r="H3662" s="49"/>
    </row>
    <row r="3663" spans="8:82" x14ac:dyDescent="0.2">
      <c r="H3663" s="49"/>
    </row>
    <row r="3664" spans="8:82" x14ac:dyDescent="0.2">
      <c r="H3664" s="49"/>
    </row>
    <row r="3665" spans="8:8" x14ac:dyDescent="0.2">
      <c r="H3665" s="49"/>
    </row>
    <row r="3666" spans="8:8" x14ac:dyDescent="0.2">
      <c r="H3666" s="49"/>
    </row>
    <row r="3667" spans="8:8" x14ac:dyDescent="0.2">
      <c r="H3667" s="49"/>
    </row>
    <row r="3668" spans="8:8" x14ac:dyDescent="0.2">
      <c r="H3668" s="49"/>
    </row>
    <row r="3669" spans="8:8" x14ac:dyDescent="0.2">
      <c r="H3669" s="49"/>
    </row>
    <row r="3670" spans="8:8" x14ac:dyDescent="0.2">
      <c r="H3670" s="49"/>
    </row>
    <row r="3671" spans="8:8" x14ac:dyDescent="0.2">
      <c r="H3671" s="49"/>
    </row>
    <row r="3672" spans="8:8" x14ac:dyDescent="0.2">
      <c r="H3672" s="49"/>
    </row>
    <row r="3673" spans="8:8" x14ac:dyDescent="0.2">
      <c r="H3673" s="49"/>
    </row>
    <row r="3674" spans="8:8" x14ac:dyDescent="0.2">
      <c r="H3674" s="49"/>
    </row>
    <row r="3675" spans="8:8" x14ac:dyDescent="0.2">
      <c r="H3675" s="49"/>
    </row>
    <row r="3676" spans="8:8" x14ac:dyDescent="0.2">
      <c r="H3676" s="49"/>
    </row>
    <row r="3677" spans="8:8" x14ac:dyDescent="0.2">
      <c r="H3677" s="49"/>
    </row>
    <row r="3678" spans="8:8" x14ac:dyDescent="0.2">
      <c r="H3678" s="49"/>
    </row>
    <row r="3679" spans="8:8" x14ac:dyDescent="0.2">
      <c r="H3679" s="49"/>
    </row>
    <row r="3680" spans="8:8" x14ac:dyDescent="0.2">
      <c r="H3680" s="49"/>
    </row>
    <row r="3681" spans="8:8" x14ac:dyDescent="0.2">
      <c r="H3681" s="49"/>
    </row>
    <row r="3682" spans="8:8" x14ac:dyDescent="0.2">
      <c r="H3682" s="49"/>
    </row>
    <row r="3683" spans="8:8" x14ac:dyDescent="0.2">
      <c r="H3683" s="49"/>
    </row>
    <row r="3684" spans="8:8" x14ac:dyDescent="0.2">
      <c r="H3684" s="49"/>
    </row>
    <row r="3685" spans="8:8" x14ac:dyDescent="0.2">
      <c r="H3685" s="49"/>
    </row>
    <row r="3686" spans="8:8" x14ac:dyDescent="0.2">
      <c r="H3686" s="49"/>
    </row>
    <row r="3687" spans="8:8" x14ac:dyDescent="0.2">
      <c r="H3687" s="49"/>
    </row>
    <row r="3688" spans="8:8" x14ac:dyDescent="0.2">
      <c r="H3688" s="49"/>
    </row>
    <row r="3689" spans="8:8" x14ac:dyDescent="0.2">
      <c r="H3689" s="49"/>
    </row>
    <row r="3690" spans="8:8" x14ac:dyDescent="0.2">
      <c r="H3690" s="49"/>
    </row>
    <row r="3691" spans="8:8" x14ac:dyDescent="0.2">
      <c r="H3691" s="49"/>
    </row>
    <row r="3692" spans="8:8" x14ac:dyDescent="0.2">
      <c r="H3692" s="49"/>
    </row>
    <row r="3693" spans="8:8" x14ac:dyDescent="0.2">
      <c r="H3693" s="49"/>
    </row>
    <row r="3694" spans="8:8" x14ac:dyDescent="0.2">
      <c r="H3694" s="49"/>
    </row>
    <row r="3695" spans="8:8" x14ac:dyDescent="0.2">
      <c r="H3695" s="49"/>
    </row>
    <row r="3696" spans="8:8" x14ac:dyDescent="0.2">
      <c r="H3696" s="49"/>
    </row>
    <row r="3697" spans="8:8" x14ac:dyDescent="0.2">
      <c r="H3697" s="49"/>
    </row>
    <row r="3698" spans="8:8" x14ac:dyDescent="0.2">
      <c r="H3698" s="49"/>
    </row>
    <row r="3699" spans="8:8" x14ac:dyDescent="0.2">
      <c r="H3699" s="49"/>
    </row>
    <row r="3700" spans="8:8" x14ac:dyDescent="0.2">
      <c r="H3700" s="49"/>
    </row>
    <row r="3701" spans="8:8" x14ac:dyDescent="0.2">
      <c r="H3701" s="49"/>
    </row>
    <row r="3702" spans="8:8" x14ac:dyDescent="0.2">
      <c r="H3702" s="49"/>
    </row>
    <row r="3703" spans="8:8" x14ac:dyDescent="0.2">
      <c r="H3703" s="49"/>
    </row>
    <row r="3704" spans="8:8" x14ac:dyDescent="0.2">
      <c r="H3704" s="49"/>
    </row>
    <row r="3705" spans="8:8" x14ac:dyDescent="0.2">
      <c r="H3705" s="49"/>
    </row>
    <row r="3706" spans="8:8" x14ac:dyDescent="0.2">
      <c r="H3706" s="49"/>
    </row>
    <row r="3707" spans="8:8" x14ac:dyDescent="0.2">
      <c r="H3707" s="49"/>
    </row>
    <row r="3708" spans="8:8" x14ac:dyDescent="0.2">
      <c r="H3708" s="49"/>
    </row>
    <row r="3709" spans="8:8" x14ac:dyDescent="0.2">
      <c r="H3709" s="49"/>
    </row>
    <row r="3710" spans="8:8" x14ac:dyDescent="0.2">
      <c r="H3710" s="49"/>
    </row>
    <row r="3711" spans="8:8" x14ac:dyDescent="0.2">
      <c r="H3711" s="49"/>
    </row>
    <row r="3712" spans="8:8" x14ac:dyDescent="0.2">
      <c r="H3712" s="49"/>
    </row>
    <row r="3713" spans="8:82" x14ac:dyDescent="0.2">
      <c r="H3713" s="49"/>
    </row>
    <row r="3714" spans="8:82" x14ac:dyDescent="0.2">
      <c r="H3714" s="49"/>
      <c r="CD3714" s="37"/>
    </row>
    <row r="3715" spans="8:82" x14ac:dyDescent="0.2">
      <c r="H3715" s="49"/>
      <c r="CD3715" s="37"/>
    </row>
    <row r="3716" spans="8:82" x14ac:dyDescent="0.2">
      <c r="H3716" s="49"/>
    </row>
    <row r="3717" spans="8:82" x14ac:dyDescent="0.2">
      <c r="H3717" s="49"/>
    </row>
    <row r="3718" spans="8:82" x14ac:dyDescent="0.2">
      <c r="H3718" s="49"/>
    </row>
    <row r="3719" spans="8:82" x14ac:dyDescent="0.2">
      <c r="H3719" s="49"/>
    </row>
    <row r="3720" spans="8:82" x14ac:dyDescent="0.2">
      <c r="H3720" s="49"/>
    </row>
    <row r="3721" spans="8:82" x14ac:dyDescent="0.2">
      <c r="H3721" s="49"/>
    </row>
    <row r="3722" spans="8:82" x14ac:dyDescent="0.2">
      <c r="H3722" s="49"/>
    </row>
    <row r="3723" spans="8:82" x14ac:dyDescent="0.2">
      <c r="H3723" s="49"/>
    </row>
    <row r="3724" spans="8:82" x14ac:dyDescent="0.2">
      <c r="H3724" s="49"/>
    </row>
    <row r="3725" spans="8:82" x14ac:dyDescent="0.2">
      <c r="H3725" s="49"/>
    </row>
    <row r="3726" spans="8:82" x14ac:dyDescent="0.2">
      <c r="H3726" s="49"/>
    </row>
    <row r="3727" spans="8:82" x14ac:dyDescent="0.2">
      <c r="H3727" s="49"/>
    </row>
    <row r="3728" spans="8:82" x14ac:dyDescent="0.2">
      <c r="H3728" s="49"/>
    </row>
    <row r="3729" spans="8:8" x14ac:dyDescent="0.2">
      <c r="H3729" s="49"/>
    </row>
    <row r="3730" spans="8:8" x14ac:dyDescent="0.2">
      <c r="H3730" s="49"/>
    </row>
    <row r="3731" spans="8:8" x14ac:dyDescent="0.2">
      <c r="H3731" s="49"/>
    </row>
    <row r="3732" spans="8:8" x14ac:dyDescent="0.2">
      <c r="H3732" s="49"/>
    </row>
    <row r="3733" spans="8:8" x14ac:dyDescent="0.2">
      <c r="H3733" s="49"/>
    </row>
    <row r="3734" spans="8:8" x14ac:dyDescent="0.2">
      <c r="H3734" s="49"/>
    </row>
    <row r="3735" spans="8:8" x14ac:dyDescent="0.2">
      <c r="H3735" s="49"/>
    </row>
    <row r="3736" spans="8:8" x14ac:dyDescent="0.2">
      <c r="H3736" s="49"/>
    </row>
    <row r="3737" spans="8:8" x14ac:dyDescent="0.2">
      <c r="H3737" s="49"/>
    </row>
    <row r="3738" spans="8:8" x14ac:dyDescent="0.2">
      <c r="H3738" s="49"/>
    </row>
    <row r="3739" spans="8:8" x14ac:dyDescent="0.2">
      <c r="H3739" s="49"/>
    </row>
    <row r="3740" spans="8:8" x14ac:dyDescent="0.2">
      <c r="H3740" s="49"/>
    </row>
    <row r="3741" spans="8:8" x14ac:dyDescent="0.2">
      <c r="H3741" s="49"/>
    </row>
    <row r="3742" spans="8:8" x14ac:dyDescent="0.2">
      <c r="H3742" s="49"/>
    </row>
    <row r="3743" spans="8:8" x14ac:dyDescent="0.2">
      <c r="H3743" s="49"/>
    </row>
    <row r="3744" spans="8:8" x14ac:dyDescent="0.2">
      <c r="H3744" s="49"/>
    </row>
    <row r="3745" spans="8:8" x14ac:dyDescent="0.2">
      <c r="H3745" s="49"/>
    </row>
    <row r="3746" spans="8:8" x14ac:dyDescent="0.2">
      <c r="H3746" s="49"/>
    </row>
    <row r="3747" spans="8:8" x14ac:dyDescent="0.2">
      <c r="H3747" s="49"/>
    </row>
    <row r="3748" spans="8:8" x14ac:dyDescent="0.2">
      <c r="H3748" s="49"/>
    </row>
    <row r="3749" spans="8:8" x14ac:dyDescent="0.2">
      <c r="H3749" s="49"/>
    </row>
    <row r="3750" spans="8:8" x14ac:dyDescent="0.2">
      <c r="H3750" s="49"/>
    </row>
    <row r="3751" spans="8:8" x14ac:dyDescent="0.2">
      <c r="H3751" s="49"/>
    </row>
    <row r="3752" spans="8:8" x14ac:dyDescent="0.2">
      <c r="H3752" s="49"/>
    </row>
    <row r="3753" spans="8:8" x14ac:dyDescent="0.2">
      <c r="H3753" s="49"/>
    </row>
    <row r="3754" spans="8:8" x14ac:dyDescent="0.2">
      <c r="H3754" s="49"/>
    </row>
    <row r="3755" spans="8:8" x14ac:dyDescent="0.2">
      <c r="H3755" s="49"/>
    </row>
    <row r="3756" spans="8:8" x14ac:dyDescent="0.2">
      <c r="H3756" s="49"/>
    </row>
    <row r="3757" spans="8:8" x14ac:dyDescent="0.2">
      <c r="H3757" s="49"/>
    </row>
    <row r="3758" spans="8:8" x14ac:dyDescent="0.2">
      <c r="H3758" s="49"/>
    </row>
    <row r="3759" spans="8:8" x14ac:dyDescent="0.2">
      <c r="H3759" s="49"/>
    </row>
    <row r="3760" spans="8:8" x14ac:dyDescent="0.2">
      <c r="H3760" s="49"/>
    </row>
    <row r="3761" spans="8:8" x14ac:dyDescent="0.2">
      <c r="H3761" s="49"/>
    </row>
    <row r="3762" spans="8:8" x14ac:dyDescent="0.2">
      <c r="H3762" s="49"/>
    </row>
    <row r="3763" spans="8:8" x14ac:dyDescent="0.2">
      <c r="H3763" s="49"/>
    </row>
    <row r="3764" spans="8:8" x14ac:dyDescent="0.2">
      <c r="H3764" s="49"/>
    </row>
    <row r="3765" spans="8:8" x14ac:dyDescent="0.2">
      <c r="H3765" s="49"/>
    </row>
    <row r="3766" spans="8:8" x14ac:dyDescent="0.2">
      <c r="H3766" s="49"/>
    </row>
    <row r="3767" spans="8:8" x14ac:dyDescent="0.2">
      <c r="H3767" s="49"/>
    </row>
    <row r="3768" spans="8:8" x14ac:dyDescent="0.2">
      <c r="H3768" s="49"/>
    </row>
    <row r="3769" spans="8:8" x14ac:dyDescent="0.2">
      <c r="H3769" s="49"/>
    </row>
    <row r="3770" spans="8:8" x14ac:dyDescent="0.2">
      <c r="H3770" s="49"/>
    </row>
    <row r="3771" spans="8:8" x14ac:dyDescent="0.2">
      <c r="H3771" s="49"/>
    </row>
    <row r="3772" spans="8:8" x14ac:dyDescent="0.2">
      <c r="H3772" s="49"/>
    </row>
    <row r="3773" spans="8:8" x14ac:dyDescent="0.2">
      <c r="H3773" s="49"/>
    </row>
    <row r="3774" spans="8:8" x14ac:dyDescent="0.2">
      <c r="H3774" s="49"/>
    </row>
    <row r="3775" spans="8:8" x14ac:dyDescent="0.2">
      <c r="H3775" s="49"/>
    </row>
    <row r="3776" spans="8:8" x14ac:dyDescent="0.2">
      <c r="H3776" s="49"/>
    </row>
    <row r="3777" spans="8:8" x14ac:dyDescent="0.2">
      <c r="H3777" s="49"/>
    </row>
    <row r="3778" spans="8:8" x14ac:dyDescent="0.2">
      <c r="H3778" s="49"/>
    </row>
    <row r="3779" spans="8:8" x14ac:dyDescent="0.2">
      <c r="H3779" s="49"/>
    </row>
    <row r="3780" spans="8:8" x14ac:dyDescent="0.2">
      <c r="H3780" s="49"/>
    </row>
    <row r="3781" spans="8:8" x14ac:dyDescent="0.2">
      <c r="H3781" s="49"/>
    </row>
    <row r="3782" spans="8:8" x14ac:dyDescent="0.2">
      <c r="H3782" s="49"/>
    </row>
    <row r="3783" spans="8:8" x14ac:dyDescent="0.2">
      <c r="H3783" s="49"/>
    </row>
    <row r="3784" spans="8:8" x14ac:dyDescent="0.2">
      <c r="H3784" s="49"/>
    </row>
    <row r="3785" spans="8:8" x14ac:dyDescent="0.2">
      <c r="H3785" s="49"/>
    </row>
    <row r="3786" spans="8:8" x14ac:dyDescent="0.2">
      <c r="H3786" s="49"/>
    </row>
    <row r="3787" spans="8:8" x14ac:dyDescent="0.2">
      <c r="H3787" s="49"/>
    </row>
    <row r="3788" spans="8:8" x14ac:dyDescent="0.2">
      <c r="H3788" s="49"/>
    </row>
    <row r="3789" spans="8:8" x14ac:dyDescent="0.2">
      <c r="H3789" s="49"/>
    </row>
    <row r="3790" spans="8:8" x14ac:dyDescent="0.2">
      <c r="H3790" s="49"/>
    </row>
    <row r="3791" spans="8:8" x14ac:dyDescent="0.2">
      <c r="H3791" s="49"/>
    </row>
    <row r="3792" spans="8:8" x14ac:dyDescent="0.2">
      <c r="H3792" s="49"/>
    </row>
    <row r="3793" spans="8:8" x14ac:dyDescent="0.2">
      <c r="H3793" s="49"/>
    </row>
    <row r="3794" spans="8:8" x14ac:dyDescent="0.2">
      <c r="H3794" s="49"/>
    </row>
    <row r="3795" spans="8:8" x14ac:dyDescent="0.2">
      <c r="H3795" s="49"/>
    </row>
    <row r="3796" spans="8:8" x14ac:dyDescent="0.2">
      <c r="H3796" s="49"/>
    </row>
    <row r="3797" spans="8:8" x14ac:dyDescent="0.2">
      <c r="H3797" s="49"/>
    </row>
    <row r="3798" spans="8:8" x14ac:dyDescent="0.2">
      <c r="H3798" s="49"/>
    </row>
    <row r="3799" spans="8:8" x14ac:dyDescent="0.2">
      <c r="H3799" s="49"/>
    </row>
    <row r="3800" spans="8:8" x14ac:dyDescent="0.2">
      <c r="H3800" s="49"/>
    </row>
    <row r="3801" spans="8:8" x14ac:dyDescent="0.2">
      <c r="H3801" s="49"/>
    </row>
    <row r="3802" spans="8:8" x14ac:dyDescent="0.2">
      <c r="H3802" s="49"/>
    </row>
    <row r="3803" spans="8:8" x14ac:dyDescent="0.2">
      <c r="H3803" s="49"/>
    </row>
    <row r="3804" spans="8:8" x14ac:dyDescent="0.2">
      <c r="H3804" s="49"/>
    </row>
    <row r="3805" spans="8:8" x14ac:dyDescent="0.2">
      <c r="H3805" s="49"/>
    </row>
    <row r="3806" spans="8:8" x14ac:dyDescent="0.2">
      <c r="H3806" s="49"/>
    </row>
    <row r="3807" spans="8:8" x14ac:dyDescent="0.2">
      <c r="H3807" s="49"/>
    </row>
    <row r="3808" spans="8:8" x14ac:dyDescent="0.2">
      <c r="H3808" s="49"/>
    </row>
    <row r="3809" spans="8:8" x14ac:dyDescent="0.2">
      <c r="H3809" s="49"/>
    </row>
    <row r="3810" spans="8:8" x14ac:dyDescent="0.2">
      <c r="H3810" s="49"/>
    </row>
    <row r="3811" spans="8:8" x14ac:dyDescent="0.2">
      <c r="H3811" s="49"/>
    </row>
    <row r="3812" spans="8:8" x14ac:dyDescent="0.2">
      <c r="H3812" s="49"/>
    </row>
    <row r="3813" spans="8:8" x14ac:dyDescent="0.2">
      <c r="H3813" s="49"/>
    </row>
    <row r="3814" spans="8:8" x14ac:dyDescent="0.2">
      <c r="H3814" s="49"/>
    </row>
    <row r="3815" spans="8:8" x14ac:dyDescent="0.2">
      <c r="H3815" s="49"/>
    </row>
    <row r="3816" spans="8:8" x14ac:dyDescent="0.2">
      <c r="H3816" s="49"/>
    </row>
    <row r="3817" spans="8:8" x14ac:dyDescent="0.2">
      <c r="H3817" s="49"/>
    </row>
    <row r="3818" spans="8:8" x14ac:dyDescent="0.2">
      <c r="H3818" s="49"/>
    </row>
    <row r="3819" spans="8:8" x14ac:dyDescent="0.2">
      <c r="H3819" s="49"/>
    </row>
    <row r="3820" spans="8:8" x14ac:dyDescent="0.2">
      <c r="H3820" s="49"/>
    </row>
    <row r="3821" spans="8:8" x14ac:dyDescent="0.2">
      <c r="H3821" s="49"/>
    </row>
    <row r="3822" spans="8:8" x14ac:dyDescent="0.2">
      <c r="H3822" s="49"/>
    </row>
    <row r="3823" spans="8:8" x14ac:dyDescent="0.2">
      <c r="H3823" s="49"/>
    </row>
    <row r="3824" spans="8:8" x14ac:dyDescent="0.2">
      <c r="H3824" s="49"/>
    </row>
    <row r="3825" spans="8:8" x14ac:dyDescent="0.2">
      <c r="H3825" s="49"/>
    </row>
    <row r="3826" spans="8:8" x14ac:dyDescent="0.2">
      <c r="H3826" s="49"/>
    </row>
    <row r="3827" spans="8:8" x14ac:dyDescent="0.2">
      <c r="H3827" s="49"/>
    </row>
    <row r="3828" spans="8:8" x14ac:dyDescent="0.2">
      <c r="H3828" s="49"/>
    </row>
    <row r="3829" spans="8:8" x14ac:dyDescent="0.2">
      <c r="H3829" s="49"/>
    </row>
    <row r="3830" spans="8:8" x14ac:dyDescent="0.2">
      <c r="H3830" s="49"/>
    </row>
    <row r="3831" spans="8:8" x14ac:dyDescent="0.2">
      <c r="H3831" s="49"/>
    </row>
    <row r="3832" spans="8:8" x14ac:dyDescent="0.2">
      <c r="H3832" s="49"/>
    </row>
    <row r="3833" spans="8:8" x14ac:dyDescent="0.2">
      <c r="H3833" s="49"/>
    </row>
    <row r="3834" spans="8:8" x14ac:dyDescent="0.2">
      <c r="H3834" s="49"/>
    </row>
    <row r="3835" spans="8:8" x14ac:dyDescent="0.2">
      <c r="H3835" s="49"/>
    </row>
    <row r="3836" spans="8:8" x14ac:dyDescent="0.2">
      <c r="H3836" s="49"/>
    </row>
    <row r="3837" spans="8:8" x14ac:dyDescent="0.2">
      <c r="H3837" s="49"/>
    </row>
    <row r="3838" spans="8:8" x14ac:dyDescent="0.2">
      <c r="H3838" s="49"/>
    </row>
    <row r="3839" spans="8:8" x14ac:dyDescent="0.2">
      <c r="H3839" s="49"/>
    </row>
    <row r="3840" spans="8:8" x14ac:dyDescent="0.2">
      <c r="H3840" s="49"/>
    </row>
    <row r="3841" spans="8:8" x14ac:dyDescent="0.2">
      <c r="H3841" s="49"/>
    </row>
    <row r="3842" spans="8:8" x14ac:dyDescent="0.2">
      <c r="H3842" s="49"/>
    </row>
    <row r="3843" spans="8:8" x14ac:dyDescent="0.2">
      <c r="H3843" s="49"/>
    </row>
    <row r="3844" spans="8:8" x14ac:dyDescent="0.2">
      <c r="H3844" s="49"/>
    </row>
    <row r="3845" spans="8:8" x14ac:dyDescent="0.2">
      <c r="H3845" s="49"/>
    </row>
    <row r="3846" spans="8:8" x14ac:dyDescent="0.2">
      <c r="H3846" s="49"/>
    </row>
    <row r="3847" spans="8:8" x14ac:dyDescent="0.2">
      <c r="H3847" s="49"/>
    </row>
    <row r="3848" spans="8:8" x14ac:dyDescent="0.2">
      <c r="H3848" s="49"/>
    </row>
    <row r="3849" spans="8:8" x14ac:dyDescent="0.2">
      <c r="H3849" s="49"/>
    </row>
    <row r="3850" spans="8:8" x14ac:dyDescent="0.2">
      <c r="H3850" s="49"/>
    </row>
    <row r="3851" spans="8:8" x14ac:dyDescent="0.2">
      <c r="H3851" s="49"/>
    </row>
    <row r="3852" spans="8:8" x14ac:dyDescent="0.2">
      <c r="H3852" s="49"/>
    </row>
    <row r="3853" spans="8:8" x14ac:dyDescent="0.2">
      <c r="H3853" s="49"/>
    </row>
    <row r="3854" spans="8:8" x14ac:dyDescent="0.2">
      <c r="H3854" s="49"/>
    </row>
    <row r="3855" spans="8:8" x14ac:dyDescent="0.2">
      <c r="H3855" s="49"/>
    </row>
    <row r="3856" spans="8:8" x14ac:dyDescent="0.2">
      <c r="H3856" s="49"/>
    </row>
    <row r="3857" spans="8:8" x14ac:dyDescent="0.2">
      <c r="H3857" s="49"/>
    </row>
    <row r="3858" spans="8:8" x14ac:dyDescent="0.2">
      <c r="H3858" s="49"/>
    </row>
    <row r="3859" spans="8:8" x14ac:dyDescent="0.2">
      <c r="H3859" s="49"/>
    </row>
    <row r="3860" spans="8:8" x14ac:dyDescent="0.2">
      <c r="H3860" s="49"/>
    </row>
    <row r="3861" spans="8:8" x14ac:dyDescent="0.2">
      <c r="H3861" s="49"/>
    </row>
    <row r="3862" spans="8:8" x14ac:dyDescent="0.2">
      <c r="H3862" s="49"/>
    </row>
    <row r="3863" spans="8:8" x14ac:dyDescent="0.2">
      <c r="H3863" s="49"/>
    </row>
    <row r="3864" spans="8:8" x14ac:dyDescent="0.2">
      <c r="H3864" s="49"/>
    </row>
    <row r="3865" spans="8:8" x14ac:dyDescent="0.2">
      <c r="H3865" s="49"/>
    </row>
    <row r="3866" spans="8:8" x14ac:dyDescent="0.2">
      <c r="H3866" s="49"/>
    </row>
    <row r="3867" spans="8:8" x14ac:dyDescent="0.2">
      <c r="H3867" s="49"/>
    </row>
    <row r="3868" spans="8:8" x14ac:dyDescent="0.2">
      <c r="H3868" s="49"/>
    </row>
    <row r="3869" spans="8:8" x14ac:dyDescent="0.2">
      <c r="H3869" s="49"/>
    </row>
    <row r="3870" spans="8:8" x14ac:dyDescent="0.2">
      <c r="H3870" s="49"/>
    </row>
    <row r="3871" spans="8:8" x14ac:dyDescent="0.2">
      <c r="H3871" s="49"/>
    </row>
    <row r="3872" spans="8:8" x14ac:dyDescent="0.2">
      <c r="H3872" s="49"/>
    </row>
    <row r="3873" spans="8:8" x14ac:dyDescent="0.2">
      <c r="H3873" s="49"/>
    </row>
    <row r="3874" spans="8:8" x14ac:dyDescent="0.2">
      <c r="H3874" s="49"/>
    </row>
    <row r="3875" spans="8:8" x14ac:dyDescent="0.2">
      <c r="H3875" s="49"/>
    </row>
    <row r="3876" spans="8:8" x14ac:dyDescent="0.2">
      <c r="H3876" s="49"/>
    </row>
    <row r="3877" spans="8:8" x14ac:dyDescent="0.2">
      <c r="H3877" s="49"/>
    </row>
    <row r="3878" spans="8:8" x14ac:dyDescent="0.2">
      <c r="H3878" s="49"/>
    </row>
    <row r="3879" spans="8:8" x14ac:dyDescent="0.2">
      <c r="H3879" s="49"/>
    </row>
    <row r="3880" spans="8:8" x14ac:dyDescent="0.2">
      <c r="H3880" s="49"/>
    </row>
    <row r="3881" spans="8:8" x14ac:dyDescent="0.2">
      <c r="H3881" s="49"/>
    </row>
    <row r="3882" spans="8:8" x14ac:dyDescent="0.2">
      <c r="H3882" s="49"/>
    </row>
    <row r="3883" spans="8:8" x14ac:dyDescent="0.2">
      <c r="H3883" s="49"/>
    </row>
    <row r="3884" spans="8:8" x14ac:dyDescent="0.2">
      <c r="H3884" s="49"/>
    </row>
    <row r="3885" spans="8:8" x14ac:dyDescent="0.2">
      <c r="H3885" s="49"/>
    </row>
    <row r="3886" spans="8:8" x14ac:dyDescent="0.2">
      <c r="H3886" s="49"/>
    </row>
    <row r="3887" spans="8:8" x14ac:dyDescent="0.2">
      <c r="H3887" s="49"/>
    </row>
    <row r="3888" spans="8:8" x14ac:dyDescent="0.2">
      <c r="H3888" s="49"/>
    </row>
    <row r="3889" spans="8:8" x14ac:dyDescent="0.2">
      <c r="H3889" s="49"/>
    </row>
    <row r="3890" spans="8:8" x14ac:dyDescent="0.2">
      <c r="H3890" s="49"/>
    </row>
    <row r="3891" spans="8:8" x14ac:dyDescent="0.2">
      <c r="H3891" s="49"/>
    </row>
    <row r="3892" spans="8:8" x14ac:dyDescent="0.2">
      <c r="H3892" s="49"/>
    </row>
    <row r="3893" spans="8:8" x14ac:dyDescent="0.2">
      <c r="H3893" s="49"/>
    </row>
    <row r="3894" spans="8:8" x14ac:dyDescent="0.2">
      <c r="H3894" s="49"/>
    </row>
    <row r="3895" spans="8:8" x14ac:dyDescent="0.2">
      <c r="H3895" s="49"/>
    </row>
    <row r="3896" spans="8:8" x14ac:dyDescent="0.2">
      <c r="H3896" s="49"/>
    </row>
    <row r="3897" spans="8:8" x14ac:dyDescent="0.2">
      <c r="H3897" s="49"/>
    </row>
    <row r="3898" spans="8:8" x14ac:dyDescent="0.2">
      <c r="H3898" s="49"/>
    </row>
    <row r="3899" spans="8:8" x14ac:dyDescent="0.2">
      <c r="H3899" s="49"/>
    </row>
    <row r="3900" spans="8:8" x14ac:dyDescent="0.2">
      <c r="H3900" s="49"/>
    </row>
    <row r="3901" spans="8:8" x14ac:dyDescent="0.2">
      <c r="H3901" s="49"/>
    </row>
    <row r="3902" spans="8:8" x14ac:dyDescent="0.2">
      <c r="H3902" s="49"/>
    </row>
    <row r="3903" spans="8:8" x14ac:dyDescent="0.2">
      <c r="H3903" s="49"/>
    </row>
    <row r="3904" spans="8:8" x14ac:dyDescent="0.2">
      <c r="H3904" s="49"/>
    </row>
    <row r="3905" spans="8:8" x14ac:dyDescent="0.2">
      <c r="H3905" s="49"/>
    </row>
    <row r="3906" spans="8:8" x14ac:dyDescent="0.2">
      <c r="H3906" s="49"/>
    </row>
    <row r="3907" spans="8:8" x14ac:dyDescent="0.2">
      <c r="H3907" s="49"/>
    </row>
    <row r="3908" spans="8:8" x14ac:dyDescent="0.2">
      <c r="H3908" s="49"/>
    </row>
    <row r="3909" spans="8:8" x14ac:dyDescent="0.2">
      <c r="H3909" s="49"/>
    </row>
    <row r="3910" spans="8:8" x14ac:dyDescent="0.2">
      <c r="H3910" s="49"/>
    </row>
    <row r="3911" spans="8:8" x14ac:dyDescent="0.2">
      <c r="H3911" s="49"/>
    </row>
    <row r="3912" spans="8:8" x14ac:dyDescent="0.2">
      <c r="H3912" s="49"/>
    </row>
    <row r="3913" spans="8:8" x14ac:dyDescent="0.2">
      <c r="H3913" s="49"/>
    </row>
    <row r="3914" spans="8:8" x14ac:dyDescent="0.2">
      <c r="H3914" s="49"/>
    </row>
    <row r="3915" spans="8:8" x14ac:dyDescent="0.2">
      <c r="H3915" s="49"/>
    </row>
    <row r="3916" spans="8:8" x14ac:dyDescent="0.2">
      <c r="H3916" s="49"/>
    </row>
    <row r="3917" spans="8:8" x14ac:dyDescent="0.2">
      <c r="H3917" s="49"/>
    </row>
    <row r="3918" spans="8:8" x14ac:dyDescent="0.2">
      <c r="H3918" s="49"/>
    </row>
    <row r="3919" spans="8:8" x14ac:dyDescent="0.2">
      <c r="H3919" s="49"/>
    </row>
    <row r="3920" spans="8:8" x14ac:dyDescent="0.2">
      <c r="H3920" s="49"/>
    </row>
    <row r="3921" spans="8:8" x14ac:dyDescent="0.2">
      <c r="H3921" s="49"/>
    </row>
    <row r="3922" spans="8:8" x14ac:dyDescent="0.2">
      <c r="H3922" s="49"/>
    </row>
    <row r="3923" spans="8:8" x14ac:dyDescent="0.2">
      <c r="H3923" s="49"/>
    </row>
    <row r="3924" spans="8:8" x14ac:dyDescent="0.2">
      <c r="H3924" s="49"/>
    </row>
    <row r="3925" spans="8:8" x14ac:dyDescent="0.2">
      <c r="H3925" s="49"/>
    </row>
    <row r="3926" spans="8:8" x14ac:dyDescent="0.2">
      <c r="H3926" s="49"/>
    </row>
    <row r="3927" spans="8:8" x14ac:dyDescent="0.2">
      <c r="H3927" s="49"/>
    </row>
    <row r="3928" spans="8:8" x14ac:dyDescent="0.2">
      <c r="H3928" s="49"/>
    </row>
    <row r="3929" spans="8:8" x14ac:dyDescent="0.2">
      <c r="H3929" s="49"/>
    </row>
    <row r="3930" spans="8:8" x14ac:dyDescent="0.2">
      <c r="H3930" s="49"/>
    </row>
    <row r="3931" spans="8:8" x14ac:dyDescent="0.2">
      <c r="H3931" s="49"/>
    </row>
    <row r="3932" spans="8:8" x14ac:dyDescent="0.2">
      <c r="H3932" s="49"/>
    </row>
    <row r="3933" spans="8:8" x14ac:dyDescent="0.2">
      <c r="H3933" s="49"/>
    </row>
    <row r="3934" spans="8:8" x14ac:dyDescent="0.2">
      <c r="H3934" s="49"/>
    </row>
    <row r="3935" spans="8:8" x14ac:dyDescent="0.2">
      <c r="H3935" s="49"/>
    </row>
    <row r="3936" spans="8:8" x14ac:dyDescent="0.2">
      <c r="H3936" s="49"/>
    </row>
    <row r="3937" spans="8:8" x14ac:dyDescent="0.2">
      <c r="H3937" s="49"/>
    </row>
    <row r="3938" spans="8:8" x14ac:dyDescent="0.2">
      <c r="H3938" s="49"/>
    </row>
    <row r="3939" spans="8:8" x14ac:dyDescent="0.2">
      <c r="H3939" s="49"/>
    </row>
    <row r="3940" spans="8:8" x14ac:dyDescent="0.2">
      <c r="H3940" s="49"/>
    </row>
    <row r="3941" spans="8:8" x14ac:dyDescent="0.2">
      <c r="H3941" s="49"/>
    </row>
    <row r="3942" spans="8:8" x14ac:dyDescent="0.2">
      <c r="H3942" s="49"/>
    </row>
    <row r="3943" spans="8:8" x14ac:dyDescent="0.2">
      <c r="H3943" s="49"/>
    </row>
    <row r="3944" spans="8:8" x14ac:dyDescent="0.2">
      <c r="H3944" s="49"/>
    </row>
    <row r="3945" spans="8:8" x14ac:dyDescent="0.2">
      <c r="H3945" s="49"/>
    </row>
    <row r="3946" spans="8:8" x14ac:dyDescent="0.2">
      <c r="H3946" s="49"/>
    </row>
    <row r="3947" spans="8:8" x14ac:dyDescent="0.2">
      <c r="H3947" s="49"/>
    </row>
    <row r="3948" spans="8:8" x14ac:dyDescent="0.2">
      <c r="H3948" s="49"/>
    </row>
    <row r="3949" spans="8:8" x14ac:dyDescent="0.2">
      <c r="H3949" s="49"/>
    </row>
    <row r="3950" spans="8:8" x14ac:dyDescent="0.2">
      <c r="H3950" s="49"/>
    </row>
    <row r="3951" spans="8:8" x14ac:dyDescent="0.2">
      <c r="H3951" s="49"/>
    </row>
    <row r="3952" spans="8:8" x14ac:dyDescent="0.2">
      <c r="H3952" s="49"/>
    </row>
    <row r="3953" spans="8:8" x14ac:dyDescent="0.2">
      <c r="H3953" s="49"/>
    </row>
    <row r="3954" spans="8:8" x14ac:dyDescent="0.2">
      <c r="H3954" s="49"/>
    </row>
    <row r="3955" spans="8:8" x14ac:dyDescent="0.2">
      <c r="H3955" s="49"/>
    </row>
    <row r="3956" spans="8:8" x14ac:dyDescent="0.2">
      <c r="H3956" s="49"/>
    </row>
    <row r="3957" spans="8:8" x14ac:dyDescent="0.2">
      <c r="H3957" s="49"/>
    </row>
    <row r="3958" spans="8:8" x14ac:dyDescent="0.2">
      <c r="H3958" s="49"/>
    </row>
    <row r="3959" spans="8:8" x14ac:dyDescent="0.2">
      <c r="H3959" s="49"/>
    </row>
    <row r="3960" spans="8:8" x14ac:dyDescent="0.2">
      <c r="H3960" s="49"/>
    </row>
    <row r="3961" spans="8:8" x14ac:dyDescent="0.2">
      <c r="H3961" s="49"/>
    </row>
    <row r="3962" spans="8:8" x14ac:dyDescent="0.2">
      <c r="H3962" s="49"/>
    </row>
    <row r="3963" spans="8:8" x14ac:dyDescent="0.2">
      <c r="H3963" s="49"/>
    </row>
    <row r="3964" spans="8:8" x14ac:dyDescent="0.2">
      <c r="H3964" s="49"/>
    </row>
    <row r="3965" spans="8:8" x14ac:dyDescent="0.2">
      <c r="H3965" s="49"/>
    </row>
    <row r="3966" spans="8:8" x14ac:dyDescent="0.2">
      <c r="H3966" s="49"/>
    </row>
    <row r="3967" spans="8:8" x14ac:dyDescent="0.2">
      <c r="H3967" s="49"/>
    </row>
    <row r="3968" spans="8:8" x14ac:dyDescent="0.2">
      <c r="H3968" s="49"/>
    </row>
    <row r="3969" spans="8:8" x14ac:dyDescent="0.2">
      <c r="H3969" s="49"/>
    </row>
    <row r="3970" spans="8:8" x14ac:dyDescent="0.2">
      <c r="H3970" s="49"/>
    </row>
    <row r="3971" spans="8:8" x14ac:dyDescent="0.2">
      <c r="H3971" s="49"/>
    </row>
    <row r="3972" spans="8:8" x14ac:dyDescent="0.2">
      <c r="H3972" s="49"/>
    </row>
    <row r="3973" spans="8:8" x14ac:dyDescent="0.2">
      <c r="H3973" s="49"/>
    </row>
    <row r="3974" spans="8:8" x14ac:dyDescent="0.2">
      <c r="H3974" s="49"/>
    </row>
    <row r="3975" spans="8:8" x14ac:dyDescent="0.2">
      <c r="H3975" s="49"/>
    </row>
    <row r="3976" spans="8:8" x14ac:dyDescent="0.2">
      <c r="H3976" s="49"/>
    </row>
    <row r="3977" spans="8:8" x14ac:dyDescent="0.2">
      <c r="H3977" s="49"/>
    </row>
    <row r="3978" spans="8:8" x14ac:dyDescent="0.2">
      <c r="H3978" s="49"/>
    </row>
    <row r="3979" spans="8:8" x14ac:dyDescent="0.2">
      <c r="H3979" s="49"/>
    </row>
    <row r="3980" spans="8:8" x14ac:dyDescent="0.2">
      <c r="H3980" s="49"/>
    </row>
    <row r="3981" spans="8:8" x14ac:dyDescent="0.2">
      <c r="H3981" s="49"/>
    </row>
    <row r="3982" spans="8:8" x14ac:dyDescent="0.2">
      <c r="H3982" s="49"/>
    </row>
    <row r="3983" spans="8:8" x14ac:dyDescent="0.2">
      <c r="H3983" s="49"/>
    </row>
    <row r="3984" spans="8:8" x14ac:dyDescent="0.2">
      <c r="H3984" s="49"/>
    </row>
    <row r="3985" spans="8:8" x14ac:dyDescent="0.2">
      <c r="H3985" s="49"/>
    </row>
    <row r="3986" spans="8:8" x14ac:dyDescent="0.2">
      <c r="H3986" s="49"/>
    </row>
    <row r="3987" spans="8:8" x14ac:dyDescent="0.2">
      <c r="H3987" s="49"/>
    </row>
    <row r="3988" spans="8:8" x14ac:dyDescent="0.2">
      <c r="H3988" s="49"/>
    </row>
    <row r="3989" spans="8:8" x14ac:dyDescent="0.2">
      <c r="H3989" s="49"/>
    </row>
    <row r="3990" spans="8:8" x14ac:dyDescent="0.2">
      <c r="H3990" s="49"/>
    </row>
    <row r="3991" spans="8:8" x14ac:dyDescent="0.2">
      <c r="H3991" s="49"/>
    </row>
    <row r="3992" spans="8:8" x14ac:dyDescent="0.2">
      <c r="H3992" s="49"/>
    </row>
    <row r="3993" spans="8:8" x14ac:dyDescent="0.2">
      <c r="H3993" s="49"/>
    </row>
    <row r="3994" spans="8:8" x14ac:dyDescent="0.2">
      <c r="H3994" s="49"/>
    </row>
    <row r="3995" spans="8:8" x14ac:dyDescent="0.2">
      <c r="H3995" s="49"/>
    </row>
    <row r="3996" spans="8:8" x14ac:dyDescent="0.2">
      <c r="H3996" s="49"/>
    </row>
    <row r="3997" spans="8:8" x14ac:dyDescent="0.2">
      <c r="H3997" s="49"/>
    </row>
    <row r="3998" spans="8:8" x14ac:dyDescent="0.2">
      <c r="H3998" s="49"/>
    </row>
    <row r="3999" spans="8:8" x14ac:dyDescent="0.2">
      <c r="H3999" s="49"/>
    </row>
    <row r="4000" spans="8:8" x14ac:dyDescent="0.2">
      <c r="H4000" s="49"/>
    </row>
    <row r="4001" spans="8:8" x14ac:dyDescent="0.2">
      <c r="H4001" s="49"/>
    </row>
    <row r="4002" spans="8:8" x14ac:dyDescent="0.2">
      <c r="H4002" s="49"/>
    </row>
    <row r="4003" spans="8:8" x14ac:dyDescent="0.2">
      <c r="H4003" s="49"/>
    </row>
    <row r="4004" spans="8:8" x14ac:dyDescent="0.2">
      <c r="H4004" s="49"/>
    </row>
    <row r="4005" spans="8:8" x14ac:dyDescent="0.2">
      <c r="H4005" s="49"/>
    </row>
    <row r="4006" spans="8:8" x14ac:dyDescent="0.2">
      <c r="H4006" s="49"/>
    </row>
    <row r="4007" spans="8:8" x14ac:dyDescent="0.2">
      <c r="H4007" s="49"/>
    </row>
    <row r="4008" spans="8:8" x14ac:dyDescent="0.2">
      <c r="H4008" s="49"/>
    </row>
    <row r="4009" spans="8:8" x14ac:dyDescent="0.2">
      <c r="H4009" s="49"/>
    </row>
    <row r="4010" spans="8:8" x14ac:dyDescent="0.2">
      <c r="H4010" s="49"/>
    </row>
    <row r="4011" spans="8:8" x14ac:dyDescent="0.2">
      <c r="H4011" s="49"/>
    </row>
    <row r="4012" spans="8:8" x14ac:dyDescent="0.2">
      <c r="H4012" s="49"/>
    </row>
    <row r="4013" spans="8:8" x14ac:dyDescent="0.2">
      <c r="H4013" s="49"/>
    </row>
    <row r="4014" spans="8:8" x14ac:dyDescent="0.2">
      <c r="H4014" s="49"/>
    </row>
    <row r="4015" spans="8:8" x14ac:dyDescent="0.2">
      <c r="H4015" s="49"/>
    </row>
    <row r="4016" spans="8:8" x14ac:dyDescent="0.2">
      <c r="H4016" s="49"/>
    </row>
    <row r="4017" spans="8:8" x14ac:dyDescent="0.2">
      <c r="H4017" s="49"/>
    </row>
    <row r="4018" spans="8:8" x14ac:dyDescent="0.2">
      <c r="H4018" s="49"/>
    </row>
    <row r="4019" spans="8:8" x14ac:dyDescent="0.2">
      <c r="H4019" s="49"/>
    </row>
    <row r="4020" spans="8:8" x14ac:dyDescent="0.2">
      <c r="H4020" s="49"/>
    </row>
    <row r="4021" spans="8:8" x14ac:dyDescent="0.2">
      <c r="H4021" s="49"/>
    </row>
    <row r="4022" spans="8:8" x14ac:dyDescent="0.2">
      <c r="H4022" s="49"/>
    </row>
    <row r="4023" spans="8:8" x14ac:dyDescent="0.2">
      <c r="H4023" s="49"/>
    </row>
    <row r="4024" spans="8:8" x14ac:dyDescent="0.2">
      <c r="H4024" s="49"/>
    </row>
    <row r="4025" spans="8:8" x14ac:dyDescent="0.2">
      <c r="H4025" s="49"/>
    </row>
    <row r="4026" spans="8:8" x14ac:dyDescent="0.2">
      <c r="H4026" s="49"/>
    </row>
    <row r="4027" spans="8:8" x14ac:dyDescent="0.2">
      <c r="H4027" s="49"/>
    </row>
    <row r="4028" spans="8:8" x14ac:dyDescent="0.2">
      <c r="H4028" s="49"/>
    </row>
    <row r="4029" spans="8:8" x14ac:dyDescent="0.2">
      <c r="H4029" s="49"/>
    </row>
    <row r="4030" spans="8:8" x14ac:dyDescent="0.2">
      <c r="H4030" s="49"/>
    </row>
    <row r="4031" spans="8:8" x14ac:dyDescent="0.2">
      <c r="H4031" s="49"/>
    </row>
    <row r="4032" spans="8:8" x14ac:dyDescent="0.2">
      <c r="H4032" s="49"/>
    </row>
    <row r="4033" spans="8:8" x14ac:dyDescent="0.2">
      <c r="H4033" s="49"/>
    </row>
    <row r="4034" spans="8:8" x14ac:dyDescent="0.2">
      <c r="H4034" s="49"/>
    </row>
    <row r="4035" spans="8:8" x14ac:dyDescent="0.2">
      <c r="H4035" s="49"/>
    </row>
    <row r="4036" spans="8:8" x14ac:dyDescent="0.2">
      <c r="H4036" s="49"/>
    </row>
    <row r="4037" spans="8:8" x14ac:dyDescent="0.2">
      <c r="H4037" s="49"/>
    </row>
    <row r="4038" spans="8:8" x14ac:dyDescent="0.2">
      <c r="H4038" s="49"/>
    </row>
    <row r="4039" spans="8:8" x14ac:dyDescent="0.2">
      <c r="H4039" s="49"/>
    </row>
    <row r="4040" spans="8:8" x14ac:dyDescent="0.2">
      <c r="H4040" s="49"/>
    </row>
    <row r="4041" spans="8:8" x14ac:dyDescent="0.2">
      <c r="H4041" s="49"/>
    </row>
    <row r="4042" spans="8:8" x14ac:dyDescent="0.2">
      <c r="H4042" s="49"/>
    </row>
    <row r="4043" spans="8:8" x14ac:dyDescent="0.2">
      <c r="H4043" s="49"/>
    </row>
    <row r="4044" spans="8:8" x14ac:dyDescent="0.2">
      <c r="H4044" s="49"/>
    </row>
    <row r="4045" spans="8:8" x14ac:dyDescent="0.2">
      <c r="H4045" s="49"/>
    </row>
    <row r="4046" spans="8:8" x14ac:dyDescent="0.2">
      <c r="H4046" s="49"/>
    </row>
    <row r="4047" spans="8:8" x14ac:dyDescent="0.2">
      <c r="H4047" s="49"/>
    </row>
    <row r="4048" spans="8:8" x14ac:dyDescent="0.2">
      <c r="H4048" s="49"/>
    </row>
    <row r="4049" spans="8:8" x14ac:dyDescent="0.2">
      <c r="H4049" s="49"/>
    </row>
    <row r="4050" spans="8:8" x14ac:dyDescent="0.2">
      <c r="H4050" s="49"/>
    </row>
    <row r="4051" spans="8:8" x14ac:dyDescent="0.2">
      <c r="H4051" s="49"/>
    </row>
    <row r="4052" spans="8:8" x14ac:dyDescent="0.2">
      <c r="H4052" s="49"/>
    </row>
    <row r="4053" spans="8:8" x14ac:dyDescent="0.2">
      <c r="H4053" s="49"/>
    </row>
    <row r="4054" spans="8:8" x14ac:dyDescent="0.2">
      <c r="H4054" s="49"/>
    </row>
    <row r="4055" spans="8:8" x14ac:dyDescent="0.2">
      <c r="H4055" s="49"/>
    </row>
    <row r="4056" spans="8:8" x14ac:dyDescent="0.2">
      <c r="H4056" s="49"/>
    </row>
    <row r="4057" spans="8:8" x14ac:dyDescent="0.2">
      <c r="H4057" s="49"/>
    </row>
    <row r="4058" spans="8:8" x14ac:dyDescent="0.2">
      <c r="H4058" s="49"/>
    </row>
    <row r="4059" spans="8:8" x14ac:dyDescent="0.2">
      <c r="H4059" s="49"/>
    </row>
    <row r="4060" spans="8:8" x14ac:dyDescent="0.2">
      <c r="H4060" s="49"/>
    </row>
    <row r="4061" spans="8:8" x14ac:dyDescent="0.2">
      <c r="H4061" s="49"/>
    </row>
    <row r="4062" spans="8:8" x14ac:dyDescent="0.2">
      <c r="H4062" s="49"/>
    </row>
    <row r="4063" spans="8:8" x14ac:dyDescent="0.2">
      <c r="H4063" s="49"/>
    </row>
    <row r="4064" spans="8:8" x14ac:dyDescent="0.2">
      <c r="H4064" s="49"/>
    </row>
    <row r="4065" spans="8:109" x14ac:dyDescent="0.2">
      <c r="H4065" s="49"/>
    </row>
    <row r="4066" spans="8:109" x14ac:dyDescent="0.2">
      <c r="H4066" s="49"/>
    </row>
    <row r="4067" spans="8:109" x14ac:dyDescent="0.2">
      <c r="H4067" s="49"/>
    </row>
    <row r="4068" spans="8:109" x14ac:dyDescent="0.2">
      <c r="H4068" s="49"/>
    </row>
    <row r="4069" spans="8:109" x14ac:dyDescent="0.2">
      <c r="H4069" s="49"/>
    </row>
    <row r="4070" spans="8:109" x14ac:dyDescent="0.2">
      <c r="H4070" s="49"/>
    </row>
    <row r="4071" spans="8:109" x14ac:dyDescent="0.2">
      <c r="H4071" s="49"/>
    </row>
    <row r="4072" spans="8:109" x14ac:dyDescent="0.2">
      <c r="H4072" s="49"/>
    </row>
    <row r="4073" spans="8:109" x14ac:dyDescent="0.2">
      <c r="H4073" s="49"/>
    </row>
    <row r="4074" spans="8:109" x14ac:dyDescent="0.2">
      <c r="H4074" s="49"/>
    </row>
    <row r="4075" spans="8:109" x14ac:dyDescent="0.2">
      <c r="H4075" s="49"/>
    </row>
    <row r="4076" spans="8:109" x14ac:dyDescent="0.2">
      <c r="H4076" s="49"/>
      <c r="DE4076" s="37"/>
    </row>
    <row r="4077" spans="8:109" x14ac:dyDescent="0.2">
      <c r="H4077" s="49"/>
    </row>
    <row r="4078" spans="8:109" x14ac:dyDescent="0.2">
      <c r="H4078" s="49"/>
    </row>
    <row r="4079" spans="8:109" x14ac:dyDescent="0.2">
      <c r="H4079" s="49"/>
    </row>
    <row r="4080" spans="8:109" x14ac:dyDescent="0.2">
      <c r="H4080" s="49"/>
    </row>
    <row r="4081" spans="8:8" x14ac:dyDescent="0.2">
      <c r="H4081" s="49"/>
    </row>
    <row r="4082" spans="8:8" x14ac:dyDescent="0.2">
      <c r="H4082" s="49"/>
    </row>
    <row r="4083" spans="8:8" x14ac:dyDescent="0.2">
      <c r="H4083" s="49"/>
    </row>
    <row r="4084" spans="8:8" x14ac:dyDescent="0.2">
      <c r="H4084" s="49"/>
    </row>
    <row r="4085" spans="8:8" x14ac:dyDescent="0.2">
      <c r="H4085" s="49"/>
    </row>
    <row r="4086" spans="8:8" x14ac:dyDescent="0.2">
      <c r="H4086" s="49"/>
    </row>
    <row r="4087" spans="8:8" x14ac:dyDescent="0.2">
      <c r="H4087" s="49"/>
    </row>
    <row r="4088" spans="8:8" x14ac:dyDescent="0.2">
      <c r="H4088" s="49"/>
    </row>
    <row r="4089" spans="8:8" x14ac:dyDescent="0.2">
      <c r="H4089" s="49"/>
    </row>
    <row r="4090" spans="8:8" x14ac:dyDescent="0.2">
      <c r="H4090" s="49"/>
    </row>
    <row r="4091" spans="8:8" x14ac:dyDescent="0.2">
      <c r="H4091" s="49"/>
    </row>
    <row r="4092" spans="8:8" x14ac:dyDescent="0.2">
      <c r="H4092" s="49"/>
    </row>
    <row r="4093" spans="8:8" x14ac:dyDescent="0.2">
      <c r="H4093" s="49"/>
    </row>
    <row r="4094" spans="8:8" x14ac:dyDescent="0.2">
      <c r="H4094" s="49"/>
    </row>
    <row r="4095" spans="8:8" x14ac:dyDescent="0.2">
      <c r="H4095" s="49"/>
    </row>
    <row r="4096" spans="8:8" x14ac:dyDescent="0.2">
      <c r="H4096" s="49"/>
    </row>
    <row r="4097" spans="8:8" x14ac:dyDescent="0.2">
      <c r="H4097" s="49"/>
    </row>
    <row r="4098" spans="8:8" x14ac:dyDescent="0.2">
      <c r="H4098" s="49"/>
    </row>
    <row r="4099" spans="8:8" x14ac:dyDescent="0.2">
      <c r="H4099" s="49"/>
    </row>
    <row r="4100" spans="8:8" x14ac:dyDescent="0.2">
      <c r="H4100" s="49"/>
    </row>
    <row r="4101" spans="8:8" x14ac:dyDescent="0.2">
      <c r="H4101" s="49"/>
    </row>
    <row r="4102" spans="8:8" x14ac:dyDescent="0.2">
      <c r="H4102" s="49"/>
    </row>
    <row r="4103" spans="8:8" x14ac:dyDescent="0.2">
      <c r="H4103" s="49"/>
    </row>
    <row r="4104" spans="8:8" x14ac:dyDescent="0.2">
      <c r="H4104" s="49"/>
    </row>
    <row r="4105" spans="8:8" x14ac:dyDescent="0.2">
      <c r="H4105" s="49"/>
    </row>
    <row r="4106" spans="8:8" x14ac:dyDescent="0.2">
      <c r="H4106" s="49"/>
    </row>
    <row r="4107" spans="8:8" x14ac:dyDescent="0.2">
      <c r="H4107" s="49"/>
    </row>
    <row r="4108" spans="8:8" x14ac:dyDescent="0.2">
      <c r="H4108" s="49"/>
    </row>
    <row r="4109" spans="8:8" x14ac:dyDescent="0.2">
      <c r="H4109" s="49"/>
    </row>
    <row r="4110" spans="8:8" x14ac:dyDescent="0.2">
      <c r="H4110" s="49"/>
    </row>
    <row r="4111" spans="8:8" x14ac:dyDescent="0.2">
      <c r="H4111" s="49"/>
    </row>
    <row r="4112" spans="8:8" x14ac:dyDescent="0.2">
      <c r="H4112" s="49"/>
    </row>
    <row r="4113" spans="8:8" x14ac:dyDescent="0.2">
      <c r="H4113" s="49"/>
    </row>
    <row r="4114" spans="8:8" x14ac:dyDescent="0.2">
      <c r="H4114" s="49"/>
    </row>
    <row r="4115" spans="8:8" x14ac:dyDescent="0.2">
      <c r="H4115" s="49"/>
    </row>
    <row r="4116" spans="8:8" x14ac:dyDescent="0.2">
      <c r="H4116" s="49"/>
    </row>
    <row r="4117" spans="8:8" x14ac:dyDescent="0.2">
      <c r="H4117" s="49"/>
    </row>
    <row r="4118" spans="8:8" x14ac:dyDescent="0.2">
      <c r="H4118" s="49"/>
    </row>
    <row r="4119" spans="8:8" x14ac:dyDescent="0.2">
      <c r="H4119" s="49"/>
    </row>
    <row r="4120" spans="8:8" x14ac:dyDescent="0.2">
      <c r="H4120" s="49"/>
    </row>
    <row r="4121" spans="8:8" x14ac:dyDescent="0.2">
      <c r="H4121" s="49"/>
    </row>
    <row r="4122" spans="8:8" x14ac:dyDescent="0.2">
      <c r="H4122" s="49"/>
    </row>
    <row r="4123" spans="8:8" x14ac:dyDescent="0.2">
      <c r="H4123" s="49"/>
    </row>
    <row r="4124" spans="8:8" x14ac:dyDescent="0.2">
      <c r="H4124" s="49"/>
    </row>
    <row r="4125" spans="8:8" x14ac:dyDescent="0.2">
      <c r="H4125" s="49"/>
    </row>
    <row r="4126" spans="8:8" x14ac:dyDescent="0.2">
      <c r="H4126" s="49"/>
    </row>
    <row r="4127" spans="8:8" x14ac:dyDescent="0.2">
      <c r="H4127" s="49"/>
    </row>
    <row r="4128" spans="8:8" x14ac:dyDescent="0.2">
      <c r="H4128" s="49"/>
    </row>
    <row r="4129" spans="8:8" x14ac:dyDescent="0.2">
      <c r="H4129" s="49"/>
    </row>
    <row r="4130" spans="8:8" x14ac:dyDescent="0.2">
      <c r="H4130" s="49"/>
    </row>
    <row r="4131" spans="8:8" x14ac:dyDescent="0.2">
      <c r="H4131" s="49"/>
    </row>
    <row r="4132" spans="8:8" x14ac:dyDescent="0.2">
      <c r="H4132" s="49"/>
    </row>
    <row r="4133" spans="8:8" x14ac:dyDescent="0.2">
      <c r="H4133" s="49"/>
    </row>
    <row r="4134" spans="8:8" x14ac:dyDescent="0.2">
      <c r="H4134" s="49"/>
    </row>
    <row r="4135" spans="8:8" x14ac:dyDescent="0.2">
      <c r="H4135" s="49"/>
    </row>
    <row r="4136" spans="8:8" x14ac:dyDescent="0.2">
      <c r="H4136" s="49"/>
    </row>
    <row r="4137" spans="8:8" x14ac:dyDescent="0.2">
      <c r="H4137" s="49"/>
    </row>
    <row r="4138" spans="8:8" x14ac:dyDescent="0.2">
      <c r="H4138" s="49"/>
    </row>
    <row r="4139" spans="8:8" x14ac:dyDescent="0.2">
      <c r="H4139" s="49"/>
    </row>
    <row r="4140" spans="8:8" x14ac:dyDescent="0.2">
      <c r="H4140" s="49"/>
    </row>
    <row r="4141" spans="8:8" x14ac:dyDescent="0.2">
      <c r="H4141" s="49"/>
    </row>
    <row r="4142" spans="8:8" x14ac:dyDescent="0.2">
      <c r="H4142" s="49"/>
    </row>
    <row r="4143" spans="8:8" x14ac:dyDescent="0.2">
      <c r="H4143" s="49"/>
    </row>
    <row r="4144" spans="8:8" x14ac:dyDescent="0.2">
      <c r="H4144" s="49"/>
    </row>
    <row r="4145" spans="8:8" x14ac:dyDescent="0.2">
      <c r="H4145" s="49"/>
    </row>
    <row r="4146" spans="8:8" x14ac:dyDescent="0.2">
      <c r="H4146" s="49"/>
    </row>
    <row r="4147" spans="8:8" x14ac:dyDescent="0.2">
      <c r="H4147" s="49"/>
    </row>
    <row r="4148" spans="8:8" x14ac:dyDescent="0.2">
      <c r="H4148" s="49"/>
    </row>
    <row r="4149" spans="8:8" x14ac:dyDescent="0.2">
      <c r="H4149" s="49"/>
    </row>
    <row r="4150" spans="8:8" x14ac:dyDescent="0.2">
      <c r="H4150" s="49"/>
    </row>
    <row r="4151" spans="8:8" x14ac:dyDescent="0.2">
      <c r="H4151" s="49"/>
    </row>
    <row r="4152" spans="8:8" x14ac:dyDescent="0.2">
      <c r="H4152" s="49"/>
    </row>
    <row r="4153" spans="8:8" x14ac:dyDescent="0.2">
      <c r="H4153" s="49"/>
    </row>
    <row r="4154" spans="8:8" x14ac:dyDescent="0.2">
      <c r="H4154" s="49"/>
    </row>
    <row r="4155" spans="8:8" x14ac:dyDescent="0.2">
      <c r="H4155" s="49"/>
    </row>
    <row r="4156" spans="8:8" x14ac:dyDescent="0.2">
      <c r="H4156" s="49"/>
    </row>
    <row r="4157" spans="8:8" x14ac:dyDescent="0.2">
      <c r="H4157" s="49"/>
    </row>
    <row r="4158" spans="8:8" x14ac:dyDescent="0.2">
      <c r="H4158" s="49"/>
    </row>
    <row r="4159" spans="8:8" x14ac:dyDescent="0.2">
      <c r="H4159" s="49"/>
    </row>
    <row r="4160" spans="8:8" x14ac:dyDescent="0.2">
      <c r="H4160" s="49"/>
    </row>
    <row r="4161" spans="8:8" x14ac:dyDescent="0.2">
      <c r="H4161" s="49"/>
    </row>
    <row r="4162" spans="8:8" x14ac:dyDescent="0.2">
      <c r="H4162" s="49"/>
    </row>
    <row r="4163" spans="8:8" x14ac:dyDescent="0.2">
      <c r="H4163" s="49"/>
    </row>
    <row r="4164" spans="8:8" x14ac:dyDescent="0.2">
      <c r="H4164" s="49"/>
    </row>
    <row r="4165" spans="8:8" x14ac:dyDescent="0.2">
      <c r="H4165" s="49"/>
    </row>
    <row r="4166" spans="8:8" x14ac:dyDescent="0.2">
      <c r="H4166" s="49"/>
    </row>
    <row r="4167" spans="8:8" x14ac:dyDescent="0.2">
      <c r="H4167" s="49"/>
    </row>
    <row r="4168" spans="8:8" x14ac:dyDescent="0.2">
      <c r="H4168" s="49"/>
    </row>
    <row r="4169" spans="8:8" x14ac:dyDescent="0.2">
      <c r="H4169" s="49"/>
    </row>
    <row r="4170" spans="8:8" x14ac:dyDescent="0.2">
      <c r="H4170" s="49"/>
    </row>
    <row r="4171" spans="8:8" x14ac:dyDescent="0.2">
      <c r="H4171" s="49"/>
    </row>
    <row r="4172" spans="8:8" x14ac:dyDescent="0.2">
      <c r="H4172" s="49"/>
    </row>
    <row r="4173" spans="8:8" x14ac:dyDescent="0.2">
      <c r="H4173" s="49"/>
    </row>
    <row r="4174" spans="8:8" x14ac:dyDescent="0.2">
      <c r="H4174" s="49"/>
    </row>
    <row r="4175" spans="8:8" x14ac:dyDescent="0.2">
      <c r="H4175" s="49"/>
    </row>
    <row r="4176" spans="8:8" x14ac:dyDescent="0.2">
      <c r="H4176" s="49"/>
    </row>
    <row r="4177" spans="8:8" x14ac:dyDescent="0.2">
      <c r="H4177" s="49"/>
    </row>
    <row r="4178" spans="8:8" x14ac:dyDescent="0.2">
      <c r="H4178" s="49"/>
    </row>
    <row r="4179" spans="8:8" x14ac:dyDescent="0.2">
      <c r="H4179" s="49"/>
    </row>
    <row r="4180" spans="8:8" x14ac:dyDescent="0.2">
      <c r="H4180" s="49"/>
    </row>
    <row r="4181" spans="8:8" x14ac:dyDescent="0.2">
      <c r="H4181" s="49"/>
    </row>
    <row r="4182" spans="8:8" x14ac:dyDescent="0.2">
      <c r="H4182" s="49"/>
    </row>
    <row r="4183" spans="8:8" x14ac:dyDescent="0.2">
      <c r="H4183" s="49"/>
    </row>
    <row r="4184" spans="8:8" x14ac:dyDescent="0.2">
      <c r="H4184" s="49"/>
    </row>
    <row r="4185" spans="8:8" x14ac:dyDescent="0.2">
      <c r="H4185" s="49"/>
    </row>
    <row r="4186" spans="8:8" x14ac:dyDescent="0.2">
      <c r="H4186" s="49"/>
    </row>
    <row r="4187" spans="8:8" x14ac:dyDescent="0.2">
      <c r="H4187" s="49"/>
    </row>
    <row r="4188" spans="8:8" x14ac:dyDescent="0.2">
      <c r="H4188" s="49"/>
    </row>
    <row r="4189" spans="8:8" x14ac:dyDescent="0.2">
      <c r="H4189" s="49"/>
    </row>
    <row r="4190" spans="8:8" x14ac:dyDescent="0.2">
      <c r="H4190" s="49"/>
    </row>
    <row r="4191" spans="8:8" x14ac:dyDescent="0.2">
      <c r="H4191" s="49"/>
    </row>
    <row r="4192" spans="8:8" x14ac:dyDescent="0.2">
      <c r="H4192" s="49"/>
    </row>
    <row r="4193" spans="8:8" x14ac:dyDescent="0.2">
      <c r="H4193" s="49"/>
    </row>
    <row r="4194" spans="8:8" x14ac:dyDescent="0.2">
      <c r="H4194" s="49"/>
    </row>
    <row r="4195" spans="8:8" x14ac:dyDescent="0.2">
      <c r="H4195" s="49"/>
    </row>
    <row r="4196" spans="8:8" x14ac:dyDescent="0.2">
      <c r="H4196" s="49"/>
    </row>
    <row r="4197" spans="8:8" x14ac:dyDescent="0.2">
      <c r="H4197" s="49"/>
    </row>
    <row r="4198" spans="8:8" x14ac:dyDescent="0.2">
      <c r="H4198" s="49"/>
    </row>
    <row r="4199" spans="8:8" x14ac:dyDescent="0.2">
      <c r="H4199" s="49"/>
    </row>
    <row r="4200" spans="8:8" x14ac:dyDescent="0.2">
      <c r="H4200" s="49"/>
    </row>
    <row r="4201" spans="8:8" x14ac:dyDescent="0.2">
      <c r="H4201" s="49"/>
    </row>
    <row r="4202" spans="8:8" x14ac:dyDescent="0.2">
      <c r="H4202" s="49"/>
    </row>
    <row r="4203" spans="8:8" x14ac:dyDescent="0.2">
      <c r="H4203" s="49"/>
    </row>
    <row r="4204" spans="8:8" x14ac:dyDescent="0.2">
      <c r="H4204" s="49"/>
    </row>
    <row r="4205" spans="8:8" x14ac:dyDescent="0.2">
      <c r="H4205" s="49"/>
    </row>
    <row r="4206" spans="8:8" x14ac:dyDescent="0.2">
      <c r="H4206" s="49"/>
    </row>
    <row r="4207" spans="8:8" x14ac:dyDescent="0.2">
      <c r="H4207" s="49"/>
    </row>
    <row r="4208" spans="8:8" x14ac:dyDescent="0.2">
      <c r="H4208" s="49"/>
    </row>
    <row r="4209" spans="8:8" x14ac:dyDescent="0.2">
      <c r="H4209" s="49"/>
    </row>
    <row r="4210" spans="8:8" x14ac:dyDescent="0.2">
      <c r="H4210" s="49"/>
    </row>
    <row r="4211" spans="8:8" x14ac:dyDescent="0.2">
      <c r="H4211" s="49"/>
    </row>
    <row r="4212" spans="8:8" x14ac:dyDescent="0.2">
      <c r="H4212" s="49"/>
    </row>
    <row r="4213" spans="8:8" x14ac:dyDescent="0.2">
      <c r="H4213" s="49"/>
    </row>
    <row r="4214" spans="8:8" x14ac:dyDescent="0.2">
      <c r="H4214" s="49"/>
    </row>
    <row r="4215" spans="8:8" x14ac:dyDescent="0.2">
      <c r="H4215" s="49"/>
    </row>
    <row r="4216" spans="8:8" x14ac:dyDescent="0.2">
      <c r="H4216" s="49"/>
    </row>
    <row r="4217" spans="8:8" x14ac:dyDescent="0.2">
      <c r="H4217" s="49"/>
    </row>
    <row r="4218" spans="8:8" x14ac:dyDescent="0.2">
      <c r="H4218" s="49"/>
    </row>
    <row r="4219" spans="8:8" x14ac:dyDescent="0.2">
      <c r="H4219" s="49"/>
    </row>
    <row r="4220" spans="8:8" x14ac:dyDescent="0.2">
      <c r="H4220" s="49"/>
    </row>
    <row r="4221" spans="8:8" x14ac:dyDescent="0.2">
      <c r="H4221" s="49"/>
    </row>
    <row r="4222" spans="8:8" x14ac:dyDescent="0.2">
      <c r="H4222" s="49"/>
    </row>
    <row r="4223" spans="8:8" x14ac:dyDescent="0.2">
      <c r="H4223" s="49"/>
    </row>
    <row r="4224" spans="8:8" x14ac:dyDescent="0.2">
      <c r="H4224" s="49"/>
    </row>
    <row r="4225" spans="8:115" x14ac:dyDescent="0.2">
      <c r="H4225" s="49"/>
    </row>
    <row r="4226" spans="8:115" x14ac:dyDescent="0.2">
      <c r="H4226" s="49"/>
    </row>
    <row r="4227" spans="8:115" x14ac:dyDescent="0.2">
      <c r="H4227" s="49"/>
    </row>
    <row r="4228" spans="8:115" x14ac:dyDescent="0.2">
      <c r="H4228" s="49"/>
    </row>
    <row r="4229" spans="8:115" x14ac:dyDescent="0.2">
      <c r="H4229" s="49"/>
    </row>
    <row r="4230" spans="8:115" x14ac:dyDescent="0.2">
      <c r="H4230" s="49"/>
    </row>
    <row r="4231" spans="8:115" x14ac:dyDescent="0.2">
      <c r="H4231" s="49"/>
    </row>
    <row r="4232" spans="8:115" x14ac:dyDescent="0.2">
      <c r="H4232" s="49"/>
    </row>
    <row r="4233" spans="8:115" x14ac:dyDescent="0.2">
      <c r="H4233" s="49"/>
    </row>
    <row r="4234" spans="8:115" x14ac:dyDescent="0.2">
      <c r="H4234" s="49"/>
    </row>
    <row r="4235" spans="8:115" x14ac:dyDescent="0.2">
      <c r="H4235" s="49"/>
      <c r="DK4235" s="37"/>
    </row>
    <row r="4236" spans="8:115" x14ac:dyDescent="0.2">
      <c r="H4236" s="49"/>
    </row>
    <row r="4237" spans="8:115" x14ac:dyDescent="0.2">
      <c r="H4237" s="49"/>
    </row>
    <row r="4238" spans="8:115" x14ac:dyDescent="0.2">
      <c r="H4238" s="49"/>
    </row>
    <row r="4239" spans="8:115" x14ac:dyDescent="0.2">
      <c r="H4239" s="49"/>
    </row>
    <row r="4240" spans="8:115" x14ac:dyDescent="0.2">
      <c r="H4240" s="49"/>
    </row>
    <row r="4241" spans="8:8" x14ac:dyDescent="0.2">
      <c r="H4241" s="49"/>
    </row>
    <row r="4242" spans="8:8" x14ac:dyDescent="0.2">
      <c r="H4242" s="49"/>
    </row>
    <row r="4243" spans="8:8" x14ac:dyDescent="0.2">
      <c r="H4243" s="49"/>
    </row>
    <row r="4244" spans="8:8" x14ac:dyDescent="0.2">
      <c r="H4244" s="49"/>
    </row>
    <row r="4245" spans="8:8" x14ac:dyDescent="0.2">
      <c r="H4245" s="49"/>
    </row>
    <row r="4246" spans="8:8" x14ac:dyDescent="0.2">
      <c r="H4246" s="49"/>
    </row>
    <row r="4247" spans="8:8" x14ac:dyDescent="0.2">
      <c r="H4247" s="49"/>
    </row>
    <row r="4248" spans="8:8" x14ac:dyDescent="0.2">
      <c r="H4248" s="49"/>
    </row>
    <row r="4249" spans="8:8" x14ac:dyDescent="0.2">
      <c r="H4249" s="49"/>
    </row>
    <row r="4250" spans="8:8" x14ac:dyDescent="0.2">
      <c r="H4250" s="49"/>
    </row>
    <row r="4251" spans="8:8" x14ac:dyDescent="0.2">
      <c r="H4251" s="49"/>
    </row>
    <row r="4252" spans="8:8" x14ac:dyDescent="0.2">
      <c r="H4252" s="49"/>
    </row>
    <row r="4253" spans="8:8" x14ac:dyDescent="0.2">
      <c r="H4253" s="49"/>
    </row>
    <row r="4254" spans="8:8" x14ac:dyDescent="0.2">
      <c r="H4254" s="49"/>
    </row>
    <row r="4255" spans="8:8" x14ac:dyDescent="0.2">
      <c r="H4255" s="49"/>
    </row>
    <row r="4256" spans="8:8" x14ac:dyDescent="0.2">
      <c r="H4256" s="49"/>
    </row>
    <row r="4257" spans="8:8" x14ac:dyDescent="0.2">
      <c r="H4257" s="49"/>
    </row>
    <row r="4258" spans="8:8" x14ac:dyDescent="0.2">
      <c r="H4258" s="49"/>
    </row>
    <row r="4259" spans="8:8" x14ac:dyDescent="0.2">
      <c r="H4259" s="49"/>
    </row>
    <row r="4260" spans="8:8" x14ac:dyDescent="0.2">
      <c r="H4260" s="49"/>
    </row>
    <row r="4261" spans="8:8" x14ac:dyDescent="0.2">
      <c r="H4261" s="49"/>
    </row>
    <row r="4262" spans="8:8" x14ac:dyDescent="0.2">
      <c r="H4262" s="49"/>
    </row>
    <row r="4263" spans="8:8" x14ac:dyDescent="0.2">
      <c r="H4263" s="49"/>
    </row>
    <row r="4264" spans="8:8" x14ac:dyDescent="0.2">
      <c r="H4264" s="49"/>
    </row>
    <row r="4265" spans="8:8" x14ac:dyDescent="0.2">
      <c r="H4265" s="49"/>
    </row>
    <row r="4266" spans="8:8" x14ac:dyDescent="0.2">
      <c r="H4266" s="49"/>
    </row>
    <row r="4267" spans="8:8" x14ac:dyDescent="0.2">
      <c r="H4267" s="49"/>
    </row>
    <row r="4268" spans="8:8" x14ac:dyDescent="0.2">
      <c r="H4268" s="49"/>
    </row>
    <row r="4269" spans="8:8" x14ac:dyDescent="0.2">
      <c r="H4269" s="49"/>
    </row>
    <row r="4270" spans="8:8" x14ac:dyDescent="0.2">
      <c r="H4270" s="49"/>
    </row>
    <row r="4271" spans="8:8" x14ac:dyDescent="0.2">
      <c r="H4271" s="49"/>
    </row>
    <row r="4272" spans="8:8" x14ac:dyDescent="0.2">
      <c r="H4272" s="49"/>
    </row>
    <row r="4273" spans="8:8" x14ac:dyDescent="0.2">
      <c r="H4273" s="49"/>
    </row>
    <row r="4274" spans="8:8" x14ac:dyDescent="0.2">
      <c r="H4274" s="49"/>
    </row>
    <row r="4275" spans="8:8" x14ac:dyDescent="0.2">
      <c r="H4275" s="49"/>
    </row>
    <row r="4276" spans="8:8" x14ac:dyDescent="0.2">
      <c r="H4276" s="49"/>
    </row>
    <row r="4277" spans="8:8" x14ac:dyDescent="0.2">
      <c r="H4277" s="49"/>
    </row>
    <row r="4278" spans="8:8" x14ac:dyDescent="0.2">
      <c r="H4278" s="49"/>
    </row>
    <row r="4279" spans="8:8" x14ac:dyDescent="0.2">
      <c r="H4279" s="49"/>
    </row>
    <row r="4280" spans="8:8" x14ac:dyDescent="0.2">
      <c r="H4280" s="49"/>
    </row>
    <row r="4281" spans="8:8" x14ac:dyDescent="0.2">
      <c r="H4281" s="49"/>
    </row>
    <row r="4282" spans="8:8" x14ac:dyDescent="0.2">
      <c r="H4282" s="49"/>
    </row>
    <row r="4283" spans="8:8" x14ac:dyDescent="0.2">
      <c r="H4283" s="49"/>
    </row>
    <row r="4284" spans="8:8" x14ac:dyDescent="0.2">
      <c r="H4284" s="49"/>
    </row>
    <row r="4285" spans="8:8" x14ac:dyDescent="0.2">
      <c r="H4285" s="49"/>
    </row>
    <row r="4286" spans="8:8" x14ac:dyDescent="0.2">
      <c r="H4286" s="49"/>
    </row>
    <row r="4287" spans="8:8" x14ac:dyDescent="0.2">
      <c r="H4287" s="49"/>
    </row>
    <row r="4288" spans="8:8" x14ac:dyDescent="0.2">
      <c r="H4288" s="49"/>
    </row>
    <row r="4289" spans="8:8" x14ac:dyDescent="0.2">
      <c r="H4289" s="49"/>
    </row>
    <row r="4290" spans="8:8" x14ac:dyDescent="0.2">
      <c r="H4290" s="49"/>
    </row>
    <row r="4291" spans="8:8" x14ac:dyDescent="0.2">
      <c r="H4291" s="49"/>
    </row>
    <row r="4292" spans="8:8" x14ac:dyDescent="0.2">
      <c r="H4292" s="49"/>
    </row>
    <row r="4293" spans="8:8" x14ac:dyDescent="0.2">
      <c r="H4293" s="49"/>
    </row>
    <row r="4294" spans="8:8" x14ac:dyDescent="0.2">
      <c r="H4294" s="49"/>
    </row>
    <row r="4295" spans="8:8" x14ac:dyDescent="0.2">
      <c r="H4295" s="49"/>
    </row>
    <row r="4296" spans="8:8" x14ac:dyDescent="0.2">
      <c r="H4296" s="49"/>
    </row>
    <row r="4297" spans="8:8" x14ac:dyDescent="0.2">
      <c r="H4297" s="49"/>
    </row>
    <row r="4298" spans="8:8" x14ac:dyDescent="0.2">
      <c r="H4298" s="49"/>
    </row>
    <row r="4299" spans="8:8" x14ac:dyDescent="0.2">
      <c r="H4299" s="49"/>
    </row>
    <row r="4300" spans="8:8" x14ac:dyDescent="0.2">
      <c r="H4300" s="49"/>
    </row>
    <row r="4301" spans="8:8" x14ac:dyDescent="0.2">
      <c r="H4301" s="49"/>
    </row>
    <row r="4302" spans="8:8" x14ac:dyDescent="0.2">
      <c r="H4302" s="49"/>
    </row>
    <row r="4303" spans="8:8" x14ac:dyDescent="0.2">
      <c r="H4303" s="49"/>
    </row>
    <row r="4304" spans="8:8" x14ac:dyDescent="0.2">
      <c r="H4304" s="49"/>
    </row>
    <row r="4305" spans="8:8" x14ac:dyDescent="0.2">
      <c r="H4305" s="49"/>
    </row>
    <row r="4306" spans="8:8" x14ac:dyDescent="0.2">
      <c r="H4306" s="49"/>
    </row>
    <row r="4307" spans="8:8" x14ac:dyDescent="0.2">
      <c r="H4307" s="49"/>
    </row>
    <row r="4308" spans="8:8" x14ac:dyDescent="0.2">
      <c r="H4308" s="49"/>
    </row>
    <row r="4309" spans="8:8" x14ac:dyDescent="0.2">
      <c r="H4309" s="49"/>
    </row>
    <row r="4310" spans="8:8" x14ac:dyDescent="0.2">
      <c r="H4310" s="49"/>
    </row>
    <row r="4311" spans="8:8" x14ac:dyDescent="0.2">
      <c r="H4311" s="49"/>
    </row>
    <row r="4312" spans="8:8" x14ac:dyDescent="0.2">
      <c r="H4312" s="49"/>
    </row>
    <row r="4313" spans="8:8" x14ac:dyDescent="0.2">
      <c r="H4313" s="49"/>
    </row>
    <row r="4314" spans="8:8" x14ac:dyDescent="0.2">
      <c r="H4314" s="49"/>
    </row>
    <row r="4315" spans="8:8" x14ac:dyDescent="0.2">
      <c r="H4315" s="49"/>
    </row>
    <row r="4316" spans="8:8" x14ac:dyDescent="0.2">
      <c r="H4316" s="49"/>
    </row>
    <row r="4317" spans="8:8" x14ac:dyDescent="0.2">
      <c r="H4317" s="49"/>
    </row>
    <row r="4318" spans="8:8" x14ac:dyDescent="0.2">
      <c r="H4318" s="49"/>
    </row>
    <row r="4319" spans="8:8" x14ac:dyDescent="0.2">
      <c r="H4319" s="49"/>
    </row>
    <row r="4320" spans="8:8" x14ac:dyDescent="0.2">
      <c r="H4320" s="49"/>
    </row>
    <row r="4321" spans="8:8" x14ac:dyDescent="0.2">
      <c r="H4321" s="49"/>
    </row>
    <row r="4322" spans="8:8" x14ac:dyDescent="0.2">
      <c r="H4322" s="49"/>
    </row>
    <row r="4323" spans="8:8" x14ac:dyDescent="0.2">
      <c r="H4323" s="49"/>
    </row>
    <row r="4324" spans="8:8" x14ac:dyDescent="0.2">
      <c r="H4324" s="49"/>
    </row>
    <row r="4325" spans="8:8" x14ac:dyDescent="0.2">
      <c r="H4325" s="49"/>
    </row>
    <row r="4326" spans="8:8" x14ac:dyDescent="0.2">
      <c r="H4326" s="49"/>
    </row>
    <row r="4327" spans="8:8" x14ac:dyDescent="0.2">
      <c r="H4327" s="49"/>
    </row>
    <row r="4328" spans="8:8" x14ac:dyDescent="0.2">
      <c r="H4328" s="49"/>
    </row>
    <row r="4329" spans="8:8" x14ac:dyDescent="0.2">
      <c r="H4329" s="49"/>
    </row>
    <row r="4330" spans="8:8" x14ac:dyDescent="0.2">
      <c r="H4330" s="49"/>
    </row>
    <row r="4331" spans="8:8" x14ac:dyDescent="0.2">
      <c r="H4331" s="49"/>
    </row>
    <row r="4332" spans="8:8" x14ac:dyDescent="0.2">
      <c r="H4332" s="49"/>
    </row>
    <row r="4333" spans="8:8" x14ac:dyDescent="0.2">
      <c r="H4333" s="49"/>
    </row>
    <row r="4334" spans="8:8" x14ac:dyDescent="0.2">
      <c r="H4334" s="49"/>
    </row>
    <row r="4335" spans="8:8" x14ac:dyDescent="0.2">
      <c r="H4335" s="49"/>
    </row>
    <row r="4336" spans="8:8" x14ac:dyDescent="0.2">
      <c r="H4336" s="49"/>
    </row>
    <row r="4337" spans="8:8" x14ac:dyDescent="0.2">
      <c r="H4337" s="49"/>
    </row>
    <row r="4338" spans="8:8" x14ac:dyDescent="0.2">
      <c r="H4338" s="49"/>
    </row>
    <row r="4339" spans="8:8" x14ac:dyDescent="0.2">
      <c r="H4339" s="49"/>
    </row>
    <row r="4340" spans="8:8" x14ac:dyDescent="0.2">
      <c r="H4340" s="49"/>
    </row>
    <row r="4341" spans="8:8" x14ac:dyDescent="0.2">
      <c r="H4341" s="49"/>
    </row>
    <row r="4342" spans="8:8" x14ac:dyDescent="0.2">
      <c r="H4342" s="49"/>
    </row>
    <row r="4343" spans="8:8" x14ac:dyDescent="0.2">
      <c r="H4343" s="49"/>
    </row>
    <row r="4344" spans="8:8" x14ac:dyDescent="0.2">
      <c r="H4344" s="49"/>
    </row>
    <row r="4345" spans="8:8" x14ac:dyDescent="0.2">
      <c r="H4345" s="49"/>
    </row>
    <row r="4346" spans="8:8" x14ac:dyDescent="0.2">
      <c r="H4346" s="49"/>
    </row>
    <row r="4347" spans="8:8" x14ac:dyDescent="0.2">
      <c r="H4347" s="49"/>
    </row>
    <row r="4348" spans="8:8" x14ac:dyDescent="0.2">
      <c r="H4348" s="49"/>
    </row>
    <row r="4349" spans="8:8" x14ac:dyDescent="0.2">
      <c r="H4349" s="49"/>
    </row>
    <row r="4350" spans="8:8" x14ac:dyDescent="0.2">
      <c r="H4350" s="49"/>
    </row>
    <row r="4351" spans="8:8" x14ac:dyDescent="0.2">
      <c r="H4351" s="49"/>
    </row>
    <row r="4352" spans="8:8" x14ac:dyDescent="0.2">
      <c r="H4352" s="49"/>
    </row>
    <row r="4353" spans="8:8" x14ac:dyDescent="0.2">
      <c r="H4353" s="49"/>
    </row>
    <row r="4354" spans="8:8" x14ac:dyDescent="0.2">
      <c r="H4354" s="49"/>
    </row>
    <row r="4355" spans="8:8" x14ac:dyDescent="0.2">
      <c r="H4355" s="49"/>
    </row>
    <row r="4356" spans="8:8" x14ac:dyDescent="0.2">
      <c r="H4356" s="49"/>
    </row>
    <row r="4357" spans="8:8" x14ac:dyDescent="0.2">
      <c r="H4357" s="49"/>
    </row>
    <row r="4358" spans="8:8" x14ac:dyDescent="0.2">
      <c r="H4358" s="49"/>
    </row>
    <row r="4359" spans="8:8" x14ac:dyDescent="0.2">
      <c r="H4359" s="49"/>
    </row>
    <row r="4360" spans="8:8" x14ac:dyDescent="0.2">
      <c r="H4360" s="49"/>
    </row>
    <row r="4361" spans="8:8" x14ac:dyDescent="0.2">
      <c r="H4361" s="49"/>
    </row>
    <row r="4362" spans="8:8" x14ac:dyDescent="0.2">
      <c r="H4362" s="49"/>
    </row>
    <row r="4363" spans="8:8" x14ac:dyDescent="0.2">
      <c r="H4363" s="49"/>
    </row>
    <row r="4364" spans="8:8" x14ac:dyDescent="0.2">
      <c r="H4364" s="49"/>
    </row>
    <row r="4365" spans="8:8" x14ac:dyDescent="0.2">
      <c r="H4365" s="49"/>
    </row>
    <row r="4366" spans="8:8" x14ac:dyDescent="0.2">
      <c r="H4366" s="49"/>
    </row>
    <row r="4367" spans="8:8" x14ac:dyDescent="0.2">
      <c r="H4367" s="49"/>
    </row>
    <row r="4368" spans="8:8" x14ac:dyDescent="0.2">
      <c r="H4368" s="49"/>
    </row>
    <row r="4369" spans="8:8" x14ac:dyDescent="0.2">
      <c r="H4369" s="49"/>
    </row>
    <row r="4370" spans="8:8" x14ac:dyDescent="0.2">
      <c r="H4370" s="49"/>
    </row>
    <row r="4371" spans="8:8" x14ac:dyDescent="0.2">
      <c r="H4371" s="49"/>
    </row>
    <row r="4372" spans="8:8" x14ac:dyDescent="0.2">
      <c r="H4372" s="49"/>
    </row>
    <row r="4373" spans="8:8" x14ac:dyDescent="0.2">
      <c r="H4373" s="49"/>
    </row>
    <row r="4374" spans="8:8" x14ac:dyDescent="0.2">
      <c r="H4374" s="49"/>
    </row>
    <row r="4375" spans="8:8" x14ac:dyDescent="0.2">
      <c r="H4375" s="49"/>
    </row>
    <row r="4376" spans="8:8" x14ac:dyDescent="0.2">
      <c r="H4376" s="49"/>
    </row>
    <row r="4377" spans="8:8" x14ac:dyDescent="0.2">
      <c r="H4377" s="49"/>
    </row>
    <row r="4378" spans="8:8" x14ac:dyDescent="0.2">
      <c r="H4378" s="49"/>
    </row>
    <row r="4379" spans="8:8" x14ac:dyDescent="0.2">
      <c r="H4379" s="49"/>
    </row>
    <row r="4380" spans="8:8" x14ac:dyDescent="0.2">
      <c r="H4380" s="49"/>
    </row>
    <row r="4381" spans="8:8" x14ac:dyDescent="0.2">
      <c r="H4381" s="49"/>
    </row>
    <row r="4382" spans="8:8" x14ac:dyDescent="0.2">
      <c r="H4382" s="49"/>
    </row>
    <row r="4383" spans="8:8" x14ac:dyDescent="0.2">
      <c r="H4383" s="49"/>
    </row>
    <row r="4384" spans="8:8" x14ac:dyDescent="0.2">
      <c r="H4384" s="49"/>
    </row>
    <row r="4385" spans="8:8" x14ac:dyDescent="0.2">
      <c r="H4385" s="49"/>
    </row>
    <row r="4386" spans="8:8" x14ac:dyDescent="0.2">
      <c r="H4386" s="49"/>
    </row>
    <row r="4387" spans="8:8" x14ac:dyDescent="0.2">
      <c r="H4387" s="49"/>
    </row>
    <row r="4388" spans="8:8" x14ac:dyDescent="0.2">
      <c r="H4388" s="49"/>
    </row>
    <row r="4389" spans="8:8" x14ac:dyDescent="0.2">
      <c r="H4389" s="49"/>
    </row>
    <row r="4390" spans="8:8" x14ac:dyDescent="0.2">
      <c r="H4390" s="49"/>
    </row>
    <row r="4391" spans="8:8" x14ac:dyDescent="0.2">
      <c r="H4391" s="49"/>
    </row>
    <row r="4392" spans="8:8" x14ac:dyDescent="0.2">
      <c r="H4392" s="49"/>
    </row>
    <row r="4393" spans="8:8" x14ac:dyDescent="0.2">
      <c r="H4393" s="49"/>
    </row>
    <row r="4394" spans="8:8" x14ac:dyDescent="0.2">
      <c r="H4394" s="49"/>
    </row>
    <row r="4395" spans="8:8" x14ac:dyDescent="0.2">
      <c r="H4395" s="49"/>
    </row>
    <row r="4396" spans="8:8" x14ac:dyDescent="0.2">
      <c r="H4396" s="49"/>
    </row>
    <row r="4397" spans="8:8" x14ac:dyDescent="0.2">
      <c r="H4397" s="49"/>
    </row>
    <row r="4398" spans="8:8" x14ac:dyDescent="0.2">
      <c r="H4398" s="49"/>
    </row>
    <row r="4399" spans="8:8" x14ac:dyDescent="0.2">
      <c r="H4399" s="49"/>
    </row>
    <row r="4400" spans="8:8" x14ac:dyDescent="0.2">
      <c r="H4400" s="49"/>
    </row>
    <row r="4401" spans="8:8" x14ac:dyDescent="0.2">
      <c r="H4401" s="49"/>
    </row>
    <row r="4402" spans="8:8" x14ac:dyDescent="0.2">
      <c r="H4402" s="49"/>
    </row>
    <row r="4403" spans="8:8" x14ac:dyDescent="0.2">
      <c r="H4403" s="49"/>
    </row>
    <row r="4404" spans="8:8" x14ac:dyDescent="0.2">
      <c r="H4404" s="49"/>
    </row>
    <row r="4405" spans="8:8" x14ac:dyDescent="0.2">
      <c r="H4405" s="49"/>
    </row>
    <row r="4406" spans="8:8" x14ac:dyDescent="0.2">
      <c r="H4406" s="49"/>
    </row>
    <row r="4407" spans="8:8" x14ac:dyDescent="0.2">
      <c r="H4407" s="49"/>
    </row>
    <row r="4408" spans="8:8" x14ac:dyDescent="0.2">
      <c r="H4408" s="49"/>
    </row>
    <row r="4409" spans="8:8" x14ac:dyDescent="0.2">
      <c r="H4409" s="49"/>
    </row>
    <row r="4410" spans="8:8" x14ac:dyDescent="0.2">
      <c r="H4410" s="49"/>
    </row>
    <row r="4411" spans="8:8" x14ac:dyDescent="0.2">
      <c r="H4411" s="49"/>
    </row>
    <row r="4412" spans="8:8" x14ac:dyDescent="0.2">
      <c r="H4412" s="49"/>
    </row>
    <row r="4413" spans="8:8" x14ac:dyDescent="0.2">
      <c r="H4413" s="49"/>
    </row>
    <row r="4414" spans="8:8" x14ac:dyDescent="0.2">
      <c r="H4414" s="49"/>
    </row>
    <row r="4415" spans="8:8" x14ac:dyDescent="0.2">
      <c r="H4415" s="49"/>
    </row>
    <row r="4416" spans="8:8" x14ac:dyDescent="0.2">
      <c r="H4416" s="49"/>
    </row>
    <row r="4417" spans="8:8" x14ac:dyDescent="0.2">
      <c r="H4417" s="49"/>
    </row>
    <row r="4418" spans="8:8" x14ac:dyDescent="0.2">
      <c r="H4418" s="49"/>
    </row>
    <row r="4419" spans="8:8" x14ac:dyDescent="0.2">
      <c r="H4419" s="49"/>
    </row>
    <row r="4420" spans="8:8" x14ac:dyDescent="0.2">
      <c r="H4420" s="49"/>
    </row>
    <row r="4421" spans="8:8" x14ac:dyDescent="0.2">
      <c r="H4421" s="49"/>
    </row>
    <row r="4422" spans="8:8" x14ac:dyDescent="0.2">
      <c r="H4422" s="49"/>
    </row>
    <row r="4423" spans="8:8" x14ac:dyDescent="0.2">
      <c r="H4423" s="49"/>
    </row>
    <row r="4424" spans="8:8" x14ac:dyDescent="0.2">
      <c r="H4424" s="49"/>
    </row>
    <row r="4425" spans="8:8" x14ac:dyDescent="0.2">
      <c r="H4425" s="49"/>
    </row>
    <row r="4426" spans="8:8" x14ac:dyDescent="0.2">
      <c r="H4426" s="49"/>
    </row>
    <row r="4427" spans="8:8" x14ac:dyDescent="0.2">
      <c r="H4427" s="49"/>
    </row>
    <row r="4428" spans="8:8" x14ac:dyDescent="0.2">
      <c r="H4428" s="49"/>
    </row>
    <row r="4429" spans="8:8" x14ac:dyDescent="0.2">
      <c r="H4429" s="49"/>
    </row>
    <row r="4430" spans="8:8" x14ac:dyDescent="0.2">
      <c r="H4430" s="49"/>
    </row>
    <row r="4431" spans="8:8" x14ac:dyDescent="0.2">
      <c r="H4431" s="49"/>
    </row>
    <row r="4432" spans="8:8" x14ac:dyDescent="0.2">
      <c r="H4432" s="49"/>
    </row>
    <row r="4433" spans="8:8" x14ac:dyDescent="0.2">
      <c r="H4433" s="49"/>
    </row>
    <row r="4434" spans="8:8" x14ac:dyDescent="0.2">
      <c r="H4434" s="49"/>
    </row>
    <row r="4435" spans="8:8" x14ac:dyDescent="0.2">
      <c r="H4435" s="49"/>
    </row>
    <row r="4436" spans="8:8" x14ac:dyDescent="0.2">
      <c r="H4436" s="49"/>
    </row>
    <row r="4437" spans="8:8" x14ac:dyDescent="0.2">
      <c r="H4437" s="49"/>
    </row>
    <row r="4438" spans="8:8" x14ac:dyDescent="0.2">
      <c r="H4438" s="49"/>
    </row>
    <row r="4439" spans="8:8" x14ac:dyDescent="0.2">
      <c r="H4439" s="49"/>
    </row>
    <row r="4440" spans="8:8" x14ac:dyDescent="0.2">
      <c r="H4440" s="49"/>
    </row>
    <row r="4441" spans="8:8" x14ac:dyDescent="0.2">
      <c r="H4441" s="49"/>
    </row>
    <row r="4442" spans="8:8" x14ac:dyDescent="0.2">
      <c r="H4442" s="49"/>
    </row>
    <row r="4443" spans="8:8" x14ac:dyDescent="0.2">
      <c r="H4443" s="49"/>
    </row>
    <row r="4444" spans="8:8" x14ac:dyDescent="0.2">
      <c r="H4444" s="49"/>
    </row>
    <row r="4445" spans="8:8" x14ac:dyDescent="0.2">
      <c r="H4445" s="49"/>
    </row>
    <row r="4446" spans="8:8" x14ac:dyDescent="0.2">
      <c r="H4446" s="49"/>
    </row>
    <row r="4447" spans="8:8" x14ac:dyDescent="0.2">
      <c r="H4447" s="49"/>
    </row>
    <row r="4448" spans="8:8" x14ac:dyDescent="0.2">
      <c r="H4448" s="49"/>
    </row>
    <row r="4449" spans="8:8" x14ac:dyDescent="0.2">
      <c r="H4449" s="49"/>
    </row>
    <row r="4450" spans="8:8" x14ac:dyDescent="0.2">
      <c r="H4450" s="49"/>
    </row>
    <row r="4451" spans="8:8" x14ac:dyDescent="0.2">
      <c r="H4451" s="49"/>
    </row>
    <row r="4452" spans="8:8" x14ac:dyDescent="0.2">
      <c r="H4452" s="49"/>
    </row>
    <row r="4453" spans="8:8" x14ac:dyDescent="0.2">
      <c r="H4453" s="49"/>
    </row>
    <row r="4454" spans="8:8" x14ac:dyDescent="0.2">
      <c r="H4454" s="49"/>
    </row>
    <row r="4455" spans="8:8" x14ac:dyDescent="0.2">
      <c r="H4455" s="49"/>
    </row>
    <row r="4456" spans="8:8" x14ac:dyDescent="0.2">
      <c r="H4456" s="49"/>
    </row>
    <row r="4457" spans="8:8" x14ac:dyDescent="0.2">
      <c r="H4457" s="49"/>
    </row>
    <row r="4458" spans="8:8" x14ac:dyDescent="0.2">
      <c r="H4458" s="49"/>
    </row>
    <row r="4459" spans="8:8" x14ac:dyDescent="0.2">
      <c r="H4459" s="49"/>
    </row>
    <row r="4460" spans="8:8" x14ac:dyDescent="0.2">
      <c r="H4460" s="49"/>
    </row>
    <row r="4461" spans="8:8" x14ac:dyDescent="0.2">
      <c r="H4461" s="49"/>
    </row>
    <row r="4462" spans="8:8" x14ac:dyDescent="0.2">
      <c r="H4462" s="49"/>
    </row>
    <row r="4463" spans="8:8" x14ac:dyDescent="0.2">
      <c r="H4463" s="49"/>
    </row>
    <row r="4464" spans="8:8" x14ac:dyDescent="0.2">
      <c r="H4464" s="49"/>
    </row>
    <row r="4465" spans="8:8" x14ac:dyDescent="0.2">
      <c r="H4465" s="49"/>
    </row>
    <row r="4466" spans="8:8" x14ac:dyDescent="0.2">
      <c r="H4466" s="49"/>
    </row>
    <row r="4467" spans="8:8" x14ac:dyDescent="0.2">
      <c r="H4467" s="49"/>
    </row>
    <row r="4468" spans="8:8" x14ac:dyDescent="0.2">
      <c r="H4468" s="49"/>
    </row>
    <row r="4469" spans="8:8" x14ac:dyDescent="0.2">
      <c r="H4469" s="49"/>
    </row>
    <row r="4470" spans="8:8" x14ac:dyDescent="0.2">
      <c r="H4470" s="49"/>
    </row>
    <row r="4471" spans="8:8" x14ac:dyDescent="0.2">
      <c r="H4471" s="49"/>
    </row>
    <row r="4472" spans="8:8" x14ac:dyDescent="0.2">
      <c r="H4472" s="49"/>
    </row>
    <row r="4473" spans="8:8" x14ac:dyDescent="0.2">
      <c r="H4473" s="49"/>
    </row>
    <row r="4474" spans="8:8" x14ac:dyDescent="0.2">
      <c r="H4474" s="49"/>
    </row>
    <row r="4475" spans="8:8" x14ac:dyDescent="0.2">
      <c r="H4475" s="49"/>
    </row>
    <row r="4476" spans="8:8" x14ac:dyDescent="0.2">
      <c r="H4476" s="49"/>
    </row>
    <row r="4477" spans="8:8" x14ac:dyDescent="0.2">
      <c r="H4477" s="49"/>
    </row>
    <row r="4478" spans="8:8" x14ac:dyDescent="0.2">
      <c r="H4478" s="49"/>
    </row>
    <row r="4479" spans="8:8" x14ac:dyDescent="0.2">
      <c r="H4479" s="49"/>
    </row>
    <row r="4480" spans="8:8" x14ac:dyDescent="0.2">
      <c r="H4480" s="49"/>
    </row>
    <row r="4481" spans="8:8" x14ac:dyDescent="0.2">
      <c r="H4481" s="49"/>
    </row>
    <row r="4482" spans="8:8" x14ac:dyDescent="0.2">
      <c r="H4482" s="49"/>
    </row>
    <row r="4483" spans="8:8" x14ac:dyDescent="0.2">
      <c r="H4483" s="49"/>
    </row>
    <row r="4484" spans="8:8" x14ac:dyDescent="0.2">
      <c r="H4484" s="49"/>
    </row>
    <row r="4485" spans="8:8" x14ac:dyDescent="0.2">
      <c r="H4485" s="49"/>
    </row>
    <row r="4486" spans="8:8" x14ac:dyDescent="0.2">
      <c r="H4486" s="49"/>
    </row>
    <row r="4487" spans="8:8" x14ac:dyDescent="0.2">
      <c r="H4487" s="49"/>
    </row>
    <row r="4488" spans="8:8" x14ac:dyDescent="0.2">
      <c r="H4488" s="49"/>
    </row>
    <row r="4489" spans="8:8" x14ac:dyDescent="0.2">
      <c r="H4489" s="49"/>
    </row>
    <row r="4490" spans="8:8" x14ac:dyDescent="0.2">
      <c r="H4490" s="49"/>
    </row>
    <row r="4491" spans="8:8" x14ac:dyDescent="0.2">
      <c r="H4491" s="49"/>
    </row>
    <row r="4492" spans="8:8" x14ac:dyDescent="0.2">
      <c r="H4492" s="49"/>
    </row>
    <row r="4493" spans="8:8" x14ac:dyDescent="0.2">
      <c r="H4493" s="49"/>
    </row>
    <row r="4494" spans="8:8" x14ac:dyDescent="0.2">
      <c r="H4494" s="49"/>
    </row>
    <row r="4495" spans="8:8" x14ac:dyDescent="0.2">
      <c r="H4495" s="49"/>
    </row>
    <row r="4496" spans="8:8" x14ac:dyDescent="0.2">
      <c r="H4496" s="49"/>
    </row>
    <row r="4497" spans="8:8" x14ac:dyDescent="0.2">
      <c r="H4497" s="49"/>
    </row>
    <row r="4498" spans="8:8" x14ac:dyDescent="0.2">
      <c r="H4498" s="49"/>
    </row>
    <row r="4499" spans="8:8" x14ac:dyDescent="0.2">
      <c r="H4499" s="49"/>
    </row>
    <row r="4500" spans="8:8" x14ac:dyDescent="0.2">
      <c r="H4500" s="49"/>
    </row>
    <row r="4501" spans="8:8" x14ac:dyDescent="0.2">
      <c r="H4501" s="49"/>
    </row>
    <row r="4502" spans="8:8" x14ac:dyDescent="0.2">
      <c r="H4502" s="49"/>
    </row>
    <row r="4503" spans="8:8" x14ac:dyDescent="0.2">
      <c r="H4503" s="49"/>
    </row>
    <row r="4504" spans="8:8" x14ac:dyDescent="0.2">
      <c r="H4504" s="49"/>
    </row>
    <row r="4505" spans="8:8" x14ac:dyDescent="0.2">
      <c r="H4505" s="49"/>
    </row>
    <row r="4506" spans="8:8" x14ac:dyDescent="0.2">
      <c r="H4506" s="49"/>
    </row>
    <row r="4507" spans="8:8" x14ac:dyDescent="0.2">
      <c r="H4507" s="49"/>
    </row>
    <row r="4508" spans="8:8" x14ac:dyDescent="0.2">
      <c r="H4508" s="49"/>
    </row>
    <row r="4509" spans="8:8" x14ac:dyDescent="0.2">
      <c r="H4509" s="49"/>
    </row>
    <row r="4510" spans="8:8" x14ac:dyDescent="0.2">
      <c r="H4510" s="49"/>
    </row>
    <row r="4511" spans="8:8" x14ac:dyDescent="0.2">
      <c r="H4511" s="49"/>
    </row>
    <row r="4512" spans="8:8" x14ac:dyDescent="0.2">
      <c r="H4512" s="49"/>
    </row>
    <row r="4513" spans="8:8" x14ac:dyDescent="0.2">
      <c r="H4513" s="49"/>
    </row>
    <row r="4514" spans="8:8" x14ac:dyDescent="0.2">
      <c r="H4514" s="49"/>
    </row>
    <row r="4515" spans="8:8" x14ac:dyDescent="0.2">
      <c r="H4515" s="49"/>
    </row>
    <row r="4516" spans="8:8" x14ac:dyDescent="0.2">
      <c r="H4516" s="49"/>
    </row>
    <row r="4517" spans="8:8" x14ac:dyDescent="0.2">
      <c r="H4517" s="49"/>
    </row>
    <row r="4518" spans="8:8" x14ac:dyDescent="0.2">
      <c r="H4518" s="49"/>
    </row>
    <row r="4519" spans="8:8" x14ac:dyDescent="0.2">
      <c r="H4519" s="49"/>
    </row>
    <row r="4520" spans="8:8" x14ac:dyDescent="0.2">
      <c r="H4520" s="49"/>
    </row>
    <row r="4521" spans="8:8" x14ac:dyDescent="0.2">
      <c r="H4521" s="49"/>
    </row>
    <row r="4522" spans="8:8" x14ac:dyDescent="0.2">
      <c r="H4522" s="49"/>
    </row>
    <row r="4523" spans="8:8" x14ac:dyDescent="0.2">
      <c r="H4523" s="49"/>
    </row>
    <row r="4524" spans="8:8" x14ac:dyDescent="0.2">
      <c r="H4524" s="49"/>
    </row>
    <row r="4525" spans="8:8" x14ac:dyDescent="0.2">
      <c r="H4525" s="49"/>
    </row>
    <row r="4526" spans="8:8" x14ac:dyDescent="0.2">
      <c r="H4526" s="49"/>
    </row>
    <row r="4527" spans="8:8" x14ac:dyDescent="0.2">
      <c r="H4527" s="49"/>
    </row>
    <row r="4528" spans="8:8" x14ac:dyDescent="0.2">
      <c r="H4528" s="49"/>
    </row>
    <row r="4529" spans="8:8" x14ac:dyDescent="0.2">
      <c r="H4529" s="49"/>
    </row>
    <row r="4530" spans="8:8" x14ac:dyDescent="0.2">
      <c r="H4530" s="49"/>
    </row>
    <row r="4531" spans="8:8" x14ac:dyDescent="0.2">
      <c r="H4531" s="49"/>
    </row>
    <row r="4532" spans="8:8" x14ac:dyDescent="0.2">
      <c r="H4532" s="49"/>
    </row>
    <row r="4533" spans="8:8" x14ac:dyDescent="0.2">
      <c r="H4533" s="49"/>
    </row>
    <row r="4534" spans="8:8" x14ac:dyDescent="0.2">
      <c r="H4534" s="49"/>
    </row>
    <row r="4535" spans="8:8" x14ac:dyDescent="0.2">
      <c r="H4535" s="49"/>
    </row>
    <row r="4536" spans="8:8" x14ac:dyDescent="0.2">
      <c r="H4536" s="49"/>
    </row>
    <row r="4537" spans="8:8" x14ac:dyDescent="0.2">
      <c r="H4537" s="49"/>
    </row>
    <row r="4538" spans="8:8" x14ac:dyDescent="0.2">
      <c r="H4538" s="49"/>
    </row>
    <row r="4539" spans="8:8" x14ac:dyDescent="0.2">
      <c r="H4539" s="49"/>
    </row>
    <row r="4540" spans="8:8" x14ac:dyDescent="0.2">
      <c r="H4540" s="49"/>
    </row>
    <row r="4541" spans="8:8" x14ac:dyDescent="0.2">
      <c r="H4541" s="49"/>
    </row>
    <row r="4542" spans="8:8" x14ac:dyDescent="0.2">
      <c r="H4542" s="49"/>
    </row>
    <row r="4543" spans="8:8" x14ac:dyDescent="0.2">
      <c r="H4543" s="49"/>
    </row>
    <row r="4544" spans="8:8" x14ac:dyDescent="0.2">
      <c r="H4544" s="49"/>
    </row>
    <row r="4545" spans="8:8" x14ac:dyDescent="0.2">
      <c r="H4545" s="49"/>
    </row>
    <row r="4546" spans="8:8" x14ac:dyDescent="0.2">
      <c r="H4546" s="49"/>
    </row>
    <row r="4547" spans="8:8" x14ac:dyDescent="0.2">
      <c r="H4547" s="49"/>
    </row>
    <row r="4548" spans="8:8" x14ac:dyDescent="0.2">
      <c r="H4548" s="49"/>
    </row>
    <row r="4549" spans="8:8" x14ac:dyDescent="0.2">
      <c r="H4549" s="49"/>
    </row>
    <row r="4550" spans="8:8" x14ac:dyDescent="0.2">
      <c r="H4550" s="49"/>
    </row>
    <row r="4551" spans="8:8" x14ac:dyDescent="0.2">
      <c r="H4551" s="49"/>
    </row>
    <row r="4552" spans="8:8" x14ac:dyDescent="0.2">
      <c r="H4552" s="49"/>
    </row>
    <row r="4553" spans="8:8" x14ac:dyDescent="0.2">
      <c r="H4553" s="49"/>
    </row>
    <row r="4554" spans="8:8" x14ac:dyDescent="0.2">
      <c r="H4554" s="49"/>
    </row>
    <row r="4555" spans="8:8" x14ac:dyDescent="0.2">
      <c r="H4555" s="49"/>
    </row>
    <row r="4556" spans="8:8" x14ac:dyDescent="0.2">
      <c r="H4556" s="49"/>
    </row>
    <row r="4557" spans="8:8" x14ac:dyDescent="0.2">
      <c r="H4557" s="49"/>
    </row>
    <row r="4558" spans="8:8" x14ac:dyDescent="0.2">
      <c r="H4558" s="49"/>
    </row>
    <row r="4559" spans="8:8" x14ac:dyDescent="0.2">
      <c r="H4559" s="49"/>
    </row>
    <row r="4560" spans="8:8" x14ac:dyDescent="0.2">
      <c r="H4560" s="49"/>
    </row>
    <row r="4561" spans="8:8" x14ac:dyDescent="0.2">
      <c r="H4561" s="49"/>
    </row>
    <row r="4562" spans="8:8" x14ac:dyDescent="0.2">
      <c r="H4562" s="49"/>
    </row>
    <row r="4563" spans="8:8" x14ac:dyDescent="0.2">
      <c r="H4563" s="49"/>
    </row>
    <row r="4564" spans="8:8" x14ac:dyDescent="0.2">
      <c r="H4564" s="49"/>
    </row>
    <row r="4565" spans="8:8" x14ac:dyDescent="0.2">
      <c r="H4565" s="49"/>
    </row>
    <row r="4566" spans="8:8" x14ac:dyDescent="0.2">
      <c r="H4566" s="49"/>
    </row>
    <row r="4567" spans="8:8" x14ac:dyDescent="0.2">
      <c r="H4567" s="49"/>
    </row>
    <row r="4568" spans="8:8" x14ac:dyDescent="0.2">
      <c r="H4568" s="49"/>
    </row>
    <row r="4569" spans="8:8" x14ac:dyDescent="0.2">
      <c r="H4569" s="49"/>
    </row>
    <row r="4570" spans="8:8" x14ac:dyDescent="0.2">
      <c r="H4570" s="49"/>
    </row>
    <row r="4571" spans="8:8" x14ac:dyDescent="0.2">
      <c r="H4571" s="49"/>
    </row>
    <row r="4572" spans="8:8" x14ac:dyDescent="0.2">
      <c r="H4572" s="49"/>
    </row>
    <row r="4573" spans="8:8" x14ac:dyDescent="0.2">
      <c r="H4573" s="49"/>
    </row>
    <row r="4574" spans="8:8" x14ac:dyDescent="0.2">
      <c r="H4574" s="49"/>
    </row>
    <row r="4575" spans="8:8" x14ac:dyDescent="0.2">
      <c r="H4575" s="49"/>
    </row>
    <row r="4576" spans="8:8" x14ac:dyDescent="0.2">
      <c r="H4576" s="49"/>
    </row>
    <row r="4577" spans="8:8" x14ac:dyDescent="0.2">
      <c r="H4577" s="49"/>
    </row>
    <row r="4578" spans="8:8" x14ac:dyDescent="0.2">
      <c r="H4578" s="49"/>
    </row>
    <row r="4579" spans="8:8" x14ac:dyDescent="0.2">
      <c r="H4579" s="49"/>
    </row>
    <row r="4580" spans="8:8" x14ac:dyDescent="0.2">
      <c r="H4580" s="49"/>
    </row>
    <row r="4581" spans="8:8" x14ac:dyDescent="0.2">
      <c r="H4581" s="49"/>
    </row>
    <row r="4582" spans="8:8" x14ac:dyDescent="0.2">
      <c r="H4582" s="49"/>
    </row>
    <row r="4583" spans="8:8" x14ac:dyDescent="0.2">
      <c r="H4583" s="49"/>
    </row>
    <row r="4584" spans="8:8" x14ac:dyDescent="0.2">
      <c r="H4584" s="49"/>
    </row>
    <row r="4585" spans="8:8" x14ac:dyDescent="0.2">
      <c r="H4585" s="49"/>
    </row>
    <row r="4586" spans="8:8" x14ac:dyDescent="0.2">
      <c r="H4586" s="49"/>
    </row>
    <row r="4587" spans="8:8" x14ac:dyDescent="0.2">
      <c r="H4587" s="49"/>
    </row>
    <row r="4588" spans="8:8" x14ac:dyDescent="0.2">
      <c r="H4588" s="49"/>
    </row>
    <row r="4589" spans="8:8" x14ac:dyDescent="0.2">
      <c r="H4589" s="49"/>
    </row>
    <row r="4590" spans="8:8" x14ac:dyDescent="0.2">
      <c r="H4590" s="49"/>
    </row>
    <row r="4591" spans="8:8" x14ac:dyDescent="0.2">
      <c r="H4591" s="49"/>
    </row>
    <row r="4592" spans="8:8" x14ac:dyDescent="0.2">
      <c r="H4592" s="49"/>
    </row>
    <row r="4593" spans="8:8" x14ac:dyDescent="0.2">
      <c r="H4593" s="49"/>
    </row>
    <row r="4594" spans="8:8" x14ac:dyDescent="0.2">
      <c r="H4594" s="49"/>
    </row>
    <row r="4595" spans="8:8" x14ac:dyDescent="0.2">
      <c r="H4595" s="49"/>
    </row>
    <row r="4596" spans="8:8" x14ac:dyDescent="0.2">
      <c r="H4596" s="49"/>
    </row>
    <row r="4597" spans="8:8" x14ac:dyDescent="0.2">
      <c r="H4597" s="49"/>
    </row>
    <row r="4598" spans="8:8" x14ac:dyDescent="0.2">
      <c r="H4598" s="49"/>
    </row>
    <row r="4599" spans="8:8" x14ac:dyDescent="0.2">
      <c r="H4599" s="49"/>
    </row>
    <row r="4600" spans="8:8" x14ac:dyDescent="0.2">
      <c r="H4600" s="49"/>
    </row>
    <row r="4601" spans="8:8" x14ac:dyDescent="0.2">
      <c r="H4601" s="49"/>
    </row>
    <row r="4602" spans="8:8" x14ac:dyDescent="0.2">
      <c r="H4602" s="49"/>
    </row>
    <row r="4603" spans="8:8" x14ac:dyDescent="0.2">
      <c r="H4603" s="49"/>
    </row>
    <row r="4604" spans="8:8" x14ac:dyDescent="0.2">
      <c r="H4604" s="49"/>
    </row>
    <row r="4605" spans="8:8" x14ac:dyDescent="0.2">
      <c r="H4605" s="49"/>
    </row>
    <row r="4606" spans="8:8" x14ac:dyDescent="0.2">
      <c r="H4606" s="49"/>
    </row>
    <row r="4607" spans="8:8" x14ac:dyDescent="0.2">
      <c r="H4607" s="49"/>
    </row>
    <row r="4608" spans="8:8" x14ac:dyDescent="0.2">
      <c r="H4608" s="49"/>
    </row>
    <row r="4609" spans="8:8" x14ac:dyDescent="0.2">
      <c r="H4609" s="49"/>
    </row>
    <row r="4610" spans="8:8" x14ac:dyDescent="0.2">
      <c r="H4610" s="49"/>
    </row>
    <row r="4611" spans="8:8" x14ac:dyDescent="0.2">
      <c r="H4611" s="49"/>
    </row>
    <row r="4612" spans="8:8" x14ac:dyDescent="0.2">
      <c r="H4612" s="49"/>
    </row>
    <row r="4613" spans="8:8" x14ac:dyDescent="0.2">
      <c r="H4613" s="49"/>
    </row>
    <row r="4614" spans="8:8" x14ac:dyDescent="0.2">
      <c r="H4614" s="49"/>
    </row>
    <row r="4615" spans="8:8" x14ac:dyDescent="0.2">
      <c r="H4615" s="49"/>
    </row>
    <row r="4616" spans="8:8" x14ac:dyDescent="0.2">
      <c r="H4616" s="49"/>
    </row>
    <row r="4617" spans="8:8" x14ac:dyDescent="0.2">
      <c r="H4617" s="49"/>
    </row>
    <row r="4618" spans="8:8" x14ac:dyDescent="0.2">
      <c r="H4618" s="49"/>
    </row>
    <row r="4619" spans="8:8" x14ac:dyDescent="0.2">
      <c r="H4619" s="49"/>
    </row>
    <row r="4620" spans="8:8" x14ac:dyDescent="0.2">
      <c r="H4620" s="49"/>
    </row>
    <row r="4621" spans="8:8" x14ac:dyDescent="0.2">
      <c r="H4621" s="49"/>
    </row>
    <row r="4622" spans="8:8" x14ac:dyDescent="0.2">
      <c r="H4622" s="49"/>
    </row>
    <row r="4623" spans="8:8" x14ac:dyDescent="0.2">
      <c r="H4623" s="49"/>
    </row>
    <row r="4624" spans="8:8" x14ac:dyDescent="0.2">
      <c r="H4624" s="49"/>
    </row>
    <row r="4625" spans="8:115" x14ac:dyDescent="0.2">
      <c r="H4625" s="49"/>
    </row>
    <row r="4626" spans="8:115" x14ac:dyDescent="0.2">
      <c r="H4626" s="49"/>
    </row>
    <row r="4627" spans="8:115" x14ac:dyDescent="0.2">
      <c r="H4627" s="49"/>
    </row>
    <row r="4628" spans="8:115" x14ac:dyDescent="0.2">
      <c r="H4628" s="49"/>
    </row>
    <row r="4629" spans="8:115" x14ac:dyDescent="0.2">
      <c r="H4629" s="49"/>
    </row>
    <row r="4630" spans="8:115" x14ac:dyDescent="0.2">
      <c r="H4630" s="49"/>
    </row>
    <row r="4631" spans="8:115" x14ac:dyDescent="0.2">
      <c r="H4631" s="49"/>
    </row>
    <row r="4632" spans="8:115" x14ac:dyDescent="0.2">
      <c r="H4632" s="49"/>
    </row>
    <row r="4633" spans="8:115" x14ac:dyDescent="0.2">
      <c r="H4633" s="49"/>
    </row>
    <row r="4634" spans="8:115" x14ac:dyDescent="0.2">
      <c r="H4634" s="49"/>
    </row>
    <row r="4635" spans="8:115" x14ac:dyDescent="0.2">
      <c r="H4635" s="49"/>
    </row>
    <row r="4636" spans="8:115" x14ac:dyDescent="0.2">
      <c r="H4636" s="49"/>
      <c r="DK4636" s="37"/>
    </row>
    <row r="4637" spans="8:115" x14ac:dyDescent="0.2">
      <c r="H4637" s="49"/>
    </row>
    <row r="4638" spans="8:115" x14ac:dyDescent="0.2">
      <c r="H4638" s="49"/>
    </row>
    <row r="4639" spans="8:115" x14ac:dyDescent="0.2">
      <c r="H4639" s="49"/>
    </row>
    <row r="4640" spans="8:115" x14ac:dyDescent="0.2">
      <c r="H4640" s="49"/>
    </row>
    <row r="4641" spans="8:8" x14ac:dyDescent="0.2">
      <c r="H4641" s="49"/>
    </row>
    <row r="4642" spans="8:8" x14ac:dyDescent="0.2">
      <c r="H4642" s="49"/>
    </row>
    <row r="4643" spans="8:8" x14ac:dyDescent="0.2">
      <c r="H4643" s="49"/>
    </row>
    <row r="4644" spans="8:8" x14ac:dyDescent="0.2">
      <c r="H4644" s="49"/>
    </row>
    <row r="4645" spans="8:8" x14ac:dyDescent="0.2">
      <c r="H4645" s="49"/>
    </row>
    <row r="4646" spans="8:8" x14ac:dyDescent="0.2">
      <c r="H4646" s="49"/>
    </row>
    <row r="4647" spans="8:8" x14ac:dyDescent="0.2">
      <c r="H4647" s="49"/>
    </row>
    <row r="4648" spans="8:8" x14ac:dyDescent="0.2">
      <c r="H4648" s="49"/>
    </row>
    <row r="4649" spans="8:8" x14ac:dyDescent="0.2">
      <c r="H4649" s="49"/>
    </row>
    <row r="4650" spans="8:8" x14ac:dyDescent="0.2">
      <c r="H4650" s="49"/>
    </row>
    <row r="4651" spans="8:8" x14ac:dyDescent="0.2">
      <c r="H4651" s="49"/>
    </row>
    <row r="4652" spans="8:8" x14ac:dyDescent="0.2">
      <c r="H4652" s="49"/>
    </row>
    <row r="4653" spans="8:8" x14ac:dyDescent="0.2">
      <c r="H4653" s="49"/>
    </row>
    <row r="4654" spans="8:8" x14ac:dyDescent="0.2">
      <c r="H4654" s="49"/>
    </row>
    <row r="4655" spans="8:8" x14ac:dyDescent="0.2">
      <c r="H4655" s="49"/>
    </row>
    <row r="4656" spans="8:8" x14ac:dyDescent="0.2">
      <c r="H4656" s="49"/>
    </row>
    <row r="4657" spans="8:8" x14ac:dyDescent="0.2">
      <c r="H4657" s="49"/>
    </row>
    <row r="4658" spans="8:8" x14ac:dyDescent="0.2">
      <c r="H4658" s="49"/>
    </row>
    <row r="4659" spans="8:8" x14ac:dyDescent="0.2">
      <c r="H4659" s="49"/>
    </row>
    <row r="4660" spans="8:8" x14ac:dyDescent="0.2">
      <c r="H4660" s="49"/>
    </row>
    <row r="4661" spans="8:8" x14ac:dyDescent="0.2">
      <c r="H4661" s="49"/>
    </row>
    <row r="4662" spans="8:8" x14ac:dyDescent="0.2">
      <c r="H4662" s="49"/>
    </row>
    <row r="4663" spans="8:8" x14ac:dyDescent="0.2">
      <c r="H4663" s="49"/>
    </row>
    <row r="4664" spans="8:8" x14ac:dyDescent="0.2">
      <c r="H4664" s="49"/>
    </row>
    <row r="4665" spans="8:8" x14ac:dyDescent="0.2">
      <c r="H4665" s="49"/>
    </row>
    <row r="4666" spans="8:8" x14ac:dyDescent="0.2">
      <c r="H4666" s="49"/>
    </row>
    <row r="4667" spans="8:8" x14ac:dyDescent="0.2">
      <c r="H4667" s="49"/>
    </row>
    <row r="4668" spans="8:8" x14ac:dyDescent="0.2">
      <c r="H4668" s="49"/>
    </row>
    <row r="4669" spans="8:8" x14ac:dyDescent="0.2">
      <c r="H4669" s="49"/>
    </row>
    <row r="4670" spans="8:8" x14ac:dyDescent="0.2">
      <c r="H4670" s="49"/>
    </row>
    <row r="4671" spans="8:8" x14ac:dyDescent="0.2">
      <c r="H4671" s="49"/>
    </row>
    <row r="4672" spans="8:8" x14ac:dyDescent="0.2">
      <c r="H4672" s="49"/>
    </row>
    <row r="4673" spans="8:8" x14ac:dyDescent="0.2">
      <c r="H4673" s="49"/>
    </row>
    <row r="4674" spans="8:8" x14ac:dyDescent="0.2">
      <c r="H4674" s="49"/>
    </row>
    <row r="4675" spans="8:8" x14ac:dyDescent="0.2">
      <c r="H4675" s="49"/>
    </row>
    <row r="4676" spans="8:8" x14ac:dyDescent="0.2">
      <c r="H4676" s="49"/>
    </row>
    <row r="4677" spans="8:8" x14ac:dyDescent="0.2">
      <c r="H4677" s="49"/>
    </row>
    <row r="4678" spans="8:8" x14ac:dyDescent="0.2">
      <c r="H4678" s="49"/>
    </row>
    <row r="4679" spans="8:8" x14ac:dyDescent="0.2">
      <c r="H4679" s="49"/>
    </row>
    <row r="4680" spans="8:8" x14ac:dyDescent="0.2">
      <c r="H4680" s="49"/>
    </row>
    <row r="4681" spans="8:8" x14ac:dyDescent="0.2">
      <c r="H4681" s="49"/>
    </row>
    <row r="4682" spans="8:8" x14ac:dyDescent="0.2">
      <c r="H4682" s="49"/>
    </row>
    <row r="4683" spans="8:8" x14ac:dyDescent="0.2">
      <c r="H4683" s="49"/>
    </row>
    <row r="4684" spans="8:8" x14ac:dyDescent="0.2">
      <c r="H4684" s="49"/>
    </row>
    <row r="4685" spans="8:8" x14ac:dyDescent="0.2">
      <c r="H4685" s="49"/>
    </row>
    <row r="4686" spans="8:8" x14ac:dyDescent="0.2">
      <c r="H4686" s="49"/>
    </row>
    <row r="4687" spans="8:8" x14ac:dyDescent="0.2">
      <c r="H4687" s="49"/>
    </row>
    <row r="4688" spans="8:8" x14ac:dyDescent="0.2">
      <c r="H4688" s="49"/>
    </row>
    <row r="4689" spans="8:99" x14ac:dyDescent="0.2">
      <c r="H4689" s="49"/>
    </row>
    <row r="4690" spans="8:99" x14ac:dyDescent="0.2">
      <c r="H4690" s="49"/>
    </row>
    <row r="4691" spans="8:99" x14ac:dyDescent="0.2">
      <c r="H4691" s="49"/>
    </row>
    <row r="4692" spans="8:99" x14ac:dyDescent="0.2">
      <c r="H4692" s="49"/>
    </row>
    <row r="4693" spans="8:99" x14ac:dyDescent="0.2">
      <c r="H4693" s="49"/>
    </row>
    <row r="4694" spans="8:99" x14ac:dyDescent="0.2">
      <c r="H4694" s="49"/>
    </row>
    <row r="4695" spans="8:99" x14ac:dyDescent="0.2">
      <c r="H4695" s="49"/>
    </row>
    <row r="4696" spans="8:99" x14ac:dyDescent="0.2">
      <c r="H4696" s="49"/>
    </row>
    <row r="4697" spans="8:99" x14ac:dyDescent="0.2">
      <c r="H4697" s="49"/>
      <c r="CU4697" s="37"/>
    </row>
    <row r="4698" spans="8:99" x14ac:dyDescent="0.2">
      <c r="H4698" s="49"/>
      <c r="CU4698" s="37"/>
    </row>
    <row r="4699" spans="8:99" x14ac:dyDescent="0.2">
      <c r="H4699" s="49"/>
    </row>
    <row r="4700" spans="8:99" x14ac:dyDescent="0.2">
      <c r="H4700" s="49"/>
    </row>
    <row r="4701" spans="8:99" x14ac:dyDescent="0.2">
      <c r="H4701" s="49"/>
    </row>
    <row r="4702" spans="8:99" x14ac:dyDescent="0.2">
      <c r="H4702" s="49"/>
    </row>
    <row r="4703" spans="8:99" x14ac:dyDescent="0.2">
      <c r="H4703" s="49"/>
    </row>
    <row r="4704" spans="8:99" x14ac:dyDescent="0.2">
      <c r="H4704" s="49"/>
    </row>
    <row r="4705" spans="8:8" x14ac:dyDescent="0.2">
      <c r="H4705" s="49"/>
    </row>
    <row r="4706" spans="8:8" x14ac:dyDescent="0.2">
      <c r="H4706" s="49"/>
    </row>
    <row r="4707" spans="8:8" x14ac:dyDescent="0.2">
      <c r="H4707" s="49"/>
    </row>
    <row r="4708" spans="8:8" x14ac:dyDescent="0.2">
      <c r="H4708" s="49"/>
    </row>
    <row r="4709" spans="8:8" x14ac:dyDescent="0.2">
      <c r="H4709" s="49"/>
    </row>
    <row r="4710" spans="8:8" x14ac:dyDescent="0.2">
      <c r="H4710" s="49"/>
    </row>
    <row r="4711" spans="8:8" x14ac:dyDescent="0.2">
      <c r="H4711" s="49"/>
    </row>
    <row r="4712" spans="8:8" x14ac:dyDescent="0.2">
      <c r="H4712" s="49"/>
    </row>
    <row r="4713" spans="8:8" x14ac:dyDescent="0.2">
      <c r="H4713" s="49"/>
    </row>
    <row r="4714" spans="8:8" x14ac:dyDescent="0.2">
      <c r="H4714" s="49"/>
    </row>
    <row r="4715" spans="8:8" x14ac:dyDescent="0.2">
      <c r="H4715" s="49"/>
    </row>
    <row r="4716" spans="8:8" x14ac:dyDescent="0.2">
      <c r="H4716" s="49"/>
    </row>
    <row r="4717" spans="8:8" x14ac:dyDescent="0.2">
      <c r="H4717" s="49"/>
    </row>
    <row r="4718" spans="8:8" x14ac:dyDescent="0.2">
      <c r="H4718" s="49"/>
    </row>
    <row r="4719" spans="8:8" x14ac:dyDescent="0.2">
      <c r="H4719" s="49"/>
    </row>
    <row r="4720" spans="8:8" x14ac:dyDescent="0.2">
      <c r="H4720" s="49"/>
    </row>
    <row r="4721" spans="8:8" x14ac:dyDescent="0.2">
      <c r="H4721" s="49"/>
    </row>
    <row r="4722" spans="8:8" x14ac:dyDescent="0.2">
      <c r="H4722" s="49"/>
    </row>
    <row r="4723" spans="8:8" x14ac:dyDescent="0.2">
      <c r="H4723" s="49"/>
    </row>
    <row r="4724" spans="8:8" x14ac:dyDescent="0.2">
      <c r="H4724" s="49"/>
    </row>
    <row r="4725" spans="8:8" x14ac:dyDescent="0.2">
      <c r="H4725" s="49"/>
    </row>
    <row r="4726" spans="8:8" x14ac:dyDescent="0.2">
      <c r="H4726" s="49"/>
    </row>
    <row r="4727" spans="8:8" x14ac:dyDescent="0.2">
      <c r="H4727" s="49"/>
    </row>
    <row r="4728" spans="8:8" x14ac:dyDescent="0.2">
      <c r="H4728" s="49"/>
    </row>
    <row r="4729" spans="8:8" x14ac:dyDescent="0.2">
      <c r="H4729" s="49"/>
    </row>
    <row r="4730" spans="8:8" x14ac:dyDescent="0.2">
      <c r="H4730" s="49"/>
    </row>
    <row r="4731" spans="8:8" x14ac:dyDescent="0.2">
      <c r="H4731" s="49"/>
    </row>
    <row r="4732" spans="8:8" x14ac:dyDescent="0.2">
      <c r="H4732" s="49"/>
    </row>
    <row r="4733" spans="8:8" x14ac:dyDescent="0.2">
      <c r="H4733" s="49"/>
    </row>
    <row r="4734" spans="8:8" x14ac:dyDescent="0.2">
      <c r="H4734" s="49"/>
    </row>
    <row r="4735" spans="8:8" x14ac:dyDescent="0.2">
      <c r="H4735" s="49"/>
    </row>
    <row r="4736" spans="8:8" x14ac:dyDescent="0.2">
      <c r="H4736" s="49"/>
    </row>
    <row r="4737" spans="8:8" x14ac:dyDescent="0.2">
      <c r="H4737" s="49"/>
    </row>
    <row r="4738" spans="8:8" x14ac:dyDescent="0.2">
      <c r="H4738" s="49"/>
    </row>
    <row r="4739" spans="8:8" x14ac:dyDescent="0.2">
      <c r="H4739" s="49"/>
    </row>
    <row r="4740" spans="8:8" x14ac:dyDescent="0.2">
      <c r="H4740" s="49"/>
    </row>
    <row r="4741" spans="8:8" x14ac:dyDescent="0.2">
      <c r="H4741" s="49"/>
    </row>
    <row r="4742" spans="8:8" x14ac:dyDescent="0.2">
      <c r="H4742" s="49"/>
    </row>
    <row r="4743" spans="8:8" x14ac:dyDescent="0.2">
      <c r="H4743" s="49"/>
    </row>
    <row r="4744" spans="8:8" x14ac:dyDescent="0.2">
      <c r="H4744" s="49"/>
    </row>
    <row r="4745" spans="8:8" x14ac:dyDescent="0.2">
      <c r="H4745" s="49"/>
    </row>
    <row r="4746" spans="8:8" x14ac:dyDescent="0.2">
      <c r="H4746" s="49"/>
    </row>
    <row r="4747" spans="8:8" x14ac:dyDescent="0.2">
      <c r="H4747" s="49"/>
    </row>
    <row r="4748" spans="8:8" x14ac:dyDescent="0.2">
      <c r="H4748" s="49"/>
    </row>
    <row r="4749" spans="8:8" x14ac:dyDescent="0.2">
      <c r="H4749" s="49"/>
    </row>
    <row r="4750" spans="8:8" x14ac:dyDescent="0.2">
      <c r="H4750" s="49"/>
    </row>
    <row r="4751" spans="8:8" x14ac:dyDescent="0.2">
      <c r="H4751" s="49"/>
    </row>
    <row r="4752" spans="8:8" x14ac:dyDescent="0.2">
      <c r="H4752" s="49"/>
    </row>
    <row r="4753" spans="8:8" x14ac:dyDescent="0.2">
      <c r="H4753" s="49"/>
    </row>
    <row r="4754" spans="8:8" x14ac:dyDescent="0.2">
      <c r="H4754" s="49"/>
    </row>
    <row r="4755" spans="8:8" x14ac:dyDescent="0.2">
      <c r="H4755" s="49"/>
    </row>
    <row r="4756" spans="8:8" x14ac:dyDescent="0.2">
      <c r="H4756" s="49"/>
    </row>
    <row r="4757" spans="8:8" x14ac:dyDescent="0.2">
      <c r="H4757" s="49"/>
    </row>
    <row r="4758" spans="8:8" x14ac:dyDescent="0.2">
      <c r="H4758" s="49"/>
    </row>
    <row r="4759" spans="8:8" x14ac:dyDescent="0.2">
      <c r="H4759" s="49"/>
    </row>
    <row r="4760" spans="8:8" x14ac:dyDescent="0.2">
      <c r="H4760" s="49"/>
    </row>
    <row r="4761" spans="8:8" x14ac:dyDescent="0.2">
      <c r="H4761" s="49"/>
    </row>
    <row r="4762" spans="8:8" x14ac:dyDescent="0.2">
      <c r="H4762" s="49"/>
    </row>
    <row r="4763" spans="8:8" x14ac:dyDescent="0.2">
      <c r="H4763" s="49"/>
    </row>
    <row r="4764" spans="8:8" x14ac:dyDescent="0.2">
      <c r="H4764" s="49"/>
    </row>
    <row r="4765" spans="8:8" x14ac:dyDescent="0.2">
      <c r="H4765" s="49"/>
    </row>
    <row r="4766" spans="8:8" x14ac:dyDescent="0.2">
      <c r="H4766" s="49"/>
    </row>
    <row r="4767" spans="8:8" x14ac:dyDescent="0.2">
      <c r="H4767" s="49"/>
    </row>
    <row r="4768" spans="8:8" x14ac:dyDescent="0.2">
      <c r="H4768" s="49"/>
    </row>
    <row r="4769" spans="8:8" x14ac:dyDescent="0.2">
      <c r="H4769" s="49"/>
    </row>
    <row r="4770" spans="8:8" x14ac:dyDescent="0.2">
      <c r="H4770" s="49"/>
    </row>
    <row r="4771" spans="8:8" x14ac:dyDescent="0.2">
      <c r="H4771" s="49"/>
    </row>
    <row r="4772" spans="8:8" x14ac:dyDescent="0.2">
      <c r="H4772" s="49"/>
    </row>
    <row r="4773" spans="8:8" x14ac:dyDescent="0.2">
      <c r="H4773" s="49"/>
    </row>
    <row r="4774" spans="8:8" x14ac:dyDescent="0.2">
      <c r="H4774" s="49"/>
    </row>
    <row r="4775" spans="8:8" x14ac:dyDescent="0.2">
      <c r="H4775" s="49"/>
    </row>
    <row r="4776" spans="8:8" x14ac:dyDescent="0.2">
      <c r="H4776" s="49"/>
    </row>
    <row r="4777" spans="8:8" x14ac:dyDescent="0.2">
      <c r="H4777" s="49"/>
    </row>
    <row r="4778" spans="8:8" x14ac:dyDescent="0.2">
      <c r="H4778" s="49"/>
    </row>
    <row r="4779" spans="8:8" x14ac:dyDescent="0.2">
      <c r="H4779" s="49"/>
    </row>
    <row r="4780" spans="8:8" x14ac:dyDescent="0.2">
      <c r="H4780" s="49"/>
    </row>
    <row r="4781" spans="8:8" x14ac:dyDescent="0.2">
      <c r="H4781" s="49"/>
    </row>
    <row r="4782" spans="8:8" x14ac:dyDescent="0.2">
      <c r="H4782" s="49"/>
    </row>
    <row r="4783" spans="8:8" x14ac:dyDescent="0.2">
      <c r="H4783" s="49"/>
    </row>
    <row r="4784" spans="8:8" x14ac:dyDescent="0.2">
      <c r="H4784" s="49"/>
    </row>
    <row r="4785" spans="8:8" x14ac:dyDescent="0.2">
      <c r="H4785" s="49"/>
    </row>
    <row r="4786" spans="8:8" x14ac:dyDescent="0.2">
      <c r="H4786" s="49"/>
    </row>
    <row r="4787" spans="8:8" x14ac:dyDescent="0.2">
      <c r="H4787" s="49"/>
    </row>
    <row r="4788" spans="8:8" x14ac:dyDescent="0.2">
      <c r="H4788" s="49"/>
    </row>
    <row r="4789" spans="8:8" x14ac:dyDescent="0.2">
      <c r="H4789" s="49"/>
    </row>
    <row r="4790" spans="8:8" x14ac:dyDescent="0.2">
      <c r="H4790" s="49"/>
    </row>
    <row r="4791" spans="8:8" x14ac:dyDescent="0.2">
      <c r="H4791" s="49"/>
    </row>
    <row r="4792" spans="8:8" x14ac:dyDescent="0.2">
      <c r="H4792" s="49"/>
    </row>
    <row r="4793" spans="8:8" x14ac:dyDescent="0.2">
      <c r="H4793" s="49"/>
    </row>
    <row r="4794" spans="8:8" x14ac:dyDescent="0.2">
      <c r="H4794" s="49"/>
    </row>
    <row r="4795" spans="8:8" x14ac:dyDescent="0.2">
      <c r="H4795" s="49"/>
    </row>
    <row r="4796" spans="8:8" x14ac:dyDescent="0.2">
      <c r="H4796" s="49"/>
    </row>
    <row r="4797" spans="8:8" x14ac:dyDescent="0.2">
      <c r="H4797" s="49"/>
    </row>
    <row r="4798" spans="8:8" x14ac:dyDescent="0.2">
      <c r="H4798" s="49"/>
    </row>
    <row r="4799" spans="8:8" x14ac:dyDescent="0.2">
      <c r="H4799" s="49"/>
    </row>
    <row r="4800" spans="8:8" x14ac:dyDescent="0.2">
      <c r="H4800" s="49"/>
    </row>
    <row r="4801" spans="8:8" x14ac:dyDescent="0.2">
      <c r="H4801" s="49"/>
    </row>
    <row r="4802" spans="8:8" x14ac:dyDescent="0.2">
      <c r="H4802" s="49"/>
    </row>
    <row r="4803" spans="8:8" x14ac:dyDescent="0.2">
      <c r="H4803" s="49"/>
    </row>
    <row r="4804" spans="8:8" x14ac:dyDescent="0.2">
      <c r="H4804" s="49"/>
    </row>
    <row r="4805" spans="8:8" x14ac:dyDescent="0.2">
      <c r="H4805" s="49"/>
    </row>
    <row r="4806" spans="8:8" x14ac:dyDescent="0.2">
      <c r="H4806" s="49"/>
    </row>
    <row r="4807" spans="8:8" x14ac:dyDescent="0.2">
      <c r="H4807" s="49"/>
    </row>
    <row r="4808" spans="8:8" x14ac:dyDescent="0.2">
      <c r="H4808" s="49"/>
    </row>
    <row r="4809" spans="8:8" x14ac:dyDescent="0.2">
      <c r="H4809" s="49"/>
    </row>
    <row r="4810" spans="8:8" x14ac:dyDescent="0.2">
      <c r="H4810" s="49"/>
    </row>
    <row r="4811" spans="8:8" x14ac:dyDescent="0.2">
      <c r="H4811" s="49"/>
    </row>
    <row r="4812" spans="8:8" x14ac:dyDescent="0.2">
      <c r="H4812" s="49"/>
    </row>
    <row r="4813" spans="8:8" x14ac:dyDescent="0.2">
      <c r="H4813" s="49"/>
    </row>
    <row r="4814" spans="8:8" x14ac:dyDescent="0.2">
      <c r="H4814" s="49"/>
    </row>
    <row r="4815" spans="8:8" x14ac:dyDescent="0.2">
      <c r="H4815" s="49"/>
    </row>
    <row r="4816" spans="8:8" x14ac:dyDescent="0.2">
      <c r="H4816" s="49"/>
    </row>
    <row r="4817" spans="8:8" x14ac:dyDescent="0.2">
      <c r="H4817" s="49"/>
    </row>
    <row r="4818" spans="8:8" x14ac:dyDescent="0.2">
      <c r="H4818" s="49"/>
    </row>
    <row r="4819" spans="8:8" x14ac:dyDescent="0.2">
      <c r="H4819" s="49"/>
    </row>
    <row r="4820" spans="8:8" x14ac:dyDescent="0.2">
      <c r="H4820" s="49"/>
    </row>
    <row r="4821" spans="8:8" x14ac:dyDescent="0.2">
      <c r="H4821" s="49"/>
    </row>
    <row r="4822" spans="8:8" x14ac:dyDescent="0.2">
      <c r="H4822" s="49"/>
    </row>
    <row r="4823" spans="8:8" x14ac:dyDescent="0.2">
      <c r="H4823" s="49"/>
    </row>
    <row r="4824" spans="8:8" x14ac:dyDescent="0.2">
      <c r="H4824" s="49"/>
    </row>
    <row r="4825" spans="8:8" x14ac:dyDescent="0.2">
      <c r="H4825" s="49"/>
    </row>
    <row r="4826" spans="8:8" x14ac:dyDescent="0.2">
      <c r="H4826" s="49"/>
    </row>
    <row r="4827" spans="8:8" x14ac:dyDescent="0.2">
      <c r="H4827" s="49"/>
    </row>
    <row r="4828" spans="8:8" x14ac:dyDescent="0.2">
      <c r="H4828" s="49"/>
    </row>
    <row r="4829" spans="8:8" x14ac:dyDescent="0.2">
      <c r="H4829" s="49"/>
    </row>
    <row r="4830" spans="8:8" x14ac:dyDescent="0.2">
      <c r="H4830" s="49"/>
    </row>
    <row r="4831" spans="8:8" x14ac:dyDescent="0.2">
      <c r="H4831" s="49"/>
    </row>
    <row r="4832" spans="8:8" x14ac:dyDescent="0.2">
      <c r="H4832" s="49"/>
    </row>
    <row r="4833" spans="8:8" x14ac:dyDescent="0.2">
      <c r="H4833" s="49"/>
    </row>
    <row r="4834" spans="8:8" x14ac:dyDescent="0.2">
      <c r="H4834" s="49"/>
    </row>
    <row r="4835" spans="8:8" x14ac:dyDescent="0.2">
      <c r="H4835" s="49"/>
    </row>
    <row r="4836" spans="8:8" x14ac:dyDescent="0.2">
      <c r="H4836" s="49"/>
    </row>
    <row r="4837" spans="8:8" x14ac:dyDescent="0.2">
      <c r="H4837" s="49"/>
    </row>
    <row r="4838" spans="8:8" x14ac:dyDescent="0.2">
      <c r="H4838" s="49"/>
    </row>
    <row r="4839" spans="8:8" x14ac:dyDescent="0.2">
      <c r="H4839" s="49"/>
    </row>
    <row r="4840" spans="8:8" x14ac:dyDescent="0.2">
      <c r="H4840" s="49"/>
    </row>
    <row r="4841" spans="8:8" x14ac:dyDescent="0.2">
      <c r="H4841" s="49"/>
    </row>
    <row r="4842" spans="8:8" x14ac:dyDescent="0.2">
      <c r="H4842" s="49"/>
    </row>
    <row r="4843" spans="8:8" x14ac:dyDescent="0.2">
      <c r="H4843" s="49"/>
    </row>
    <row r="4844" spans="8:8" x14ac:dyDescent="0.2">
      <c r="H4844" s="49"/>
    </row>
    <row r="4845" spans="8:8" x14ac:dyDescent="0.2">
      <c r="H4845" s="49"/>
    </row>
    <row r="4846" spans="8:8" x14ac:dyDescent="0.2">
      <c r="H4846" s="49"/>
    </row>
    <row r="4847" spans="8:8" x14ac:dyDescent="0.2">
      <c r="H4847" s="49"/>
    </row>
    <row r="4848" spans="8:8" x14ac:dyDescent="0.2">
      <c r="H4848" s="49"/>
    </row>
    <row r="4849" spans="8:8" x14ac:dyDescent="0.2">
      <c r="H4849" s="49"/>
    </row>
    <row r="4850" spans="8:8" x14ac:dyDescent="0.2">
      <c r="H4850" s="49"/>
    </row>
    <row r="4851" spans="8:8" x14ac:dyDescent="0.2">
      <c r="H4851" s="49"/>
    </row>
    <row r="4852" spans="8:8" x14ac:dyDescent="0.2">
      <c r="H4852" s="49"/>
    </row>
    <row r="4853" spans="8:8" x14ac:dyDescent="0.2">
      <c r="H4853" s="49"/>
    </row>
    <row r="4854" spans="8:8" x14ac:dyDescent="0.2">
      <c r="H4854" s="49"/>
    </row>
    <row r="4855" spans="8:8" x14ac:dyDescent="0.2">
      <c r="H4855" s="49"/>
    </row>
    <row r="4856" spans="8:8" x14ac:dyDescent="0.2">
      <c r="H4856" s="49"/>
    </row>
    <row r="4857" spans="8:8" x14ac:dyDescent="0.2">
      <c r="H4857" s="49"/>
    </row>
    <row r="4858" spans="8:8" x14ac:dyDescent="0.2">
      <c r="H4858" s="49"/>
    </row>
    <row r="4859" spans="8:8" x14ac:dyDescent="0.2">
      <c r="H4859" s="49"/>
    </row>
    <row r="4860" spans="8:8" x14ac:dyDescent="0.2">
      <c r="H4860" s="49"/>
    </row>
    <row r="4861" spans="8:8" x14ac:dyDescent="0.2">
      <c r="H4861" s="49"/>
    </row>
    <row r="4862" spans="8:8" x14ac:dyDescent="0.2">
      <c r="H4862" s="49"/>
    </row>
    <row r="4863" spans="8:8" x14ac:dyDescent="0.2">
      <c r="H4863" s="49"/>
    </row>
    <row r="4864" spans="8:8" x14ac:dyDescent="0.2">
      <c r="H4864" s="49"/>
    </row>
    <row r="4865" spans="8:8" x14ac:dyDescent="0.2">
      <c r="H4865" s="49"/>
    </row>
    <row r="4866" spans="8:8" x14ac:dyDescent="0.2">
      <c r="H4866" s="49"/>
    </row>
    <row r="4867" spans="8:8" x14ac:dyDescent="0.2">
      <c r="H4867" s="49"/>
    </row>
    <row r="4868" spans="8:8" x14ac:dyDescent="0.2">
      <c r="H4868" s="49"/>
    </row>
    <row r="4869" spans="8:8" x14ac:dyDescent="0.2">
      <c r="H4869" s="49"/>
    </row>
    <row r="4870" spans="8:8" x14ac:dyDescent="0.2">
      <c r="H4870" s="49"/>
    </row>
    <row r="4871" spans="8:8" x14ac:dyDescent="0.2">
      <c r="H4871" s="49"/>
    </row>
    <row r="4872" spans="8:8" x14ac:dyDescent="0.2">
      <c r="H4872" s="49"/>
    </row>
    <row r="4873" spans="8:8" x14ac:dyDescent="0.2">
      <c r="H4873" s="49"/>
    </row>
    <row r="4874" spans="8:8" x14ac:dyDescent="0.2">
      <c r="H4874" s="49"/>
    </row>
    <row r="4875" spans="8:8" x14ac:dyDescent="0.2">
      <c r="H4875" s="49"/>
    </row>
    <row r="4876" spans="8:8" x14ac:dyDescent="0.2">
      <c r="H4876" s="49"/>
    </row>
    <row r="4877" spans="8:8" x14ac:dyDescent="0.2">
      <c r="H4877" s="49"/>
    </row>
    <row r="4878" spans="8:8" x14ac:dyDescent="0.2">
      <c r="H4878" s="49"/>
    </row>
    <row r="4879" spans="8:8" x14ac:dyDescent="0.2">
      <c r="H4879" s="49"/>
    </row>
    <row r="4880" spans="8:8" x14ac:dyDescent="0.2">
      <c r="H4880" s="49"/>
    </row>
    <row r="4881" spans="8:8" x14ac:dyDescent="0.2">
      <c r="H4881" s="49"/>
    </row>
    <row r="4882" spans="8:8" x14ac:dyDescent="0.2">
      <c r="H4882" s="49"/>
    </row>
    <row r="4883" spans="8:8" x14ac:dyDescent="0.2">
      <c r="H4883" s="49"/>
    </row>
    <row r="4884" spans="8:8" x14ac:dyDescent="0.2">
      <c r="H4884" s="49"/>
    </row>
    <row r="4885" spans="8:8" x14ac:dyDescent="0.2">
      <c r="H4885" s="49"/>
    </row>
    <row r="4886" spans="8:8" x14ac:dyDescent="0.2">
      <c r="H4886" s="49"/>
    </row>
    <row r="4887" spans="8:8" x14ac:dyDescent="0.2">
      <c r="H4887" s="49"/>
    </row>
    <row r="4888" spans="8:8" x14ac:dyDescent="0.2">
      <c r="H4888" s="49"/>
    </row>
    <row r="4889" spans="8:8" x14ac:dyDescent="0.2">
      <c r="H4889" s="49"/>
    </row>
    <row r="4890" spans="8:8" x14ac:dyDescent="0.2">
      <c r="H4890" s="49"/>
    </row>
    <row r="4891" spans="8:8" x14ac:dyDescent="0.2">
      <c r="H4891" s="49"/>
    </row>
    <row r="4892" spans="8:8" x14ac:dyDescent="0.2">
      <c r="H4892" s="49"/>
    </row>
    <row r="4893" spans="8:8" x14ac:dyDescent="0.2">
      <c r="H4893" s="49"/>
    </row>
    <row r="4894" spans="8:8" x14ac:dyDescent="0.2">
      <c r="H4894" s="49"/>
    </row>
    <row r="4895" spans="8:8" x14ac:dyDescent="0.2">
      <c r="H4895" s="49"/>
    </row>
    <row r="4896" spans="8:8" x14ac:dyDescent="0.2">
      <c r="H4896" s="49"/>
    </row>
    <row r="4897" spans="8:8" x14ac:dyDescent="0.2">
      <c r="H4897" s="49"/>
    </row>
    <row r="4898" spans="8:8" x14ac:dyDescent="0.2">
      <c r="H4898" s="49"/>
    </row>
    <row r="4899" spans="8:8" x14ac:dyDescent="0.2">
      <c r="H4899" s="49"/>
    </row>
    <row r="4900" spans="8:8" x14ac:dyDescent="0.2">
      <c r="H4900" s="49"/>
    </row>
    <row r="4901" spans="8:8" x14ac:dyDescent="0.2">
      <c r="H4901" s="49"/>
    </row>
    <row r="4902" spans="8:8" x14ac:dyDescent="0.2">
      <c r="H4902" s="49"/>
    </row>
    <row r="4903" spans="8:8" x14ac:dyDescent="0.2">
      <c r="H4903" s="49"/>
    </row>
    <row r="4904" spans="8:8" x14ac:dyDescent="0.2">
      <c r="H4904" s="49"/>
    </row>
    <row r="4905" spans="8:8" x14ac:dyDescent="0.2">
      <c r="H4905" s="49"/>
    </row>
    <row r="4906" spans="8:8" x14ac:dyDescent="0.2">
      <c r="H4906" s="49"/>
    </row>
    <row r="4907" spans="8:8" x14ac:dyDescent="0.2">
      <c r="H4907" s="49"/>
    </row>
    <row r="4908" spans="8:8" x14ac:dyDescent="0.2">
      <c r="H4908" s="49"/>
    </row>
    <row r="4909" spans="8:8" x14ac:dyDescent="0.2">
      <c r="H4909" s="49"/>
    </row>
    <row r="4910" spans="8:8" x14ac:dyDescent="0.2">
      <c r="H4910" s="49"/>
    </row>
    <row r="4911" spans="8:8" x14ac:dyDescent="0.2">
      <c r="H4911" s="49"/>
    </row>
    <row r="4912" spans="8:8" x14ac:dyDescent="0.2">
      <c r="H4912" s="49"/>
    </row>
    <row r="4913" spans="8:8" x14ac:dyDescent="0.2">
      <c r="H4913" s="49"/>
    </row>
    <row r="4914" spans="8:8" x14ac:dyDescent="0.2">
      <c r="H4914" s="49"/>
    </row>
    <row r="4915" spans="8:8" x14ac:dyDescent="0.2">
      <c r="H4915" s="49"/>
    </row>
    <row r="4916" spans="8:8" x14ac:dyDescent="0.2">
      <c r="H4916" s="49"/>
    </row>
    <row r="4917" spans="8:8" x14ac:dyDescent="0.2">
      <c r="H4917" s="49"/>
    </row>
    <row r="4918" spans="8:8" x14ac:dyDescent="0.2">
      <c r="H4918" s="49"/>
    </row>
    <row r="4919" spans="8:8" x14ac:dyDescent="0.2">
      <c r="H4919" s="49"/>
    </row>
    <row r="4920" spans="8:8" x14ac:dyDescent="0.2">
      <c r="H4920" s="49"/>
    </row>
    <row r="4921" spans="8:8" x14ac:dyDescent="0.2">
      <c r="H4921" s="49"/>
    </row>
    <row r="4922" spans="8:8" x14ac:dyDescent="0.2">
      <c r="H4922" s="49"/>
    </row>
    <row r="4923" spans="8:8" x14ac:dyDescent="0.2">
      <c r="H4923" s="49"/>
    </row>
    <row r="4924" spans="8:8" x14ac:dyDescent="0.2">
      <c r="H4924" s="49"/>
    </row>
    <row r="4925" spans="8:8" x14ac:dyDescent="0.2">
      <c r="H4925" s="49"/>
    </row>
    <row r="4926" spans="8:8" x14ac:dyDescent="0.2">
      <c r="H4926" s="49"/>
    </row>
    <row r="4927" spans="8:8" x14ac:dyDescent="0.2">
      <c r="H4927" s="49"/>
    </row>
    <row r="4928" spans="8:8" x14ac:dyDescent="0.2">
      <c r="H4928" s="49"/>
    </row>
    <row r="4929" spans="8:8" x14ac:dyDescent="0.2">
      <c r="H4929" s="49"/>
    </row>
    <row r="4930" spans="8:8" x14ac:dyDescent="0.2">
      <c r="H4930" s="49"/>
    </row>
    <row r="4931" spans="8:8" x14ac:dyDescent="0.2">
      <c r="H4931" s="49"/>
    </row>
    <row r="4932" spans="8:8" x14ac:dyDescent="0.2">
      <c r="H4932" s="49"/>
    </row>
    <row r="4933" spans="8:8" x14ac:dyDescent="0.2">
      <c r="H4933" s="49"/>
    </row>
    <row r="4934" spans="8:8" x14ac:dyDescent="0.2">
      <c r="H4934" s="49"/>
    </row>
    <row r="4935" spans="8:8" x14ac:dyDescent="0.2">
      <c r="H4935" s="49"/>
    </row>
    <row r="4936" spans="8:8" x14ac:dyDescent="0.2">
      <c r="H4936" s="49"/>
    </row>
    <row r="4937" spans="8:8" x14ac:dyDescent="0.2">
      <c r="H4937" s="49"/>
    </row>
    <row r="4938" spans="8:8" x14ac:dyDescent="0.2">
      <c r="H4938" s="49"/>
    </row>
    <row r="4939" spans="8:8" x14ac:dyDescent="0.2">
      <c r="H4939" s="49"/>
    </row>
    <row r="4940" spans="8:8" x14ac:dyDescent="0.2">
      <c r="H4940" s="49"/>
    </row>
    <row r="4941" spans="8:8" x14ac:dyDescent="0.2">
      <c r="H4941" s="49"/>
    </row>
    <row r="4942" spans="8:8" x14ac:dyDescent="0.2">
      <c r="H4942" s="49"/>
    </row>
    <row r="4943" spans="8:8" x14ac:dyDescent="0.2">
      <c r="H4943" s="49"/>
    </row>
    <row r="4944" spans="8:8" x14ac:dyDescent="0.2">
      <c r="H4944" s="49"/>
    </row>
    <row r="4945" spans="8:8" x14ac:dyDescent="0.2">
      <c r="H4945" s="49"/>
    </row>
    <row r="4946" spans="8:8" x14ac:dyDescent="0.2">
      <c r="H4946" s="49"/>
    </row>
    <row r="4947" spans="8:8" x14ac:dyDescent="0.2">
      <c r="H4947" s="49"/>
    </row>
    <row r="4948" spans="8:8" x14ac:dyDescent="0.2">
      <c r="H4948" s="49"/>
    </row>
    <row r="4949" spans="8:8" x14ac:dyDescent="0.2">
      <c r="H4949" s="49"/>
    </row>
    <row r="4950" spans="8:8" x14ac:dyDescent="0.2">
      <c r="H4950" s="49"/>
    </row>
    <row r="4951" spans="8:8" x14ac:dyDescent="0.2">
      <c r="H4951" s="49"/>
    </row>
    <row r="4952" spans="8:8" x14ac:dyDescent="0.2">
      <c r="H4952" s="49"/>
    </row>
    <row r="4953" spans="8:8" x14ac:dyDescent="0.2">
      <c r="H4953" s="49"/>
    </row>
    <row r="4954" spans="8:8" x14ac:dyDescent="0.2">
      <c r="H4954" s="49"/>
    </row>
    <row r="4955" spans="8:8" x14ac:dyDescent="0.2">
      <c r="H4955" s="49"/>
    </row>
    <row r="4956" spans="8:8" x14ac:dyDescent="0.2">
      <c r="H4956" s="49"/>
    </row>
    <row r="4957" spans="8:8" x14ac:dyDescent="0.2">
      <c r="H4957" s="49"/>
    </row>
    <row r="4958" spans="8:8" x14ac:dyDescent="0.2">
      <c r="H4958" s="49"/>
    </row>
    <row r="4959" spans="8:8" x14ac:dyDescent="0.2">
      <c r="H4959" s="49"/>
    </row>
    <row r="4960" spans="8:8" x14ac:dyDescent="0.2">
      <c r="H4960" s="49"/>
    </row>
    <row r="4961" spans="8:8" x14ac:dyDescent="0.2">
      <c r="H4961" s="49"/>
    </row>
    <row r="4962" spans="8:8" x14ac:dyDescent="0.2">
      <c r="H4962" s="49"/>
    </row>
    <row r="4963" spans="8:8" x14ac:dyDescent="0.2">
      <c r="H4963" s="49"/>
    </row>
    <row r="4964" spans="8:8" x14ac:dyDescent="0.2">
      <c r="H4964" s="49"/>
    </row>
    <row r="4965" spans="8:8" x14ac:dyDescent="0.2">
      <c r="H4965" s="49"/>
    </row>
    <row r="4966" spans="8:8" x14ac:dyDescent="0.2">
      <c r="H4966" s="49"/>
    </row>
    <row r="4967" spans="8:8" x14ac:dyDescent="0.2">
      <c r="H4967" s="49"/>
    </row>
    <row r="4968" spans="8:8" x14ac:dyDescent="0.2">
      <c r="H4968" s="49"/>
    </row>
    <row r="4969" spans="8:8" x14ac:dyDescent="0.2">
      <c r="H4969" s="49"/>
    </row>
    <row r="4970" spans="8:8" x14ac:dyDescent="0.2">
      <c r="H4970" s="49"/>
    </row>
    <row r="4971" spans="8:8" x14ac:dyDescent="0.2">
      <c r="H4971" s="49"/>
    </row>
    <row r="4972" spans="8:8" x14ac:dyDescent="0.2">
      <c r="H4972" s="49"/>
    </row>
    <row r="4973" spans="8:8" x14ac:dyDescent="0.2">
      <c r="H4973" s="49"/>
    </row>
    <row r="4974" spans="8:8" x14ac:dyDescent="0.2">
      <c r="H4974" s="49"/>
    </row>
    <row r="4975" spans="8:8" x14ac:dyDescent="0.2">
      <c r="H4975" s="49"/>
    </row>
    <row r="4976" spans="8:8" x14ac:dyDescent="0.2">
      <c r="H4976" s="49"/>
    </row>
    <row r="4977" spans="8:8" x14ac:dyDescent="0.2">
      <c r="H4977" s="49"/>
    </row>
    <row r="4978" spans="8:8" x14ac:dyDescent="0.2">
      <c r="H4978" s="49"/>
    </row>
    <row r="4979" spans="8:8" x14ac:dyDescent="0.2">
      <c r="H4979" s="49"/>
    </row>
    <row r="4980" spans="8:8" x14ac:dyDescent="0.2">
      <c r="H4980" s="49"/>
    </row>
    <row r="4981" spans="8:8" x14ac:dyDescent="0.2">
      <c r="H4981" s="49"/>
    </row>
    <row r="4982" spans="8:8" x14ac:dyDescent="0.2">
      <c r="H4982" s="49"/>
    </row>
    <row r="4983" spans="8:8" x14ac:dyDescent="0.2">
      <c r="H4983" s="49"/>
    </row>
    <row r="4984" spans="8:8" x14ac:dyDescent="0.2">
      <c r="H4984" s="49"/>
    </row>
    <row r="4985" spans="8:8" x14ac:dyDescent="0.2">
      <c r="H4985" s="49"/>
    </row>
    <row r="4986" spans="8:8" x14ac:dyDescent="0.2">
      <c r="H4986" s="49"/>
    </row>
    <row r="4987" spans="8:8" x14ac:dyDescent="0.2">
      <c r="H4987" s="49"/>
    </row>
    <row r="4988" spans="8:8" x14ac:dyDescent="0.2">
      <c r="H4988" s="49"/>
    </row>
    <row r="4989" spans="8:8" x14ac:dyDescent="0.2">
      <c r="H4989" s="49"/>
    </row>
    <row r="4990" spans="8:8" x14ac:dyDescent="0.2">
      <c r="H4990" s="49"/>
    </row>
    <row r="4991" spans="8:8" x14ac:dyDescent="0.2">
      <c r="H4991" s="49"/>
    </row>
    <row r="4992" spans="8:8" x14ac:dyDescent="0.2">
      <c r="H4992" s="49"/>
    </row>
    <row r="4993" spans="8:86" x14ac:dyDescent="0.2">
      <c r="H4993" s="49"/>
    </row>
    <row r="4994" spans="8:86" x14ac:dyDescent="0.2">
      <c r="H4994" s="49"/>
    </row>
    <row r="4995" spans="8:86" x14ac:dyDescent="0.2">
      <c r="H4995" s="49"/>
    </row>
    <row r="4996" spans="8:86" x14ac:dyDescent="0.2">
      <c r="H4996" s="49"/>
    </row>
    <row r="4997" spans="8:86" x14ac:dyDescent="0.2">
      <c r="H4997" s="49"/>
    </row>
    <row r="4998" spans="8:86" x14ac:dyDescent="0.2">
      <c r="H4998" s="49"/>
    </row>
    <row r="4999" spans="8:86" x14ac:dyDescent="0.2">
      <c r="H4999" s="49"/>
    </row>
    <row r="5000" spans="8:86" x14ac:dyDescent="0.2">
      <c r="H5000" s="49"/>
    </row>
    <row r="5001" spans="8:86" x14ac:dyDescent="0.2">
      <c r="H5001" s="49"/>
    </row>
    <row r="5002" spans="8:86" x14ac:dyDescent="0.2">
      <c r="H5002" s="49"/>
    </row>
    <row r="5003" spans="8:86" x14ac:dyDescent="0.2">
      <c r="H5003" s="49"/>
    </row>
    <row r="5004" spans="8:86" x14ac:dyDescent="0.2">
      <c r="H5004" s="49"/>
    </row>
    <row r="5005" spans="8:86" x14ac:dyDescent="0.2">
      <c r="H5005" s="49"/>
    </row>
    <row r="5006" spans="8:86" x14ac:dyDescent="0.2">
      <c r="H5006" s="49"/>
    </row>
    <row r="5007" spans="8:86" x14ac:dyDescent="0.2">
      <c r="H5007" s="49"/>
      <c r="CH5007" s="37"/>
    </row>
    <row r="5008" spans="8:86" x14ac:dyDescent="0.2">
      <c r="H5008" s="49"/>
      <c r="CH5008" s="37"/>
    </row>
    <row r="5009" spans="8:8" x14ac:dyDescent="0.2">
      <c r="H5009" s="49"/>
    </row>
    <row r="5010" spans="8:8" x14ac:dyDescent="0.2">
      <c r="H5010" s="49"/>
    </row>
    <row r="5011" spans="8:8" x14ac:dyDescent="0.2">
      <c r="H5011" s="49"/>
    </row>
    <row r="5012" spans="8:8" x14ac:dyDescent="0.2">
      <c r="H5012" s="49"/>
    </row>
    <row r="5013" spans="8:8" x14ac:dyDescent="0.2">
      <c r="H5013" s="49"/>
    </row>
    <row r="5014" spans="8:8" x14ac:dyDescent="0.2">
      <c r="H5014" s="49"/>
    </row>
    <row r="5015" spans="8:8" x14ac:dyDescent="0.2">
      <c r="H5015" s="49"/>
    </row>
    <row r="5016" spans="8:8" x14ac:dyDescent="0.2">
      <c r="H5016" s="49"/>
    </row>
    <row r="5017" spans="8:8" x14ac:dyDescent="0.2">
      <c r="H5017" s="49"/>
    </row>
    <row r="5018" spans="8:8" x14ac:dyDescent="0.2">
      <c r="H5018" s="49"/>
    </row>
    <row r="5019" spans="8:8" x14ac:dyDescent="0.2">
      <c r="H5019" s="49"/>
    </row>
    <row r="5020" spans="8:8" x14ac:dyDescent="0.2">
      <c r="H5020" s="49"/>
    </row>
    <row r="5021" spans="8:8" x14ac:dyDescent="0.2">
      <c r="H5021" s="49"/>
    </row>
    <row r="5022" spans="8:8" x14ac:dyDescent="0.2">
      <c r="H5022" s="49"/>
    </row>
    <row r="5023" spans="8:8" x14ac:dyDescent="0.2">
      <c r="H5023" s="49"/>
    </row>
    <row r="5024" spans="8:8" x14ac:dyDescent="0.2">
      <c r="H5024" s="49"/>
    </row>
    <row r="5025" spans="8:8" x14ac:dyDescent="0.2">
      <c r="H5025" s="49"/>
    </row>
    <row r="5026" spans="8:8" x14ac:dyDescent="0.2">
      <c r="H5026" s="49"/>
    </row>
    <row r="5027" spans="8:8" x14ac:dyDescent="0.2">
      <c r="H5027" s="49"/>
    </row>
    <row r="5028" spans="8:8" x14ac:dyDescent="0.2">
      <c r="H5028" s="49"/>
    </row>
    <row r="5029" spans="8:8" x14ac:dyDescent="0.2">
      <c r="H5029" s="49"/>
    </row>
    <row r="5030" spans="8:8" x14ac:dyDescent="0.2">
      <c r="H5030" s="49"/>
    </row>
    <row r="5031" spans="8:8" x14ac:dyDescent="0.2">
      <c r="H5031" s="49"/>
    </row>
    <row r="5032" spans="8:8" x14ac:dyDescent="0.2">
      <c r="H5032" s="49"/>
    </row>
    <row r="5033" spans="8:8" x14ac:dyDescent="0.2">
      <c r="H5033" s="49"/>
    </row>
    <row r="5034" spans="8:8" x14ac:dyDescent="0.2">
      <c r="H5034" s="49"/>
    </row>
    <row r="5035" spans="8:8" x14ac:dyDescent="0.2">
      <c r="H5035" s="49"/>
    </row>
    <row r="5036" spans="8:8" x14ac:dyDescent="0.2">
      <c r="H5036" s="49"/>
    </row>
    <row r="5037" spans="8:8" x14ac:dyDescent="0.2">
      <c r="H5037" s="49"/>
    </row>
    <row r="5038" spans="8:8" x14ac:dyDescent="0.2">
      <c r="H5038" s="49"/>
    </row>
    <row r="5039" spans="8:8" x14ac:dyDescent="0.2">
      <c r="H5039" s="49"/>
    </row>
    <row r="5040" spans="8:8" x14ac:dyDescent="0.2">
      <c r="H5040" s="49"/>
    </row>
    <row r="5041" spans="8:8" x14ac:dyDescent="0.2">
      <c r="H5041" s="49"/>
    </row>
    <row r="5042" spans="8:8" x14ac:dyDescent="0.2">
      <c r="H5042" s="49"/>
    </row>
    <row r="5043" spans="8:8" x14ac:dyDescent="0.2">
      <c r="H5043" s="49"/>
    </row>
    <row r="5044" spans="8:8" x14ac:dyDescent="0.2">
      <c r="H5044" s="49"/>
    </row>
    <row r="5045" spans="8:8" x14ac:dyDescent="0.2">
      <c r="H5045" s="49"/>
    </row>
    <row r="5046" spans="8:8" x14ac:dyDescent="0.2">
      <c r="H5046" s="49"/>
    </row>
    <row r="5047" spans="8:8" x14ac:dyDescent="0.2">
      <c r="H5047" s="49"/>
    </row>
    <row r="5048" spans="8:8" x14ac:dyDescent="0.2">
      <c r="H5048" s="49"/>
    </row>
    <row r="5049" spans="8:8" x14ac:dyDescent="0.2">
      <c r="H5049" s="49"/>
    </row>
    <row r="5050" spans="8:8" x14ac:dyDescent="0.2">
      <c r="H5050" s="49"/>
    </row>
    <row r="5051" spans="8:8" x14ac:dyDescent="0.2">
      <c r="H5051" s="49"/>
    </row>
    <row r="5052" spans="8:8" x14ac:dyDescent="0.2">
      <c r="H5052" s="49"/>
    </row>
    <row r="5053" spans="8:8" x14ac:dyDescent="0.2">
      <c r="H5053" s="49"/>
    </row>
    <row r="5054" spans="8:8" x14ac:dyDescent="0.2">
      <c r="H5054" s="49"/>
    </row>
    <row r="5055" spans="8:8" x14ac:dyDescent="0.2">
      <c r="H5055" s="49"/>
    </row>
    <row r="5056" spans="8:8" x14ac:dyDescent="0.2">
      <c r="H5056" s="49"/>
    </row>
    <row r="5057" spans="8:8" x14ac:dyDescent="0.2">
      <c r="H5057" s="49"/>
    </row>
    <row r="5058" spans="8:8" x14ac:dyDescent="0.2">
      <c r="H5058" s="49"/>
    </row>
    <row r="5059" spans="8:8" x14ac:dyDescent="0.2">
      <c r="H5059" s="49"/>
    </row>
    <row r="5060" spans="8:8" x14ac:dyDescent="0.2">
      <c r="H5060" s="49"/>
    </row>
    <row r="5061" spans="8:8" x14ac:dyDescent="0.2">
      <c r="H5061" s="49"/>
    </row>
    <row r="5062" spans="8:8" x14ac:dyDescent="0.2">
      <c r="H5062" s="49"/>
    </row>
    <row r="5063" spans="8:8" x14ac:dyDescent="0.2">
      <c r="H5063" s="49"/>
    </row>
    <row r="5064" spans="8:8" x14ac:dyDescent="0.2">
      <c r="H5064" s="49"/>
    </row>
    <row r="5065" spans="8:8" x14ac:dyDescent="0.2">
      <c r="H5065" s="49"/>
    </row>
    <row r="5066" spans="8:8" x14ac:dyDescent="0.2">
      <c r="H5066" s="49"/>
    </row>
    <row r="5067" spans="8:8" x14ac:dyDescent="0.2">
      <c r="H5067" s="49"/>
    </row>
    <row r="5068" spans="8:8" x14ac:dyDescent="0.2">
      <c r="H5068" s="49"/>
    </row>
    <row r="5069" spans="8:8" x14ac:dyDescent="0.2">
      <c r="H5069" s="49"/>
    </row>
    <row r="5070" spans="8:8" x14ac:dyDescent="0.2">
      <c r="H5070" s="49"/>
    </row>
    <row r="5071" spans="8:8" x14ac:dyDescent="0.2">
      <c r="H5071" s="49"/>
    </row>
    <row r="5072" spans="8:8" x14ac:dyDescent="0.2">
      <c r="H5072" s="49"/>
    </row>
    <row r="5073" spans="8:8" x14ac:dyDescent="0.2">
      <c r="H5073" s="49"/>
    </row>
    <row r="5074" spans="8:8" x14ac:dyDescent="0.2">
      <c r="H5074" s="49"/>
    </row>
    <row r="5075" spans="8:8" x14ac:dyDescent="0.2">
      <c r="H5075" s="49"/>
    </row>
    <row r="5076" spans="8:8" x14ac:dyDescent="0.2">
      <c r="H5076" s="49"/>
    </row>
    <row r="5077" spans="8:8" x14ac:dyDescent="0.2">
      <c r="H5077" s="49"/>
    </row>
    <row r="5078" spans="8:8" x14ac:dyDescent="0.2">
      <c r="H5078" s="49"/>
    </row>
    <row r="5079" spans="8:8" x14ac:dyDescent="0.2">
      <c r="H5079" s="49"/>
    </row>
    <row r="5080" spans="8:8" x14ac:dyDescent="0.2">
      <c r="H5080" s="49"/>
    </row>
    <row r="5081" spans="8:8" x14ac:dyDescent="0.2">
      <c r="H5081" s="49"/>
    </row>
    <row r="5082" spans="8:8" x14ac:dyDescent="0.2">
      <c r="H5082" s="49"/>
    </row>
    <row r="5083" spans="8:8" x14ac:dyDescent="0.2">
      <c r="H5083" s="49"/>
    </row>
    <row r="5084" spans="8:8" x14ac:dyDescent="0.2">
      <c r="H5084" s="49"/>
    </row>
    <row r="5085" spans="8:8" x14ac:dyDescent="0.2">
      <c r="H5085" s="49"/>
    </row>
    <row r="5086" spans="8:8" x14ac:dyDescent="0.2">
      <c r="H5086" s="49"/>
    </row>
    <row r="5087" spans="8:8" x14ac:dyDescent="0.2">
      <c r="H5087" s="49"/>
    </row>
    <row r="5088" spans="8:8" x14ac:dyDescent="0.2">
      <c r="H5088" s="49"/>
    </row>
    <row r="5089" spans="8:8" x14ac:dyDescent="0.2">
      <c r="H5089" s="49"/>
    </row>
    <row r="5090" spans="8:8" x14ac:dyDescent="0.2">
      <c r="H5090" s="49"/>
    </row>
    <row r="5091" spans="8:8" x14ac:dyDescent="0.2">
      <c r="H5091" s="49"/>
    </row>
    <row r="5092" spans="8:8" x14ac:dyDescent="0.2">
      <c r="H5092" s="49"/>
    </row>
    <row r="5093" spans="8:8" x14ac:dyDescent="0.2">
      <c r="H5093" s="49"/>
    </row>
    <row r="5094" spans="8:8" x14ac:dyDescent="0.2">
      <c r="H5094" s="49"/>
    </row>
    <row r="5095" spans="8:8" x14ac:dyDescent="0.2">
      <c r="H5095" s="49"/>
    </row>
    <row r="5096" spans="8:8" x14ac:dyDescent="0.2">
      <c r="H5096" s="49"/>
    </row>
    <row r="5097" spans="8:8" x14ac:dyDescent="0.2">
      <c r="H5097" s="49"/>
    </row>
    <row r="5098" spans="8:8" x14ac:dyDescent="0.2">
      <c r="H5098" s="49"/>
    </row>
    <row r="5099" spans="8:8" x14ac:dyDescent="0.2">
      <c r="H5099" s="49"/>
    </row>
    <row r="5100" spans="8:8" x14ac:dyDescent="0.2">
      <c r="H5100" s="49"/>
    </row>
    <row r="5101" spans="8:8" x14ac:dyDescent="0.2">
      <c r="H5101" s="49"/>
    </row>
    <row r="5102" spans="8:8" x14ac:dyDescent="0.2">
      <c r="H5102" s="49"/>
    </row>
    <row r="5103" spans="8:8" x14ac:dyDescent="0.2">
      <c r="H5103" s="49"/>
    </row>
    <row r="5104" spans="8:8" x14ac:dyDescent="0.2">
      <c r="H5104" s="49"/>
    </row>
    <row r="5105" spans="8:8" x14ac:dyDescent="0.2">
      <c r="H5105" s="49"/>
    </row>
    <row r="5106" spans="8:8" x14ac:dyDescent="0.2">
      <c r="H5106" s="49"/>
    </row>
    <row r="5107" spans="8:8" x14ac:dyDescent="0.2">
      <c r="H5107" s="49"/>
    </row>
    <row r="5108" spans="8:8" x14ac:dyDescent="0.2">
      <c r="H5108" s="49"/>
    </row>
    <row r="5109" spans="8:8" x14ac:dyDescent="0.2">
      <c r="H5109" s="49"/>
    </row>
    <row r="5110" spans="8:8" x14ac:dyDescent="0.2">
      <c r="H5110" s="49"/>
    </row>
    <row r="5111" spans="8:8" x14ac:dyDescent="0.2">
      <c r="H5111" s="49"/>
    </row>
    <row r="5112" spans="8:8" x14ac:dyDescent="0.2">
      <c r="H5112" s="49"/>
    </row>
    <row r="5113" spans="8:8" x14ac:dyDescent="0.2">
      <c r="H5113" s="49"/>
    </row>
    <row r="5114" spans="8:8" x14ac:dyDescent="0.2">
      <c r="H5114" s="49"/>
    </row>
    <row r="5115" spans="8:8" x14ac:dyDescent="0.2">
      <c r="H5115" s="49"/>
    </row>
    <row r="5116" spans="8:8" x14ac:dyDescent="0.2">
      <c r="H5116" s="49"/>
    </row>
    <row r="5117" spans="8:8" x14ac:dyDescent="0.2">
      <c r="H5117" s="49"/>
    </row>
    <row r="5118" spans="8:8" x14ac:dyDescent="0.2">
      <c r="H5118" s="49"/>
    </row>
    <row r="5119" spans="8:8" x14ac:dyDescent="0.2">
      <c r="H5119" s="49"/>
    </row>
    <row r="5120" spans="8:8" x14ac:dyDescent="0.2">
      <c r="H5120" s="49"/>
    </row>
    <row r="5121" spans="8:8" x14ac:dyDescent="0.2">
      <c r="H5121" s="49"/>
    </row>
    <row r="5122" spans="8:8" x14ac:dyDescent="0.2">
      <c r="H5122" s="49"/>
    </row>
    <row r="5123" spans="8:8" x14ac:dyDescent="0.2">
      <c r="H5123" s="49"/>
    </row>
    <row r="5124" spans="8:8" x14ac:dyDescent="0.2">
      <c r="H5124" s="49"/>
    </row>
    <row r="5125" spans="8:8" x14ac:dyDescent="0.2">
      <c r="H5125" s="49"/>
    </row>
    <row r="5126" spans="8:8" x14ac:dyDescent="0.2">
      <c r="H5126" s="49"/>
    </row>
    <row r="5127" spans="8:8" x14ac:dyDescent="0.2">
      <c r="H5127" s="49"/>
    </row>
    <row r="5128" spans="8:8" x14ac:dyDescent="0.2">
      <c r="H5128" s="49"/>
    </row>
    <row r="5129" spans="8:8" x14ac:dyDescent="0.2">
      <c r="H5129" s="49"/>
    </row>
    <row r="5130" spans="8:8" x14ac:dyDescent="0.2">
      <c r="H5130" s="49"/>
    </row>
    <row r="5131" spans="8:8" x14ac:dyDescent="0.2">
      <c r="H5131" s="49"/>
    </row>
    <row r="5132" spans="8:8" x14ac:dyDescent="0.2">
      <c r="H5132" s="49"/>
    </row>
    <row r="5133" spans="8:8" x14ac:dyDescent="0.2">
      <c r="H5133" s="49"/>
    </row>
    <row r="5134" spans="8:8" x14ac:dyDescent="0.2">
      <c r="H5134" s="49"/>
    </row>
    <row r="5135" spans="8:8" x14ac:dyDescent="0.2">
      <c r="H5135" s="49"/>
    </row>
    <row r="5136" spans="8:8" x14ac:dyDescent="0.2">
      <c r="H5136" s="49"/>
    </row>
    <row r="5137" spans="8:8" x14ac:dyDescent="0.2">
      <c r="H5137" s="49"/>
    </row>
    <row r="5138" spans="8:8" x14ac:dyDescent="0.2">
      <c r="H5138" s="49"/>
    </row>
    <row r="5139" spans="8:8" x14ac:dyDescent="0.2">
      <c r="H5139" s="49"/>
    </row>
    <row r="5140" spans="8:8" x14ac:dyDescent="0.2">
      <c r="H5140" s="49"/>
    </row>
    <row r="5141" spans="8:8" x14ac:dyDescent="0.2">
      <c r="H5141" s="49"/>
    </row>
    <row r="5142" spans="8:8" x14ac:dyDescent="0.2">
      <c r="H5142" s="49"/>
    </row>
    <row r="5143" spans="8:8" x14ac:dyDescent="0.2">
      <c r="H5143" s="49"/>
    </row>
    <row r="5144" spans="8:8" x14ac:dyDescent="0.2">
      <c r="H5144" s="49"/>
    </row>
    <row r="5145" spans="8:8" x14ac:dyDescent="0.2">
      <c r="H5145" s="49"/>
    </row>
    <row r="5146" spans="8:8" x14ac:dyDescent="0.2">
      <c r="H5146" s="49"/>
    </row>
    <row r="5147" spans="8:8" x14ac:dyDescent="0.2">
      <c r="H5147" s="49"/>
    </row>
    <row r="5148" spans="8:8" x14ac:dyDescent="0.2">
      <c r="H5148" s="49"/>
    </row>
    <row r="5149" spans="8:8" x14ac:dyDescent="0.2">
      <c r="H5149" s="49"/>
    </row>
    <row r="5463" spans="86:109" x14ac:dyDescent="0.2">
      <c r="CH5463" s="37"/>
      <c r="CI5463" s="37"/>
      <c r="CJ5463" s="37"/>
      <c r="CK5463" s="37"/>
      <c r="CL5463" s="37"/>
      <c r="CM5463" s="37"/>
      <c r="CO5463" s="37"/>
      <c r="CP5463" s="37"/>
      <c r="CS5463" s="37"/>
      <c r="CT5463" s="37"/>
      <c r="CU5463" s="37"/>
      <c r="CV5463" s="37"/>
      <c r="CW5463" s="37"/>
      <c r="CX5463" s="37"/>
      <c r="CY5463" s="37"/>
      <c r="CZ5463" s="37"/>
      <c r="DA5463" s="37"/>
      <c r="DB5463" s="37"/>
      <c r="DC5463" s="37"/>
      <c r="DD5463" s="37"/>
    </row>
    <row r="5464" spans="86:109" x14ac:dyDescent="0.2">
      <c r="CH5464" s="37"/>
      <c r="CI5464" s="37"/>
      <c r="CJ5464" s="37"/>
      <c r="CK5464" s="37"/>
      <c r="CL5464" s="37"/>
      <c r="CM5464" s="37"/>
      <c r="CN5464" s="37"/>
      <c r="CP5464" s="37"/>
      <c r="CQ5464" s="37"/>
      <c r="CR5464" s="37"/>
      <c r="CT5464" s="37"/>
      <c r="CU5464" s="37"/>
      <c r="CV5464" s="37"/>
      <c r="CW5464" s="37"/>
      <c r="CX5464" s="37"/>
      <c r="CY5464" s="37"/>
      <c r="CZ5464" s="37"/>
      <c r="DA5464" s="37"/>
      <c r="DB5464" s="37"/>
      <c r="DC5464" s="37"/>
      <c r="DD5464" s="37"/>
      <c r="DE5464" s="37"/>
    </row>
    <row r="5465" spans="86:109" x14ac:dyDescent="0.2">
      <c r="CH5465" s="37"/>
      <c r="CI5465" s="37"/>
      <c r="CJ5465" s="37"/>
      <c r="CK5465" s="37"/>
      <c r="CM5465" s="37"/>
      <c r="CN5465" s="37"/>
      <c r="CO5465" s="37"/>
      <c r="CP5465" s="37"/>
      <c r="CQ5465" s="37"/>
      <c r="CR5465" s="37"/>
      <c r="CS5465" s="37"/>
      <c r="CT5465" s="37"/>
      <c r="CU5465" s="37"/>
      <c r="CV5465" s="37"/>
      <c r="CW5465" s="37"/>
      <c r="CX5465" s="37"/>
      <c r="CZ5465" s="37"/>
      <c r="DA5465" s="37"/>
      <c r="DB5465" s="37"/>
      <c r="DC5465" s="37"/>
      <c r="DD5465" s="37"/>
      <c r="DE5465" s="37"/>
    </row>
    <row r="5466" spans="86:109" x14ac:dyDescent="0.2">
      <c r="CH5466" s="37"/>
      <c r="CI5466" s="37"/>
      <c r="CJ5466" s="37"/>
      <c r="CK5466" s="37"/>
      <c r="CL5466" s="37"/>
      <c r="CM5466" s="37"/>
      <c r="CO5466" s="37"/>
      <c r="CP5466" s="37"/>
      <c r="CQ5466" s="37"/>
      <c r="CR5466" s="37"/>
      <c r="CS5466" s="37"/>
      <c r="CT5466" s="37"/>
      <c r="CU5466" s="37"/>
      <c r="CV5466" s="37"/>
      <c r="CW5466" s="37"/>
      <c r="CX5466" s="37"/>
      <c r="CZ5466" s="37"/>
      <c r="DB5466" s="37"/>
      <c r="DC5466" s="37"/>
      <c r="DE5466" s="37"/>
    </row>
    <row r="5467" spans="86:109" x14ac:dyDescent="0.2">
      <c r="CH5467" s="37"/>
      <c r="CI5467" s="37"/>
      <c r="CJ5467" s="37"/>
      <c r="CK5467" s="37"/>
      <c r="CL5467" s="37"/>
      <c r="CM5467" s="37"/>
      <c r="CN5467" s="37"/>
      <c r="CO5467" s="37"/>
      <c r="CP5467" s="37"/>
      <c r="CQ5467" s="37"/>
      <c r="CS5467" s="37"/>
      <c r="CT5467" s="37"/>
      <c r="CV5467" s="37"/>
      <c r="CW5467" s="37"/>
      <c r="CY5467" s="37"/>
      <c r="CZ5467" s="37"/>
      <c r="DA5467" s="37"/>
      <c r="DB5467" s="37"/>
      <c r="DD5467" s="37"/>
      <c r="DE5467" s="37"/>
    </row>
    <row r="5468" spans="86:109" x14ac:dyDescent="0.2">
      <c r="CH5468" s="37"/>
      <c r="CI5468" s="37"/>
      <c r="CJ5468" s="37"/>
      <c r="CK5468" s="37"/>
      <c r="CL5468" s="37"/>
      <c r="CM5468" s="37"/>
      <c r="CO5468" s="37"/>
      <c r="CP5468" s="37"/>
      <c r="CS5468" s="37"/>
      <c r="CT5468" s="37"/>
      <c r="CU5468" s="37"/>
      <c r="CV5468" s="37"/>
      <c r="CW5468" s="37"/>
      <c r="CX5468" s="37"/>
      <c r="CY5468" s="37"/>
      <c r="CZ5468" s="37"/>
      <c r="DA5468" s="37"/>
      <c r="DB5468" s="37"/>
      <c r="DC5468" s="37"/>
      <c r="DD5468" s="37"/>
    </row>
    <row r="5469" spans="86:109" x14ac:dyDescent="0.2">
      <c r="CH5469" s="37"/>
      <c r="CI5469" s="37"/>
      <c r="CJ5469" s="37"/>
      <c r="CK5469" s="37"/>
      <c r="CL5469" s="37"/>
      <c r="CM5469" s="37"/>
      <c r="CN5469" s="37"/>
      <c r="CP5469" s="37"/>
      <c r="CQ5469" s="37"/>
      <c r="CR5469" s="37"/>
      <c r="CT5469" s="37"/>
      <c r="CU5469" s="37"/>
      <c r="CV5469" s="37"/>
      <c r="CW5469" s="37"/>
      <c r="CX5469" s="37"/>
      <c r="CY5469" s="37"/>
      <c r="CZ5469" s="37"/>
      <c r="DA5469" s="37"/>
      <c r="DB5469" s="37"/>
      <c r="DC5469" s="37"/>
      <c r="DD5469" s="37"/>
      <c r="DE5469" s="37"/>
    </row>
    <row r="5470" spans="86:109" x14ac:dyDescent="0.2">
      <c r="CH5470" s="37"/>
      <c r="CI5470" s="37"/>
      <c r="CJ5470" s="37"/>
      <c r="CK5470" s="37"/>
      <c r="CM5470" s="37"/>
      <c r="CN5470" s="37"/>
      <c r="CO5470" s="37"/>
      <c r="CP5470" s="37"/>
      <c r="CQ5470" s="37"/>
      <c r="CR5470" s="37"/>
      <c r="CS5470" s="37"/>
      <c r="CT5470" s="37"/>
      <c r="CV5470" s="37"/>
      <c r="CW5470" s="37"/>
      <c r="CX5470" s="37"/>
      <c r="CY5470" s="37"/>
      <c r="CZ5470" s="37"/>
      <c r="DA5470" s="37"/>
      <c r="DB5470" s="37"/>
      <c r="DC5470" s="37"/>
      <c r="DD5470" s="37"/>
      <c r="DE5470" s="37"/>
    </row>
    <row r="5471" spans="86:109" x14ac:dyDescent="0.2">
      <c r="CH5471" s="37"/>
      <c r="CI5471" s="37"/>
      <c r="CJ5471" s="37"/>
      <c r="CK5471" s="37"/>
      <c r="CL5471" s="37"/>
      <c r="CM5471" s="37"/>
      <c r="CN5471" s="37"/>
      <c r="CO5471" s="37"/>
      <c r="CP5471" s="37"/>
      <c r="CR5471" s="37"/>
      <c r="CS5471" s="37"/>
      <c r="CT5471" s="37"/>
      <c r="CU5471" s="37"/>
      <c r="CV5471" s="37"/>
      <c r="CW5471" s="37"/>
      <c r="CX5471" s="37"/>
      <c r="CY5471" s="37"/>
      <c r="CZ5471" s="37"/>
      <c r="DA5471" s="37"/>
      <c r="DB5471" s="37"/>
      <c r="DD5471" s="37"/>
      <c r="DE5471" s="37"/>
    </row>
    <row r="5472" spans="86:109" x14ac:dyDescent="0.2">
      <c r="CH5472" s="37"/>
      <c r="CI5472" s="37"/>
      <c r="CK5472" s="37"/>
      <c r="CL5472" s="37"/>
      <c r="CM5472" s="37"/>
      <c r="CN5472" s="37"/>
      <c r="CO5472" s="37"/>
      <c r="CP5472" s="37"/>
      <c r="CS5472" s="37"/>
      <c r="CT5472" s="37"/>
      <c r="CV5472" s="37"/>
      <c r="CW5472" s="37"/>
      <c r="CY5472" s="37"/>
      <c r="CZ5472" s="37"/>
      <c r="DA5472" s="37"/>
      <c r="DB5472" s="37"/>
      <c r="DC5472" s="37"/>
      <c r="DD5472" s="37"/>
      <c r="DE5472" s="37"/>
    </row>
    <row r="5473" spans="86:109" x14ac:dyDescent="0.2">
      <c r="CH5473" s="37"/>
      <c r="CI5473" s="37"/>
      <c r="CJ5473" s="37"/>
      <c r="CK5473" s="37"/>
      <c r="CL5473" s="37"/>
      <c r="CM5473" s="37"/>
      <c r="CO5473" s="37"/>
      <c r="CP5473" s="37"/>
      <c r="CQ5473" s="37"/>
      <c r="CR5473" s="37"/>
      <c r="CS5473" s="37"/>
      <c r="CT5473" s="37"/>
      <c r="CU5473" s="37"/>
      <c r="CV5473" s="37"/>
      <c r="CW5473" s="37"/>
      <c r="CX5473" s="37"/>
      <c r="CZ5473" s="37"/>
      <c r="DB5473" s="37"/>
      <c r="DC5473" s="37"/>
      <c r="DE5473" s="37"/>
    </row>
    <row r="5474" spans="86:109" x14ac:dyDescent="0.2">
      <c r="CH5474" s="37"/>
      <c r="CI5474" s="37"/>
      <c r="CJ5474" s="37"/>
      <c r="CK5474" s="37"/>
      <c r="CL5474" s="37"/>
      <c r="CM5474" s="37"/>
      <c r="CN5474" s="37"/>
      <c r="CO5474" s="37"/>
      <c r="CP5474" s="37"/>
      <c r="CR5474" s="37"/>
      <c r="CS5474" s="37"/>
      <c r="CU5474" s="37"/>
      <c r="CV5474" s="37"/>
      <c r="CW5474" s="37"/>
      <c r="CX5474" s="37"/>
      <c r="CY5474" s="37"/>
      <c r="CZ5474" s="37"/>
      <c r="DA5474" s="37"/>
      <c r="DB5474" s="37"/>
      <c r="DC5474" s="37"/>
      <c r="DD5474" s="37"/>
    </row>
    <row r="5475" spans="86:109" x14ac:dyDescent="0.2">
      <c r="CH5475" s="37"/>
      <c r="CI5475" s="37"/>
      <c r="CJ5475" s="37"/>
      <c r="CK5475" s="37"/>
      <c r="CL5475" s="37"/>
      <c r="CM5475" s="37"/>
      <c r="CN5475" s="37"/>
      <c r="CO5475" s="37"/>
      <c r="CP5475" s="37"/>
      <c r="CQ5475" s="37"/>
      <c r="CS5475" s="37"/>
      <c r="CT5475" s="37"/>
      <c r="CV5475" s="37"/>
      <c r="CW5475" s="37"/>
      <c r="CY5475" s="37"/>
      <c r="CZ5475" s="37"/>
      <c r="DA5475" s="37"/>
      <c r="DB5475" s="37"/>
      <c r="DD5475" s="37"/>
      <c r="DE5475" s="37"/>
    </row>
    <row r="5476" spans="86:109" x14ac:dyDescent="0.2">
      <c r="CH5476" s="37"/>
      <c r="CI5476" s="37"/>
      <c r="CJ5476" s="37"/>
      <c r="CK5476" s="37"/>
      <c r="CL5476" s="37"/>
      <c r="CM5476" s="37"/>
      <c r="CO5476" s="37"/>
      <c r="CP5476" s="37"/>
      <c r="CS5476" s="37"/>
      <c r="CT5476" s="37"/>
      <c r="CU5476" s="37"/>
      <c r="CV5476" s="37"/>
      <c r="CW5476" s="37"/>
      <c r="CX5476" s="37"/>
      <c r="CY5476" s="37"/>
      <c r="CZ5476" s="37"/>
      <c r="DA5476" s="37"/>
      <c r="DB5476" s="37"/>
      <c r="DC5476" s="37"/>
      <c r="DD5476" s="37"/>
    </row>
    <row r="5477" spans="86:109" x14ac:dyDescent="0.2">
      <c r="CJ5477" s="37"/>
      <c r="CK5477" s="37"/>
      <c r="CL5477" s="37"/>
      <c r="CM5477" s="37"/>
      <c r="CN5477" s="37"/>
      <c r="CO5477" s="37"/>
      <c r="CP5477" s="37"/>
      <c r="CQ5477" s="37"/>
      <c r="CR5477" s="37"/>
      <c r="CS5477" s="37"/>
      <c r="CT5477" s="37"/>
      <c r="CU5477" s="37"/>
      <c r="CV5477" s="37"/>
      <c r="CW5477" s="37"/>
      <c r="CX5477" s="37"/>
      <c r="CY5477" s="37"/>
      <c r="CZ5477" s="37"/>
      <c r="DA5477" s="37"/>
      <c r="DB5477" s="37"/>
      <c r="DC5477" s="37"/>
      <c r="DE5477" s="37"/>
    </row>
    <row r="5478" spans="86:109" x14ac:dyDescent="0.2">
      <c r="CH5478" s="37"/>
      <c r="CI5478" s="37"/>
      <c r="CJ5478" s="37"/>
      <c r="CK5478" s="37"/>
      <c r="CL5478" s="37"/>
      <c r="CM5478" s="37"/>
      <c r="CN5478" s="37"/>
      <c r="CO5478" s="37"/>
      <c r="CP5478" s="37"/>
      <c r="CR5478" s="37"/>
      <c r="CS5478" s="37"/>
      <c r="CT5478" s="37"/>
      <c r="CU5478" s="37"/>
      <c r="CV5478" s="37"/>
      <c r="CW5478" s="37"/>
      <c r="CX5478" s="37"/>
      <c r="CY5478" s="37"/>
      <c r="CZ5478" s="37"/>
      <c r="DA5478" s="37"/>
      <c r="DB5478" s="37"/>
      <c r="DC5478" s="37"/>
      <c r="DD5478" s="37"/>
      <c r="DE5478" s="37"/>
    </row>
    <row r="5479" spans="86:109" x14ac:dyDescent="0.2">
      <c r="CH5479" s="37"/>
      <c r="CI5479" s="37"/>
      <c r="CJ5479" s="37"/>
      <c r="CK5479" s="37"/>
      <c r="CL5479" s="37"/>
      <c r="CM5479" s="37"/>
      <c r="CN5479" s="37"/>
      <c r="CO5479" s="37"/>
      <c r="CP5479" s="37"/>
      <c r="CR5479" s="37"/>
      <c r="CS5479" s="37"/>
      <c r="CT5479" s="37"/>
      <c r="CU5479" s="37"/>
      <c r="CV5479" s="37"/>
      <c r="CW5479" s="37"/>
      <c r="CX5479" s="37"/>
      <c r="CY5479" s="37"/>
      <c r="CZ5479" s="37"/>
      <c r="DA5479" s="37"/>
      <c r="DB5479" s="37"/>
      <c r="DD5479" s="37"/>
      <c r="DE5479" s="37"/>
    </row>
    <row r="5480" spans="86:109" x14ac:dyDescent="0.2">
      <c r="CH5480" s="37"/>
      <c r="CI5480" s="37"/>
      <c r="CJ5480" s="37"/>
      <c r="CK5480" s="37"/>
      <c r="CM5480" s="37"/>
      <c r="CN5480" s="37"/>
      <c r="CO5480" s="37"/>
      <c r="CP5480" s="37"/>
      <c r="CQ5480" s="37"/>
      <c r="CR5480" s="37"/>
      <c r="CS5480" s="37"/>
      <c r="CT5480" s="37"/>
      <c r="CU5480" s="37"/>
      <c r="CV5480" s="37"/>
      <c r="CW5480" s="37"/>
      <c r="CX5480" s="37"/>
      <c r="CZ5480" s="37"/>
      <c r="DA5480" s="37"/>
      <c r="DB5480" s="37"/>
      <c r="DC5480" s="37"/>
      <c r="DD5480" s="37"/>
      <c r="DE5480" s="37"/>
    </row>
    <row r="5481" spans="86:109" x14ac:dyDescent="0.2">
      <c r="CH5481" s="37"/>
      <c r="CI5481" s="37"/>
      <c r="CJ5481" s="37"/>
      <c r="CK5481" s="37"/>
      <c r="CL5481" s="37"/>
      <c r="CM5481" s="37"/>
      <c r="CO5481" s="37"/>
      <c r="CP5481" s="37"/>
      <c r="CQ5481" s="37"/>
      <c r="CR5481" s="37"/>
      <c r="CS5481" s="37"/>
      <c r="CT5481" s="37"/>
      <c r="CU5481" s="37"/>
      <c r="CV5481" s="37"/>
      <c r="CW5481" s="37"/>
      <c r="CX5481" s="37"/>
      <c r="CZ5481" s="37"/>
      <c r="DB5481" s="37"/>
      <c r="DC5481" s="37"/>
      <c r="DE5481" s="37"/>
    </row>
    <row r="5482" spans="86:109" x14ac:dyDescent="0.2">
      <c r="CH5482" s="37"/>
      <c r="CI5482" s="37"/>
      <c r="CJ5482" s="37"/>
      <c r="CK5482" s="37"/>
      <c r="CL5482" s="37"/>
      <c r="CM5482" s="37"/>
      <c r="CO5482" s="37"/>
      <c r="CP5482" s="37"/>
      <c r="CS5482" s="37"/>
      <c r="CT5482" s="37"/>
      <c r="CU5482" s="37"/>
      <c r="CV5482" s="37"/>
      <c r="CW5482" s="37"/>
      <c r="CX5482" s="37"/>
      <c r="CY5482" s="37"/>
      <c r="CZ5482" s="37"/>
      <c r="DA5482" s="37"/>
      <c r="DB5482" s="37"/>
      <c r="DC5482" s="37"/>
      <c r="DD5482" s="37"/>
    </row>
    <row r="5483" spans="86:109" x14ac:dyDescent="0.2">
      <c r="CH5483" s="37"/>
      <c r="CI5483" s="37"/>
      <c r="CJ5483" s="37"/>
      <c r="CL5483" s="37"/>
      <c r="CM5483" s="37"/>
      <c r="CN5483" s="37"/>
      <c r="CO5483" s="37"/>
      <c r="CP5483" s="37"/>
      <c r="CQ5483" s="37"/>
      <c r="CR5483" s="37"/>
      <c r="CT5483" s="37"/>
      <c r="CV5483" s="37"/>
      <c r="CW5483" s="37"/>
      <c r="CX5483" s="37"/>
      <c r="CY5483" s="37"/>
      <c r="CZ5483" s="37"/>
      <c r="DA5483" s="37"/>
      <c r="DC5483" s="37"/>
      <c r="DD5483" s="37"/>
    </row>
    <row r="5484" spans="86:109" x14ac:dyDescent="0.2">
      <c r="CH5484" s="37"/>
      <c r="CI5484" s="37"/>
      <c r="CJ5484" s="37"/>
      <c r="CK5484" s="37"/>
      <c r="CM5484" s="37"/>
      <c r="CN5484" s="37"/>
      <c r="CO5484" s="37"/>
      <c r="CP5484" s="37"/>
      <c r="CQ5484" s="37"/>
      <c r="CR5484" s="37"/>
      <c r="CS5484" s="37"/>
      <c r="CT5484" s="37"/>
      <c r="CV5484" s="37"/>
      <c r="CW5484" s="37"/>
      <c r="CX5484" s="37"/>
      <c r="CY5484" s="37"/>
      <c r="CZ5484" s="37"/>
      <c r="DA5484" s="37"/>
      <c r="DB5484" s="37"/>
      <c r="DC5484" s="37"/>
      <c r="DD5484" s="37"/>
      <c r="DE5484" s="37"/>
    </row>
    <row r="5485" spans="86:109" x14ac:dyDescent="0.2">
      <c r="CH5485" s="37"/>
      <c r="CI5485" s="37"/>
      <c r="CJ5485" s="37"/>
      <c r="CK5485" s="37"/>
      <c r="CL5485" s="37"/>
      <c r="CM5485" s="37"/>
      <c r="CN5485" s="37"/>
      <c r="CO5485" s="37"/>
      <c r="CP5485" s="37"/>
      <c r="CR5485" s="37"/>
      <c r="CS5485" s="37"/>
      <c r="CT5485" s="37"/>
      <c r="CU5485" s="37"/>
      <c r="CV5485" s="37"/>
      <c r="CW5485" s="37"/>
      <c r="CX5485" s="37"/>
      <c r="CY5485" s="37"/>
      <c r="CZ5485" s="37"/>
      <c r="DA5485" s="37"/>
      <c r="DB5485" s="37"/>
      <c r="DD5485" s="37"/>
      <c r="DE5485" s="37"/>
    </row>
    <row r="5486" spans="86:109" x14ac:dyDescent="0.2">
      <c r="CH5486" s="37"/>
      <c r="CI5486" s="37"/>
      <c r="CJ5486" s="37"/>
      <c r="CN5486" s="37"/>
      <c r="CO5486" s="37"/>
      <c r="CP5486" s="37"/>
      <c r="CQ5486" s="37"/>
      <c r="CR5486" s="37"/>
      <c r="CS5486" s="37"/>
      <c r="CT5486" s="37"/>
      <c r="CU5486" s="37"/>
      <c r="CV5486" s="37"/>
      <c r="CW5486" s="37"/>
      <c r="CX5486" s="37"/>
      <c r="CY5486" s="37"/>
      <c r="CZ5486" s="37"/>
      <c r="DA5486" s="37"/>
      <c r="DB5486" s="37"/>
      <c r="DE5486" s="37"/>
    </row>
    <row r="5487" spans="86:109" x14ac:dyDescent="0.2">
      <c r="CH5487" s="37"/>
      <c r="CI5487" s="37"/>
      <c r="CJ5487" s="37"/>
      <c r="CK5487" s="37"/>
      <c r="CL5487" s="37"/>
      <c r="CM5487" s="37"/>
      <c r="CP5487" s="37"/>
      <c r="CQ5487" s="37"/>
      <c r="CR5487" s="37"/>
      <c r="CS5487" s="37"/>
      <c r="CT5487" s="37"/>
      <c r="CU5487" s="37"/>
      <c r="CV5487" s="37"/>
      <c r="CW5487" s="37"/>
      <c r="CX5487" s="37"/>
      <c r="CY5487" s="37"/>
      <c r="CZ5487" s="37"/>
      <c r="DA5487" s="37"/>
      <c r="DB5487" s="37"/>
      <c r="DC5487" s="37"/>
      <c r="DD5487" s="37"/>
      <c r="DE5487" s="37"/>
    </row>
    <row r="5488" spans="86:109" x14ac:dyDescent="0.2">
      <c r="CH5488" s="37"/>
      <c r="CI5488" s="37"/>
      <c r="CJ5488" s="37"/>
      <c r="CK5488" s="37"/>
      <c r="CL5488" s="37"/>
      <c r="CN5488" s="37"/>
      <c r="CO5488" s="37"/>
      <c r="CQ5488" s="37"/>
      <c r="CR5488" s="37"/>
      <c r="CS5488" s="37"/>
      <c r="CT5488" s="37"/>
      <c r="CU5488" s="37"/>
      <c r="CW5488" s="37"/>
      <c r="CX5488" s="37"/>
      <c r="CY5488" s="37"/>
      <c r="CZ5488" s="37"/>
      <c r="DA5488" s="37"/>
      <c r="DB5488" s="37"/>
      <c r="DC5488" s="37"/>
      <c r="DD5488" s="37"/>
      <c r="DE5488" s="37"/>
    </row>
    <row r="5489" spans="86:109" x14ac:dyDescent="0.2">
      <c r="CH5489" s="37"/>
      <c r="CJ5489" s="37"/>
      <c r="CK5489" s="37"/>
      <c r="CL5489" s="37"/>
      <c r="CM5489" s="37"/>
      <c r="CO5489" s="37"/>
      <c r="CP5489" s="37"/>
      <c r="CQ5489" s="37"/>
      <c r="CR5489" s="37"/>
      <c r="CS5489" s="37"/>
      <c r="CT5489" s="37"/>
      <c r="CU5489" s="37"/>
      <c r="CV5489" s="37"/>
      <c r="CW5489" s="37"/>
      <c r="CY5489" s="37"/>
      <c r="CZ5489" s="37"/>
      <c r="DA5489" s="37"/>
      <c r="DB5489" s="37"/>
      <c r="DD5489" s="37"/>
      <c r="DE5489" s="37"/>
    </row>
    <row r="5490" spans="86:109" x14ac:dyDescent="0.2">
      <c r="CH5490" s="37"/>
      <c r="CI5490" s="37"/>
      <c r="CJ5490" s="37"/>
      <c r="CL5490" s="37"/>
      <c r="CM5490" s="37"/>
      <c r="CN5490" s="37"/>
      <c r="CO5490" s="37"/>
      <c r="CP5490" s="37"/>
      <c r="CQ5490" s="37"/>
      <c r="CR5490" s="37"/>
      <c r="CT5490" s="37"/>
      <c r="CV5490" s="37"/>
      <c r="CW5490" s="37"/>
      <c r="CX5490" s="37"/>
      <c r="CY5490" s="37"/>
      <c r="CZ5490" s="37"/>
      <c r="DA5490" s="37"/>
      <c r="DC5490" s="37"/>
      <c r="DD5490" s="37"/>
    </row>
    <row r="5491" spans="86:109" x14ac:dyDescent="0.2">
      <c r="CH5491" s="37"/>
      <c r="CI5491" s="37"/>
      <c r="CJ5491" s="37"/>
      <c r="CK5491" s="37"/>
      <c r="CM5491" s="37"/>
      <c r="CN5491" s="37"/>
      <c r="CO5491" s="37"/>
      <c r="CP5491" s="37"/>
      <c r="CQ5491" s="37"/>
      <c r="CR5491" s="37"/>
      <c r="CS5491" s="37"/>
      <c r="CT5491" s="37"/>
      <c r="CV5491" s="37"/>
      <c r="CW5491" s="37"/>
      <c r="CX5491" s="37"/>
      <c r="CY5491" s="37"/>
      <c r="CZ5491" s="37"/>
      <c r="DA5491" s="37"/>
      <c r="DB5491" s="37"/>
      <c r="DC5491" s="37"/>
      <c r="DD5491" s="37"/>
      <c r="DE5491" s="37"/>
    </row>
    <row r="5492" spans="86:109" x14ac:dyDescent="0.2">
      <c r="CH5492" s="37"/>
      <c r="CI5492" s="37"/>
      <c r="CJ5492" s="37"/>
      <c r="CK5492" s="37"/>
      <c r="CL5492" s="37"/>
      <c r="CM5492" s="37"/>
      <c r="CN5492" s="37"/>
      <c r="CO5492" s="37"/>
      <c r="CP5492" s="37"/>
      <c r="CR5492" s="37"/>
      <c r="CS5492" s="37"/>
      <c r="CT5492" s="37"/>
      <c r="CU5492" s="37"/>
      <c r="CV5492" s="37"/>
      <c r="CW5492" s="37"/>
      <c r="CX5492" s="37"/>
      <c r="CY5492" s="37"/>
      <c r="CZ5492" s="37"/>
      <c r="DA5492" s="37"/>
      <c r="DB5492" s="37"/>
      <c r="DD5492" s="37"/>
      <c r="DE5492" s="37"/>
    </row>
    <row r="5493" spans="86:109" x14ac:dyDescent="0.2">
      <c r="CH5493" s="37"/>
      <c r="CI5493" s="37"/>
      <c r="CK5493" s="37"/>
      <c r="CL5493" s="37"/>
      <c r="CM5493" s="37"/>
      <c r="CN5493" s="37"/>
      <c r="CO5493" s="37"/>
      <c r="CP5493" s="37"/>
      <c r="CS5493" s="37"/>
      <c r="CT5493" s="37"/>
      <c r="CV5493" s="37"/>
      <c r="CW5493" s="37"/>
      <c r="CY5493" s="37"/>
      <c r="CZ5493" s="37"/>
      <c r="DA5493" s="37"/>
      <c r="DB5493" s="37"/>
      <c r="DC5493" s="37"/>
      <c r="DD5493" s="37"/>
      <c r="DE5493" s="37"/>
    </row>
    <row r="5494" spans="86:109" x14ac:dyDescent="0.2">
      <c r="CH5494" s="37"/>
      <c r="CI5494" s="37"/>
      <c r="CJ5494" s="37"/>
      <c r="CK5494" s="37"/>
      <c r="CL5494" s="37"/>
      <c r="CM5494" s="37"/>
      <c r="CO5494" s="37"/>
      <c r="CP5494" s="37"/>
      <c r="CQ5494" s="37"/>
      <c r="CR5494" s="37"/>
      <c r="CS5494" s="37"/>
      <c r="CT5494" s="37"/>
      <c r="CU5494" s="37"/>
      <c r="CV5494" s="37"/>
      <c r="CW5494" s="37"/>
      <c r="CX5494" s="37"/>
      <c r="CZ5494" s="37"/>
      <c r="DB5494" s="37"/>
      <c r="DC5494" s="37"/>
      <c r="DE5494" s="37"/>
    </row>
    <row r="5495" spans="86:109" x14ac:dyDescent="0.2">
      <c r="CK5495" s="37"/>
      <c r="CL5495" s="37"/>
      <c r="CM5495" s="37"/>
      <c r="CN5495" s="37"/>
      <c r="CO5495" s="37"/>
      <c r="CP5495" s="37"/>
      <c r="CQ5495" s="37"/>
      <c r="CR5495" s="37"/>
      <c r="CS5495" s="37"/>
      <c r="CT5495" s="37"/>
      <c r="CU5495" s="37"/>
      <c r="CV5495" s="37"/>
      <c r="CW5495" s="37"/>
      <c r="CX5495" s="37"/>
      <c r="CY5495" s="37"/>
      <c r="DB5495" s="37"/>
      <c r="DC5495" s="37"/>
      <c r="DD5495" s="37"/>
      <c r="DE5495" s="37"/>
    </row>
    <row r="5496" spans="86:109" x14ac:dyDescent="0.2">
      <c r="CH5496" s="37"/>
      <c r="CI5496" s="37"/>
      <c r="CJ5496" s="37"/>
      <c r="CK5496" s="37"/>
      <c r="CL5496" s="37"/>
      <c r="CN5496" s="37"/>
      <c r="CO5496" s="37"/>
      <c r="CQ5496" s="37"/>
      <c r="CR5496" s="37"/>
      <c r="CS5496" s="37"/>
      <c r="CT5496" s="37"/>
      <c r="CU5496" s="37"/>
      <c r="CW5496" s="37"/>
      <c r="CX5496" s="37"/>
      <c r="CY5496" s="37"/>
      <c r="CZ5496" s="37"/>
      <c r="DA5496" s="37"/>
      <c r="DB5496" s="37"/>
      <c r="DC5496" s="37"/>
      <c r="DD5496" s="37"/>
      <c r="DE5496" s="37"/>
    </row>
    <row r="5497" spans="86:109" x14ac:dyDescent="0.2">
      <c r="CH5497" s="37"/>
      <c r="CI5497" s="37"/>
      <c r="CJ5497" s="37"/>
      <c r="CL5497" s="37"/>
      <c r="CM5497" s="37"/>
      <c r="CN5497" s="37"/>
      <c r="CO5497" s="37"/>
      <c r="CP5497" s="37"/>
      <c r="CQ5497" s="37"/>
      <c r="CR5497" s="37"/>
      <c r="CT5497" s="37"/>
      <c r="CV5497" s="37"/>
      <c r="CW5497" s="37"/>
      <c r="CX5497" s="37"/>
      <c r="CY5497" s="37"/>
      <c r="CZ5497" s="37"/>
      <c r="DA5497" s="37"/>
      <c r="DC5497" s="37"/>
      <c r="DD5497" s="37"/>
    </row>
    <row r="5498" spans="86:109" x14ac:dyDescent="0.2">
      <c r="CH5498" s="37"/>
      <c r="CI5498" s="37"/>
      <c r="CJ5498" s="37"/>
      <c r="CK5498" s="37"/>
      <c r="CL5498" s="37"/>
      <c r="CM5498" s="37"/>
      <c r="CO5498" s="37"/>
      <c r="CP5498" s="37"/>
      <c r="CQ5498" s="37"/>
      <c r="CR5498" s="37"/>
      <c r="CS5498" s="37"/>
      <c r="CT5498" s="37"/>
      <c r="CU5498" s="37"/>
      <c r="CV5498" s="37"/>
      <c r="CW5498" s="37"/>
      <c r="CX5498" s="37"/>
      <c r="CZ5498" s="37"/>
      <c r="DB5498" s="37"/>
      <c r="DC5498" s="37"/>
      <c r="DE5498" s="37"/>
    </row>
    <row r="5499" spans="86:109" x14ac:dyDescent="0.2">
      <c r="CK5499" s="37"/>
      <c r="CL5499" s="37"/>
      <c r="CM5499" s="37"/>
      <c r="CN5499" s="37"/>
      <c r="CO5499" s="37"/>
      <c r="CP5499" s="37"/>
      <c r="CQ5499" s="37"/>
      <c r="CR5499" s="37"/>
      <c r="CS5499" s="37"/>
      <c r="CT5499" s="37"/>
      <c r="CU5499" s="37"/>
      <c r="CV5499" s="37"/>
      <c r="CW5499" s="37"/>
      <c r="CX5499" s="37"/>
      <c r="CY5499" s="37"/>
      <c r="DB5499" s="37"/>
      <c r="DC5499" s="37"/>
      <c r="DD5499" s="37"/>
      <c r="DE5499" s="37"/>
    </row>
    <row r="5500" spans="86:109" x14ac:dyDescent="0.2">
      <c r="CI5500" s="37"/>
      <c r="CJ5500" s="37"/>
      <c r="CK5500" s="37"/>
      <c r="CM5500" s="37"/>
      <c r="CN5500" s="37"/>
      <c r="CP5500" s="37"/>
      <c r="CQ5500" s="37"/>
      <c r="CT5500" s="37"/>
      <c r="CU5500" s="37"/>
      <c r="CV5500" s="37"/>
      <c r="CW5500" s="37"/>
      <c r="CX5500" s="37"/>
      <c r="CY5500" s="37"/>
      <c r="DA5500" s="37"/>
      <c r="DB5500" s="37"/>
      <c r="DC5500" s="37"/>
      <c r="DE5500" s="37"/>
    </row>
    <row r="5501" spans="86:109" x14ac:dyDescent="0.2">
      <c r="CH5501" s="37"/>
      <c r="CI5501" s="37"/>
      <c r="CJ5501" s="37"/>
      <c r="CK5501" s="37"/>
      <c r="CL5501" s="37"/>
      <c r="CN5501" s="37"/>
      <c r="CO5501" s="37"/>
      <c r="CQ5501" s="37"/>
      <c r="CR5501" s="37"/>
      <c r="CS5501" s="37"/>
      <c r="CT5501" s="37"/>
      <c r="CU5501" s="37"/>
      <c r="CW5501" s="37"/>
      <c r="CX5501" s="37"/>
      <c r="CY5501" s="37"/>
      <c r="CZ5501" s="37"/>
      <c r="DA5501" s="37"/>
      <c r="DB5501" s="37"/>
      <c r="DC5501" s="37"/>
      <c r="DD5501" s="37"/>
      <c r="DE5501" s="37"/>
    </row>
    <row r="5502" spans="86:109" x14ac:dyDescent="0.2">
      <c r="CH5502" s="37"/>
      <c r="CI5502" s="37"/>
      <c r="CJ5502" s="37"/>
      <c r="CK5502" s="37"/>
      <c r="CL5502" s="37"/>
      <c r="CM5502" s="37"/>
      <c r="CO5502" s="37"/>
      <c r="CP5502" s="37"/>
      <c r="CS5502" s="37"/>
      <c r="CT5502" s="37"/>
      <c r="CU5502" s="37"/>
      <c r="CV5502" s="37"/>
      <c r="CW5502" s="37"/>
      <c r="CX5502" s="37"/>
      <c r="CY5502" s="37"/>
      <c r="CZ5502" s="37"/>
      <c r="DA5502" s="37"/>
      <c r="DB5502" s="37"/>
      <c r="DC5502" s="37"/>
      <c r="DD5502" s="37"/>
    </row>
    <row r="5503" spans="86:109" x14ac:dyDescent="0.2">
      <c r="CH5503" s="37"/>
      <c r="CI5503" s="37"/>
      <c r="CJ5503" s="37"/>
      <c r="CN5503" s="37"/>
      <c r="CO5503" s="37"/>
      <c r="CP5503" s="37"/>
      <c r="CQ5503" s="37"/>
      <c r="CR5503" s="37"/>
      <c r="CS5503" s="37"/>
      <c r="CT5503" s="37"/>
      <c r="CU5503" s="37"/>
      <c r="CV5503" s="37"/>
      <c r="CW5503" s="37"/>
      <c r="CX5503" s="37"/>
      <c r="CY5503" s="37"/>
      <c r="CZ5503" s="37"/>
      <c r="DA5503" s="37"/>
      <c r="DB5503" s="37"/>
      <c r="DE5503" s="37"/>
    </row>
    <row r="5504" spans="86:109" x14ac:dyDescent="0.2">
      <c r="CH5504" s="37"/>
      <c r="CI5504" s="37"/>
      <c r="CJ5504" s="37"/>
      <c r="CK5504" s="37"/>
      <c r="CL5504" s="37"/>
      <c r="CM5504" s="37"/>
      <c r="CN5504" s="37"/>
      <c r="CO5504" s="37"/>
      <c r="CP5504" s="37"/>
      <c r="CR5504" s="37"/>
      <c r="CS5504" s="37"/>
      <c r="CU5504" s="37"/>
      <c r="CV5504" s="37"/>
      <c r="CW5504" s="37"/>
      <c r="CX5504" s="37"/>
      <c r="CY5504" s="37"/>
      <c r="CZ5504" s="37"/>
      <c r="DA5504" s="37"/>
      <c r="DB5504" s="37"/>
      <c r="DC5504" s="37"/>
      <c r="DD5504" s="37"/>
    </row>
    <row r="5505" spans="86:109" x14ac:dyDescent="0.2">
      <c r="CH5505" s="37"/>
      <c r="CI5505" s="37"/>
      <c r="CJ5505" s="37"/>
      <c r="CK5505" s="37"/>
      <c r="CL5505" s="37"/>
      <c r="CM5505" s="37"/>
      <c r="CN5505" s="37"/>
      <c r="CO5505" s="37"/>
      <c r="CP5505" s="37"/>
      <c r="CQ5505" s="37"/>
      <c r="CS5505" s="37"/>
      <c r="CT5505" s="37"/>
      <c r="CV5505" s="37"/>
      <c r="CW5505" s="37"/>
      <c r="CY5505" s="37"/>
      <c r="CZ5505" s="37"/>
      <c r="DA5505" s="37"/>
      <c r="DB5505" s="37"/>
      <c r="DD5505" s="37"/>
      <c r="DE5505" s="37"/>
    </row>
    <row r="5506" spans="86:109" x14ac:dyDescent="0.2">
      <c r="CH5506" s="37"/>
      <c r="CI5506" s="37"/>
      <c r="CJ5506" s="37"/>
      <c r="CK5506" s="37"/>
      <c r="CL5506" s="37"/>
      <c r="CN5506" s="37"/>
      <c r="CO5506" s="37"/>
      <c r="CQ5506" s="37"/>
      <c r="CR5506" s="37"/>
      <c r="CS5506" s="37"/>
      <c r="CT5506" s="37"/>
      <c r="CU5506" s="37"/>
      <c r="CW5506" s="37"/>
      <c r="CX5506" s="37"/>
      <c r="CY5506" s="37"/>
      <c r="CZ5506" s="37"/>
      <c r="DA5506" s="37"/>
      <c r="DB5506" s="37"/>
      <c r="DC5506" s="37"/>
      <c r="DD5506" s="37"/>
      <c r="DE5506" s="37"/>
    </row>
    <row r="5507" spans="86:109" x14ac:dyDescent="0.2">
      <c r="CH5507" s="37"/>
      <c r="CJ5507" s="37"/>
      <c r="CK5507" s="37"/>
      <c r="CL5507" s="37"/>
      <c r="CM5507" s="37"/>
      <c r="CO5507" s="37"/>
      <c r="CP5507" s="37"/>
      <c r="CQ5507" s="37"/>
      <c r="CR5507" s="37"/>
      <c r="CS5507" s="37"/>
      <c r="CT5507" s="37"/>
      <c r="CU5507" s="37"/>
      <c r="CV5507" s="37"/>
      <c r="CW5507" s="37"/>
      <c r="CY5507" s="37"/>
      <c r="CZ5507" s="37"/>
      <c r="DA5507" s="37"/>
      <c r="DB5507" s="37"/>
      <c r="DD5507" s="37"/>
      <c r="DE5507" s="37"/>
    </row>
    <row r="5508" spans="86:109" x14ac:dyDescent="0.2">
      <c r="CH5508" s="37"/>
      <c r="CI5508" s="37"/>
      <c r="CJ5508" s="37"/>
      <c r="CK5508" s="37"/>
      <c r="CL5508" s="37"/>
      <c r="CM5508" s="37"/>
      <c r="CN5508" s="37"/>
      <c r="CP5508" s="37"/>
      <c r="CQ5508" s="37"/>
      <c r="CR5508" s="37"/>
      <c r="CT5508" s="37"/>
      <c r="CU5508" s="37"/>
      <c r="CV5508" s="37"/>
      <c r="CW5508" s="37"/>
      <c r="CX5508" s="37"/>
      <c r="CY5508" s="37"/>
      <c r="CZ5508" s="37"/>
      <c r="DA5508" s="37"/>
      <c r="DB5508" s="37"/>
      <c r="DC5508" s="37"/>
      <c r="DD5508" s="37"/>
      <c r="DE5508" s="37"/>
    </row>
    <row r="5509" spans="86:109" x14ac:dyDescent="0.2">
      <c r="CH5509" s="37"/>
      <c r="CI5509" s="37"/>
      <c r="CJ5509" s="37"/>
      <c r="CK5509" s="37"/>
      <c r="CM5509" s="37"/>
      <c r="CN5509" s="37"/>
      <c r="CO5509" s="37"/>
      <c r="CP5509" s="37"/>
      <c r="CQ5509" s="37"/>
      <c r="CR5509" s="37"/>
      <c r="CS5509" s="37"/>
      <c r="CT5509" s="37"/>
      <c r="CV5509" s="37"/>
      <c r="CW5509" s="37"/>
      <c r="CX5509" s="37"/>
      <c r="CY5509" s="37"/>
      <c r="CZ5509" s="37"/>
      <c r="DA5509" s="37"/>
      <c r="DB5509" s="37"/>
      <c r="DC5509" s="37"/>
      <c r="DD5509" s="37"/>
      <c r="DE5509" s="37"/>
    </row>
    <row r="5510" spans="86:109" x14ac:dyDescent="0.2">
      <c r="CH5510" s="37"/>
      <c r="CI5510" s="37"/>
      <c r="CJ5510" s="37"/>
      <c r="CK5510" s="37"/>
      <c r="CL5510" s="37"/>
      <c r="CM5510" s="37"/>
      <c r="CN5510" s="37"/>
      <c r="CO5510" s="37"/>
      <c r="CQ5510" s="37"/>
      <c r="CR5510" s="37"/>
      <c r="CS5510" s="37"/>
      <c r="CT5510" s="37"/>
      <c r="CU5510" s="37"/>
      <c r="CV5510" s="37"/>
      <c r="CX5510" s="37"/>
      <c r="CY5510" s="37"/>
      <c r="CZ5510" s="37"/>
      <c r="DA5510" s="37"/>
      <c r="DB5510" s="37"/>
      <c r="DC5510" s="37"/>
      <c r="DD5510" s="37"/>
      <c r="DE5510" s="37"/>
    </row>
    <row r="5511" spans="86:109" x14ac:dyDescent="0.2">
      <c r="CH5511" s="37"/>
      <c r="CJ5511" s="37"/>
      <c r="CK5511" s="37"/>
      <c r="CL5511" s="37"/>
      <c r="CM5511" s="37"/>
      <c r="CN5511" s="37"/>
      <c r="CO5511" s="37"/>
      <c r="CQ5511" s="37"/>
      <c r="CR5511" s="37"/>
      <c r="CS5511" s="37"/>
      <c r="CU5511" s="37"/>
      <c r="CV5511" s="37"/>
      <c r="CY5511" s="37"/>
      <c r="CZ5511" s="37"/>
      <c r="DA5511" s="37"/>
      <c r="DC5511" s="37"/>
      <c r="DD5511" s="37"/>
    </row>
    <row r="5512" spans="86:109" x14ac:dyDescent="0.2">
      <c r="CH5512" s="37"/>
      <c r="CI5512" s="37"/>
      <c r="CJ5512" s="37"/>
      <c r="CK5512" s="37"/>
      <c r="CL5512" s="37"/>
      <c r="CM5512" s="37"/>
      <c r="CO5512" s="37"/>
      <c r="CP5512" s="37"/>
      <c r="CQ5512" s="37"/>
      <c r="CR5512" s="37"/>
      <c r="CS5512" s="37"/>
      <c r="CT5512" s="37"/>
      <c r="CU5512" s="37"/>
      <c r="CV5512" s="37"/>
      <c r="CW5512" s="37"/>
      <c r="CX5512" s="37"/>
      <c r="CZ5512" s="37"/>
      <c r="DB5512" s="37"/>
      <c r="DC5512" s="37"/>
      <c r="DE5512" s="37"/>
    </row>
    <row r="5513" spans="86:109" x14ac:dyDescent="0.2">
      <c r="CH5513" s="37"/>
      <c r="CI5513" s="37"/>
      <c r="CJ5513" s="37"/>
      <c r="CK5513" s="37"/>
      <c r="CL5513" s="37"/>
      <c r="CM5513" s="37"/>
      <c r="CP5513" s="37"/>
      <c r="CQ5513" s="37"/>
      <c r="CR5513" s="37"/>
      <c r="CS5513" s="37"/>
      <c r="CT5513" s="37"/>
      <c r="CU5513" s="37"/>
      <c r="CV5513" s="37"/>
      <c r="CW5513" s="37"/>
      <c r="CX5513" s="37"/>
      <c r="CY5513" s="37"/>
      <c r="CZ5513" s="37"/>
      <c r="DA5513" s="37"/>
      <c r="DB5513" s="37"/>
      <c r="DC5513" s="37"/>
      <c r="DD5513" s="37"/>
      <c r="DE5513" s="37"/>
    </row>
    <row r="5514" spans="86:109" x14ac:dyDescent="0.2">
      <c r="CH5514" s="37"/>
      <c r="CI5514" s="37"/>
      <c r="CK5514" s="37"/>
      <c r="CM5514" s="37"/>
      <c r="CN5514" s="37"/>
      <c r="CO5514" s="37"/>
      <c r="CP5514" s="37"/>
      <c r="CQ5514" s="37"/>
      <c r="CR5514" s="37"/>
      <c r="CT5514" s="37"/>
      <c r="CU5514" s="37"/>
      <c r="CV5514" s="37"/>
      <c r="CW5514" s="37"/>
      <c r="CX5514" s="37"/>
      <c r="CY5514" s="37"/>
      <c r="CZ5514" s="37"/>
      <c r="DA5514" s="37"/>
      <c r="DB5514" s="37"/>
      <c r="DC5514" s="37"/>
      <c r="DE5514" s="37"/>
    </row>
    <row r="5515" spans="86:109" x14ac:dyDescent="0.2">
      <c r="CH5515" s="37"/>
      <c r="CI5515" s="37"/>
      <c r="CJ5515" s="37"/>
      <c r="CK5515" s="37"/>
      <c r="CL5515" s="37"/>
      <c r="CN5515" s="37"/>
      <c r="CO5515" s="37"/>
      <c r="CQ5515" s="37"/>
      <c r="CR5515" s="37"/>
      <c r="CS5515" s="37"/>
      <c r="CT5515" s="37"/>
      <c r="CU5515" s="37"/>
      <c r="CW5515" s="37"/>
      <c r="CX5515" s="37"/>
      <c r="CY5515" s="37"/>
      <c r="CZ5515" s="37"/>
      <c r="DA5515" s="37"/>
      <c r="DB5515" s="37"/>
      <c r="DC5515" s="37"/>
      <c r="DD5515" s="37"/>
      <c r="DE5515" s="37"/>
    </row>
    <row r="5516" spans="86:109" x14ac:dyDescent="0.2">
      <c r="CH5516" s="37"/>
      <c r="CI5516" s="37"/>
      <c r="CJ5516" s="37"/>
      <c r="CL5516" s="37"/>
      <c r="CM5516" s="37"/>
      <c r="CN5516" s="37"/>
      <c r="CO5516" s="37"/>
      <c r="CP5516" s="37"/>
      <c r="CQ5516" s="37"/>
      <c r="CR5516" s="37"/>
      <c r="CT5516" s="37"/>
      <c r="CV5516" s="37"/>
      <c r="CW5516" s="37"/>
      <c r="CX5516" s="37"/>
      <c r="CY5516" s="37"/>
      <c r="CZ5516" s="37"/>
      <c r="DA5516" s="37"/>
      <c r="DC5516" s="37"/>
      <c r="DD5516" s="37"/>
    </row>
    <row r="5517" spans="86:109" x14ac:dyDescent="0.2">
      <c r="CH5517" s="37"/>
      <c r="CJ5517" s="37"/>
      <c r="CK5517" s="37"/>
      <c r="CL5517" s="37"/>
      <c r="CM5517" s="37"/>
      <c r="CN5517" s="37"/>
      <c r="CO5517" s="37"/>
      <c r="CP5517" s="37"/>
      <c r="CQ5517" s="37"/>
      <c r="CR5517" s="37"/>
      <c r="CS5517" s="37"/>
      <c r="CT5517" s="37"/>
      <c r="CU5517" s="37"/>
      <c r="CV5517" s="37"/>
      <c r="CW5517" s="37"/>
      <c r="CX5517" s="37"/>
      <c r="CY5517" s="37"/>
      <c r="CZ5517" s="37"/>
      <c r="DB5517" s="37"/>
      <c r="DD5517" s="37"/>
      <c r="DE5517" s="37"/>
    </row>
    <row r="5518" spans="86:109" x14ac:dyDescent="0.2">
      <c r="CH5518" s="37"/>
      <c r="CI5518" s="37"/>
      <c r="CJ5518" s="37"/>
      <c r="CK5518" s="37"/>
      <c r="CL5518" s="37"/>
      <c r="CM5518" s="37"/>
      <c r="CN5518" s="37"/>
      <c r="CO5518" s="37"/>
      <c r="CP5518" s="37"/>
      <c r="CR5518" s="37"/>
      <c r="CS5518" s="37"/>
      <c r="CT5518" s="37"/>
      <c r="CU5518" s="37"/>
      <c r="CV5518" s="37"/>
      <c r="CW5518" s="37"/>
      <c r="CX5518" s="37"/>
      <c r="CY5518" s="37"/>
      <c r="CZ5518" s="37"/>
      <c r="DA5518" s="37"/>
      <c r="DB5518" s="37"/>
      <c r="DD5518" s="37"/>
      <c r="DE5518" s="37"/>
    </row>
    <row r="5519" spans="86:109" x14ac:dyDescent="0.2">
      <c r="CH5519" s="37"/>
      <c r="CI5519" s="37"/>
      <c r="CJ5519" s="37"/>
      <c r="CK5519" s="37"/>
      <c r="CL5519" s="37"/>
      <c r="CM5519" s="37"/>
      <c r="CO5519" s="37"/>
      <c r="CP5519" s="37"/>
      <c r="CQ5519" s="37"/>
      <c r="CR5519" s="37"/>
      <c r="CS5519" s="37"/>
      <c r="CT5519" s="37"/>
      <c r="CU5519" s="37"/>
      <c r="CV5519" s="37"/>
      <c r="CW5519" s="37"/>
      <c r="CX5519" s="37"/>
      <c r="CZ5519" s="37"/>
      <c r="DB5519" s="37"/>
      <c r="DC5519" s="37"/>
      <c r="DE5519" s="37"/>
    </row>
    <row r="5520" spans="86:109" x14ac:dyDescent="0.2">
      <c r="CK5520" s="37"/>
      <c r="CL5520" s="37"/>
      <c r="CM5520" s="37"/>
      <c r="CN5520" s="37"/>
      <c r="CO5520" s="37"/>
      <c r="CP5520" s="37"/>
      <c r="CQ5520" s="37"/>
      <c r="CR5520" s="37"/>
      <c r="CS5520" s="37"/>
      <c r="CT5520" s="37"/>
      <c r="CU5520" s="37"/>
      <c r="CV5520" s="37"/>
      <c r="CW5520" s="37"/>
      <c r="CX5520" s="37"/>
      <c r="CY5520" s="37"/>
      <c r="DB5520" s="37"/>
      <c r="DC5520" s="37"/>
      <c r="DD5520" s="37"/>
      <c r="DE5520" s="37"/>
    </row>
    <row r="5521" spans="86:109" x14ac:dyDescent="0.2">
      <c r="CH5521" s="37"/>
      <c r="CI5521" s="37"/>
      <c r="CJ5521" s="37"/>
      <c r="CK5521" s="37"/>
      <c r="CL5521" s="37"/>
      <c r="CM5521" s="37"/>
      <c r="CP5521" s="37"/>
      <c r="CQ5521" s="37"/>
      <c r="CR5521" s="37"/>
      <c r="CS5521" s="37"/>
      <c r="CT5521" s="37"/>
      <c r="CU5521" s="37"/>
      <c r="CV5521" s="37"/>
      <c r="CW5521" s="37"/>
      <c r="CX5521" s="37"/>
      <c r="CY5521" s="37"/>
      <c r="CZ5521" s="37"/>
      <c r="DA5521" s="37"/>
      <c r="DB5521" s="37"/>
      <c r="DC5521" s="37"/>
      <c r="DD5521" s="37"/>
      <c r="DE5521" s="37"/>
    </row>
    <row r="5522" spans="86:109" x14ac:dyDescent="0.2">
      <c r="CH5522" s="37"/>
      <c r="CI5522" s="37"/>
      <c r="CK5522" s="37"/>
      <c r="CM5522" s="37"/>
      <c r="CN5522" s="37"/>
      <c r="CO5522" s="37"/>
      <c r="CP5522" s="37"/>
      <c r="CQ5522" s="37"/>
      <c r="CR5522" s="37"/>
      <c r="CT5522" s="37"/>
      <c r="CU5522" s="37"/>
      <c r="CV5522" s="37"/>
      <c r="CW5522" s="37"/>
      <c r="CX5522" s="37"/>
      <c r="CY5522" s="37"/>
      <c r="CZ5522" s="37"/>
      <c r="DA5522" s="37"/>
      <c r="DB5522" s="37"/>
      <c r="DC5522" s="37"/>
      <c r="DE5522" s="37"/>
    </row>
    <row r="5523" spans="86:109" x14ac:dyDescent="0.2">
      <c r="CH5523" s="37"/>
      <c r="CI5523" s="37"/>
      <c r="CJ5523" s="37"/>
      <c r="CK5523" s="37"/>
      <c r="CL5523" s="37"/>
      <c r="CM5523" s="37"/>
      <c r="CO5523" s="37"/>
      <c r="CP5523" s="37"/>
      <c r="CS5523" s="37"/>
      <c r="CT5523" s="37"/>
      <c r="CU5523" s="37"/>
      <c r="CV5523" s="37"/>
      <c r="CW5523" s="37"/>
      <c r="CX5523" s="37"/>
      <c r="CY5523" s="37"/>
      <c r="CZ5523" s="37"/>
      <c r="DA5523" s="37"/>
      <c r="DB5523" s="37"/>
      <c r="DC5523" s="37"/>
      <c r="DD5523" s="37"/>
    </row>
    <row r="5524" spans="86:109" x14ac:dyDescent="0.2">
      <c r="CH5524" s="37"/>
      <c r="CI5524" s="37"/>
      <c r="CJ5524" s="37"/>
      <c r="CL5524" s="37"/>
      <c r="CM5524" s="37"/>
      <c r="CN5524" s="37"/>
      <c r="CO5524" s="37"/>
      <c r="CP5524" s="37"/>
      <c r="CQ5524" s="37"/>
      <c r="CR5524" s="37"/>
      <c r="CT5524" s="37"/>
      <c r="CV5524" s="37"/>
      <c r="CW5524" s="37"/>
      <c r="CX5524" s="37"/>
      <c r="CY5524" s="37"/>
      <c r="CZ5524" s="37"/>
      <c r="DA5524" s="37"/>
      <c r="DC5524" s="37"/>
      <c r="DD5524" s="37"/>
    </row>
    <row r="5525" spans="86:109" x14ac:dyDescent="0.2">
      <c r="CH5525" s="37"/>
      <c r="CI5525" s="37"/>
      <c r="CJ5525" s="37"/>
      <c r="CK5525" s="37"/>
      <c r="CL5525" s="37"/>
      <c r="CM5525" s="37"/>
      <c r="CN5525" s="37"/>
      <c r="CO5525" s="37"/>
      <c r="CQ5525" s="37"/>
      <c r="CR5525" s="37"/>
      <c r="CS5525" s="37"/>
      <c r="CT5525" s="37"/>
      <c r="CU5525" s="37"/>
      <c r="CV5525" s="37"/>
      <c r="CX5525" s="37"/>
      <c r="CY5525" s="37"/>
      <c r="CZ5525" s="37"/>
      <c r="DA5525" s="37"/>
      <c r="DB5525" s="37"/>
      <c r="DC5525" s="37"/>
      <c r="DD5525" s="37"/>
      <c r="DE5525" s="37"/>
    </row>
    <row r="5526" spans="86:109" x14ac:dyDescent="0.2">
      <c r="CH5526" s="37"/>
      <c r="CI5526" s="37"/>
      <c r="CJ5526" s="37"/>
      <c r="CN5526" s="37"/>
      <c r="CO5526" s="37"/>
      <c r="CP5526" s="37"/>
      <c r="CQ5526" s="37"/>
      <c r="CR5526" s="37"/>
      <c r="CS5526" s="37"/>
      <c r="CT5526" s="37"/>
      <c r="CU5526" s="37"/>
      <c r="CV5526" s="37"/>
      <c r="CW5526" s="37"/>
      <c r="CX5526" s="37"/>
      <c r="CY5526" s="37"/>
      <c r="CZ5526" s="37"/>
      <c r="DA5526" s="37"/>
      <c r="DB5526" s="37"/>
      <c r="DE5526" s="37"/>
    </row>
    <row r="5527" spans="86:109" x14ac:dyDescent="0.2">
      <c r="CH5527" s="37"/>
      <c r="CI5527" s="37"/>
      <c r="CK5527" s="37"/>
      <c r="CL5527" s="37"/>
      <c r="CM5527" s="37"/>
      <c r="CN5527" s="37"/>
      <c r="CO5527" s="37"/>
      <c r="CP5527" s="37"/>
      <c r="CS5527" s="37"/>
      <c r="CT5527" s="37"/>
      <c r="CV5527" s="37"/>
      <c r="CW5527" s="37"/>
      <c r="CY5527" s="37"/>
      <c r="CZ5527" s="37"/>
      <c r="DA5527" s="37"/>
      <c r="DB5527" s="37"/>
      <c r="DC5527" s="37"/>
      <c r="DD5527" s="37"/>
      <c r="DE5527" s="37"/>
    </row>
    <row r="5528" spans="86:109" x14ac:dyDescent="0.2">
      <c r="CH5528" s="37"/>
      <c r="CI5528" s="37"/>
      <c r="CJ5528" s="37"/>
      <c r="CK5528" s="37"/>
      <c r="CL5528" s="37"/>
      <c r="CM5528" s="37"/>
      <c r="CP5528" s="37"/>
      <c r="CQ5528" s="37"/>
      <c r="CR5528" s="37"/>
      <c r="CS5528" s="37"/>
      <c r="CT5528" s="37"/>
      <c r="CU5528" s="37"/>
      <c r="CV5528" s="37"/>
      <c r="CW5528" s="37"/>
      <c r="CX5528" s="37"/>
      <c r="CY5528" s="37"/>
      <c r="CZ5528" s="37"/>
      <c r="DA5528" s="37"/>
      <c r="DB5528" s="37"/>
      <c r="DC5528" s="37"/>
      <c r="DD5528" s="37"/>
      <c r="DE5528" s="37"/>
    </row>
    <row r="5529" spans="86:109" x14ac:dyDescent="0.2">
      <c r="CH5529" s="37"/>
      <c r="CJ5529" s="37"/>
      <c r="CK5529" s="37"/>
      <c r="CL5529" s="37"/>
      <c r="CM5529" s="37"/>
      <c r="CO5529" s="37"/>
      <c r="CP5529" s="37"/>
      <c r="CQ5529" s="37"/>
      <c r="CR5529" s="37"/>
      <c r="CS5529" s="37"/>
      <c r="CT5529" s="37"/>
      <c r="CU5529" s="37"/>
      <c r="CV5529" s="37"/>
      <c r="CW5529" s="37"/>
      <c r="CY5529" s="37"/>
      <c r="CZ5529" s="37"/>
      <c r="DA5529" s="37"/>
      <c r="DB5529" s="37"/>
      <c r="DD5529" s="37"/>
      <c r="DE5529" s="37"/>
    </row>
    <row r="5530" spans="86:109" x14ac:dyDescent="0.2">
      <c r="CH5530" s="37"/>
      <c r="CJ5530" s="37"/>
      <c r="CK5530" s="37"/>
      <c r="CL5530" s="37"/>
      <c r="CM5530" s="37"/>
      <c r="CN5530" s="37"/>
      <c r="CO5530" s="37"/>
      <c r="CP5530" s="37"/>
      <c r="CQ5530" s="37"/>
      <c r="CR5530" s="37"/>
      <c r="CS5530" s="37"/>
      <c r="CT5530" s="37"/>
      <c r="CU5530" s="37"/>
      <c r="CV5530" s="37"/>
      <c r="CW5530" s="37"/>
      <c r="CX5530" s="37"/>
      <c r="CY5530" s="37"/>
      <c r="CZ5530" s="37"/>
      <c r="DB5530" s="37"/>
      <c r="DD5530" s="37"/>
      <c r="DE5530" s="37"/>
    </row>
    <row r="5531" spans="86:109" x14ac:dyDescent="0.2">
      <c r="CH5531" s="37"/>
      <c r="CI5531" s="37"/>
      <c r="CJ5531" s="37"/>
      <c r="CK5531" s="37"/>
      <c r="CM5531" s="37"/>
      <c r="CN5531" s="37"/>
      <c r="CO5531" s="37"/>
      <c r="CP5531" s="37"/>
      <c r="CQ5531" s="37"/>
      <c r="CR5531" s="37"/>
      <c r="CS5531" s="37"/>
      <c r="CT5531" s="37"/>
      <c r="CU5531" s="37"/>
      <c r="CV5531" s="37"/>
      <c r="CW5531" s="37"/>
      <c r="CX5531" s="37"/>
      <c r="CZ5531" s="37"/>
      <c r="DA5531" s="37"/>
      <c r="DB5531" s="37"/>
      <c r="DC5531" s="37"/>
      <c r="DD5531" s="37"/>
      <c r="DE5531" s="37"/>
    </row>
    <row r="5532" spans="86:109" x14ac:dyDescent="0.2">
      <c r="CI5532" s="37"/>
      <c r="CJ5532" s="37"/>
      <c r="CK5532" s="37"/>
      <c r="CM5532" s="37"/>
      <c r="CN5532" s="37"/>
      <c r="CP5532" s="37"/>
      <c r="CQ5532" s="37"/>
      <c r="CT5532" s="37"/>
      <c r="CU5532" s="37"/>
      <c r="CV5532" s="37"/>
      <c r="CW5532" s="37"/>
      <c r="CX5532" s="37"/>
      <c r="CY5532" s="37"/>
      <c r="DA5532" s="37"/>
      <c r="DB5532" s="37"/>
      <c r="DC5532" s="37"/>
      <c r="DE5532" s="37"/>
    </row>
    <row r="5533" spans="86:109" x14ac:dyDescent="0.2">
      <c r="CH5533" s="37"/>
      <c r="CI5533" s="37"/>
      <c r="CJ5533" s="37"/>
      <c r="CK5533" s="37"/>
      <c r="CL5533" s="37"/>
      <c r="CM5533" s="37"/>
      <c r="CN5533" s="37"/>
      <c r="CO5533" s="37"/>
      <c r="CP5533" s="37"/>
      <c r="CQ5533" s="37"/>
      <c r="CS5533" s="37"/>
      <c r="CT5533" s="37"/>
      <c r="CU5533" s="37"/>
      <c r="CV5533" s="37"/>
      <c r="CW5533" s="37"/>
      <c r="CY5533" s="37"/>
      <c r="CZ5533" s="37"/>
      <c r="DB5533" s="37"/>
      <c r="DC5533" s="37"/>
      <c r="DD5533" s="37"/>
      <c r="DE5533" s="37"/>
    </row>
    <row r="5534" spans="86:109" x14ac:dyDescent="0.2">
      <c r="CH5534" s="37"/>
      <c r="CI5534" s="37"/>
      <c r="CJ5534" s="37"/>
      <c r="CK5534" s="37"/>
      <c r="CM5534" s="37"/>
      <c r="CN5534" s="37"/>
      <c r="CO5534" s="37"/>
      <c r="CP5534" s="37"/>
      <c r="CQ5534" s="37"/>
      <c r="CR5534" s="37"/>
      <c r="CS5534" s="37"/>
      <c r="CT5534" s="37"/>
      <c r="CV5534" s="37"/>
      <c r="CW5534" s="37"/>
      <c r="CX5534" s="37"/>
      <c r="CY5534" s="37"/>
      <c r="CZ5534" s="37"/>
      <c r="DA5534" s="37"/>
      <c r="DB5534" s="37"/>
      <c r="DC5534" s="37"/>
      <c r="DD5534" s="37"/>
      <c r="DE5534" s="37"/>
    </row>
    <row r="5535" spans="86:109" x14ac:dyDescent="0.2">
      <c r="CH5535" s="37"/>
      <c r="CI5535" s="37"/>
      <c r="CJ5535" s="37"/>
      <c r="CK5535" s="37"/>
      <c r="CL5535" s="37"/>
      <c r="CM5535" s="37"/>
      <c r="CN5535" s="37"/>
      <c r="CO5535" s="37"/>
      <c r="CP5535" s="37"/>
      <c r="CR5535" s="37"/>
      <c r="CS5535" s="37"/>
      <c r="CT5535" s="37"/>
      <c r="CU5535" s="37"/>
      <c r="CV5535" s="37"/>
      <c r="CW5535" s="37"/>
      <c r="CX5535" s="37"/>
      <c r="CY5535" s="37"/>
      <c r="CZ5535" s="37"/>
      <c r="DA5535" s="37"/>
      <c r="DB5535" s="37"/>
      <c r="DC5535" s="37"/>
      <c r="DD5535" s="37"/>
      <c r="DE5535" s="37"/>
    </row>
    <row r="5536" spans="86:109" x14ac:dyDescent="0.2">
      <c r="CH5536" s="37"/>
      <c r="CI5536" s="37"/>
      <c r="CJ5536" s="37"/>
      <c r="CK5536" s="37"/>
      <c r="CM5536" s="37"/>
      <c r="CN5536" s="37"/>
      <c r="CO5536" s="37"/>
      <c r="CP5536" s="37"/>
      <c r="CQ5536" s="37"/>
      <c r="CR5536" s="37"/>
      <c r="CS5536" s="37"/>
      <c r="CT5536" s="37"/>
      <c r="CU5536" s="37"/>
      <c r="CV5536" s="37"/>
      <c r="CW5536" s="37"/>
      <c r="CX5536" s="37"/>
      <c r="CZ5536" s="37"/>
      <c r="DA5536" s="37"/>
      <c r="DB5536" s="37"/>
      <c r="DC5536" s="37"/>
      <c r="DD5536" s="37"/>
      <c r="DE5536" s="37"/>
    </row>
    <row r="5537" spans="86:109" x14ac:dyDescent="0.2">
      <c r="CH5537" s="37"/>
      <c r="CI5537" s="37"/>
      <c r="CJ5537" s="37"/>
      <c r="CK5537" s="37"/>
      <c r="CL5537" s="37"/>
      <c r="CM5537" s="37"/>
      <c r="CO5537" s="37"/>
      <c r="CP5537" s="37"/>
      <c r="CQ5537" s="37"/>
      <c r="CR5537" s="37"/>
      <c r="CS5537" s="37"/>
      <c r="CT5537" s="37"/>
      <c r="CU5537" s="37"/>
      <c r="CV5537" s="37"/>
      <c r="CW5537" s="37"/>
      <c r="CX5537" s="37"/>
      <c r="CZ5537" s="37"/>
      <c r="DB5537" s="37"/>
      <c r="DC5537" s="37"/>
      <c r="DE5537" s="37"/>
    </row>
    <row r="5538" spans="86:109" x14ac:dyDescent="0.2">
      <c r="CH5538" s="37"/>
      <c r="CI5538" s="37"/>
      <c r="CJ5538" s="37"/>
      <c r="CK5538" s="37"/>
      <c r="CL5538" s="37"/>
      <c r="CM5538" s="37"/>
      <c r="CN5538" s="37"/>
      <c r="CO5538" s="37"/>
      <c r="CP5538" s="37"/>
      <c r="CR5538" s="37"/>
      <c r="CS5538" s="37"/>
      <c r="CU5538" s="37"/>
      <c r="CV5538" s="37"/>
      <c r="CW5538" s="37"/>
      <c r="CX5538" s="37"/>
      <c r="CY5538" s="37"/>
      <c r="CZ5538" s="37"/>
      <c r="DA5538" s="37"/>
      <c r="DB5538" s="37"/>
      <c r="DC5538" s="37"/>
      <c r="DD5538" s="37"/>
    </row>
    <row r="5539" spans="86:109" x14ac:dyDescent="0.2">
      <c r="CI5539" s="37"/>
      <c r="CJ5539" s="37"/>
      <c r="CK5539" s="37"/>
      <c r="CM5539" s="37"/>
      <c r="CN5539" s="37"/>
      <c r="CP5539" s="37"/>
      <c r="CQ5539" s="37"/>
      <c r="CT5539" s="37"/>
      <c r="CU5539" s="37"/>
      <c r="CV5539" s="37"/>
      <c r="CW5539" s="37"/>
      <c r="CX5539" s="37"/>
      <c r="CY5539" s="37"/>
      <c r="DA5539" s="37"/>
      <c r="DB5539" s="37"/>
      <c r="DC5539" s="37"/>
      <c r="DE5539" s="37"/>
    </row>
    <row r="5540" spans="86:109" x14ac:dyDescent="0.2">
      <c r="CH5540" s="37"/>
      <c r="CI5540" s="37"/>
      <c r="CK5540" s="37"/>
      <c r="CM5540" s="37"/>
      <c r="CN5540" s="37"/>
      <c r="CO5540" s="37"/>
      <c r="CP5540" s="37"/>
      <c r="CQ5540" s="37"/>
      <c r="CR5540" s="37"/>
      <c r="CT5540" s="37"/>
      <c r="CU5540" s="37"/>
      <c r="CV5540" s="37"/>
      <c r="CW5540" s="37"/>
      <c r="CX5540" s="37"/>
      <c r="CY5540" s="37"/>
      <c r="CZ5540" s="37"/>
      <c r="DA5540" s="37"/>
      <c r="DB5540" s="37"/>
      <c r="DC5540" s="37"/>
      <c r="DE5540" s="37"/>
    </row>
    <row r="9051" spans="7:8" x14ac:dyDescent="0.2">
      <c r="G9051" s="1"/>
      <c r="H9051" s="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</vt:lpstr>
      <vt:lpstr>Lookups</vt:lpstr>
      <vt:lpstr>Data</vt:lpstr>
      <vt:lpstr>All</vt:lpstr>
      <vt:lpstr>Criteria</vt:lpstr>
      <vt:lpstr>custgrp</vt:lpstr>
      <vt:lpstr>custgrp_list</vt:lpstr>
      <vt:lpstr>data</vt:lpstr>
      <vt:lpstr>date</vt:lpstr>
      <vt:lpstr>Enrollment</vt:lpstr>
      <vt:lpstr>evt_dates</vt:lpstr>
      <vt:lpstr>Data!expost_protocol_wide</vt:lpstr>
      <vt:lpstr>lca</vt:lpstr>
      <vt:lpstr>lca_list</vt:lpstr>
      <vt:lpstr>Table!Print_Area</vt:lpstr>
      <vt:lpstr>Result_type</vt:lpstr>
      <vt:lpstr>Result_type_list</vt:lpstr>
      <vt:lpstr>summer</vt:lpstr>
    </vt:vector>
  </TitlesOfParts>
  <Company>Christensen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Marlies C. Hilbrink</cp:lastModifiedBy>
  <cp:lastPrinted>2009-04-03T17:07:33Z</cp:lastPrinted>
  <dcterms:created xsi:type="dcterms:W3CDTF">2009-03-24T17:58:42Z</dcterms:created>
  <dcterms:modified xsi:type="dcterms:W3CDTF">2014-03-25T18:03:56Z</dcterms:modified>
</cp:coreProperties>
</file>