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18" documentId="8_{689A8AA6-9437-4CB7-BD70-3664390E9A00}" xr6:coauthVersionLast="47" xr6:coauthVersionMax="47" xr10:uidLastSave="{5C25EE45-7973-45AA-9715-BD929D9AB507}"/>
  <bookViews>
    <workbookView xWindow="-120" yWindow="-120" windowWidth="29040" windowHeight="15720" tabRatio="877" xr2:uid="{00000000-000D-0000-FFFF-FFFF00000000}"/>
  </bookViews>
  <sheets>
    <sheet name="Transmission Rates Summary" sheetId="14" r:id="rId1"/>
    <sheet name="Allocation of Base TRR - 12 CPS" sheetId="1" r:id="rId2"/>
    <sheet name="Transmission Energy Rates" sheetId="32" r:id="rId3"/>
    <sheet name="Med &amp; Lrg C-I NCD" sheetId="12" r:id="rId4"/>
    <sheet name="Med &amp; Lrg C-I NCD Revenues" sheetId="33" r:id="rId5"/>
    <sheet name="M&amp;L C-I On-Peak Demand" sheetId="18" r:id="rId6"/>
    <sheet name="M&amp;L C-I System Peak Demand" sheetId="19" r:id="rId7"/>
    <sheet name="AG NCD" sheetId="26" r:id="rId8"/>
    <sheet name="Standby Demand" sheetId="15" r:id="rId9"/>
    <sheet name="Summary of Revenues" sheetId="7" state="hidden" r:id="rId10"/>
    <sheet name="San Diego Unified Port District" sheetId="34" r:id="rId11"/>
    <sheet name="Workpapers" sheetId="11" r:id="rId12"/>
    <sheet name="Workpapers 2" sheetId="35" r:id="rId13"/>
  </sheets>
  <externalReferences>
    <externalReference r:id="rId14"/>
    <externalReference r:id="rId15"/>
    <externalReference r:id="rId16"/>
  </externalReferences>
  <definedNames>
    <definedName name="_xlnm._FilterDatabase" localSheetId="3" hidden="1">'Med &amp; Lrg C-I NCD'!$A$14:$E$85</definedName>
    <definedName name="_xlnm.Print_Area" localSheetId="7">'AG NCD'!$A$1:$E$58</definedName>
    <definedName name="_xlnm.Print_Area" localSheetId="1">'Allocation of Base TRR - 12 CPS'!$A$1:$G$29</definedName>
    <definedName name="_xlnm.Print_Area" localSheetId="5">'M&amp;L C-I On-Peak Demand'!$A$1:$H$65</definedName>
    <definedName name="_xlnm.Print_Area" localSheetId="6">'M&amp;L C-I System Peak Demand'!$A$1:$H$66</definedName>
    <definedName name="_xlnm.Print_Area" localSheetId="3">'Med &amp; Lrg C-I NCD'!$A$1:$E$92</definedName>
    <definedName name="_xlnm.Print_Area" localSheetId="4">'Med &amp; Lrg C-I NCD Revenues'!$A$1:$E$44</definedName>
    <definedName name="_xlnm.Print_Area" localSheetId="10">'San Diego Unified Port District'!$A$1:$E$39</definedName>
    <definedName name="_xlnm.Print_Area" localSheetId="8">'Standby Demand'!$A$1:$E$52</definedName>
    <definedName name="_xlnm.Print_Area" localSheetId="9">'Summary of Revenues'!$A$1:$G$36</definedName>
    <definedName name="_xlnm.Print_Area" localSheetId="2">'Transmission Energy Rates'!$A$1:$I$31</definedName>
    <definedName name="_xlnm.Print_Area" localSheetId="0">'Transmission Rates Summary'!$A$1:$H$65</definedName>
    <definedName name="_xlnm.Print_Area" localSheetId="11">Workpapers!$A$1:$H$41</definedName>
    <definedName name="_xlnm.Print_Area" localSheetId="12">'Workpapers 2'!$A$1:$H$122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D115" i="35" l="1"/>
  <c r="D114" i="35"/>
  <c r="D113" i="35"/>
  <c r="D112" i="35"/>
  <c r="D108" i="35"/>
  <c r="D107" i="35"/>
  <c r="D106" i="35"/>
  <c r="D105" i="35"/>
  <c r="D94" i="35"/>
  <c r="D93" i="35"/>
  <c r="D92" i="35"/>
  <c r="D91" i="35"/>
  <c r="D89" i="35"/>
  <c r="D88" i="35"/>
  <c r="D87" i="35"/>
  <c r="D86" i="35"/>
  <c r="D82" i="35"/>
  <c r="D81" i="35"/>
  <c r="D80" i="35"/>
  <c r="D79" i="35"/>
  <c r="D77" i="35"/>
  <c r="D76" i="35"/>
  <c r="D75" i="35"/>
  <c r="D74" i="35"/>
  <c r="D69" i="35"/>
  <c r="D68" i="35"/>
  <c r="D67" i="35"/>
  <c r="D66" i="35"/>
  <c r="D64" i="35"/>
  <c r="D63" i="35"/>
  <c r="D62" i="35"/>
  <c r="D61" i="35"/>
  <c r="D57" i="35"/>
  <c r="D56" i="35"/>
  <c r="D55" i="35"/>
  <c r="D54" i="35"/>
  <c r="D52" i="35"/>
  <c r="D51" i="35"/>
  <c r="D50" i="35"/>
  <c r="D49" i="35"/>
  <c r="D45" i="35"/>
  <c r="D44" i="35"/>
  <c r="D43" i="35"/>
  <c r="D42" i="35"/>
  <c r="D38" i="35"/>
  <c r="D37" i="35"/>
  <c r="D36" i="35"/>
  <c r="D35" i="35"/>
  <c r="D30" i="35"/>
  <c r="D29" i="35"/>
  <c r="D28" i="35"/>
  <c r="D27" i="35"/>
  <c r="D21" i="35"/>
  <c r="D20" i="35"/>
  <c r="D19" i="35"/>
  <c r="D18" i="35"/>
  <c r="D34" i="11"/>
  <c r="C34" i="11"/>
  <c r="D33" i="11"/>
  <c r="C33" i="11"/>
  <c r="D32" i="11"/>
  <c r="C32" i="11"/>
  <c r="D30" i="11"/>
  <c r="C30" i="11"/>
  <c r="D27" i="11"/>
  <c r="C27" i="11"/>
  <c r="D26" i="11"/>
  <c r="C26" i="11"/>
  <c r="D25" i="11"/>
  <c r="C25" i="11"/>
  <c r="D22" i="11"/>
  <c r="C22" i="11"/>
  <c r="D19" i="11"/>
  <c r="C19" i="11"/>
  <c r="D18" i="11"/>
  <c r="C18" i="11"/>
  <c r="D17" i="11"/>
  <c r="C17" i="11"/>
  <c r="D15" i="11"/>
  <c r="C15" i="11"/>
  <c r="D14" i="11"/>
  <c r="C14" i="11"/>
  <c r="A3" i="35" l="1"/>
  <c r="A2" i="35"/>
  <c r="A1" i="35"/>
  <c r="D99" i="35" l="1"/>
  <c r="D97" i="35"/>
  <c r="D100" i="35" s="1"/>
  <c r="H15" i="35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H31" i="35" s="1"/>
  <c r="H32" i="35" s="1"/>
  <c r="H33" i="35" s="1"/>
  <c r="H34" i="35" s="1"/>
  <c r="H35" i="35" s="1"/>
  <c r="H36" i="35" s="1"/>
  <c r="H37" i="35" s="1"/>
  <c r="H38" i="35" s="1"/>
  <c r="H39" i="35" s="1"/>
  <c r="H40" i="35" s="1"/>
  <c r="H41" i="35" s="1"/>
  <c r="H42" i="35" s="1"/>
  <c r="H43" i="35" s="1"/>
  <c r="H44" i="35" s="1"/>
  <c r="H45" i="35" s="1"/>
  <c r="H46" i="35" s="1"/>
  <c r="H47" i="35" s="1"/>
  <c r="H48" i="35" s="1"/>
  <c r="H49" i="35" s="1"/>
  <c r="H50" i="35" s="1"/>
  <c r="H51" i="35" s="1"/>
  <c r="H52" i="35" s="1"/>
  <c r="H53" i="35" s="1"/>
  <c r="H54" i="35" s="1"/>
  <c r="H55" i="35" s="1"/>
  <c r="H56" i="35" s="1"/>
  <c r="H57" i="35" s="1"/>
  <c r="H58" i="35" s="1"/>
  <c r="H59" i="35" s="1"/>
  <c r="H60" i="35" s="1"/>
  <c r="H61" i="35" s="1"/>
  <c r="H62" i="35" s="1"/>
  <c r="H63" i="35" s="1"/>
  <c r="H64" i="35" s="1"/>
  <c r="H65" i="35" s="1"/>
  <c r="H66" i="35" s="1"/>
  <c r="H67" i="35" s="1"/>
  <c r="H68" i="35" s="1"/>
  <c r="H69" i="35" s="1"/>
  <c r="H70" i="35" s="1"/>
  <c r="H71" i="35" s="1"/>
  <c r="H72" i="35" s="1"/>
  <c r="H73" i="35" s="1"/>
  <c r="H74" i="35" s="1"/>
  <c r="H75" i="35" s="1"/>
  <c r="H76" i="35" s="1"/>
  <c r="H77" i="35" s="1"/>
  <c r="H78" i="35" s="1"/>
  <c r="H79" i="35" s="1"/>
  <c r="H80" i="35" s="1"/>
  <c r="H81" i="35" s="1"/>
  <c r="H82" i="35" s="1"/>
  <c r="H83" i="35" s="1"/>
  <c r="H84" i="35" s="1"/>
  <c r="H85" i="35" s="1"/>
  <c r="H86" i="35" s="1"/>
  <c r="H87" i="35" s="1"/>
  <c r="H88" i="35" s="1"/>
  <c r="H89" i="35" s="1"/>
  <c r="H90" i="35" s="1"/>
  <c r="H91" i="35" s="1"/>
  <c r="H92" i="35" s="1"/>
  <c r="H93" i="35" s="1"/>
  <c r="H94" i="35" s="1"/>
  <c r="H95" i="35" s="1"/>
  <c r="H96" i="35" s="1"/>
  <c r="H97" i="35" s="1"/>
  <c r="H98" i="35" s="1"/>
  <c r="H99" i="35" s="1"/>
  <c r="H100" i="35" s="1"/>
  <c r="H101" i="35" s="1"/>
  <c r="H102" i="35" s="1"/>
  <c r="H103" i="35" s="1"/>
  <c r="H104" i="35" s="1"/>
  <c r="H105" i="35" s="1"/>
  <c r="H106" i="35" s="1"/>
  <c r="H107" i="35" s="1"/>
  <c r="H108" i="35" s="1"/>
  <c r="H109" i="35" s="1"/>
  <c r="H110" i="35" s="1"/>
  <c r="H111" i="35" s="1"/>
  <c r="H112" i="35" s="1"/>
  <c r="H113" i="35" s="1"/>
  <c r="H114" i="35" s="1"/>
  <c r="H115" i="35" s="1"/>
  <c r="A15" i="35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H14" i="11" l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E14" i="34" l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A14" i="34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14" i="11" l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E22" i="11" l="1"/>
  <c r="C20" i="1" s="1"/>
  <c r="A15" i="33" l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E14" i="33"/>
  <c r="E15" i="33" s="1"/>
  <c r="E16" i="33" s="1"/>
  <c r="E17" i="33" s="1"/>
  <c r="E18" i="33" s="1"/>
  <c r="E19" i="33" s="1"/>
  <c r="E20" i="33" s="1"/>
  <c r="E21" i="33" s="1"/>
  <c r="E22" i="33" s="1"/>
  <c r="E23" i="33" s="1"/>
  <c r="E24" i="33" s="1"/>
  <c r="E25" i="33" s="1"/>
  <c r="E26" i="33" s="1"/>
  <c r="E27" i="33" s="1"/>
  <c r="E28" i="33" s="1"/>
  <c r="E29" i="33" s="1"/>
  <c r="E30" i="33" s="1"/>
  <c r="E31" i="33" s="1"/>
  <c r="E32" i="33" s="1"/>
  <c r="E33" i="33" s="1"/>
  <c r="E34" i="33" s="1"/>
  <c r="E35" i="33" s="1"/>
  <c r="E36" i="33" s="1"/>
  <c r="E37" i="33" s="1"/>
  <c r="E38" i="33" s="1"/>
  <c r="A14" i="33"/>
  <c r="E14" i="26"/>
  <c r="E15" i="26" s="1"/>
  <c r="E16" i="26" s="1"/>
  <c r="E17" i="26" s="1"/>
  <c r="E18" i="26" s="1"/>
  <c r="E19" i="26" s="1"/>
  <c r="E20" i="26" s="1"/>
  <c r="E21" i="26" s="1"/>
  <c r="E22" i="26" s="1"/>
  <c r="E23" i="26" s="1"/>
  <c r="E24" i="26" s="1"/>
  <c r="E25" i="26" s="1"/>
  <c r="E26" i="26" s="1"/>
  <c r="E27" i="26" s="1"/>
  <c r="E28" i="26" s="1"/>
  <c r="E29" i="26" s="1"/>
  <c r="E30" i="26" s="1"/>
  <c r="E31" i="26" s="1"/>
  <c r="E32" i="26" s="1"/>
  <c r="E33" i="26" s="1"/>
  <c r="E34" i="26" s="1"/>
  <c r="E35" i="26" s="1"/>
  <c r="E36" i="26" s="1"/>
  <c r="E37" i="26" s="1"/>
  <c r="E38" i="26" s="1"/>
  <c r="E39" i="26" s="1"/>
  <c r="E40" i="26" s="1"/>
  <c r="E41" i="26" s="1"/>
  <c r="E42" i="26" s="1"/>
  <c r="E43" i="26" s="1"/>
  <c r="E44" i="26" s="1"/>
  <c r="E45" i="26" s="1"/>
  <c r="E46" i="26" s="1"/>
  <c r="E47" i="26" s="1"/>
  <c r="E48" i="26" s="1"/>
  <c r="E49" i="26" s="1"/>
  <c r="E50" i="26" s="1"/>
  <c r="E51" i="26" s="1"/>
  <c r="E52" i="26" s="1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I14" i="32"/>
  <c r="I15" i="32" s="1"/>
  <c r="I16" i="32" s="1"/>
  <c r="I17" i="32" s="1"/>
  <c r="I18" i="32" s="1"/>
  <c r="I19" i="32" s="1"/>
  <c r="A14" i="32"/>
  <c r="A15" i="32" s="1"/>
  <c r="A16" i="32" s="1"/>
  <c r="A17" i="32" s="1"/>
  <c r="A18" i="32" s="1"/>
  <c r="A19" i="32" s="1"/>
  <c r="A6" i="32"/>
  <c r="A3" i="32"/>
  <c r="A2" i="32"/>
  <c r="A1" i="32"/>
  <c r="F39" i="19"/>
  <c r="D39" i="19"/>
  <c r="F38" i="18"/>
  <c r="D38" i="18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1" i="19" l="1"/>
  <c r="A1" i="11"/>
  <c r="A1" i="7"/>
  <c r="A1" i="15"/>
  <c r="A1" i="18"/>
  <c r="A1" i="12"/>
  <c r="A1" i="1"/>
  <c r="H16" i="19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6" i="19"/>
  <c r="A3" i="19"/>
  <c r="A2" i="19"/>
  <c r="H15" i="18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6" i="18"/>
  <c r="A3" i="18"/>
  <c r="A2" i="18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E15" i="12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A6" i="7"/>
  <c r="A3" i="7"/>
  <c r="A2" i="7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E14" i="15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A6" i="15"/>
  <c r="A3" i="15"/>
  <c r="A2" i="15"/>
  <c r="A6" i="12"/>
  <c r="A3" i="12"/>
  <c r="A2" i="12"/>
  <c r="A3" i="11"/>
  <c r="A2" i="11"/>
  <c r="H15" i="14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16" i="7"/>
  <c r="G17" i="7" s="1"/>
  <c r="G18" i="7" s="1"/>
  <c r="G19" i="7" s="1"/>
  <c r="G20" i="7" s="1"/>
  <c r="G22" i="7" s="1"/>
  <c r="G23" i="7" s="1"/>
  <c r="G25" i="7" s="1"/>
  <c r="G26" i="7" s="1"/>
  <c r="G27" i="7" s="1"/>
  <c r="G28" i="7" s="1"/>
  <c r="G29" i="7" s="1"/>
  <c r="A46" i="12" l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C20" i="11" l="1"/>
  <c r="C35" i="11" l="1"/>
  <c r="E27" i="11" l="1"/>
  <c r="E26" i="11"/>
  <c r="E30" i="11" l="1"/>
  <c r="C22" i="1" s="1"/>
  <c r="E32" i="11"/>
  <c r="E17" i="11"/>
  <c r="E34" i="11"/>
  <c r="E19" i="11"/>
  <c r="E33" i="11"/>
  <c r="E18" i="11"/>
  <c r="E15" i="11" l="1"/>
  <c r="E25" i="11"/>
  <c r="C28" i="11"/>
  <c r="C37" i="11" s="1"/>
  <c r="E20" i="11"/>
  <c r="E35" i="11"/>
  <c r="C19" i="1" l="1"/>
  <c r="D20" i="11"/>
  <c r="E28" i="11"/>
  <c r="C23" i="1"/>
  <c r="D35" i="11"/>
  <c r="C18" i="1"/>
  <c r="E14" i="11" l="1"/>
  <c r="C21" i="1"/>
  <c r="D28" i="11"/>
  <c r="E37" i="11" l="1"/>
  <c r="F22" i="11" s="1"/>
  <c r="C17" i="1"/>
  <c r="C25" i="1" l="1"/>
  <c r="F14" i="11"/>
  <c r="F27" i="11"/>
  <c r="F30" i="11"/>
  <c r="F26" i="11"/>
  <c r="F34" i="11"/>
  <c r="F17" i="11"/>
  <c r="F18" i="11"/>
  <c r="F33" i="11"/>
  <c r="F32" i="11"/>
  <c r="F19" i="11"/>
  <c r="F20" i="11"/>
  <c r="F25" i="11"/>
  <c r="F35" i="11"/>
  <c r="F15" i="11"/>
  <c r="F28" i="11"/>
  <c r="D17" i="1"/>
  <c r="D22" i="1" l="1"/>
  <c r="D21" i="1"/>
  <c r="D19" i="1"/>
  <c r="D18" i="1"/>
  <c r="D23" i="1"/>
  <c r="E22" i="1"/>
  <c r="E21" i="1"/>
  <c r="D20" i="1"/>
  <c r="F37" i="11"/>
  <c r="E17" i="1"/>
  <c r="E18" i="1" l="1"/>
  <c r="E19" i="1"/>
  <c r="C25" i="7"/>
  <c r="C17" i="7"/>
  <c r="E23" i="1"/>
  <c r="D25" i="1"/>
  <c r="F13" i="32"/>
  <c r="C13" i="15"/>
  <c r="C22" i="7"/>
  <c r="C19" i="7"/>
  <c r="C14" i="12"/>
  <c r="G13" i="32"/>
  <c r="E20" i="1"/>
  <c r="C13" i="32"/>
  <c r="D13" i="32"/>
  <c r="D25" i="7"/>
  <c r="C15" i="7"/>
  <c r="E13" i="32" l="1"/>
  <c r="C27" i="7"/>
  <c r="C29" i="7" s="1"/>
  <c r="C13" i="34"/>
  <c r="E25" i="1"/>
  <c r="D17" i="7"/>
  <c r="D15" i="7" l="1"/>
  <c r="E15" i="7"/>
  <c r="E25" i="7" l="1"/>
  <c r="E17" i="7" l="1"/>
  <c r="D27" i="7" l="1"/>
  <c r="E27" i="7" s="1"/>
  <c r="D19" i="7" l="1"/>
  <c r="E19" i="7" s="1"/>
  <c r="E29" i="7" s="1"/>
  <c r="D29" i="7" l="1"/>
  <c r="C100" i="35" l="1"/>
  <c r="E100" i="35" s="1"/>
  <c r="C99" i="35"/>
  <c r="C29" i="34" l="1"/>
  <c r="E99" i="35"/>
  <c r="D15" i="32" l="1"/>
  <c r="D17" i="32" l="1"/>
  <c r="E15" i="32" l="1"/>
  <c r="E17" i="32"/>
  <c r="D19" i="32"/>
  <c r="E19" i="32" l="1"/>
  <c r="C16" i="14"/>
  <c r="C114" i="35"/>
  <c r="C38" i="15" l="1"/>
  <c r="E114" i="35"/>
  <c r="C19" i="15" s="1"/>
  <c r="C39" i="14"/>
  <c r="C97" i="35" l="1"/>
  <c r="C17" i="34" l="1"/>
  <c r="E97" i="35"/>
  <c r="C21" i="34" l="1"/>
  <c r="C23" i="34" l="1"/>
  <c r="C27" i="34" l="1"/>
  <c r="E42" i="14"/>
  <c r="C31" i="34" l="1"/>
  <c r="C33" i="34" l="1"/>
  <c r="C15" i="32"/>
  <c r="E45" i="14" l="1"/>
  <c r="E44" i="14"/>
  <c r="C17" i="32"/>
  <c r="C19" i="32" l="1"/>
  <c r="C14" i="14" l="1"/>
  <c r="C13" i="26" l="1"/>
  <c r="G15" i="32"/>
  <c r="F15" i="32"/>
  <c r="C113" i="35"/>
  <c r="C112" i="35"/>
  <c r="F17" i="32" l="1"/>
  <c r="C37" i="15"/>
  <c r="E113" i="35"/>
  <c r="C36" i="15"/>
  <c r="C115" i="35"/>
  <c r="E112" i="35"/>
  <c r="G17" i="32"/>
  <c r="C62" i="35" l="1"/>
  <c r="E62" i="35" s="1"/>
  <c r="C86" i="35"/>
  <c r="C87" i="35"/>
  <c r="C61" i="35"/>
  <c r="E87" i="35"/>
  <c r="E27" i="19" s="1"/>
  <c r="E20" i="19"/>
  <c r="C88" i="35"/>
  <c r="C89" i="35" s="1"/>
  <c r="C17" i="15"/>
  <c r="E115" i="35"/>
  <c r="F114" i="35" s="1"/>
  <c r="C76" i="35"/>
  <c r="C74" i="35"/>
  <c r="E61" i="35"/>
  <c r="E20" i="18"/>
  <c r="C39" i="15"/>
  <c r="E19" i="19"/>
  <c r="E86" i="35"/>
  <c r="C63" i="35"/>
  <c r="E21" i="18"/>
  <c r="C18" i="15"/>
  <c r="C51" i="35"/>
  <c r="C49" i="35"/>
  <c r="C50" i="35"/>
  <c r="C75" i="35"/>
  <c r="F19" i="32"/>
  <c r="G19" i="32"/>
  <c r="C107" i="35"/>
  <c r="C67" i="35"/>
  <c r="C91" i="35"/>
  <c r="C37" i="35"/>
  <c r="C93" i="35"/>
  <c r="C66" i="35"/>
  <c r="C36" i="35"/>
  <c r="C92" i="35"/>
  <c r="C68" i="35"/>
  <c r="C80" i="35" l="1"/>
  <c r="F113" i="35"/>
  <c r="C94" i="35"/>
  <c r="F19" i="19"/>
  <c r="E91" i="35"/>
  <c r="E92" i="35"/>
  <c r="F27" i="19" s="1"/>
  <c r="F20" i="19"/>
  <c r="E93" i="35"/>
  <c r="F21" i="19"/>
  <c r="C47" i="14"/>
  <c r="C15" i="26"/>
  <c r="E74" i="35"/>
  <c r="C77" i="35"/>
  <c r="C19" i="19"/>
  <c r="C19" i="33"/>
  <c r="E37" i="35"/>
  <c r="C81" i="35"/>
  <c r="E28" i="18"/>
  <c r="E80" i="35"/>
  <c r="D27" i="19" s="1"/>
  <c r="D20" i="19"/>
  <c r="C56" i="35"/>
  <c r="C20" i="19"/>
  <c r="E75" i="35"/>
  <c r="E49" i="35"/>
  <c r="C52" i="35"/>
  <c r="C20" i="18"/>
  <c r="E63" i="35"/>
  <c r="E64" i="35" s="1"/>
  <c r="E22" i="18"/>
  <c r="E76" i="35"/>
  <c r="C21" i="19"/>
  <c r="E67" i="35"/>
  <c r="F21" i="18"/>
  <c r="E51" i="35"/>
  <c r="C22" i="18"/>
  <c r="E26" i="19"/>
  <c r="C18" i="33"/>
  <c r="E36" i="35"/>
  <c r="C54" i="35"/>
  <c r="E68" i="35"/>
  <c r="F22" i="18"/>
  <c r="E107" i="35"/>
  <c r="C22" i="26" s="1"/>
  <c r="C41" i="26"/>
  <c r="E49" i="19"/>
  <c r="E54" i="19" s="1"/>
  <c r="F36" i="14" s="1"/>
  <c r="C64" i="35"/>
  <c r="F112" i="35"/>
  <c r="F115" i="35" s="1"/>
  <c r="E88" i="35"/>
  <c r="E89" i="35" s="1"/>
  <c r="E21" i="19"/>
  <c r="C52" i="14"/>
  <c r="E23" i="18"/>
  <c r="C69" i="35"/>
  <c r="F20" i="18"/>
  <c r="E66" i="35"/>
  <c r="E27" i="18"/>
  <c r="C20" i="15"/>
  <c r="C25" i="15" s="1"/>
  <c r="C55" i="35"/>
  <c r="C21" i="18"/>
  <c r="E50" i="35"/>
  <c r="C79" i="35"/>
  <c r="C28" i="35"/>
  <c r="C35" i="35"/>
  <c r="C106" i="35"/>
  <c r="C105" i="35"/>
  <c r="C29" i="35"/>
  <c r="C27" i="35"/>
  <c r="C18" i="35"/>
  <c r="C20" i="35"/>
  <c r="C19" i="35"/>
  <c r="F62" i="35" l="1"/>
  <c r="F61" i="35"/>
  <c r="F87" i="35"/>
  <c r="F86" i="35"/>
  <c r="C28" i="18"/>
  <c r="C26" i="15"/>
  <c r="E69" i="35"/>
  <c r="F66" i="35" s="1"/>
  <c r="F27" i="18"/>
  <c r="C28" i="19"/>
  <c r="D22" i="18"/>
  <c r="E56" i="35"/>
  <c r="C53" i="12"/>
  <c r="E27" i="35"/>
  <c r="C30" i="35"/>
  <c r="E18" i="35"/>
  <c r="C21" i="35"/>
  <c r="C42" i="35"/>
  <c r="C40" i="26"/>
  <c r="E106" i="35"/>
  <c r="F23" i="18"/>
  <c r="C44" i="35"/>
  <c r="E20" i="35"/>
  <c r="F20" i="35" s="1"/>
  <c r="E28" i="19"/>
  <c r="F88" i="35"/>
  <c r="F28" i="19"/>
  <c r="C43" i="35"/>
  <c r="E19" i="35"/>
  <c r="F19" i="35" s="1"/>
  <c r="D21" i="18"/>
  <c r="E55" i="35"/>
  <c r="F29" i="18"/>
  <c r="F68" i="35"/>
  <c r="C23" i="18"/>
  <c r="C49" i="19"/>
  <c r="C54" i="19" s="1"/>
  <c r="F32" i="14" s="1"/>
  <c r="C22" i="19"/>
  <c r="E28" i="35"/>
  <c r="C54" i="12"/>
  <c r="E54" i="35"/>
  <c r="C57" i="35"/>
  <c r="D20" i="18"/>
  <c r="C29" i="18"/>
  <c r="E105" i="35"/>
  <c r="C108" i="35"/>
  <c r="C39" i="26"/>
  <c r="C17" i="33"/>
  <c r="E35" i="35"/>
  <c r="E38" i="35" s="1"/>
  <c r="F35" i="35" s="1"/>
  <c r="C38" i="35"/>
  <c r="C31" i="15"/>
  <c r="C27" i="18"/>
  <c r="E52" i="35"/>
  <c r="F49" i="35" s="1"/>
  <c r="C26" i="19"/>
  <c r="E77" i="35"/>
  <c r="F74" i="35" s="1"/>
  <c r="E94" i="35"/>
  <c r="F92" i="35" s="1"/>
  <c r="F26" i="19"/>
  <c r="F91" i="35"/>
  <c r="C55" i="12"/>
  <c r="E29" i="35"/>
  <c r="E22" i="19"/>
  <c r="F36" i="35"/>
  <c r="F28" i="18"/>
  <c r="F67" i="35"/>
  <c r="C27" i="19"/>
  <c r="D22" i="7"/>
  <c r="E22" i="7" s="1"/>
  <c r="C17" i="26"/>
  <c r="F49" i="19"/>
  <c r="F54" i="19" s="1"/>
  <c r="F37" i="14" s="1"/>
  <c r="F22" i="19"/>
  <c r="E29" i="18"/>
  <c r="E30" i="18" s="1"/>
  <c r="F63" i="35"/>
  <c r="C82" i="35"/>
  <c r="D19" i="19"/>
  <c r="E79" i="35"/>
  <c r="C24" i="15"/>
  <c r="E81" i="35"/>
  <c r="D21" i="19"/>
  <c r="F75" i="35" l="1"/>
  <c r="E29" i="19"/>
  <c r="E33" i="19" s="1"/>
  <c r="E30" i="35"/>
  <c r="F27" i="35" s="1"/>
  <c r="E34" i="18"/>
  <c r="E33" i="18"/>
  <c r="D26" i="19"/>
  <c r="E82" i="35"/>
  <c r="F80" i="35" s="1"/>
  <c r="E35" i="19"/>
  <c r="E34" i="19"/>
  <c r="D23" i="18"/>
  <c r="C56" i="12"/>
  <c r="D28" i="19"/>
  <c r="D49" i="19"/>
  <c r="D54" i="19" s="1"/>
  <c r="F33" i="14" s="1"/>
  <c r="D22" i="19"/>
  <c r="C30" i="18"/>
  <c r="C42" i="26"/>
  <c r="C38" i="12"/>
  <c r="E43" i="35"/>
  <c r="C21" i="26"/>
  <c r="D29" i="18"/>
  <c r="F50" i="35"/>
  <c r="C32" i="15"/>
  <c r="F29" i="19"/>
  <c r="C43" i="15"/>
  <c r="D27" i="18"/>
  <c r="E57" i="35"/>
  <c r="F54" i="35" s="1"/>
  <c r="F93" i="35"/>
  <c r="F94" i="35" s="1"/>
  <c r="F37" i="35"/>
  <c r="F38" i="35" s="1"/>
  <c r="C20" i="26"/>
  <c r="E108" i="35"/>
  <c r="F107" i="35" s="1"/>
  <c r="E42" i="35"/>
  <c r="C45" i="35"/>
  <c r="C37" i="12"/>
  <c r="F76" i="35"/>
  <c r="F77" i="35" s="1"/>
  <c r="F89" i="35"/>
  <c r="C30" i="15"/>
  <c r="C27" i="15"/>
  <c r="E44" i="35"/>
  <c r="C39" i="12"/>
  <c r="F29" i="35"/>
  <c r="E35" i="18"/>
  <c r="C29" i="19"/>
  <c r="D28" i="18"/>
  <c r="F18" i="35"/>
  <c r="F21" i="35" s="1"/>
  <c r="E21" i="35"/>
  <c r="F30" i="18"/>
  <c r="F64" i="35"/>
  <c r="C20" i="33"/>
  <c r="F51" i="35"/>
  <c r="F69" i="35"/>
  <c r="C34" i="18" l="1"/>
  <c r="F55" i="35"/>
  <c r="F105" i="35"/>
  <c r="C33" i="18"/>
  <c r="F28" i="35"/>
  <c r="F34" i="18"/>
  <c r="F52" i="35"/>
  <c r="F30" i="35"/>
  <c r="F34" i="19"/>
  <c r="F106" i="35"/>
  <c r="F108" i="35" s="1"/>
  <c r="D29" i="19"/>
  <c r="D33" i="19"/>
  <c r="C34" i="19"/>
  <c r="C23" i="26"/>
  <c r="C44" i="15"/>
  <c r="E36" i="19"/>
  <c r="C40" i="12"/>
  <c r="C19" i="12"/>
  <c r="C35" i="18"/>
  <c r="F33" i="19"/>
  <c r="F33" i="18"/>
  <c r="C33" i="19"/>
  <c r="C35" i="19"/>
  <c r="C20" i="12"/>
  <c r="E45" i="35"/>
  <c r="F42" i="35" s="1"/>
  <c r="C18" i="12"/>
  <c r="D30" i="18"/>
  <c r="E36" i="18"/>
  <c r="F35" i="19"/>
  <c r="C48" i="15"/>
  <c r="F35" i="18"/>
  <c r="C42" i="15"/>
  <c r="C33" i="15"/>
  <c r="F56" i="35"/>
  <c r="F57" i="35" s="1"/>
  <c r="F81" i="35"/>
  <c r="F79" i="35"/>
  <c r="C36" i="18" l="1"/>
  <c r="F43" i="35"/>
  <c r="D33" i="18"/>
  <c r="D35" i="18"/>
  <c r="C47" i="15"/>
  <c r="D36" i="18"/>
  <c r="C36" i="19"/>
  <c r="C29" i="26"/>
  <c r="C35" i="26" s="1"/>
  <c r="F36" i="18"/>
  <c r="C28" i="26"/>
  <c r="D34" i="19"/>
  <c r="E54" i="14"/>
  <c r="F82" i="35"/>
  <c r="F45" i="35"/>
  <c r="F36" i="19"/>
  <c r="C49" i="15"/>
  <c r="C21" i="12"/>
  <c r="F44" i="35"/>
  <c r="D34" i="18"/>
  <c r="D35" i="19"/>
  <c r="C27" i="26"/>
  <c r="D36" i="19" l="1"/>
  <c r="C30" i="26"/>
  <c r="C33" i="26"/>
  <c r="D54" i="14"/>
  <c r="C34" i="26"/>
  <c r="C26" i="12"/>
  <c r="C27" i="12"/>
  <c r="F54" i="14"/>
  <c r="C25" i="12"/>
  <c r="C31" i="12" l="1"/>
  <c r="C28" i="12"/>
  <c r="C46" i="26"/>
  <c r="C36" i="26"/>
  <c r="C45" i="26"/>
  <c r="C32" i="12"/>
  <c r="C33" i="12"/>
  <c r="C50" i="26" l="1"/>
  <c r="C47" i="26"/>
  <c r="C51" i="26"/>
  <c r="C45" i="12"/>
  <c r="C44" i="12"/>
  <c r="C43" i="12"/>
  <c r="C34" i="12"/>
  <c r="C50" i="12" l="1"/>
  <c r="E50" i="14"/>
  <c r="C52" i="26"/>
  <c r="C48" i="12"/>
  <c r="F50" i="14"/>
  <c r="C49" i="12"/>
  <c r="C60" i="12" l="1"/>
  <c r="E19" i="14"/>
  <c r="C24" i="33"/>
  <c r="C71" i="12"/>
  <c r="F19" i="14"/>
  <c r="C59" i="12"/>
  <c r="C23" i="33"/>
  <c r="C70" i="12"/>
  <c r="D50" i="14"/>
  <c r="C61" i="12"/>
  <c r="D19" i="14"/>
  <c r="C25" i="33"/>
  <c r="C72" i="12"/>
  <c r="C67" i="12" l="1"/>
  <c r="C65" i="12"/>
  <c r="C73" i="12"/>
  <c r="C66" i="12"/>
  <c r="C26" i="33"/>
  <c r="F21" i="14" l="1"/>
  <c r="C29" i="33"/>
  <c r="C76" i="12"/>
  <c r="D21" i="14"/>
  <c r="C31" i="33"/>
  <c r="C78" i="12"/>
  <c r="E21" i="14"/>
  <c r="C30" i="33"/>
  <c r="C77" i="12"/>
  <c r="C84" i="12" l="1"/>
  <c r="C83" i="12"/>
  <c r="C36" i="33"/>
  <c r="C37" i="33"/>
  <c r="C79" i="12"/>
  <c r="C82" i="12"/>
  <c r="C32" i="33"/>
  <c r="C35" i="33"/>
  <c r="C85" i="12" l="1"/>
  <c r="C38" i="33"/>
  <c r="C15" i="19" l="1"/>
  <c r="C16" i="18"/>
  <c r="E42" i="18" l="1"/>
  <c r="F42" i="18"/>
  <c r="E44" i="18"/>
  <c r="F43" i="18"/>
  <c r="C44" i="18"/>
  <c r="F44" i="18"/>
  <c r="D44" i="18"/>
  <c r="E43" i="18"/>
  <c r="C43" i="18"/>
  <c r="D43" i="18"/>
  <c r="D42" i="18"/>
  <c r="C42" i="18"/>
  <c r="F44" i="19"/>
  <c r="C44" i="19"/>
  <c r="D45" i="19"/>
  <c r="F45" i="19"/>
  <c r="E45" i="19"/>
  <c r="D44" i="19"/>
  <c r="E44" i="19"/>
  <c r="C45" i="19"/>
  <c r="F43" i="19"/>
  <c r="F46" i="19" s="1"/>
  <c r="C43" i="19"/>
  <c r="D43" i="19"/>
  <c r="E43" i="19"/>
  <c r="D48" i="18" l="1"/>
  <c r="D45" i="18"/>
  <c r="C45" i="18"/>
  <c r="C48" i="18"/>
  <c r="F49" i="18"/>
  <c r="E50" i="18"/>
  <c r="F45" i="18"/>
  <c r="F48" i="18"/>
  <c r="C50" i="19"/>
  <c r="D50" i="18"/>
  <c r="F50" i="18"/>
  <c r="C51" i="19"/>
  <c r="E50" i="19"/>
  <c r="E51" i="19"/>
  <c r="F51" i="19"/>
  <c r="C49" i="18"/>
  <c r="E45" i="18"/>
  <c r="E48" i="18"/>
  <c r="C46" i="19"/>
  <c r="F50" i="19"/>
  <c r="C50" i="18"/>
  <c r="D50" i="19"/>
  <c r="D49" i="18"/>
  <c r="E46" i="19"/>
  <c r="D46" i="19"/>
  <c r="D51" i="19"/>
  <c r="E49" i="18"/>
  <c r="E54" i="18" l="1"/>
  <c r="C55" i="19"/>
  <c r="C55" i="18"/>
  <c r="D56" i="19"/>
  <c r="C54" i="18"/>
  <c r="F54" i="18"/>
  <c r="D55" i="19"/>
  <c r="F56" i="19"/>
  <c r="F55" i="18"/>
  <c r="E53" i="18"/>
  <c r="C53" i="18"/>
  <c r="F53" i="18"/>
  <c r="E55" i="18"/>
  <c r="D53" i="18"/>
  <c r="E55" i="19"/>
  <c r="C56" i="19"/>
  <c r="F55" i="19"/>
  <c r="D54" i="18"/>
  <c r="E56" i="19"/>
  <c r="D55" i="18"/>
  <c r="D32" i="14" l="1"/>
  <c r="D36" i="14"/>
  <c r="F29" i="14"/>
  <c r="D33" i="14"/>
  <c r="E29" i="14"/>
  <c r="E32" i="14"/>
  <c r="E33" i="14"/>
  <c r="F28" i="14"/>
  <c r="D37" i="14"/>
  <c r="E36" i="14"/>
  <c r="F24" i="14"/>
  <c r="D24" i="14"/>
  <c r="F25" i="14"/>
  <c r="E37" i="14"/>
  <c r="D28" i="14"/>
  <c r="E24" i="14"/>
  <c r="E28" i="14"/>
  <c r="D25" i="14"/>
  <c r="E25" i="14"/>
  <c r="D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Sempra Energy</author>
  </authors>
  <commentList>
    <comment ref="B13" authorId="0" shapeId="0" xr:uid="{00000000-0006-0000-1600-000001000000}">
      <text>
        <r>
          <rPr>
            <b/>
            <sz val="12"/>
            <color indexed="81"/>
            <rFont val="Tahoma"/>
            <family val="2"/>
          </rPr>
          <t>Sempra Energy:</t>
        </r>
        <r>
          <rPr>
            <sz val="12"/>
            <color indexed="81"/>
            <rFont val="Tahoma"/>
            <family val="2"/>
          </rPr>
          <t xml:space="preserve">
5-year Average 12CP Information is used to allocate the total revenue requirements amongst the different classes of customers including: Residential, Small Commercial, Medium &amp; Large C/I, Street Lighting, and Standby.</t>
        </r>
      </text>
    </comment>
  </commentList>
</comments>
</file>

<file path=xl/sharedStrings.xml><?xml version="1.0" encoding="utf-8"?>
<sst xmlns="http://schemas.openxmlformats.org/spreadsheetml/2006/main" count="1008" uniqueCount="517">
  <si>
    <t>NCD Determinants by Voltage Level @ Meter Level (MW)</t>
  </si>
  <si>
    <t>Demand Determinants by Voltage Level @ Meter Level (MW)</t>
  </si>
  <si>
    <t>by Voltage Level @ Transmission Level (MW)</t>
  </si>
  <si>
    <t>Sum Lines 6; 7; 8</t>
  </si>
  <si>
    <t>Line 13 / Line 16</t>
  </si>
  <si>
    <t>Line 2 x Line 24 x Line 19</t>
  </si>
  <si>
    <t>Line 28 /  Line 6</t>
  </si>
  <si>
    <t>Line 29 /  Line 7</t>
  </si>
  <si>
    <t>Line 30 /  Line 8</t>
  </si>
  <si>
    <t>Line 34, Rounded to 2 Decimal Places</t>
  </si>
  <si>
    <t>Line 35, Rounded to 2 Decimal Places</t>
  </si>
  <si>
    <t>Line 36, Rounded to 2 Decimal Places</t>
  </si>
  <si>
    <t>Line 12 / Line 15</t>
  </si>
  <si>
    <t xml:space="preserve">Maximum Demand at the Time of System Peak </t>
  </si>
  <si>
    <t>Revenues for Summer Maximum</t>
  </si>
  <si>
    <t>System Peak Allocation to Voltage Levels (MW)</t>
  </si>
  <si>
    <t>Demand at the Time of System Peak Rates</t>
  </si>
  <si>
    <t>Revenues to be reallocated from NCD to recovery from Maximum Demand at the time of System Peak for the following</t>
  </si>
  <si>
    <t>Sum Lines 29; 30; 31</t>
  </si>
  <si>
    <t>Line 29 /  Line 5</t>
  </si>
  <si>
    <t>Line 30 /  Line 6</t>
  </si>
  <si>
    <t>Line 31 /  Line 7</t>
  </si>
  <si>
    <t>Line 37, Rounded to 2 Decimal Places</t>
  </si>
  <si>
    <t>SAN DIEGO GAS AND ELECTRIC COMPANY</t>
  </si>
  <si>
    <t>(A)</t>
  </si>
  <si>
    <t>(B)</t>
  </si>
  <si>
    <t>(C)</t>
  </si>
  <si>
    <t>(D)</t>
  </si>
  <si>
    <t xml:space="preserve">Transmission </t>
  </si>
  <si>
    <t>Line</t>
  </si>
  <si>
    <t>Revenue</t>
  </si>
  <si>
    <t>No.</t>
  </si>
  <si>
    <t>Customer Classes</t>
  </si>
  <si>
    <t>Total</t>
  </si>
  <si>
    <t>Residential</t>
  </si>
  <si>
    <t>Street Lighting</t>
  </si>
  <si>
    <t>Small Commercial</t>
  </si>
  <si>
    <t>Medium &amp; Large Commercial/Industrial</t>
  </si>
  <si>
    <t>Total Revenues</t>
  </si>
  <si>
    <t>Per Cost of</t>
  </si>
  <si>
    <t>Service Study</t>
  </si>
  <si>
    <t>Per Rate</t>
  </si>
  <si>
    <t>Design</t>
  </si>
  <si>
    <t>Difference</t>
  </si>
  <si>
    <t xml:space="preserve">     Grand Total</t>
  </si>
  <si>
    <t>Allocated Base</t>
  </si>
  <si>
    <t>Reference</t>
  </si>
  <si>
    <t>Rate Design Information</t>
  </si>
  <si>
    <t>Derivation of</t>
  </si>
  <si>
    <t>Loss Factors</t>
  </si>
  <si>
    <t xml:space="preserve">     Secondary</t>
  </si>
  <si>
    <t xml:space="preserve">     Primary</t>
  </si>
  <si>
    <t xml:space="preserve">     Transmission</t>
  </si>
  <si>
    <t>System Total</t>
  </si>
  <si>
    <t>Secondary</t>
  </si>
  <si>
    <t>Primary</t>
  </si>
  <si>
    <t>Transmission</t>
  </si>
  <si>
    <t>Level</t>
  </si>
  <si>
    <t xml:space="preserve">          Total</t>
  </si>
  <si>
    <t>Meter Level</t>
  </si>
  <si>
    <t>Ratios</t>
  </si>
  <si>
    <t>Customer Class</t>
  </si>
  <si>
    <t>Of 12 CPs</t>
  </si>
  <si>
    <t>Transmission Level</t>
  </si>
  <si>
    <t>Allocation of Revenue Requirements to Voltage Level</t>
  </si>
  <si>
    <t xml:space="preserve">   Secondary</t>
  </si>
  <si>
    <t xml:space="preserve">   Primary</t>
  </si>
  <si>
    <t xml:space="preserve">         Total</t>
  </si>
  <si>
    <t>Energy Rates</t>
  </si>
  <si>
    <t>$/kWh</t>
  </si>
  <si>
    <t>Demand Rates</t>
  </si>
  <si>
    <t>$/kW-Mo</t>
  </si>
  <si>
    <t>Standby Revenues</t>
  </si>
  <si>
    <t>Demand Rate By Voltage Level @ Meter</t>
  </si>
  <si>
    <t>Demand Rate By Voltage Level @ Meter (Rounded)</t>
  </si>
  <si>
    <t>Total 12 CPs @</t>
  </si>
  <si>
    <t>Summary of Transmission Rates</t>
  </si>
  <si>
    <t>Allocation of Base Transmission Revenue Requirements (BTRR) Based on 12 CPs</t>
  </si>
  <si>
    <t>Development of 12-CP Allocation Factors</t>
  </si>
  <si>
    <t>Street Lighting Revenues</t>
  </si>
  <si>
    <t>Allocation of BTRR Based on 12-CP:</t>
  </si>
  <si>
    <t>Line 18 / Line 24</t>
  </si>
  <si>
    <t>Line 1 / Line 3</t>
  </si>
  <si>
    <t>Standby - Demand Revenue Requirement</t>
  </si>
  <si>
    <t>Line 1 x Line 12</t>
  </si>
  <si>
    <t>Sum Lines 5; 6; 7</t>
  </si>
  <si>
    <t>Sum Lines 12; 13; 14</t>
  </si>
  <si>
    <t>Ratio</t>
  </si>
  <si>
    <t>Allocation Factors Per Above to Allocate</t>
  </si>
  <si>
    <t>Summary of Proof of Revenues</t>
  </si>
  <si>
    <t>(D) = (B) x (C)</t>
  </si>
  <si>
    <t>(E)</t>
  </si>
  <si>
    <t>NOTES:</t>
  </si>
  <si>
    <t>Line 5, Rounded to 5 Decimal Places</t>
  </si>
  <si>
    <t>Line 30, Rounded to 2 Decimal Places</t>
  </si>
  <si>
    <t>$/kW</t>
  </si>
  <si>
    <t>Sum Lines 18; 19; 20</t>
  </si>
  <si>
    <t>Line 31, Rounded to 2 Decimal Places</t>
  </si>
  <si>
    <t>Sum Lines 11; 12; 13</t>
  </si>
  <si>
    <t>Sum Lines 17; 18; 19</t>
  </si>
  <si>
    <t>Description</t>
  </si>
  <si>
    <t xml:space="preserve">   Transmission</t>
  </si>
  <si>
    <t>Sum Lines 19; 20; 21</t>
  </si>
  <si>
    <t>Megawatt @</t>
  </si>
  <si>
    <t>Determinants</t>
  </si>
  <si>
    <t xml:space="preserve">Forecast Demand </t>
  </si>
  <si>
    <t>Forecast Demand Determinants for Standby Customers:</t>
  </si>
  <si>
    <t>Contracted Demand Determinants</t>
  </si>
  <si>
    <t xml:space="preserve">   Summer</t>
  </si>
  <si>
    <t xml:space="preserve">   Winter</t>
  </si>
  <si>
    <t>Revenue Reallocation to Maximum Demand at the Time of System Peak</t>
  </si>
  <si>
    <t>with Maximum Demand at the Time of System Peak</t>
  </si>
  <si>
    <t>Demand Determinants By Voltage Level @ Meter (MW)</t>
  </si>
  <si>
    <r>
      <t>Requirement</t>
    </r>
    <r>
      <rPr>
        <vertAlign val="superscript"/>
        <sz val="14"/>
        <rFont val="Times New Roman"/>
        <family val="1"/>
      </rPr>
      <t xml:space="preserve"> </t>
    </r>
  </si>
  <si>
    <t>Loss</t>
  </si>
  <si>
    <t>Forecast</t>
  </si>
  <si>
    <t>Demand</t>
  </si>
  <si>
    <t xml:space="preserve">          Total Med. &amp; Large Comm./Ind.</t>
  </si>
  <si>
    <t>Standby</t>
  </si>
  <si>
    <t xml:space="preserve">          Total Standby</t>
  </si>
  <si>
    <t>5-year Average</t>
  </si>
  <si>
    <t>Kilowatt @</t>
  </si>
  <si>
    <t>Medium &amp; Large Commercial/Industrial Customers:</t>
  </si>
  <si>
    <t>Forecast Demand Determinants for</t>
  </si>
  <si>
    <t xml:space="preserve">Medium &amp; Large Commercial/Industrial Customers </t>
  </si>
  <si>
    <t>Maximum Demand at the Time of</t>
  </si>
  <si>
    <t>Sum Lines 13; 14; 15</t>
  </si>
  <si>
    <t>Sum Lines 28; 29; 30</t>
  </si>
  <si>
    <r>
      <t xml:space="preserve">Medium &amp; Large Commercial/Industrial Customers </t>
    </r>
    <r>
      <rPr>
        <vertAlign val="superscript"/>
        <sz val="14"/>
        <rFont val="Times New Roman"/>
        <family val="1"/>
      </rPr>
      <t>1</t>
    </r>
  </si>
  <si>
    <t>Standby Customers</t>
  </si>
  <si>
    <t>Demand Revenue Requirements to Voltage Level</t>
  </si>
  <si>
    <t xml:space="preserve">   Transmission </t>
  </si>
  <si>
    <t>Demand Determinants (with Transmission LF Adjustment)</t>
  </si>
  <si>
    <t>Line 5 / Line 8</t>
  </si>
  <si>
    <t>Line 1 x Line 13</t>
  </si>
  <si>
    <t>Line 1 x Line 14</t>
  </si>
  <si>
    <t>Sum Lines 24; 25; 26</t>
  </si>
  <si>
    <t>Line 19 / Line 25</t>
  </si>
  <si>
    <t>Line 20 / Line 26</t>
  </si>
  <si>
    <t>Line 32, Rounded to 2 Decimal Places</t>
  </si>
  <si>
    <t>Med &amp; Lrg. C/I - Demand Revenue Requirement</t>
  </si>
  <si>
    <r>
      <t xml:space="preserve">Used to Allocate Total Class Revenues to Voltage Level (MW) </t>
    </r>
    <r>
      <rPr>
        <vertAlign val="superscript"/>
        <sz val="14"/>
        <rFont val="Times New Roman"/>
        <family val="1"/>
      </rPr>
      <t>2</t>
    </r>
  </si>
  <si>
    <t>The following California Public Utilities Commission (CPUC) tariffs are offered to residential customers:</t>
  </si>
  <si>
    <t>The following California Public Utilities Commission (CPUC) tariffs are offered to Medium and Large Commercial/Industrial customers:</t>
  </si>
  <si>
    <t>90% NCD Rates and Maximum Demand at Time of System Peak charges are applicable to the following California Public Utilities Commission (CPUC) tariff:</t>
  </si>
  <si>
    <t>90% of Total Medium and Large Commercial/Industrial NCD Rates (Rounded)</t>
  </si>
  <si>
    <t>Annual Revenues from 100% of Total Med. &amp; Lrg. Comm./Ind. NCD Rates</t>
  </si>
  <si>
    <t>Annual Revenues from 90% of Total Med. &amp; Lrg. Comm./Ind. NCD Rates</t>
  </si>
  <si>
    <t>Line 11 Less Line 17</t>
  </si>
  <si>
    <t>Line 12 Less Line 18</t>
  </si>
  <si>
    <t>Line 13 Less Line 19</t>
  </si>
  <si>
    <t>Statement BL</t>
  </si>
  <si>
    <t>Five-year Average - 12-CP Allocation Factors:</t>
  </si>
  <si>
    <t>Sum Lines 23; 24; 25</t>
  </si>
  <si>
    <r>
      <t>Maximum Demand at Time of System Peak</t>
    </r>
    <r>
      <rPr>
        <u/>
        <vertAlign val="superscript"/>
        <sz val="14"/>
        <rFont val="Times New Roman"/>
        <family val="1"/>
      </rPr>
      <t xml:space="preserve">  1</t>
    </r>
  </si>
  <si>
    <t>Pertaining to Schedules @ 90% NCD with</t>
  </si>
  <si>
    <t>Revenue Reallocation to Maximum</t>
  </si>
  <si>
    <t>Line 2 x Line 24 x Line 20</t>
  </si>
  <si>
    <t>Line 2 x Line 24 x Line 21</t>
  </si>
  <si>
    <t>Line 14 / Line 16</t>
  </si>
  <si>
    <t>Line 15 / Line 16</t>
  </si>
  <si>
    <t>Line 6 / Line 8</t>
  </si>
  <si>
    <t>Line 7 / Line 8</t>
  </si>
  <si>
    <t>Line 13 / Line 15</t>
  </si>
  <si>
    <t>Line 14 / Line 15</t>
  </si>
  <si>
    <t>Line 1 x Line 25 x Line 19</t>
  </si>
  <si>
    <t>Line 1 x Line 25 x Line 20</t>
  </si>
  <si>
    <t>Line 1 x Line 25 x Line 21</t>
  </si>
  <si>
    <t>Reference data found in Statement BG.</t>
  </si>
  <si>
    <r>
      <t xml:space="preserve">Reference </t>
    </r>
    <r>
      <rPr>
        <vertAlign val="superscript"/>
        <sz val="14"/>
        <rFont val="Times New Roman"/>
        <family val="1"/>
      </rPr>
      <t>2</t>
    </r>
  </si>
  <si>
    <r>
      <t xml:space="preserve">Factors </t>
    </r>
    <r>
      <rPr>
        <vertAlign val="superscript"/>
        <sz val="14"/>
        <rFont val="Times New Roman"/>
        <family val="1"/>
      </rPr>
      <t>1</t>
    </r>
  </si>
  <si>
    <t>Reference data found in Statement BB.</t>
  </si>
  <si>
    <r>
      <t xml:space="preserve">Reference </t>
    </r>
    <r>
      <rPr>
        <vertAlign val="superscript"/>
        <sz val="14"/>
        <rFont val="Times New Roman"/>
        <family val="1"/>
      </rPr>
      <t>1</t>
    </r>
  </si>
  <si>
    <t>Reference data found in Statement BL.</t>
  </si>
  <si>
    <t>Notes:</t>
  </si>
  <si>
    <t xml:space="preserve">Reference data found in Statement BL. </t>
  </si>
  <si>
    <r>
      <t xml:space="preserve">Reference </t>
    </r>
    <r>
      <rPr>
        <vertAlign val="superscript"/>
        <sz val="14"/>
        <rFont val="Times New Roman"/>
        <family val="1"/>
      </rPr>
      <t>3</t>
    </r>
  </si>
  <si>
    <t>Schedule A6-TOU.</t>
  </si>
  <si>
    <t>California Public Utilities Commission (CPUC) tariff: Schedule A6-TOU.</t>
  </si>
  <si>
    <t xml:space="preserve">Reference data found in Statements BG and BL. </t>
  </si>
  <si>
    <t>Customers on Schedule AD @ 100% NCD Rate</t>
  </si>
  <si>
    <r>
      <t xml:space="preserve">Non-Coincident Demand (90%) </t>
    </r>
    <r>
      <rPr>
        <vertAlign val="superscript"/>
        <sz val="14"/>
        <rFont val="Times New Roman"/>
        <family val="1"/>
      </rPr>
      <t>2</t>
    </r>
  </si>
  <si>
    <t>Non-Coincident Demand Determinants Pertaining to</t>
  </si>
  <si>
    <t>with Maximum On-Peak Period Demand</t>
  </si>
  <si>
    <t>Total Non-Coincident Demand Determinants for</t>
  </si>
  <si>
    <t>Forecast Demand Determinants for Agricultural Customers:</t>
  </si>
  <si>
    <t>Customers on Schedule PA-T-1 @ 100% Non-Coincident Demand Rate</t>
  </si>
  <si>
    <t xml:space="preserve">Customers on Schedule A6-TOU @ 90% NCD Rate </t>
  </si>
  <si>
    <t>Agricultural</t>
  </si>
  <si>
    <t xml:space="preserve">          Total Agricultural</t>
  </si>
  <si>
    <t>Energy Rate per kWh</t>
  </si>
  <si>
    <t>Energy Rate per kWh - Rounded</t>
  </si>
  <si>
    <t>Schedules PA and TOU-PA Billing Determinants (MWh)</t>
  </si>
  <si>
    <t>Annual Revenues from Schedules PA and TOU-PA Energy Rates</t>
  </si>
  <si>
    <t>Revenue Allocated to Schedule PA-T-1 Non-Coincident Demand Charges</t>
  </si>
  <si>
    <t xml:space="preserve">The following California Public Utilities Commission (CPUC) tariffs are offered to Agriculture customers: Schedules PA, TOU-PA and PA-T-1.  </t>
  </si>
  <si>
    <r>
      <t xml:space="preserve">Non-Coincident Demand Determinants </t>
    </r>
    <r>
      <rPr>
        <vertAlign val="superscript"/>
        <sz val="14"/>
        <rFont val="Times New Roman"/>
        <family val="1"/>
      </rPr>
      <t>2</t>
    </r>
  </si>
  <si>
    <t>Schedule PA-T-1 Demand Determinants by Voltage Level @ Meter Level (MW)</t>
  </si>
  <si>
    <t>Non-Coincident Demand Rate by Voltage Level @ Meter</t>
  </si>
  <si>
    <t>Non-Coincident Demand Rate by Voltage Level @ Meter (Rounded)</t>
  </si>
  <si>
    <t>Non-Coincident Demand (100%) rates applicable to the following CPUC tariff: Schedule PA-T-1.</t>
  </si>
  <si>
    <t>Agricultural (Schedules PA and TOU-PA)</t>
  </si>
  <si>
    <t>Non-Coincident Demand (100%)</t>
  </si>
  <si>
    <r>
      <t>Summer</t>
    </r>
    <r>
      <rPr>
        <vertAlign val="superscript"/>
        <sz val="14"/>
        <rFont val="Times New Roman"/>
        <family val="1"/>
      </rPr>
      <t>5</t>
    </r>
  </si>
  <si>
    <r>
      <t>Winter</t>
    </r>
    <r>
      <rPr>
        <vertAlign val="superscript"/>
        <sz val="14"/>
        <rFont val="Times New Roman"/>
        <family val="1"/>
      </rPr>
      <t>5</t>
    </r>
  </si>
  <si>
    <t>Revenue Reallocation to Maximum On-Peak Period Demand</t>
  </si>
  <si>
    <t>On-Peak Period Demand Rates</t>
  </si>
  <si>
    <t>Revenues reallocated from NCD to recovery from Maximum On-Peak Period Demands for the following California Public Utilities</t>
  </si>
  <si>
    <t>Sum Lines 1 through 12</t>
  </si>
  <si>
    <t xml:space="preserve">Customers on Schedules AL-TOU, AY-TOU, DGR </t>
  </si>
  <si>
    <t xml:space="preserve">@ 90% NCD Rate </t>
  </si>
  <si>
    <t>($000)</t>
  </si>
  <si>
    <t xml:space="preserve">      Vehicle Grid Integration Pilot Program (Schedule VGI)</t>
  </si>
  <si>
    <t>No demand rates are applicable to Schedules PA and TOU-PA, as shown in Page BL-14.</t>
  </si>
  <si>
    <r>
      <t xml:space="preserve">Maximum On-Peak Period Demand (Standard Customers) </t>
    </r>
    <r>
      <rPr>
        <vertAlign val="superscript"/>
        <sz val="14"/>
        <rFont val="Times New Roman"/>
        <family val="1"/>
      </rPr>
      <t>3</t>
    </r>
  </si>
  <si>
    <r>
      <t xml:space="preserve">Maximum On-Peak Period Demand (Grandfathered Customers) </t>
    </r>
    <r>
      <rPr>
        <vertAlign val="superscript"/>
        <sz val="14"/>
        <rFont val="Times New Roman"/>
        <family val="1"/>
      </rPr>
      <t>3</t>
    </r>
  </si>
  <si>
    <r>
      <t xml:space="preserve">Maximum Demand at the Time of System Peak (Standard Customers) </t>
    </r>
    <r>
      <rPr>
        <vertAlign val="superscript"/>
        <sz val="14"/>
        <rFont val="Times New Roman"/>
        <family val="1"/>
      </rPr>
      <t>4</t>
    </r>
  </si>
  <si>
    <r>
      <t xml:space="preserve">Maximum Demand at the Time of System Peak (Grandfathered Customers) </t>
    </r>
    <r>
      <rPr>
        <vertAlign val="superscript"/>
        <sz val="14"/>
        <rFont val="Times New Roman"/>
        <family val="1"/>
      </rPr>
      <t>4</t>
    </r>
  </si>
  <si>
    <t>Summer June-Oct; Winter Nov-May.</t>
  </si>
  <si>
    <r>
      <t>On-Peak Period Demands</t>
    </r>
    <r>
      <rPr>
        <vertAlign val="superscript"/>
        <sz val="14"/>
        <rFont val="Times New Roman"/>
        <family val="1"/>
      </rPr>
      <t xml:space="preserve"> 2</t>
    </r>
  </si>
  <si>
    <r>
      <t xml:space="preserve">Medium &amp; Large Commercial/Industrial Customers (Standard Customers) </t>
    </r>
    <r>
      <rPr>
        <vertAlign val="superscript"/>
        <sz val="14"/>
        <rFont val="Times New Roman"/>
        <family val="1"/>
      </rPr>
      <t>1</t>
    </r>
  </si>
  <si>
    <r>
      <t xml:space="preserve">Revenue Reallocation to Maximum Demands at the Time of System Peak </t>
    </r>
    <r>
      <rPr>
        <vertAlign val="superscript"/>
        <sz val="14"/>
        <rFont val="Times New Roman"/>
        <family val="1"/>
      </rPr>
      <t>2</t>
    </r>
  </si>
  <si>
    <t>Standard Customers have Maximum On-Peak Demand rates based on SDG&amp;E's on-peak period of 4-9 p.m. everyday year-round.</t>
  </si>
  <si>
    <r>
      <t xml:space="preserve">Maximum On-Peak Period Demand Determinants (Standard Customers) </t>
    </r>
    <r>
      <rPr>
        <vertAlign val="superscript"/>
        <sz val="14"/>
        <rFont val="Times New Roman"/>
        <family val="1"/>
      </rPr>
      <t>3</t>
    </r>
  </si>
  <si>
    <r>
      <t>Maximum On-Peak Period Demand Determinants (Grandfathered Customers)</t>
    </r>
    <r>
      <rPr>
        <vertAlign val="superscript"/>
        <sz val="14"/>
        <rFont val="Times New Roman"/>
        <family val="1"/>
      </rPr>
      <t xml:space="preserve"> 4</t>
    </r>
  </si>
  <si>
    <r>
      <t xml:space="preserve">System Peak Determinants-Standard Customers </t>
    </r>
    <r>
      <rPr>
        <vertAlign val="superscript"/>
        <sz val="14"/>
        <rFont val="Times New Roman"/>
        <family val="1"/>
      </rPr>
      <t>3</t>
    </r>
  </si>
  <si>
    <r>
      <t>System Peak Determinants-Grandfathered Customers</t>
    </r>
    <r>
      <rPr>
        <vertAlign val="superscript"/>
        <sz val="14"/>
        <rFont val="Times New Roman"/>
        <family val="1"/>
      </rPr>
      <t xml:space="preserve"> 4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</si>
  <si>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</si>
  <si>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Maximum Demand at the Time of System Peak rates are applicable to the following CPUC tariff: Schedule A6-TOU.  Standard Customers have demand rates based on SDG&amp;E's on-peak period of</t>
  </si>
  <si>
    <t xml:space="preserve">4-9 p.m. everyday year-round whereas Grandfathered Customers have demand rates based on SDG&amp;E's previous on-peak period of 11 a.m. - 6 p.m. summer and 5-8 p.m. winter on weekdays. </t>
  </si>
  <si>
    <t>Standard Customers have Maximum Demand at Time of System Peak rates based on SDG&amp;E's on-peak period of 4-9 p.m. everyday year-round.</t>
  </si>
  <si>
    <t>Total Revenues Per Rate Design for Medium and Large Commercial/Industrial customers include revenues of Standard Customers that have Maximum On-Peak Demand</t>
  </si>
  <si>
    <t>of 11 a.m. - 6 p.m. summer and 5-8 p.m. winter on weekdays.</t>
  </si>
  <si>
    <t xml:space="preserve">rates and Maximum Demand at the Time of System Peak rates based on SDG&amp;E's on-peak period of 4-9 p.m. everyday year-round because SDG&amp;E currently has no </t>
  </si>
  <si>
    <t>customers on Grandfathered Maximum On-Peak Demand rates and Maximum Demand at Time of System Peak rates, which are based on SDG&amp;E's previous on-peak period</t>
  </si>
  <si>
    <t>Standard Customers have Maximum On-Peak Demand and Maximum Demand at the Time of System Peak Determinants based on SDG&amp;E's on-peak period of 4-9 p.m. everyday year-round.</t>
  </si>
  <si>
    <t>Grandfathered Customers have Maximum On-Peak Periods Demand and Maximum Demand at the Time of System Peak Determinants based on SDG&amp;E's previous on-peak period of</t>
  </si>
  <si>
    <t xml:space="preserve">11 a.m. - 6 p.m. summer and 5-8 p.m. winter on weekdays.  </t>
  </si>
  <si>
    <t>Sum Lines 61; 62; 63</t>
  </si>
  <si>
    <t>Sum Lines 66; 67; 68</t>
  </si>
  <si>
    <t>Sum Lines 73; 74; 75</t>
  </si>
  <si>
    <t>Sum Lines 78; 79; 80</t>
  </si>
  <si>
    <t>Sum Lines 86; 87; 88</t>
  </si>
  <si>
    <t>LF = Transmission Loss Factor: Secondary Level = 1.0470; Primary Level = 1.0110; Transmission Level = 1.0065.</t>
  </si>
  <si>
    <t xml:space="preserve">Total Base Transmission Revenue Requirement </t>
  </si>
  <si>
    <r>
      <t xml:space="preserve">Transmission Level </t>
    </r>
    <r>
      <rPr>
        <vertAlign val="superscript"/>
        <sz val="14"/>
        <rFont val="Times New Roman"/>
        <family val="1"/>
      </rPr>
      <t>1</t>
    </r>
  </si>
  <si>
    <r>
      <t xml:space="preserve">Percentages </t>
    </r>
    <r>
      <rPr>
        <vertAlign val="superscript"/>
        <sz val="14"/>
        <rFont val="Times New Roman"/>
        <family val="1"/>
      </rPr>
      <t>2</t>
    </r>
  </si>
  <si>
    <t>Summer Maximum Demand at the Time of System Peak Determinants for the following CPUC tariff: Schedule A6-TOU.</t>
  </si>
  <si>
    <t>Summer Maximum Demand at the Time of System Peak Demand Charges for the following CPUC tariff: Schedule A6-TOU.</t>
  </si>
  <si>
    <t>of 4-9 p.m. everyday year-round whereas Grandfathered Customers have demand rates based on SDG&amp;E's previous on-peak period of 11 a.m. - 6 p.m. summer and  5-8 p.m. winter on weekdays.</t>
  </si>
  <si>
    <t>No demand rates are applicable to Schedule TOU-PA, as shown on this page, Page BL-14.</t>
  </si>
  <si>
    <r>
      <t xml:space="preserve">Agricultural Customers </t>
    </r>
    <r>
      <rPr>
        <vertAlign val="superscript"/>
        <sz val="14"/>
        <rFont val="Times New Roman"/>
        <family val="1"/>
      </rPr>
      <t>1</t>
    </r>
  </si>
  <si>
    <t>(A): Page BL-3, Line 4, Col. C</t>
  </si>
  <si>
    <t>(B): Page BL-4, Line 9</t>
  </si>
  <si>
    <t>(A): Page BL-3, Line 5, Col. C</t>
  </si>
  <si>
    <t>(B): Page BL-5, Line 9</t>
  </si>
  <si>
    <t>(A): Page BL-3, Line 6, Col. C</t>
  </si>
  <si>
    <t>(B): Page BL-6, Line 43, - (Page BL-10, Line 48 + Page BL-12, Line 50)</t>
  </si>
  <si>
    <t>(A): Page BL-3, Line 7, Col. C</t>
  </si>
  <si>
    <t>(B): Page BL-18, Line 12 + Page BL-19, Line 42</t>
  </si>
  <si>
    <t>(A): Page BL-3, Line 8, Col. C</t>
  </si>
  <si>
    <t>(B): Page BL-20, Line 9</t>
  </si>
  <si>
    <t>(A): Page BL-3, Line 9, Col. C</t>
  </si>
  <si>
    <t>(B): Page BL-21, Line 43</t>
  </si>
  <si>
    <t>Page BB-1, Line 1</t>
  </si>
  <si>
    <t>Page BB-1, Line 2</t>
  </si>
  <si>
    <t>Page BB-1, Line 4</t>
  </si>
  <si>
    <t>Page BB-1, Line 5</t>
  </si>
  <si>
    <t>Page BB-1, Line 6</t>
  </si>
  <si>
    <t>Page BB-1, Line 12</t>
  </si>
  <si>
    <t>Page BB-1, Line 17</t>
  </si>
  <si>
    <t>Page BB-1, Line 19</t>
  </si>
  <si>
    <t>Statement BK1, Page 7, Line 25</t>
  </si>
  <si>
    <t>Non-Coincident Demand (NCD) (100%) rates are applicable to the following California Public Utilities Commission (CPUC) tariffs: Schedule PA-T-1.</t>
  </si>
  <si>
    <t xml:space="preserve">Non-Coincident Demand (100%) </t>
  </si>
  <si>
    <t>Rate Effective Period - Twelve Months Ending December 31, 2021</t>
  </si>
  <si>
    <t>Residential billing determinants exclude EV-TOU-5 super off-peak kWh because EV-TOU-5 super off-peak kWh usage is exempt from paying transmission rates.</t>
  </si>
  <si>
    <t>Summer</t>
  </si>
  <si>
    <t>Winter</t>
  </si>
  <si>
    <t>Maximum On-Peak Period Demands</t>
  </si>
  <si>
    <t>Maximum On-Peak Period Allocation to Voltage Levels</t>
  </si>
  <si>
    <t>Share of Total Revenue Allocation to Peak Period</t>
  </si>
  <si>
    <t>Grandfather Summer</t>
  </si>
  <si>
    <t>Grandfather Winter</t>
  </si>
  <si>
    <t>Maximum Demands at the Time of System Peak</t>
  </si>
  <si>
    <t>Maximum Demands at the Time of</t>
  </si>
  <si>
    <t>Share of Total Revenue Allocation</t>
  </si>
  <si>
    <r>
      <t>Agricultural</t>
    </r>
    <r>
      <rPr>
        <vertAlign val="superscript"/>
        <sz val="14"/>
        <rFont val="Times New Roman"/>
        <family val="1"/>
      </rPr>
      <t>4</t>
    </r>
  </si>
  <si>
    <t>Allocated Transmission Revenue Requirement</t>
  </si>
  <si>
    <r>
      <t>Residential</t>
    </r>
    <r>
      <rPr>
        <vertAlign val="superscript"/>
        <sz val="14"/>
        <rFont val="Times New Roman"/>
        <family val="1"/>
      </rPr>
      <t>1</t>
    </r>
  </si>
  <si>
    <t>100% of Total Medium and Large Commercial/Industrial NCD Rates (Rounded)</t>
  </si>
  <si>
    <t>Line 22 / Line 28</t>
  </si>
  <si>
    <t>Statements BG, Page BG-19,</t>
  </si>
  <si>
    <r>
      <t>VGI Pilot</t>
    </r>
    <r>
      <rPr>
        <vertAlign val="superscript"/>
        <sz val="14"/>
        <rFont val="Times New Roman"/>
        <family val="1"/>
      </rPr>
      <t>3</t>
    </r>
  </si>
  <si>
    <r>
      <t>Small Commercial</t>
    </r>
    <r>
      <rPr>
        <vertAlign val="superscript"/>
        <sz val="14"/>
        <rFont val="Times New Roman"/>
        <family val="1"/>
      </rPr>
      <t>2</t>
    </r>
  </si>
  <si>
    <t>The following California Public Utilities Commission (CPUC) tariffs are offered to street lighting customers: Schedules DWL, OL-1, OL-2, LS-1, LS-2, and LS-3.</t>
  </si>
  <si>
    <r>
      <t>Street Lighting</t>
    </r>
    <r>
      <rPr>
        <vertAlign val="superscript"/>
        <sz val="14"/>
        <rFont val="Times New Roman"/>
        <family val="1"/>
      </rPr>
      <t>5</t>
    </r>
  </si>
  <si>
    <r>
      <t xml:space="preserve">Reference </t>
    </r>
    <r>
      <rPr>
        <vertAlign val="superscript"/>
        <sz val="14"/>
        <rFont val="Times New Roman"/>
        <family val="1"/>
      </rPr>
      <t>6</t>
    </r>
  </si>
  <si>
    <t>Transmission Energy Rates</t>
  </si>
  <si>
    <t>Page BL-3, Line 7, Col C.</t>
  </si>
  <si>
    <t>Page BL-3, Line 7, Col D.</t>
  </si>
  <si>
    <t>Page BL-3, Line 7, Col E.</t>
  </si>
  <si>
    <r>
      <t>Billing Determinants (MWh)</t>
    </r>
    <r>
      <rPr>
        <vertAlign val="superscript"/>
        <sz val="14"/>
        <rFont val="Times New Roman"/>
        <family val="1"/>
      </rPr>
      <t>7</t>
    </r>
  </si>
  <si>
    <t>Page BL-2, Line 6, Col. C</t>
  </si>
  <si>
    <t>Line 35 X 90%</t>
  </si>
  <si>
    <t>Line 36 X 90%</t>
  </si>
  <si>
    <t>Line 37 X 90%</t>
  </si>
  <si>
    <t>Line 5 x Page BL-4, Line 35</t>
  </si>
  <si>
    <t>Line 6 x Page BL-4, Line 36</t>
  </si>
  <si>
    <t>Line 7 x Page BL-4, Line 37</t>
  </si>
  <si>
    <t>Page BL-4, Lines 37; 36; 35</t>
  </si>
  <si>
    <t>Page BL-7, Lines 42; 41; 40, Col C.</t>
  </si>
  <si>
    <t>Page BL-7, Lines 42; 41; 40, Col D.</t>
  </si>
  <si>
    <t>Page BL-6, Lines 41; 40; 39, Col C.</t>
  </si>
  <si>
    <t>Page BL-6, Lines 41; 40; 39, Col D.</t>
  </si>
  <si>
    <t>Non-Coincident Demand</t>
  </si>
  <si>
    <t>Maximum On-Peak Period Demand Rates (Rounded)</t>
  </si>
  <si>
    <r>
      <t>Reference</t>
    </r>
    <r>
      <rPr>
        <vertAlign val="superscript"/>
        <sz val="14"/>
        <rFont val="Times New Roman"/>
        <family val="1"/>
      </rPr>
      <t xml:space="preserve"> 7</t>
    </r>
  </si>
  <si>
    <r>
      <t>Maximum On-Peak Period Demand Rates</t>
    </r>
    <r>
      <rPr>
        <vertAlign val="superscript"/>
        <sz val="14"/>
        <rFont val="Times New Roman"/>
        <family val="1"/>
      </rPr>
      <t>4,6</t>
    </r>
  </si>
  <si>
    <r>
      <t xml:space="preserve">by Voltage Level @ Meter Level (MW) </t>
    </r>
    <r>
      <rPr>
        <vertAlign val="superscript"/>
        <sz val="14"/>
        <rFont val="Times New Roman"/>
        <family val="1"/>
      </rPr>
      <t>3,5</t>
    </r>
  </si>
  <si>
    <t>Maximum Demand at the Time of System Peak Rates (Rounded)</t>
  </si>
  <si>
    <r>
      <t xml:space="preserve">Reference </t>
    </r>
    <r>
      <rPr>
        <vertAlign val="superscript"/>
        <sz val="14"/>
        <rFont val="Times New Roman"/>
        <family val="1"/>
      </rPr>
      <t>7</t>
    </r>
  </si>
  <si>
    <r>
      <t xml:space="preserve">Maximum Demand at the Time of System Peak Rates </t>
    </r>
    <r>
      <rPr>
        <vertAlign val="superscript"/>
        <sz val="14"/>
        <rFont val="Times New Roman"/>
        <family val="1"/>
      </rPr>
      <t>4,6</t>
    </r>
  </si>
  <si>
    <t>Winter Maximum Demand at the Time of System Peak Determinants for the following California Public Utilities Commission (CPUC) tariff: Schedule A6-TOU.</t>
  </si>
  <si>
    <t>Winter Maximum Demand at the Time of System Peak Demand Charges for the following CPUC tariff: Schedule A6-TOU.</t>
  </si>
  <si>
    <t>Medium &amp; Large Commercial/Industrial Customers</t>
  </si>
  <si>
    <t>Page BL-4, Lines 54; 53; 52</t>
  </si>
  <si>
    <t>Line 5 x Page BL-4, Line 52</t>
  </si>
  <si>
    <t>Line 6 x Page BL-4, Line 53</t>
  </si>
  <si>
    <t>Line 7 x Page BL-4, Line 54</t>
  </si>
  <si>
    <t>Transmission Rate</t>
  </si>
  <si>
    <t>Page BL-3, Line 7, Col A.</t>
  </si>
  <si>
    <t>Page BL-3, Line 7, Col B.</t>
  </si>
  <si>
    <t>Page BL-3, Line 7, Col. D X Line 1</t>
  </si>
  <si>
    <t>San Diego Unified Port District</t>
  </si>
  <si>
    <t>San Diego Unified Port District - Primary</t>
  </si>
  <si>
    <t>Forecasted Demand Determinants for San Diego Unified Port District</t>
  </si>
  <si>
    <t>Non-Coincident Demand Determinants</t>
  </si>
  <si>
    <t>Maximum Demand at the Time of System Peak Determinants</t>
  </si>
  <si>
    <t>Statement BG, Page BG-21.3, Line 162</t>
  </si>
  <si>
    <t>Statement BG, Page BG-21.3, Line 164</t>
  </si>
  <si>
    <t xml:space="preserve">      San Diego Unified Port District</t>
  </si>
  <si>
    <t>San Diego Unified Port District - Demand Revenue Requirement</t>
  </si>
  <si>
    <t>Non-Coincident Demand (NCD) Rates</t>
  </si>
  <si>
    <r>
      <t>90% of Revenues Allocated to Non-Coincident Demand</t>
    </r>
    <r>
      <rPr>
        <vertAlign val="superscript"/>
        <sz val="14"/>
        <rFont val="Times New Roman"/>
        <family val="1"/>
      </rPr>
      <t>1</t>
    </r>
  </si>
  <si>
    <t>NCD Demand Rate @ Meter</t>
  </si>
  <si>
    <t>Line 1 / Line 5 x Line 7</t>
  </si>
  <si>
    <t>NCD Demand Rate @ Meter (Rounded)</t>
  </si>
  <si>
    <t>Line 9, Rounded to 2 Decimal Places</t>
  </si>
  <si>
    <t>Maximum Time of System Peak Demand Rates</t>
  </si>
  <si>
    <t xml:space="preserve">Revenue Reallocation to Maximum Time of System Peak Demand Rates </t>
  </si>
  <si>
    <t>Line 1 - [Line 11 x Line 5]</t>
  </si>
  <si>
    <t>Annual Maximum Demands at the Time of System Peak (MW)</t>
  </si>
  <si>
    <t>Annual Maximum Demand at the Time of the System Peak Rate @ Meter</t>
  </si>
  <si>
    <t>Line 15 / Line 17</t>
  </si>
  <si>
    <r>
      <t>Annual Maximum Demand at the Time of the System Peak Rate @ Meter (Rounded)</t>
    </r>
    <r>
      <rPr>
        <vertAlign val="superscript"/>
        <sz val="14"/>
        <rFont val="Times New Roman"/>
        <family val="1"/>
      </rPr>
      <t>2</t>
    </r>
  </si>
  <si>
    <t>Page BL-8, Lines 40; 39; 38</t>
  </si>
  <si>
    <t>Sum Lines 4 Through 10</t>
  </si>
  <si>
    <t>Page BL-10, Line 11.</t>
  </si>
  <si>
    <t>Page BL-10, Line 21.</t>
  </si>
  <si>
    <t>Page BL-2, Line 4; 5; 6; 8; 9, Col. C</t>
  </si>
  <si>
    <t>Sum Lines 40; 41; 42</t>
  </si>
  <si>
    <t>Line 46, Rounded to 2 Decimal Places</t>
  </si>
  <si>
    <t>Line 47, Rounded to 2 Decimal Places</t>
  </si>
  <si>
    <t>Line 48, Rounded to 2 Decimal Places</t>
  </si>
  <si>
    <t>Line 35 X Line 40</t>
  </si>
  <si>
    <t>Line 36 X Line 41</t>
  </si>
  <si>
    <t>Line 37 X Line 42</t>
  </si>
  <si>
    <t>Sum Lines 57; 58; 59</t>
  </si>
  <si>
    <t>Line 52 X Line 40</t>
  </si>
  <si>
    <t>Line 53 X Line 41</t>
  </si>
  <si>
    <t>Line 54 X Line 42</t>
  </si>
  <si>
    <t>Sum Lines 63; 64; 65</t>
  </si>
  <si>
    <t>Line 57 Less Line 63</t>
  </si>
  <si>
    <t>Line 58 Less Line 64</t>
  </si>
  <si>
    <t>Line 59 Less Line 65</t>
  </si>
  <si>
    <t>Sum Lines 69; 70; 71</t>
  </si>
  <si>
    <t>Page BL-4, Line 72</t>
  </si>
  <si>
    <t>Page BL-5, Line 26</t>
  </si>
  <si>
    <t>Page BL-2, Line 10, Col. C</t>
  </si>
  <si>
    <t>Statement BG, Page BG-20,  Line 12</t>
  </si>
  <si>
    <t>Page BL-2, Line 8, Col. C Minus Line 3</t>
  </si>
  <si>
    <t>Sum Lines 8; 9; 10</t>
  </si>
  <si>
    <t>Line 8 / Line 11</t>
  </si>
  <si>
    <t>Line 9 / Line 11</t>
  </si>
  <si>
    <t>Line 10 / Line 11</t>
  </si>
  <si>
    <t>Sum Lines 15; 16; 17</t>
  </si>
  <si>
    <t>Line 5 x Line 16</t>
  </si>
  <si>
    <t>Line 5 x Line 17</t>
  </si>
  <si>
    <t>Line 5 x Line 15</t>
  </si>
  <si>
    <t>Sum Lines 21; 22; 23</t>
  </si>
  <si>
    <t>Sum Lines 27; 28; 29</t>
  </si>
  <si>
    <t>Line 21 / Line 27</t>
  </si>
  <si>
    <t>Line 33, Rounded to 2 Decimal Places</t>
  </si>
  <si>
    <t>Page BL-2, Line 7, Col. C</t>
  </si>
  <si>
    <t>Line 19, Rounded to 2 Decimal Places</t>
  </si>
  <si>
    <t>Page BB-1, Line 13</t>
  </si>
  <si>
    <t>Page BB-1, Line 14</t>
  </si>
  <si>
    <t>Page BB-1, Line 20</t>
  </si>
  <si>
    <t>Page BB-1, Line 21</t>
  </si>
  <si>
    <t>Sum Lines 20; 21; 22</t>
  </si>
  <si>
    <t>Sum Lines 2; 3; 8; 10; 16; 18; 23</t>
  </si>
  <si>
    <t>Sum Lines 30; 31; 32</t>
  </si>
  <si>
    <t>Statement BG, Page BG-21.1, Line 43</t>
  </si>
  <si>
    <t>Statement BG, Page BG-21.1, Line 44</t>
  </si>
  <si>
    <t>Statement BG, Page BG-21.1, Line 45</t>
  </si>
  <si>
    <t>Statement BG, Page BG-21.2, Line 70</t>
  </si>
  <si>
    <t>Statement BG, Page BG-21.2, Line 71</t>
  </si>
  <si>
    <t>Statement BG, Page BG-21.3, Line 116</t>
  </si>
  <si>
    <t>Statement BG, Page BG-21.3, Line 117</t>
  </si>
  <si>
    <t>Statement BG, Page BG-21.2, Line 80</t>
  </si>
  <si>
    <t>Statement BG, Page BG-21.2, Line 81</t>
  </si>
  <si>
    <t>Statement BG, Page BG-21.2, Line 90</t>
  </si>
  <si>
    <t>Statement BG, Page BG-21.2, Line 91</t>
  </si>
  <si>
    <t>Statement BG, Page BG-21.3, Line 126</t>
  </si>
  <si>
    <t>Statement BG, Page BG-21.3, Line 127</t>
  </si>
  <si>
    <t>Statement BG, Page BG-21.3, Line 136</t>
  </si>
  <si>
    <t>Statement BG, Page BG-21.3, Line 137</t>
  </si>
  <si>
    <t>Statement BG, Page BG-21.4, Line 187</t>
  </si>
  <si>
    <t>Statement BG, Page BG-21.4, Line 188</t>
  </si>
  <si>
    <t>Statement BG, Page BG-21.4, Line 189</t>
  </si>
  <si>
    <t>Sum Lines 124; 125; 126</t>
  </si>
  <si>
    <t>Sum Lines 117; 118; 119</t>
  </si>
  <si>
    <t>Sum Lines 103; 104; 105</t>
  </si>
  <si>
    <t>Sum Lines 98; 99; 100</t>
  </si>
  <si>
    <t>Sum Lines 91; 92; 93</t>
  </si>
  <si>
    <t>Sum Lines 39; 40; 41</t>
  </si>
  <si>
    <t>Sum Lines 47; 48; 49</t>
  </si>
  <si>
    <t>Sum Lines 30; 39; 47</t>
  </si>
  <si>
    <t>Sum Lines 31; 40; 48</t>
  </si>
  <si>
    <t>Sum Lines 32; 41; 49</t>
  </si>
  <si>
    <t>Sum Lines 54; 55; 56</t>
  </si>
  <si>
    <t>Statement BG, Page BG-21.2, Line 72</t>
  </si>
  <si>
    <t>Statement BG, Page BG-21.3, Line 118</t>
  </si>
  <si>
    <t>Statement BG, Page BG-21.2, Line 82</t>
  </si>
  <si>
    <t>Statement BG, Page BG-21.2, Line 92</t>
  </si>
  <si>
    <t>Statement BG, Page BG-21.3, Line 128</t>
  </si>
  <si>
    <t>Statement BG, Page BG-21.3, Line 138</t>
  </si>
  <si>
    <t>Statement BG, Page BG-21.4, Line 197</t>
  </si>
  <si>
    <t>Statement BG, Page BG-21.4, Line 198</t>
  </si>
  <si>
    <t>Statement BG, Page BG-21.4, Line 199</t>
  </si>
  <si>
    <t>Commodity Rate</t>
  </si>
  <si>
    <t>Standby Surcharge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</si>
  <si>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</si>
  <si>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t>Page BL-6, Lines 41; 40; 39, Col A.</t>
  </si>
  <si>
    <t>Page BL-6, Lines 41; 40; 39, Col B.</t>
  </si>
  <si>
    <t>Page BL-7, Lines 42; 41; 40, Col A.</t>
  </si>
  <si>
    <t>Page BL-7, Lines 42; 41; 40, Col B.</t>
  </si>
  <si>
    <r>
      <t xml:space="preserve">Agricultural (Schedule PA-T1) </t>
    </r>
    <r>
      <rPr>
        <vertAlign val="superscript"/>
        <sz val="14"/>
        <rFont val="Times New Roman"/>
        <family val="1"/>
      </rPr>
      <t>6</t>
    </r>
  </si>
  <si>
    <t>Page BL-9, Lines 37; 36; 35</t>
  </si>
  <si>
    <t>Page BL-11, Column D.</t>
  </si>
  <si>
    <t xml:space="preserve">Page BL-11, Column E. </t>
  </si>
  <si>
    <t>Used to Allocate Total Class Revenues to Voltage Level (MW)</t>
  </si>
  <si>
    <t>Page BL-12, Line 84, Col. B</t>
  </si>
  <si>
    <t>Page BL-12, Line 86 + Line 87, Col. B</t>
  </si>
  <si>
    <t>Page BL-12, Line 99, Col. B</t>
  </si>
  <si>
    <t>Page BL-12, Line 100, Col. B</t>
  </si>
  <si>
    <t>Page BL-12, Line 101, Col. B</t>
  </si>
  <si>
    <t>Page BL-12, Line 99, Col. D</t>
  </si>
  <si>
    <t>Page BL-12, Line 100, Col. D</t>
  </si>
  <si>
    <t>Page BL-12, Line 101, Col. D</t>
  </si>
  <si>
    <t>Page BL-12, Line 92, Col. D</t>
  </si>
  <si>
    <t>Page BL-12, Line 93, Col. D</t>
  </si>
  <si>
    <t>Page BL-12, Line 94, Col. D</t>
  </si>
  <si>
    <t>Page BL-12, Line 92, Col. B</t>
  </si>
  <si>
    <t>Page BL-12, Line 93, Col. B</t>
  </si>
  <si>
    <t>Page BL-12, Line 94, Col. B</t>
  </si>
  <si>
    <t>Line 34 X Page BL-12, Line 94, Col. C / Page BL-12, Line 93, Col. C</t>
  </si>
  <si>
    <t>Page BL-11, Line 2, Col. D</t>
  </si>
  <si>
    <t>Page BL-11, Line 3, Col. D</t>
  </si>
  <si>
    <t>Page BL-11, Line 8, Col. D</t>
  </si>
  <si>
    <t>Page BL-11, Line 10, Col. D</t>
  </si>
  <si>
    <t>Page BL-11, Line 16, Col. D</t>
  </si>
  <si>
    <t>Page BL-11, Line 18, Col. D</t>
  </si>
  <si>
    <t>Page BL-11, Line 23, Col. D</t>
  </si>
  <si>
    <t>Page BL-12, Line 29, Col. D</t>
  </si>
  <si>
    <t>Page BL-12, Line 30, Col. D</t>
  </si>
  <si>
    <t>Page BL-12, Line 31, Col. D</t>
  </si>
  <si>
    <t>Page BL-12, Line 29, Col. B</t>
  </si>
  <si>
    <t>Page BL-12, Line 30, Col. B</t>
  </si>
  <si>
    <t>Page BL-12, Line 31, Col. B</t>
  </si>
  <si>
    <t>Page BL-12, Line 14, Col. B</t>
  </si>
  <si>
    <t>Page BL-12, Line 15, Col. B</t>
  </si>
  <si>
    <t>Page BL-12, Line 16, Col. B</t>
  </si>
  <si>
    <t>Page BL-12, Line 22, Col. B</t>
  </si>
  <si>
    <t>Page BL-12, Line 23, Col. B</t>
  </si>
  <si>
    <t>Page BL-12, Line 24, Col. B</t>
  </si>
  <si>
    <t>Page BL-12, Line 61; 66; 73; 78, Col. B</t>
  </si>
  <si>
    <t>Page BL-12, Line 62; 67; 74; 79, Col. B</t>
  </si>
  <si>
    <t>Page BL-12, Line 61; 66; 73; 78, Col. D</t>
  </si>
  <si>
    <t>Page BL-12, Line 62; 67; 74; 79, Col. D</t>
  </si>
  <si>
    <t>Page BL-12, Line 36; 41; 48; 53, Col. B</t>
  </si>
  <si>
    <t>Page BL-12, Line 37; 42; 49; 54, Col. B</t>
  </si>
  <si>
    <t>Page BL-12, Line 38; 43; 50; 55, Col. B</t>
  </si>
  <si>
    <t>Page BL-12, Line 36; 41; 48; 53, Col. D</t>
  </si>
  <si>
    <t>Page BL-12, Line 37; 42; 49; 54, Col. D</t>
  </si>
  <si>
    <t>Page BL-12, Line 38; 43; 50; 55, Col. D</t>
  </si>
  <si>
    <t>Page BL-12, Line 63; 68; 75; 85, Col. B</t>
  </si>
  <si>
    <t>Page BL-12, Line 63; 68; 75; 85, Col. D</t>
  </si>
  <si>
    <t>NCD Determinants by Voltage Level @ Meter Level (MW) Pertaining to 90% NCD</t>
  </si>
  <si>
    <t>90% NCD Rates are applicable to the following California Public Utilities Commission (CPUC) tariffs: Schedules AL-TOU, AL-TOU2, DG-R, and A6-TOU.</t>
  </si>
  <si>
    <r>
      <t>90% Non-Coincident Demand Rate by Voltage Level @ Meter</t>
    </r>
    <r>
      <rPr>
        <vertAlign val="superscript"/>
        <sz val="14"/>
        <rFont val="Times New Roman"/>
        <family val="1"/>
      </rPr>
      <t>3</t>
    </r>
  </si>
  <si>
    <t>Commission (CPUC) tariffs: Schedules AL-TOU, AL-TOU2, and DG-R.</t>
  </si>
  <si>
    <t>Summer Maximum On-Peak Period Determinants for the following CPUC tariffs: Schedules AL-TOU, AL-TOU2, and DG-R.</t>
  </si>
  <si>
    <t>Summer Maximum On-Peak Period Demand Charges for the following CPUC tariffs: Schedules AL-TOU, AL-TOU2, and DG-R.</t>
  </si>
  <si>
    <t>Winter Maximum On-Peak Period Demand Charges for the following CPUC tariffs: Schedules AL-TOU, AL-TOU2, and DG-R.</t>
  </si>
  <si>
    <t>90% NCD Rates are applicable to CPUC Schedule A6-TOU.</t>
  </si>
  <si>
    <t>Maximum Demand at the Time of System Peak Demand Charges are applicable to CPUC Schedule A6-TOU.</t>
  </si>
  <si>
    <t>Schedules DR, DR-LI, DR-SES, DM, DS, DT, DT-RV, TOU-DR, TOU-DR-1, TOU-DR-2, EV-TOU and EV-TOU-2, EV-TOU-5, and TOU-ELEC.</t>
  </si>
  <si>
    <t>The California Public Utilities Commission (CPUC) tariff offered to customers participating on the following Schedules: VGI, GIR, and EV-HP.</t>
  </si>
  <si>
    <t>NCD (90%) rates are applicable to the following CPUC tariffs: Schedules AL-TOU, AL-TOU2, DG-R, and A6-TOU.</t>
  </si>
  <si>
    <t>Maximum On-Peak Demand rates are applicable to the following CPUC tariffs: Schedules AL-TOU, AL-TOU2, and DG-R.  Standard Customers have demand rates based on SDG&amp;E's on-peak period.</t>
  </si>
  <si>
    <t>Schedules AL-TOU, AL-TOU2, DG-R, A6-TOU, and OL-TOU. Schedule OL-TOU customers pay small commercial energy rates per CPUC Decision D.09-09-036.</t>
  </si>
  <si>
    <t>The following California Public Utilities Commission (CPUC) tariffs are offered to small commercial customers:</t>
  </si>
  <si>
    <t xml:space="preserve"> Schedules A-TC, TOU-A, TOU-A2, TOU-A3, TOU-M, and UM.</t>
  </si>
  <si>
    <t>Winter Maximum On-Peak Period Determinants for the following California Public Utilities Commission (CPUC) tariffs: Schedules AL-TOU, AL-TOU2, and DG-R.</t>
  </si>
  <si>
    <t>Rate Effective Period - Twelve Months Ending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</si>
</sst>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_(&quot;$&quot;* #,##0.00000_);_(&quot;$&quot;* \(#,##0.00000\);_(&quot;$&quot;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000_);_(* \(#,##0.0000\);_(* &quot;-&quot;??_);_(@_)"/>
    <numFmt numFmtId="169" formatCode="_(&quot;$&quot;* #,##0.0000000_);_(&quot;$&quot;* \(#,##0.0000000\);_(&quot;$&quot;* &quot;-&quot;??_);_(@_)"/>
    <numFmt numFmtId="170" formatCode="_(* #,##0.00000_);_(* \(#,##0.00000\);_(* &quot;-&quot;??_);_(@_)"/>
    <numFmt numFmtId="171" formatCode="&quot;$&quot;#,##0.00000_);\(&quot;$&quot;#,##0.00000\)"/>
    <numFmt numFmtId="172" formatCode="_(&quot;$&quot;* #,##0.0000000_);_(&quot;$&quot;* \(#,##0.0000000\);_(&quot;$&quot;* &quot;-&quot;???????_);_(@_)"/>
    <numFmt numFmtId="173" formatCode="_(&quot;$&quot;* #,##0.00000_);_(&quot;$&quot;* \(#,##0.00000\);_(&quot;$&quot;* &quot;-&quot;???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u/>
      <sz val="14"/>
      <name val="Times New Roman"/>
      <family val="1"/>
    </font>
    <font>
      <u/>
      <vertAlign val="superscript"/>
      <sz val="14"/>
      <name val="Times New Roman"/>
      <family val="1"/>
    </font>
    <font>
      <vertAlign val="superscript"/>
      <sz val="14"/>
      <name val="Times New Roman"/>
      <family val="1"/>
    </font>
    <font>
      <b/>
      <sz val="14"/>
      <name val="Times New Roman"/>
      <family val="1"/>
    </font>
    <font>
      <sz val="14"/>
      <color indexed="9"/>
      <name val="Times New Roman"/>
      <family val="1"/>
    </font>
    <font>
      <b/>
      <u/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12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name val="System"/>
      <family val="2"/>
    </font>
    <font>
      <sz val="11"/>
      <name val="Calibri"/>
      <family val="2"/>
    </font>
    <font>
      <sz val="14"/>
      <color rgb="FF0000FF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7" fontId="3" fillId="0" borderId="4" xfId="1" applyNumberFormat="1" applyFont="1" applyBorder="1"/>
    <xf numFmtId="166" fontId="3" fillId="0" borderId="5" xfId="2" applyNumberFormat="1" applyFont="1" applyBorder="1"/>
    <xf numFmtId="0" fontId="4" fillId="0" borderId="4" xfId="0" applyFont="1" applyBorder="1" applyAlignment="1">
      <alignment horizontal="left"/>
    </xf>
    <xf numFmtId="167" fontId="3" fillId="0" borderId="5" xfId="1" applyNumberFormat="1" applyFont="1" applyBorder="1"/>
    <xf numFmtId="167" fontId="3" fillId="0" borderId="5" xfId="1" applyNumberFormat="1" applyFont="1" applyFill="1" applyBorder="1"/>
    <xf numFmtId="166" fontId="3" fillId="0" borderId="5" xfId="2" applyNumberFormat="1" applyFont="1" applyFill="1" applyBorder="1"/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167" fontId="3" fillId="0" borderId="9" xfId="1" applyNumberFormat="1" applyFont="1" applyFill="1" applyBorder="1"/>
    <xf numFmtId="167" fontId="3" fillId="0" borderId="2" xfId="1" applyNumberFormat="1" applyFont="1" applyBorder="1"/>
    <xf numFmtId="0" fontId="3" fillId="0" borderId="4" xfId="0" applyFont="1" applyBorder="1" applyAlignment="1">
      <alignment horizontal="left"/>
    </xf>
    <xf numFmtId="10" fontId="3" fillId="0" borderId="5" xfId="3" applyNumberFormat="1" applyFont="1" applyBorder="1"/>
    <xf numFmtId="167" fontId="3" fillId="0" borderId="4" xfId="1" applyNumberFormat="1" applyFont="1" applyFill="1" applyBorder="1"/>
    <xf numFmtId="10" fontId="3" fillId="0" borderId="4" xfId="3" applyNumberFormat="1" applyFont="1" applyBorder="1"/>
    <xf numFmtId="42" fontId="3" fillId="0" borderId="0" xfId="0" applyNumberFormat="1" applyFont="1"/>
    <xf numFmtId="0" fontId="4" fillId="0" borderId="4" xfId="0" quotePrefix="1" applyFont="1" applyBorder="1" applyAlignment="1">
      <alignment horizontal="left"/>
    </xf>
    <xf numFmtId="10" fontId="3" fillId="0" borderId="2" xfId="3" applyNumberFormat="1" applyFont="1" applyBorder="1"/>
    <xf numFmtId="167" fontId="3" fillId="0" borderId="4" xfId="1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Continuous" vertical="justify"/>
    </xf>
    <xf numFmtId="166" fontId="3" fillId="0" borderId="4" xfId="2" applyNumberFormat="1" applyFont="1" applyBorder="1"/>
    <xf numFmtId="166" fontId="3" fillId="0" borderId="10" xfId="2" applyNumberFormat="1" applyFont="1" applyFill="1" applyBorder="1" applyAlignment="1">
      <alignment horizontal="center"/>
    </xf>
    <xf numFmtId="165" fontId="3" fillId="0" borderId="4" xfId="2" applyNumberFormat="1" applyFont="1" applyBorder="1"/>
    <xf numFmtId="165" fontId="3" fillId="0" borderId="10" xfId="2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166" fontId="3" fillId="0" borderId="10" xfId="2" applyNumberFormat="1" applyFont="1" applyBorder="1" applyAlignment="1">
      <alignment horizontal="center"/>
    </xf>
    <xf numFmtId="42" fontId="3" fillId="0" borderId="6" xfId="0" applyNumberFormat="1" applyFont="1" applyBorder="1"/>
    <xf numFmtId="4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/>
    <xf numFmtId="166" fontId="3" fillId="0" borderId="6" xfId="2" applyNumberFormat="1" applyFont="1" applyFill="1" applyBorder="1"/>
    <xf numFmtId="0" fontId="10" fillId="0" borderId="4" xfId="0" applyFont="1" applyBorder="1" applyAlignment="1">
      <alignment horizontal="center"/>
    </xf>
    <xf numFmtId="44" fontId="3" fillId="0" borderId="4" xfId="2" applyFont="1" applyFill="1" applyBorder="1"/>
    <xf numFmtId="166" fontId="3" fillId="0" borderId="2" xfId="2" applyNumberFormat="1" applyFont="1" applyBorder="1"/>
    <xf numFmtId="0" fontId="3" fillId="0" borderId="0" xfId="0" applyFont="1" applyAlignment="1">
      <alignment horizontal="left"/>
    </xf>
    <xf numFmtId="166" fontId="3" fillId="0" borderId="0" xfId="2" applyNumberFormat="1" applyFont="1" applyFill="1" applyBorder="1"/>
    <xf numFmtId="10" fontId="3" fillId="0" borderId="4" xfId="2" applyNumberFormat="1" applyFont="1" applyBorder="1"/>
    <xf numFmtId="10" fontId="3" fillId="0" borderId="2" xfId="2" applyNumberFormat="1" applyFont="1" applyBorder="1"/>
    <xf numFmtId="166" fontId="3" fillId="0" borderId="0" xfId="2" applyNumberFormat="1" applyFont="1" applyFill="1" applyBorder="1" applyAlignment="1">
      <alignment horizontal="center"/>
    </xf>
    <xf numFmtId="166" fontId="3" fillId="0" borderId="4" xfId="2" applyNumberFormat="1" applyFont="1" applyBorder="1" applyAlignment="1">
      <alignment horizontal="center"/>
    </xf>
    <xf numFmtId="44" fontId="3" fillId="0" borderId="4" xfId="2" applyFont="1" applyBorder="1"/>
    <xf numFmtId="10" fontId="3" fillId="0" borderId="0" xfId="2" applyNumberFormat="1" applyFont="1" applyBorder="1"/>
    <xf numFmtId="166" fontId="3" fillId="0" borderId="6" xfId="2" applyNumberFormat="1" applyFont="1" applyBorder="1"/>
    <xf numFmtId="10" fontId="3" fillId="0" borderId="5" xfId="2" applyNumberFormat="1" applyFont="1" applyBorder="1"/>
    <xf numFmtId="165" fontId="3" fillId="0" borderId="4" xfId="2" applyNumberFormat="1" applyFont="1" applyBorder="1" applyAlignment="1">
      <alignment horizontal="center"/>
    </xf>
    <xf numFmtId="44" fontId="3" fillId="0" borderId="4" xfId="2" applyFont="1" applyBorder="1" applyAlignment="1">
      <alignment horizontal="center"/>
    </xf>
    <xf numFmtId="0" fontId="10" fillId="0" borderId="0" xfId="0" applyFont="1"/>
    <xf numFmtId="167" fontId="3" fillId="0" borderId="2" xfId="1" applyNumberFormat="1" applyFont="1" applyFill="1" applyBorder="1"/>
    <xf numFmtId="165" fontId="3" fillId="0" borderId="4" xfId="2" applyNumberFormat="1" applyFont="1" applyFill="1" applyBorder="1"/>
    <xf numFmtId="166" fontId="3" fillId="0" borderId="4" xfId="2" applyNumberFormat="1" applyFont="1" applyFill="1" applyBorder="1"/>
    <xf numFmtId="0" fontId="3" fillId="0" borderId="4" xfId="0" applyFont="1" applyBorder="1" applyAlignment="1">
      <alignment horizontal="right"/>
    </xf>
    <xf numFmtId="166" fontId="3" fillId="0" borderId="2" xfId="2" applyNumberFormat="1" applyFont="1" applyFill="1" applyBorder="1"/>
    <xf numFmtId="164" fontId="3" fillId="0" borderId="4" xfId="1" applyNumberFormat="1" applyFont="1" applyBorder="1"/>
    <xf numFmtId="0" fontId="6" fillId="0" borderId="0" xfId="0" applyFont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/>
    </xf>
    <xf numFmtId="166" fontId="3" fillId="0" borderId="4" xfId="2" applyNumberFormat="1" applyFont="1" applyFill="1" applyBorder="1" applyAlignment="1">
      <alignment horizontal="center"/>
    </xf>
    <xf numFmtId="166" fontId="3" fillId="0" borderId="12" xfId="2" applyNumberFormat="1" applyFont="1" applyBorder="1"/>
    <xf numFmtId="167" fontId="3" fillId="0" borderId="12" xfId="1" applyNumberFormat="1" applyFont="1" applyFill="1" applyBorder="1"/>
    <xf numFmtId="0" fontId="3" fillId="0" borderId="13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/>
    <xf numFmtId="166" fontId="3" fillId="0" borderId="10" xfId="2" applyNumberFormat="1" applyFont="1" applyBorder="1"/>
    <xf numFmtId="10" fontId="3" fillId="0" borderId="6" xfId="2" applyNumberFormat="1" applyFont="1" applyBorder="1"/>
    <xf numFmtId="37" fontId="3" fillId="0" borderId="4" xfId="1" applyNumberFormat="1" applyFont="1" applyFill="1" applyBorder="1"/>
    <xf numFmtId="167" fontId="3" fillId="0" borderId="0" xfId="1" applyNumberFormat="1" applyFont="1" applyFill="1" applyBorder="1"/>
    <xf numFmtId="166" fontId="3" fillId="0" borderId="10" xfId="2" applyNumberFormat="1" applyFont="1" applyFill="1" applyBorder="1" applyAlignment="1">
      <alignment horizontal="center" wrapText="1"/>
    </xf>
    <xf numFmtId="9" fontId="3" fillId="0" borderId="0" xfId="3" applyFont="1"/>
    <xf numFmtId="3" fontId="3" fillId="0" borderId="0" xfId="0" applyNumberFormat="1" applyFont="1"/>
    <xf numFmtId="166" fontId="3" fillId="0" borderId="4" xfId="1" applyNumberFormat="1" applyFont="1" applyBorder="1"/>
    <xf numFmtId="166" fontId="3" fillId="0" borderId="2" xfId="1" applyNumberFormat="1" applyFont="1" applyBorder="1"/>
    <xf numFmtId="167" fontId="3" fillId="0" borderId="0" xfId="0" applyNumberFormat="1" applyFont="1"/>
    <xf numFmtId="0" fontId="3" fillId="0" borderId="0" xfId="4" applyFont="1"/>
    <xf numFmtId="0" fontId="3" fillId="0" borderId="1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4" xfId="4" applyFont="1" applyBorder="1"/>
    <xf numFmtId="0" fontId="3" fillId="0" borderId="2" xfId="4" applyFont="1" applyBorder="1" applyAlignment="1">
      <alignment horizontal="center"/>
    </xf>
    <xf numFmtId="0" fontId="3" fillId="0" borderId="4" xfId="4" applyFont="1" applyBorder="1" applyAlignment="1">
      <alignment horizontal="left"/>
    </xf>
    <xf numFmtId="0" fontId="3" fillId="0" borderId="2" xfId="4" applyFont="1" applyBorder="1"/>
    <xf numFmtId="0" fontId="3" fillId="0" borderId="0" xfId="4" applyFont="1" applyAlignment="1">
      <alignment horizontal="center"/>
    </xf>
    <xf numFmtId="0" fontId="4" fillId="0" borderId="0" xfId="4" applyFont="1"/>
    <xf numFmtId="0" fontId="6" fillId="0" borderId="0" xfId="4" applyFont="1" applyAlignment="1">
      <alignment horizontal="center"/>
    </xf>
    <xf numFmtId="166" fontId="3" fillId="0" borderId="0" xfId="4" applyNumberFormat="1" applyFont="1"/>
    <xf numFmtId="167" fontId="3" fillId="0" borderId="0" xfId="1" applyNumberFormat="1" applyFont="1"/>
    <xf numFmtId="167" fontId="3" fillId="0" borderId="0" xfId="4" applyNumberFormat="1" applyFont="1"/>
    <xf numFmtId="0" fontId="10" fillId="0" borderId="0" xfId="4" applyFont="1"/>
    <xf numFmtId="170" fontId="3" fillId="0" borderId="4" xfId="1" applyNumberFormat="1" applyFont="1" applyFill="1" applyBorder="1"/>
    <xf numFmtId="0" fontId="3" fillId="0" borderId="4" xfId="0" quotePrefix="1" applyFont="1" applyBorder="1" applyAlignment="1">
      <alignment horizontal="left"/>
    </xf>
    <xf numFmtId="3" fontId="15" fillId="0" borderId="0" xfId="0" applyNumberFormat="1" applyFont="1"/>
    <xf numFmtId="166" fontId="3" fillId="0" borderId="10" xfId="2" applyNumberFormat="1" applyFont="1" applyFill="1" applyBorder="1"/>
    <xf numFmtId="1" fontId="3" fillId="0" borderId="0" xfId="0" applyNumberFormat="1" applyFont="1"/>
    <xf numFmtId="168" fontId="3" fillId="0" borderId="4" xfId="1" applyNumberFormat="1" applyFont="1" applyFill="1" applyBorder="1"/>
    <xf numFmtId="10" fontId="3" fillId="0" borderId="4" xfId="3" applyNumberFormat="1" applyFont="1" applyFill="1" applyBorder="1"/>
    <xf numFmtId="10" fontId="3" fillId="0" borderId="4" xfId="3" applyNumberFormat="1" applyFont="1" applyFill="1" applyBorder="1" applyAlignment="1">
      <alignment horizontal="center"/>
    </xf>
    <xf numFmtId="10" fontId="3" fillId="0" borderId="5" xfId="3" applyNumberFormat="1" applyFont="1" applyFill="1" applyBorder="1"/>
    <xf numFmtId="10" fontId="3" fillId="0" borderId="0" xfId="2" applyNumberFormat="1" applyFont="1" applyFill="1" applyBorder="1"/>
    <xf numFmtId="167" fontId="3" fillId="0" borderId="0" xfId="1" applyNumberFormat="1" applyFont="1" applyFill="1"/>
    <xf numFmtId="3" fontId="11" fillId="0" borderId="0" xfId="0" applyNumberFormat="1" applyFont="1"/>
    <xf numFmtId="44" fontId="3" fillId="0" borderId="4" xfId="2" applyFont="1" applyFill="1" applyBorder="1" applyAlignment="1">
      <alignment horizontal="left"/>
    </xf>
    <xf numFmtId="9" fontId="3" fillId="0" borderId="1" xfId="0" applyNumberFormat="1" applyFont="1" applyBorder="1" applyAlignment="1">
      <alignment horizontal="center"/>
    </xf>
    <xf numFmtId="10" fontId="3" fillId="0" borderId="10" xfId="2" applyNumberFormat="1" applyFont="1" applyBorder="1"/>
    <xf numFmtId="44" fontId="3" fillId="0" borderId="10" xfId="2" applyFont="1" applyBorder="1"/>
    <xf numFmtId="10" fontId="3" fillId="0" borderId="3" xfId="2" applyNumberFormat="1" applyFont="1" applyBorder="1"/>
    <xf numFmtId="167" fontId="3" fillId="2" borderId="4" xfId="1" applyNumberFormat="1" applyFont="1" applyFill="1" applyBorder="1"/>
    <xf numFmtId="0" fontId="3" fillId="0" borderId="3" xfId="0" applyFont="1" applyBorder="1" applyAlignment="1">
      <alignment horizontal="center"/>
    </xf>
    <xf numFmtId="165" fontId="3" fillId="0" borderId="4" xfId="2" applyNumberFormat="1" applyFont="1" applyFill="1" applyBorder="1" applyAlignment="1">
      <alignment horizontal="left"/>
    </xf>
    <xf numFmtId="3" fontId="3" fillId="0" borderId="0" xfId="4" quotePrefix="1" applyNumberFormat="1" applyFont="1" applyAlignment="1">
      <alignment horizontal="centerContinuous" vertical="justify"/>
    </xf>
    <xf numFmtId="0" fontId="3" fillId="0" borderId="1" xfId="4" applyFont="1" applyBorder="1"/>
    <xf numFmtId="0" fontId="3" fillId="0" borderId="7" xfId="4" applyFont="1" applyBorder="1"/>
    <xf numFmtId="0" fontId="4" fillId="0" borderId="9" xfId="4" applyFont="1" applyBorder="1" applyAlignment="1">
      <alignment horizontal="left"/>
    </xf>
    <xf numFmtId="0" fontId="3" fillId="0" borderId="9" xfId="4" applyFont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9" xfId="4" applyFont="1" applyBorder="1"/>
    <xf numFmtId="0" fontId="3" fillId="0" borderId="11" xfId="4" applyFont="1" applyBorder="1"/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vertical="justify"/>
    </xf>
    <xf numFmtId="10" fontId="3" fillId="0" borderId="5" xfId="0" applyNumberFormat="1" applyFont="1" applyBorder="1"/>
    <xf numFmtId="9" fontId="3" fillId="0" borderId="4" xfId="3" applyFont="1" applyFill="1" applyBorder="1"/>
    <xf numFmtId="0" fontId="4" fillId="0" borderId="0" xfId="4" applyFont="1" applyAlignment="1">
      <alignment horizontal="left"/>
    </xf>
    <xf numFmtId="0" fontId="6" fillId="0" borderId="0" xfId="4" applyFont="1" applyAlignment="1">
      <alignment horizontal="right"/>
    </xf>
    <xf numFmtId="169" fontId="3" fillId="0" borderId="4" xfId="2" applyNumberFormat="1" applyFont="1" applyFill="1" applyBorder="1"/>
    <xf numFmtId="165" fontId="3" fillId="0" borderId="4" xfId="0" applyNumberFormat="1" applyFont="1" applyBorder="1"/>
    <xf numFmtId="166" fontId="3" fillId="0" borderId="13" xfId="2" applyNumberFormat="1" applyFont="1" applyFill="1" applyBorder="1"/>
    <xf numFmtId="167" fontId="16" fillId="0" borderId="4" xfId="1" applyNumberFormat="1" applyFont="1" applyFill="1" applyBorder="1"/>
    <xf numFmtId="168" fontId="16" fillId="0" borderId="4" xfId="1" applyNumberFormat="1" applyFont="1" applyFill="1" applyBorder="1"/>
    <xf numFmtId="10" fontId="3" fillId="0" borderId="2" xfId="3" applyNumberFormat="1" applyFont="1" applyFill="1" applyBorder="1"/>
    <xf numFmtId="168" fontId="3" fillId="0" borderId="5" xfId="1" applyNumberFormat="1" applyFont="1" applyFill="1" applyBorder="1"/>
    <xf numFmtId="168" fontId="3" fillId="0" borderId="2" xfId="0" applyNumberFormat="1" applyFont="1" applyBorder="1"/>
    <xf numFmtId="168" fontId="3" fillId="0" borderId="4" xfId="0" applyNumberFormat="1" applyFont="1" applyBorder="1"/>
    <xf numFmtId="168" fontId="3" fillId="0" borderId="4" xfId="0" applyNumberFormat="1" applyFont="1" applyBorder="1" applyAlignment="1">
      <alignment horizontal="center"/>
    </xf>
    <xf numFmtId="10" fontId="3" fillId="0" borderId="10" xfId="3" applyNumberFormat="1" applyFont="1" applyFill="1" applyBorder="1"/>
    <xf numFmtId="168" fontId="11" fillId="0" borderId="4" xfId="1" applyNumberFormat="1" applyFont="1" applyFill="1" applyBorder="1"/>
    <xf numFmtId="0" fontId="7" fillId="0" borderId="4" xfId="0" applyFont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10" fontId="3" fillId="0" borderId="3" xfId="3" applyNumberFormat="1" applyFont="1" applyFill="1" applyBorder="1"/>
    <xf numFmtId="0" fontId="3" fillId="0" borderId="12" xfId="0" applyFont="1" applyBorder="1"/>
    <xf numFmtId="168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7" fontId="8" fillId="0" borderId="4" xfId="0" applyNumberFormat="1" applyFont="1" applyBorder="1"/>
    <xf numFmtId="167" fontId="3" fillId="0" borderId="4" xfId="0" applyNumberFormat="1" applyFont="1" applyBorder="1" applyAlignment="1">
      <alignment horizontal="center"/>
    </xf>
    <xf numFmtId="167" fontId="3" fillId="0" borderId="4" xfId="1" applyNumberFormat="1" applyFont="1" applyFill="1" applyBorder="1" applyAlignment="1">
      <alignment horizontal="center"/>
    </xf>
    <xf numFmtId="10" fontId="3" fillId="0" borderId="10" xfId="3" applyNumberFormat="1" applyFont="1" applyFill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3" fillId="0" borderId="0" xfId="0" applyNumberFormat="1" applyFont="1"/>
    <xf numFmtId="167" fontId="3" fillId="0" borderId="0" xfId="3" applyNumberFormat="1" applyFont="1"/>
    <xf numFmtId="166" fontId="3" fillId="0" borderId="0" xfId="3" applyNumberFormat="1" applyFont="1"/>
    <xf numFmtId="172" fontId="3" fillId="0" borderId="0" xfId="3" applyNumberFormat="1" applyFont="1"/>
    <xf numFmtId="173" fontId="3" fillId="0" borderId="0" xfId="3" applyNumberFormat="1" applyFont="1"/>
    <xf numFmtId="44" fontId="3" fillId="0" borderId="0" xfId="3" applyNumberFormat="1" applyFont="1"/>
    <xf numFmtId="9" fontId="3" fillId="0" borderId="0" xfId="0" applyNumberFormat="1" applyFont="1" applyAlignment="1">
      <alignment horizontal="center"/>
    </xf>
    <xf numFmtId="171" fontId="3" fillId="0" borderId="0" xfId="2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center"/>
    </xf>
    <xf numFmtId="39" fontId="3" fillId="0" borderId="0" xfId="0" applyNumberFormat="1" applyFont="1" applyAlignment="1">
      <alignment horizontal="center"/>
    </xf>
    <xf numFmtId="39" fontId="3" fillId="0" borderId="0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3" fillId="0" borderId="0" xfId="0" quotePrefix="1" applyFont="1" applyAlignment="1">
      <alignment horizontal="center" vertical="justify"/>
    </xf>
    <xf numFmtId="3" fontId="3" fillId="0" borderId="0" xfId="0" applyNumberFormat="1" applyFont="1" applyAlignment="1">
      <alignment horizontal="center" vertical="justify"/>
    </xf>
    <xf numFmtId="3" fontId="3" fillId="0" borderId="0" xfId="0" quotePrefix="1" applyNumberFormat="1" applyFont="1" applyAlignment="1">
      <alignment horizontal="center" vertical="justify"/>
    </xf>
    <xf numFmtId="3" fontId="3" fillId="0" borderId="0" xfId="4" quotePrefix="1" applyNumberFormat="1" applyFont="1" applyAlignment="1">
      <alignment horizontal="center" vertical="justify"/>
    </xf>
    <xf numFmtId="0" fontId="3" fillId="0" borderId="0" xfId="4" applyFont="1" applyAlignment="1">
      <alignment horizontal="center" vertical="justify"/>
    </xf>
    <xf numFmtId="3" fontId="3" fillId="0" borderId="0" xfId="4" applyNumberFormat="1" applyFont="1" applyAlignment="1">
      <alignment horizontal="center" vertical="justify"/>
    </xf>
    <xf numFmtId="49" fontId="3" fillId="0" borderId="0" xfId="0" applyNumberFormat="1" applyFont="1" applyAlignment="1">
      <alignment horizontal="center" vertical="justify"/>
    </xf>
    <xf numFmtId="0" fontId="3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5" xfId="5" xr:uid="{00000000-0005-0000-0000-000004000000}"/>
    <cellStyle name="Percent" xfId="3" builtinId="5"/>
    <cellStyle name="Percent 2" xfId="6" xr:uid="{00000000-0005-0000-0000-000006000000}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A085BA3E-111A-47D2-AC46-D41E11FDC4E8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upport/TO6%20Cycle%202_Settlement%20File_POPULATED_CLEAN_DRAFT_3-3-26.xlsx" TargetMode="External"/><Relationship Id="rId1" Type="http://schemas.openxmlformats.org/officeDocument/2006/relationships/externalLinkPath" Target="Support/TO6%20Cycle%202_Settlement%20File_POPULATED_CLEAN_DRAFT_3-3-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tatement%20BG%20-%20TO6%20Cycle%202_Settlement.xlsx" TargetMode="External"/><Relationship Id="rId1" Type="http://schemas.openxmlformats.org/officeDocument/2006/relationships/externalLinkPath" Target="Statement%20BG%20-%20TO6%20Cycle%202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upport/TO6%20C2%20Statement%20BB%20-%20Settlement.xlsx" TargetMode="External"/><Relationship Id="rId1" Type="http://schemas.openxmlformats.org/officeDocument/2006/relationships/externalLinkPath" Target="Support/TO6%20C2%20Statement%20BB%20-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-1 Retail TRR"/>
      <sheetName val="BK-2 ISO TRR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1.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Misc.-2"/>
      <sheetName val="Order 864-1"/>
      <sheetName val="Order 864-2"/>
      <sheetName val="Order 864-3"/>
      <sheetName val="Order 864-4"/>
      <sheetName val="True-Up"/>
      <sheetName val="TO5 True-up"/>
      <sheetName val="TO5 True-Up BK-1"/>
      <sheetName val="TO5 Stmt AF Proration"/>
      <sheetName val="True Up Stmt AD"/>
      <sheetName val="True-Up Stmt AE"/>
      <sheetName val="True-Up Stmt AH"/>
      <sheetName val="True-up Stmt AH-1"/>
      <sheetName val="True-Up AH-2"/>
      <sheetName val="True-Up Stmt AI"/>
      <sheetName val="True-Up Stmt AJ"/>
      <sheetName val="True-Up Stmt AK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>
        <row r="340">
          <cell r="E340">
            <v>1201062.9194933525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of Revenues"/>
      <sheetName val="Summary of Revs @ Changed Rates"/>
      <sheetName val="A-Revenues@Changed Rates"/>
      <sheetName val="B-Revenues@Changed Rates"/>
      <sheetName val="C-Revenues@Changed Rates"/>
      <sheetName val="A-Med &amp; Lrg C-I"/>
      <sheetName val="B-Med &amp; Lrg C-I"/>
      <sheetName val="C-Med &amp; Lrg C-I"/>
      <sheetName val="D-Med &amp; Lrg C-I"/>
      <sheetName val="E-Med &amp; Lrg C-I"/>
      <sheetName val="F-Med &amp; Lrg C-I"/>
      <sheetName val="San Diego Unified Port District"/>
      <sheetName val="PA-T-1"/>
      <sheetName val="Standby"/>
      <sheetName val="Wholesale TAC Rates"/>
      <sheetName val="Escondido"/>
      <sheetName val="Rate Impact"/>
      <sheetName val="A-Billing Determinants"/>
      <sheetName val="B-Billing Determinants"/>
      <sheetName val="Billing Determinants-12 Month"/>
      <sheetName val="Workpaper 1"/>
      <sheetName val="Workpape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O8">
            <v>5529244.7570373621</v>
          </cell>
        </row>
        <row r="9">
          <cell r="O9">
            <v>2442100.4570462527</v>
          </cell>
        </row>
        <row r="10">
          <cell r="O10">
            <v>0</v>
          </cell>
        </row>
        <row r="11">
          <cell r="O11">
            <v>7841341.9696279597</v>
          </cell>
        </row>
        <row r="12">
          <cell r="O12">
            <v>1141005.28528107</v>
          </cell>
        </row>
        <row r="14">
          <cell r="O14">
            <v>164394.71488519129</v>
          </cell>
        </row>
        <row r="15">
          <cell r="O15">
            <v>226880.08197518514</v>
          </cell>
        </row>
        <row r="16">
          <cell r="O16">
            <v>82252.759895366587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72">
          <cell r="O72">
            <v>15215.030368935337</v>
          </cell>
        </row>
        <row r="73">
          <cell r="O73">
            <v>3905.1114713209208</v>
          </cell>
        </row>
        <row r="74">
          <cell r="O74">
            <v>232.31698959542666</v>
          </cell>
        </row>
        <row r="82">
          <cell r="C82">
            <v>1126.1132843322166</v>
          </cell>
          <cell r="D82">
            <v>1078.611678231958</v>
          </cell>
          <cell r="E82">
            <v>1067.0963979058561</v>
          </cell>
          <cell r="F82">
            <v>1069.6818343632071</v>
          </cell>
          <cell r="G82">
            <v>1087.2308220457599</v>
          </cell>
          <cell r="H82">
            <v>1156.792961419588</v>
          </cell>
          <cell r="I82">
            <v>1286.2704593871899</v>
          </cell>
          <cell r="J82">
            <v>1337.1620468455028</v>
          </cell>
          <cell r="K82">
            <v>1396.3896943288739</v>
          </cell>
          <cell r="L82">
            <v>1278.3217001025102</v>
          </cell>
          <cell r="M82">
            <v>1146.4817278189228</v>
          </cell>
          <cell r="N82">
            <v>1184.8987480102739</v>
          </cell>
        </row>
        <row r="83">
          <cell r="C83">
            <v>300.38759896093563</v>
          </cell>
          <cell r="D83">
            <v>287.71667712583252</v>
          </cell>
          <cell r="E83">
            <v>284.64500799924809</v>
          </cell>
          <cell r="F83">
            <v>285.33466601189673</v>
          </cell>
          <cell r="G83">
            <v>290.01580986083286</v>
          </cell>
          <cell r="H83">
            <v>307.89761112242491</v>
          </cell>
          <cell r="I83">
            <v>342.35996838764453</v>
          </cell>
          <cell r="J83">
            <v>355.9055195167017</v>
          </cell>
          <cell r="K83">
            <v>371.66983671150223</v>
          </cell>
          <cell r="L83">
            <v>340.24428816070343</v>
          </cell>
          <cell r="M83">
            <v>305.82082483498385</v>
          </cell>
          <cell r="N83">
            <v>316.06845854561618</v>
          </cell>
        </row>
        <row r="84">
          <cell r="C84">
            <v>44.156306583962838</v>
          </cell>
          <cell r="D84">
            <v>42.293709355623186</v>
          </cell>
          <cell r="E84">
            <v>41.842180849962091</v>
          </cell>
          <cell r="F84">
            <v>41.943559038508937</v>
          </cell>
          <cell r="G84">
            <v>42.631676736017937</v>
          </cell>
          <cell r="H84">
            <v>40.16239885068893</v>
          </cell>
          <cell r="I84">
            <v>44.657694974536902</v>
          </cell>
          <cell r="J84">
            <v>46.424586978389698</v>
          </cell>
          <cell r="K84">
            <v>48.480896517389702</v>
          </cell>
          <cell r="L84">
            <v>44.381724034700227</v>
          </cell>
          <cell r="M84">
            <v>44.954978660520808</v>
          </cell>
          <cell r="N84">
            <v>46.46135794332762</v>
          </cell>
        </row>
        <row r="92">
          <cell r="C92">
            <v>1056.2269939690088</v>
          </cell>
          <cell r="D92">
            <v>1011.6733248861259</v>
          </cell>
          <cell r="E92">
            <v>1000.8726797887176</v>
          </cell>
          <cell r="F92">
            <v>1003.2976647484369</v>
          </cell>
          <cell r="G92">
            <v>1019.7575669314873</v>
          </cell>
          <cell r="H92">
            <v>1244.9083302001948</v>
          </cell>
          <cell r="I92">
            <v>1384.2484032894545</v>
          </cell>
          <cell r="J92">
            <v>1439.0165107010152</v>
          </cell>
          <cell r="K92">
            <v>1502.7556534770274</v>
          </cell>
          <cell r="L92">
            <v>1375.6941701826845</v>
          </cell>
          <cell r="M92">
            <v>1075.3313772802749</v>
          </cell>
          <cell r="N92">
            <v>1111.364247435092</v>
          </cell>
        </row>
        <row r="93">
          <cell r="C93">
            <v>289.52651193025139</v>
          </cell>
          <cell r="D93">
            <v>277.3137314607909</v>
          </cell>
          <cell r="E93">
            <v>274.35312439478651</v>
          </cell>
          <cell r="F93">
            <v>275.0178465055447</v>
          </cell>
          <cell r="G93">
            <v>279.52973466309305</v>
          </cell>
          <cell r="H93">
            <v>324.14743150513266</v>
          </cell>
          <cell r="I93">
            <v>360.42859832032912</v>
          </cell>
          <cell r="J93">
            <v>374.68903896096629</v>
          </cell>
          <cell r="K93">
            <v>391.28534482218646</v>
          </cell>
          <cell r="L93">
            <v>358.20125946911446</v>
          </cell>
          <cell r="M93">
            <v>294.7632891516937</v>
          </cell>
          <cell r="N93">
            <v>304.64040010448002</v>
          </cell>
        </row>
        <row r="94">
          <cell r="C94">
            <v>40.007711211152817</v>
          </cell>
          <cell r="D94">
            <v>38.320109648001001</v>
          </cell>
          <cell r="E94">
            <v>37.911003374047972</v>
          </cell>
          <cell r="F94">
            <v>38.002856828384779</v>
          </cell>
          <cell r="G94">
            <v>38.626324148253929</v>
          </cell>
          <cell r="H94">
            <v>45.466633337664049</v>
          </cell>
          <cell r="I94">
            <v>50.555621706288647</v>
          </cell>
          <cell r="J94">
            <v>52.555866541889337</v>
          </cell>
          <cell r="K94">
            <v>54.883752189009996</v>
          </cell>
          <cell r="L94">
            <v>50.243203377392206</v>
          </cell>
          <cell r="M94">
            <v>40.731346049827209</v>
          </cell>
          <cell r="N94">
            <v>42.096197233800254</v>
          </cell>
        </row>
        <row r="118">
          <cell r="O118">
            <v>0</v>
          </cell>
        </row>
        <row r="119">
          <cell r="O119">
            <v>787.25522164412598</v>
          </cell>
        </row>
        <row r="120">
          <cell r="O120">
            <v>1370.8328135950287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42.84045806994628</v>
          </cell>
          <cell r="D129">
            <v>37.626958653289073</v>
          </cell>
          <cell r="E129">
            <v>41.376115848701524</v>
          </cell>
          <cell r="F129">
            <v>42.538782822139332</v>
          </cell>
          <cell r="G129">
            <v>41.116315018999629</v>
          </cell>
          <cell r="H129">
            <v>42.278584359830866</v>
          </cell>
          <cell r="I129">
            <v>47.895957749950078</v>
          </cell>
          <cell r="J129">
            <v>47.703978525649525</v>
          </cell>
          <cell r="K129">
            <v>47.983893024565027</v>
          </cell>
          <cell r="L129">
            <v>45.258997793465618</v>
          </cell>
          <cell r="M129">
            <v>41.9341585246707</v>
          </cell>
          <cell r="N129">
            <v>48.438275148278386</v>
          </cell>
        </row>
        <row r="130">
          <cell r="C130">
            <v>93.541038369015311</v>
          </cell>
          <cell r="D130">
            <v>82.157496480314336</v>
          </cell>
          <cell r="E130">
            <v>90.343684790788345</v>
          </cell>
          <cell r="F130">
            <v>92.882338224305883</v>
          </cell>
          <cell r="G130">
            <v>89.776416361030471</v>
          </cell>
          <cell r="H130">
            <v>84.496306426869111</v>
          </cell>
          <cell r="I130">
            <v>95.722966696426752</v>
          </cell>
          <cell r="J130">
            <v>95.339284612229406</v>
          </cell>
          <cell r="K130">
            <v>95.898710658106182</v>
          </cell>
          <cell r="L130">
            <v>90.452842828935317</v>
          </cell>
          <cell r="M130">
            <v>91.562156621298499</v>
          </cell>
          <cell r="N130">
            <v>105.7637279876011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C139">
            <v>43.110732096118227</v>
          </cell>
          <cell r="D139">
            <v>37.864341493389098</v>
          </cell>
          <cell r="E139">
            <v>41.63715155937313</v>
          </cell>
          <cell r="F139">
            <v>42.807153624408116</v>
          </cell>
          <cell r="G139">
            <v>41.375711685192961</v>
          </cell>
          <cell r="H139">
            <v>44.362590345103548</v>
          </cell>
          <cell r="I139">
            <v>50.256856633690823</v>
          </cell>
          <cell r="J139">
            <v>50.055414324035155</v>
          </cell>
          <cell r="K139">
            <v>50.349126434671518</v>
          </cell>
          <cell r="L139">
            <v>47.489915023008422</v>
          </cell>
          <cell r="M139">
            <v>42.198714842908252</v>
          </cell>
          <cell r="N139">
            <v>48.743864963022546</v>
          </cell>
        </row>
        <row r="140">
          <cell r="C140">
            <v>94.693151195210021</v>
          </cell>
          <cell r="D140">
            <v>83.169402132778956</v>
          </cell>
          <cell r="E140">
            <v>91.456416911662856</v>
          </cell>
          <cell r="F140">
            <v>94.026338067166549</v>
          </cell>
          <cell r="G140">
            <v>90.882161631585447</v>
          </cell>
          <cell r="H140">
            <v>89.074502615407795</v>
          </cell>
          <cell r="I140">
            <v>100.90944809208975</v>
          </cell>
          <cell r="J140">
            <v>100.50497726658804</v>
          </cell>
          <cell r="K140">
            <v>101.09471424911172</v>
          </cell>
          <cell r="L140">
            <v>95.353777293335014</v>
          </cell>
          <cell r="M140">
            <v>92.689896241007361</v>
          </cell>
          <cell r="N140">
            <v>107.06638348175954</v>
          </cell>
        </row>
        <row r="164">
          <cell r="O164">
            <v>146.1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7.58</v>
          </cell>
          <cell r="N166">
            <v>0</v>
          </cell>
        </row>
        <row r="189">
          <cell r="O189">
            <v>557.2326161109595</v>
          </cell>
        </row>
        <row r="190">
          <cell r="O190">
            <v>212.81580281849224</v>
          </cell>
        </row>
        <row r="191">
          <cell r="O191">
            <v>0</v>
          </cell>
        </row>
        <row r="199">
          <cell r="O199">
            <v>73.775999999999982</v>
          </cell>
        </row>
        <row r="200">
          <cell r="O200">
            <v>1016.1840000000001</v>
          </cell>
        </row>
        <row r="201">
          <cell r="O201">
            <v>656.11200000000008</v>
          </cell>
        </row>
        <row r="212">
          <cell r="O212">
            <v>389760.33299999998</v>
          </cell>
        </row>
      </sheetData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12CP Alloc Factor"/>
      <sheetName val="Filing Copy - BB1"/>
      <sheetName val="A. 12-CP Allocation Factors "/>
      <sheetName val="B. 12CP Wksht (2019-2023)"/>
      <sheetName val="C. Loss Factors"/>
    </sheetNames>
    <sheetDataSet>
      <sheetData sheetId="0">
        <row r="15">
          <cell r="C15">
            <v>15342474</v>
          </cell>
          <cell r="D15">
            <v>1.0466116002409713</v>
          </cell>
        </row>
        <row r="16">
          <cell r="C16">
            <v>3972258</v>
          </cell>
          <cell r="D16">
            <v>1.0466116002409713</v>
          </cell>
        </row>
        <row r="18">
          <cell r="C18">
            <v>10012551.998202207</v>
          </cell>
          <cell r="D18">
            <v>1.0466116002409713</v>
          </cell>
        </row>
        <row r="19">
          <cell r="C19">
            <v>3225040.5893891919</v>
          </cell>
          <cell r="D19">
            <v>1.0109139884302893</v>
          </cell>
        </row>
        <row r="20">
          <cell r="C20">
            <v>1257105.582349346</v>
          </cell>
          <cell r="D20">
            <v>1.0065000000001416</v>
          </cell>
        </row>
        <row r="21">
          <cell r="D21">
            <v>1.0351901300128612</v>
          </cell>
        </row>
        <row r="23">
          <cell r="C23">
            <v>5437</v>
          </cell>
          <cell r="D23">
            <v>1.0109139884302893</v>
          </cell>
        </row>
        <row r="26">
          <cell r="C26">
            <v>332141.19129174034</v>
          </cell>
          <cell r="D26">
            <v>1.0466116002409713</v>
          </cell>
        </row>
        <row r="27">
          <cell r="C27">
            <v>47233.58446420441</v>
          </cell>
          <cell r="D27">
            <v>1.0109139884302893</v>
          </cell>
        </row>
        <row r="28">
          <cell r="C28">
            <v>0</v>
          </cell>
          <cell r="D28">
            <v>1.0065000000001416</v>
          </cell>
        </row>
        <row r="29">
          <cell r="D29">
            <v>1.0421671134949284</v>
          </cell>
        </row>
        <row r="31">
          <cell r="C31">
            <v>103957</v>
          </cell>
          <cell r="D31">
            <v>1.0466116002409713</v>
          </cell>
        </row>
        <row r="33">
          <cell r="C33">
            <v>61941.299999999996</v>
          </cell>
          <cell r="D33">
            <v>1.0466116002409713</v>
          </cell>
        </row>
        <row r="34">
          <cell r="C34">
            <v>157080.20000000001</v>
          </cell>
          <cell r="D34">
            <v>1.0109139884302893</v>
          </cell>
        </row>
        <row r="35">
          <cell r="C35">
            <v>152545.60000000001</v>
          </cell>
          <cell r="D35">
            <v>1.0065000000001416</v>
          </cell>
        </row>
        <row r="36">
          <cell r="D36">
            <v>1.0150527347535754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14"/>
  <sheetViews>
    <sheetView tabSelected="1" zoomScale="75" zoomScaleNormal="75" workbookViewId="0">
      <selection activeCell="A5" sqref="A5:H5"/>
    </sheetView>
  </sheetViews>
  <sheetFormatPr defaultColWidth="9.140625" defaultRowHeight="18.75" x14ac:dyDescent="0.3"/>
  <cols>
    <col min="1" max="1" width="5.85546875" style="12" bestFit="1" customWidth="1"/>
    <col min="2" max="2" width="86.5703125" style="12" customWidth="1"/>
    <col min="3" max="3" width="16.7109375" style="12" bestFit="1" customWidth="1"/>
    <col min="4" max="6" width="17.140625" style="12" bestFit="1" customWidth="1"/>
    <col min="7" max="7" width="43.140625" style="12" customWidth="1"/>
    <col min="8" max="8" width="5.85546875" style="12" bestFit="1" customWidth="1"/>
    <col min="9" max="10" width="9.140625" style="12"/>
    <col min="11" max="11" width="15.140625" style="12" customWidth="1"/>
    <col min="12" max="14" width="15.140625" style="12" bestFit="1" customWidth="1"/>
    <col min="15" max="16" width="9.140625" style="12"/>
    <col min="17" max="17" width="10.140625" style="12" bestFit="1" customWidth="1"/>
    <col min="18" max="18" width="10.140625" style="12" customWidth="1"/>
    <col min="19" max="19" width="11.5703125" style="12" customWidth="1"/>
    <col min="20" max="20" width="10.140625" style="12" bestFit="1" customWidth="1"/>
    <col min="21" max="21" width="9.140625" style="12" customWidth="1"/>
    <col min="22" max="16384" width="9.140625" style="12"/>
  </cols>
  <sheetData>
    <row r="1" spans="1:21" x14ac:dyDescent="0.3">
      <c r="A1" s="177" t="s">
        <v>151</v>
      </c>
      <c r="B1" s="177"/>
      <c r="C1" s="177"/>
      <c r="D1" s="177"/>
      <c r="E1" s="177"/>
      <c r="F1" s="177"/>
      <c r="G1" s="177"/>
      <c r="H1" s="177"/>
    </row>
    <row r="2" spans="1:21" ht="18.75" customHeight="1" x14ac:dyDescent="0.3">
      <c r="A2" s="177" t="s">
        <v>23</v>
      </c>
      <c r="B2" s="177"/>
      <c r="C2" s="177"/>
      <c r="D2" s="177"/>
      <c r="E2" s="177"/>
      <c r="F2" s="177"/>
      <c r="G2" s="177"/>
      <c r="H2" s="177"/>
    </row>
    <row r="3" spans="1:21" ht="18.75" customHeight="1" x14ac:dyDescent="0.3">
      <c r="A3" s="177" t="s">
        <v>47</v>
      </c>
      <c r="B3" s="177"/>
      <c r="C3" s="177"/>
      <c r="D3" s="177"/>
      <c r="E3" s="177"/>
      <c r="F3" s="177"/>
      <c r="G3" s="177"/>
      <c r="H3" s="177"/>
    </row>
    <row r="4" spans="1:21" ht="18.75" customHeight="1" x14ac:dyDescent="0.3">
      <c r="A4" s="177" t="s">
        <v>76</v>
      </c>
      <c r="B4" s="177"/>
      <c r="C4" s="177"/>
      <c r="D4" s="177"/>
      <c r="E4" s="177"/>
      <c r="F4" s="177"/>
      <c r="G4" s="177"/>
      <c r="H4" s="177"/>
    </row>
    <row r="5" spans="1:21" x14ac:dyDescent="0.3">
      <c r="A5" s="177" t="s">
        <v>516</v>
      </c>
      <c r="B5" s="177"/>
      <c r="C5" s="177"/>
      <c r="D5" s="177"/>
      <c r="E5" s="177"/>
      <c r="F5" s="177"/>
      <c r="G5" s="177"/>
      <c r="H5" s="177"/>
    </row>
    <row r="7" spans="1:21" x14ac:dyDescent="0.3">
      <c r="A7" s="15"/>
      <c r="B7" s="15"/>
      <c r="C7" s="15" t="s">
        <v>24</v>
      </c>
      <c r="D7" s="15" t="s">
        <v>25</v>
      </c>
      <c r="E7" s="15" t="s">
        <v>26</v>
      </c>
      <c r="F7" s="15" t="s">
        <v>27</v>
      </c>
      <c r="G7" s="15"/>
      <c r="H7" s="15"/>
    </row>
    <row r="8" spans="1:21" x14ac:dyDescent="0.3">
      <c r="A8" s="3"/>
      <c r="B8" s="3"/>
      <c r="C8" s="3"/>
      <c r="D8" s="3"/>
      <c r="E8" s="3"/>
      <c r="F8" s="3"/>
      <c r="G8" s="3"/>
      <c r="H8" s="3"/>
    </row>
    <row r="9" spans="1:21" x14ac:dyDescent="0.3">
      <c r="A9" s="3"/>
      <c r="B9" s="4"/>
      <c r="C9" s="4"/>
      <c r="D9" s="3" t="s">
        <v>28</v>
      </c>
      <c r="E9" s="3" t="s">
        <v>55</v>
      </c>
      <c r="F9" s="3" t="s">
        <v>54</v>
      </c>
      <c r="G9" s="3"/>
      <c r="H9" s="3"/>
    </row>
    <row r="10" spans="1:21" x14ac:dyDescent="0.3">
      <c r="A10" s="3"/>
      <c r="B10" s="4"/>
      <c r="C10" s="3" t="s">
        <v>28</v>
      </c>
      <c r="D10" s="3" t="s">
        <v>57</v>
      </c>
      <c r="E10" s="3" t="s">
        <v>57</v>
      </c>
      <c r="F10" s="3" t="s">
        <v>57</v>
      </c>
      <c r="G10" s="3"/>
      <c r="H10" s="3"/>
    </row>
    <row r="11" spans="1:21" x14ac:dyDescent="0.3">
      <c r="A11" s="3" t="s">
        <v>29</v>
      </c>
      <c r="B11" s="4"/>
      <c r="C11" s="3" t="s">
        <v>68</v>
      </c>
      <c r="D11" s="3" t="s">
        <v>70</v>
      </c>
      <c r="E11" s="3" t="s">
        <v>70</v>
      </c>
      <c r="F11" s="3" t="s">
        <v>70</v>
      </c>
      <c r="G11" s="3"/>
      <c r="H11" s="3" t="s">
        <v>29</v>
      </c>
    </row>
    <row r="12" spans="1:21" x14ac:dyDescent="0.3">
      <c r="A12" s="2" t="s">
        <v>31</v>
      </c>
      <c r="B12" s="2" t="s">
        <v>32</v>
      </c>
      <c r="C12" s="68" t="s">
        <v>69</v>
      </c>
      <c r="D12" s="68" t="s">
        <v>71</v>
      </c>
      <c r="E12" s="68" t="s">
        <v>71</v>
      </c>
      <c r="F12" s="68" t="s">
        <v>71</v>
      </c>
      <c r="G12" s="2" t="s">
        <v>46</v>
      </c>
      <c r="H12" s="2" t="s">
        <v>31</v>
      </c>
      <c r="K12" s="176"/>
      <c r="L12" s="176"/>
      <c r="M12" s="176"/>
      <c r="N12" s="176"/>
      <c r="O12" s="176"/>
      <c r="P12" s="176"/>
      <c r="Q12" s="176"/>
      <c r="R12" s="176"/>
      <c r="S12" s="176"/>
      <c r="T12" s="176"/>
    </row>
    <row r="13" spans="1:21" x14ac:dyDescent="0.3">
      <c r="A13" s="15"/>
      <c r="B13" s="15"/>
      <c r="C13" s="15"/>
      <c r="D13" s="15"/>
      <c r="E13" s="15"/>
      <c r="F13" s="15"/>
      <c r="G13" s="15"/>
      <c r="H13" s="15"/>
    </row>
    <row r="14" spans="1:21" ht="22.5" x14ac:dyDescent="0.3">
      <c r="A14" s="3">
        <v>1</v>
      </c>
      <c r="B14" s="4" t="s">
        <v>443</v>
      </c>
      <c r="C14" s="58">
        <f>'Transmission Energy Rates'!C19</f>
        <v>0.10392999999999999</v>
      </c>
      <c r="D14" s="59"/>
      <c r="E14" s="59"/>
      <c r="F14" s="59"/>
      <c r="G14" s="71" t="s">
        <v>331</v>
      </c>
      <c r="H14" s="3">
        <v>1</v>
      </c>
      <c r="K14" s="169"/>
      <c r="L14" s="170"/>
      <c r="M14" s="170"/>
      <c r="N14" s="170"/>
      <c r="O14" s="1"/>
      <c r="P14" s="1"/>
      <c r="Q14" s="168"/>
      <c r="R14" s="168"/>
      <c r="S14" s="168"/>
      <c r="T14" s="168"/>
      <c r="U14" s="1"/>
    </row>
    <row r="15" spans="1:21" x14ac:dyDescent="0.3">
      <c r="A15" s="3">
        <f>A14+1</f>
        <v>2</v>
      </c>
      <c r="B15" s="25"/>
      <c r="C15" s="3"/>
      <c r="D15" s="3"/>
      <c r="E15" s="3"/>
      <c r="F15" s="3"/>
      <c r="G15" s="62"/>
      <c r="H15" s="3">
        <f>H14+1</f>
        <v>2</v>
      </c>
      <c r="K15" s="171"/>
      <c r="L15" s="1"/>
      <c r="M15" s="1"/>
      <c r="N15" s="1"/>
      <c r="O15" s="1"/>
      <c r="P15" s="1"/>
      <c r="Q15" s="168"/>
      <c r="R15" s="168"/>
      <c r="S15" s="168"/>
      <c r="T15" s="168"/>
      <c r="U15" s="1"/>
    </row>
    <row r="16" spans="1:21" x14ac:dyDescent="0.3">
      <c r="A16" s="3">
        <f t="shared" ref="A16:A54" si="0">A15+1</f>
        <v>3</v>
      </c>
      <c r="B16" s="25" t="s">
        <v>36</v>
      </c>
      <c r="C16" s="69">
        <f>'Transmission Energy Rates'!D19</f>
        <v>5.663E-2</v>
      </c>
      <c r="D16" s="59"/>
      <c r="E16" s="59"/>
      <c r="F16" s="59"/>
      <c r="G16" s="71" t="s">
        <v>332</v>
      </c>
      <c r="H16" s="3">
        <f t="shared" ref="H16:H54" si="1">H15+1</f>
        <v>3</v>
      </c>
      <c r="K16" s="169"/>
      <c r="L16" s="170"/>
      <c r="M16" s="170"/>
      <c r="N16" s="170"/>
      <c r="O16" s="1"/>
      <c r="P16" s="1"/>
      <c r="Q16" s="168"/>
      <c r="R16" s="168"/>
      <c r="S16" s="168"/>
      <c r="T16" s="168"/>
      <c r="U16" s="1"/>
    </row>
    <row r="17" spans="1:21" x14ac:dyDescent="0.3">
      <c r="A17" s="3">
        <f t="shared" si="0"/>
        <v>4</v>
      </c>
      <c r="B17" s="25"/>
      <c r="C17" s="3"/>
      <c r="D17" s="3"/>
      <c r="E17" s="3"/>
      <c r="F17" s="5"/>
      <c r="G17" s="71"/>
      <c r="H17" s="3">
        <f t="shared" si="1"/>
        <v>4</v>
      </c>
      <c r="K17" s="1"/>
      <c r="L17" s="1"/>
      <c r="M17" s="1"/>
      <c r="N17" s="172"/>
      <c r="O17" s="1"/>
      <c r="P17" s="1"/>
      <c r="Q17" s="168"/>
      <c r="R17" s="168"/>
      <c r="S17" s="168"/>
      <c r="T17" s="168"/>
      <c r="U17" s="1"/>
    </row>
    <row r="18" spans="1:21" x14ac:dyDescent="0.3">
      <c r="A18" s="3">
        <f t="shared" si="0"/>
        <v>5</v>
      </c>
      <c r="B18" s="25" t="s">
        <v>37</v>
      </c>
      <c r="C18" s="69"/>
      <c r="D18" s="4"/>
      <c r="E18" s="4"/>
      <c r="G18" s="71"/>
      <c r="H18" s="3">
        <f t="shared" si="1"/>
        <v>5</v>
      </c>
      <c r="K18" s="171"/>
      <c r="L18" s="1"/>
      <c r="M18" s="1"/>
      <c r="N18" s="1"/>
      <c r="O18" s="1"/>
      <c r="P18" s="1"/>
      <c r="Q18" s="168"/>
      <c r="R18" s="168"/>
      <c r="S18" s="168"/>
      <c r="T18" s="168"/>
      <c r="U18" s="1"/>
    </row>
    <row r="19" spans="1:21" x14ac:dyDescent="0.3">
      <c r="A19" s="3">
        <f>A18+1</f>
        <v>6</v>
      </c>
      <c r="B19" s="64" t="s">
        <v>274</v>
      </c>
      <c r="C19" s="69"/>
      <c r="D19" s="70">
        <f>'Med &amp; Lrg C-I NCD'!C50</f>
        <v>22.55</v>
      </c>
      <c r="E19" s="70">
        <f>'Med &amp; Lrg C-I NCD'!C49</f>
        <v>22.65</v>
      </c>
      <c r="F19" s="54">
        <f>'Med &amp; Lrg C-I NCD'!C48</f>
        <v>23.44</v>
      </c>
      <c r="G19" s="71" t="s">
        <v>310</v>
      </c>
      <c r="H19" s="3">
        <f>H18+1</f>
        <v>6</v>
      </c>
      <c r="K19" s="171"/>
      <c r="L19" s="170"/>
      <c r="M19" s="170"/>
      <c r="N19" s="170"/>
      <c r="O19" s="1"/>
      <c r="P19" s="1"/>
      <c r="Q19" s="168"/>
      <c r="R19" s="168"/>
      <c r="S19" s="168"/>
      <c r="T19" s="168"/>
      <c r="U19" s="1"/>
    </row>
    <row r="20" spans="1:21" x14ac:dyDescent="0.3">
      <c r="A20" s="3">
        <f t="shared" si="0"/>
        <v>7</v>
      </c>
      <c r="B20" s="64"/>
      <c r="C20" s="69"/>
      <c r="D20" s="70"/>
      <c r="E20" s="70"/>
      <c r="F20" s="54"/>
      <c r="G20" s="71"/>
      <c r="H20" s="3">
        <f t="shared" si="1"/>
        <v>7</v>
      </c>
      <c r="K20" s="171"/>
      <c r="L20" s="171"/>
      <c r="M20" s="173"/>
      <c r="N20" s="173"/>
      <c r="O20" s="1"/>
      <c r="P20" s="1"/>
      <c r="Q20" s="168"/>
      <c r="R20" s="168"/>
      <c r="S20" s="168"/>
      <c r="T20" s="168"/>
      <c r="U20" s="1"/>
    </row>
    <row r="21" spans="1:21" ht="22.5" x14ac:dyDescent="0.3">
      <c r="A21" s="3">
        <f t="shared" si="0"/>
        <v>8</v>
      </c>
      <c r="B21" s="64" t="s">
        <v>181</v>
      </c>
      <c r="C21" s="69"/>
      <c r="D21" s="70">
        <f>'Med &amp; Lrg C-I NCD'!C67</f>
        <v>20.3</v>
      </c>
      <c r="E21" s="70">
        <f>'Med &amp; Lrg C-I NCD'!C66</f>
        <v>20.39</v>
      </c>
      <c r="F21" s="46">
        <f>'Med &amp; Lrg C-I NCD'!C65</f>
        <v>21.1</v>
      </c>
      <c r="G21" s="71" t="s">
        <v>326</v>
      </c>
      <c r="H21" s="3">
        <f t="shared" si="1"/>
        <v>8</v>
      </c>
      <c r="K21" s="171"/>
      <c r="L21" s="170"/>
      <c r="M21" s="170"/>
      <c r="N21" s="170"/>
      <c r="O21" s="1"/>
      <c r="P21" s="1"/>
      <c r="Q21" s="168"/>
      <c r="R21" s="168"/>
      <c r="S21" s="168"/>
      <c r="T21" s="168"/>
      <c r="U21" s="1"/>
    </row>
    <row r="22" spans="1:21" x14ac:dyDescent="0.3">
      <c r="A22" s="3">
        <f t="shared" si="0"/>
        <v>9</v>
      </c>
      <c r="B22" s="25"/>
      <c r="C22" s="69"/>
      <c r="D22" s="70"/>
      <c r="E22" s="70"/>
      <c r="F22" s="46"/>
      <c r="G22" s="71"/>
      <c r="H22" s="3">
        <f t="shared" si="1"/>
        <v>9</v>
      </c>
      <c r="K22" s="171"/>
      <c r="L22" s="173"/>
      <c r="M22" s="173"/>
      <c r="N22" s="173"/>
      <c r="O22" s="1"/>
      <c r="P22" s="1"/>
      <c r="Q22" s="168"/>
      <c r="R22" s="168"/>
      <c r="S22" s="168"/>
      <c r="T22" s="168"/>
      <c r="U22" s="1"/>
    </row>
    <row r="23" spans="1:21" ht="22.5" x14ac:dyDescent="0.3">
      <c r="A23" s="3">
        <f t="shared" si="0"/>
        <v>10</v>
      </c>
      <c r="B23" s="64" t="s">
        <v>214</v>
      </c>
      <c r="C23" s="69"/>
      <c r="D23" s="70"/>
      <c r="E23" s="70"/>
      <c r="F23" s="46"/>
      <c r="G23" s="71"/>
      <c r="H23" s="3">
        <f t="shared" si="1"/>
        <v>10</v>
      </c>
      <c r="K23" s="171"/>
      <c r="L23" s="173"/>
      <c r="M23" s="173"/>
      <c r="N23" s="173"/>
      <c r="O23" s="1"/>
      <c r="P23" s="1"/>
      <c r="Q23" s="168"/>
      <c r="R23" s="168"/>
      <c r="S23" s="168"/>
      <c r="T23" s="168"/>
      <c r="U23" s="1"/>
    </row>
    <row r="24" spans="1:21" ht="22.5" x14ac:dyDescent="0.3">
      <c r="A24" s="3">
        <f t="shared" si="0"/>
        <v>11</v>
      </c>
      <c r="B24" s="64" t="s">
        <v>203</v>
      </c>
      <c r="C24" s="69"/>
      <c r="D24" s="70">
        <f>'M&amp;L C-I On-Peak Demand'!C55</f>
        <v>4.16</v>
      </c>
      <c r="E24" s="70">
        <f>'M&amp;L C-I On-Peak Demand'!C54</f>
        <v>4.17</v>
      </c>
      <c r="F24" s="46">
        <f>'M&amp;L C-I On-Peak Demand'!C53</f>
        <v>4.32</v>
      </c>
      <c r="G24" s="71" t="s">
        <v>444</v>
      </c>
      <c r="H24" s="3">
        <f t="shared" si="1"/>
        <v>11</v>
      </c>
      <c r="K24" s="171"/>
      <c r="L24" s="170"/>
      <c r="M24" s="170"/>
      <c r="N24" s="170"/>
      <c r="O24" s="1"/>
      <c r="P24" s="1"/>
      <c r="Q24" s="168"/>
      <c r="R24" s="168"/>
      <c r="S24" s="168"/>
      <c r="T24" s="168"/>
      <c r="U24" s="1"/>
    </row>
    <row r="25" spans="1:21" ht="22.5" x14ac:dyDescent="0.3">
      <c r="A25" s="3">
        <f t="shared" si="0"/>
        <v>12</v>
      </c>
      <c r="B25" s="64" t="s">
        <v>204</v>
      </c>
      <c r="C25" s="69"/>
      <c r="D25" s="70">
        <f>'M&amp;L C-I On-Peak Demand'!D55</f>
        <v>0.86</v>
      </c>
      <c r="E25" s="70">
        <f>'M&amp;L C-I On-Peak Demand'!D54</f>
        <v>0.86</v>
      </c>
      <c r="F25" s="46">
        <f>'M&amp;L C-I On-Peak Demand'!D53</f>
        <v>0.89</v>
      </c>
      <c r="G25" s="71" t="s">
        <v>445</v>
      </c>
      <c r="H25" s="3">
        <f t="shared" si="1"/>
        <v>12</v>
      </c>
      <c r="K25" s="171"/>
      <c r="L25" s="170"/>
      <c r="M25" s="170"/>
      <c r="N25" s="170"/>
      <c r="O25" s="1"/>
      <c r="P25" s="1"/>
      <c r="Q25" s="168"/>
      <c r="R25" s="168"/>
      <c r="S25" s="168"/>
      <c r="T25" s="168"/>
      <c r="U25" s="1"/>
    </row>
    <row r="26" spans="1:21" x14ac:dyDescent="0.3">
      <c r="A26" s="3">
        <f t="shared" si="0"/>
        <v>13</v>
      </c>
      <c r="B26" s="64"/>
      <c r="C26" s="69"/>
      <c r="D26" s="70"/>
      <c r="E26" s="70"/>
      <c r="F26" s="46"/>
      <c r="G26" s="71"/>
      <c r="H26" s="3">
        <f t="shared" si="1"/>
        <v>13</v>
      </c>
      <c r="K26" s="171"/>
      <c r="L26" s="173"/>
      <c r="M26" s="173"/>
      <c r="N26" s="173"/>
      <c r="O26" s="1"/>
      <c r="P26" s="1"/>
      <c r="Q26" s="168"/>
      <c r="R26" s="168"/>
      <c r="S26" s="168"/>
      <c r="T26" s="168"/>
      <c r="U26" s="1"/>
    </row>
    <row r="27" spans="1:21" ht="22.5" x14ac:dyDescent="0.3">
      <c r="A27" s="3">
        <f t="shared" si="0"/>
        <v>14</v>
      </c>
      <c r="B27" s="64" t="s">
        <v>215</v>
      </c>
      <c r="C27" s="69"/>
      <c r="D27" s="70"/>
      <c r="E27" s="70"/>
      <c r="F27" s="46"/>
      <c r="G27" s="71"/>
      <c r="H27" s="3">
        <f t="shared" si="1"/>
        <v>14</v>
      </c>
      <c r="K27" s="171"/>
      <c r="L27" s="173"/>
      <c r="M27" s="173"/>
      <c r="N27" s="173"/>
      <c r="O27" s="1"/>
      <c r="P27" s="1"/>
      <c r="Q27" s="168"/>
      <c r="R27" s="168"/>
      <c r="S27" s="168"/>
      <c r="T27" s="168"/>
      <c r="U27" s="1"/>
    </row>
    <row r="28" spans="1:21" ht="22.5" x14ac:dyDescent="0.3">
      <c r="A28" s="3">
        <f t="shared" si="0"/>
        <v>15</v>
      </c>
      <c r="B28" s="64" t="s">
        <v>203</v>
      </c>
      <c r="C28" s="69"/>
      <c r="D28" s="70">
        <f>'M&amp;L C-I On-Peak Demand'!E55</f>
        <v>3.86</v>
      </c>
      <c r="E28" s="70">
        <f>'M&amp;L C-I On-Peak Demand'!E54</f>
        <v>3.89</v>
      </c>
      <c r="F28" s="46">
        <f>'M&amp;L C-I On-Peak Demand'!E53</f>
        <v>4.0199999999999996</v>
      </c>
      <c r="G28" s="71" t="s">
        <v>313</v>
      </c>
      <c r="H28" s="3">
        <f t="shared" si="1"/>
        <v>15</v>
      </c>
      <c r="K28" s="171"/>
      <c r="L28" s="170"/>
      <c r="M28" s="170"/>
      <c r="N28" s="170"/>
      <c r="O28" s="1"/>
      <c r="P28" s="1"/>
      <c r="Q28" s="168"/>
      <c r="R28" s="168"/>
      <c r="S28" s="168"/>
      <c r="T28" s="168"/>
      <c r="U28" s="1"/>
    </row>
    <row r="29" spans="1:21" ht="22.5" x14ac:dyDescent="0.3">
      <c r="A29" s="3">
        <f t="shared" si="0"/>
        <v>16</v>
      </c>
      <c r="B29" s="64" t="s">
        <v>204</v>
      </c>
      <c r="C29" s="69"/>
      <c r="D29" s="70">
        <f>'M&amp;L C-I On-Peak Demand'!F55</f>
        <v>0.91</v>
      </c>
      <c r="E29" s="70">
        <f>'M&amp;L C-I On-Peak Demand'!F54</f>
        <v>0.92</v>
      </c>
      <c r="F29" s="46">
        <f>'M&amp;L C-I On-Peak Demand'!F53</f>
        <v>0.95</v>
      </c>
      <c r="G29" s="71" t="s">
        <v>314</v>
      </c>
      <c r="H29" s="3">
        <f t="shared" si="1"/>
        <v>16</v>
      </c>
      <c r="K29" s="171"/>
      <c r="L29" s="170"/>
      <c r="M29" s="170"/>
      <c r="N29" s="170"/>
      <c r="O29" s="1"/>
      <c r="P29" s="1"/>
      <c r="Q29" s="168"/>
      <c r="R29" s="168"/>
      <c r="S29" s="168"/>
      <c r="T29" s="168"/>
      <c r="U29" s="1"/>
    </row>
    <row r="30" spans="1:21" x14ac:dyDescent="0.3">
      <c r="A30" s="3">
        <f t="shared" si="0"/>
        <v>17</v>
      </c>
      <c r="B30" s="64"/>
      <c r="C30" s="69"/>
      <c r="D30" s="70"/>
      <c r="E30" s="70"/>
      <c r="F30" s="46"/>
      <c r="G30" s="71"/>
      <c r="H30" s="3">
        <f t="shared" si="1"/>
        <v>17</v>
      </c>
      <c r="K30" s="171"/>
      <c r="L30" s="170"/>
      <c r="M30" s="170"/>
      <c r="N30" s="170"/>
      <c r="O30" s="1"/>
      <c r="P30" s="1"/>
      <c r="Q30" s="168"/>
      <c r="R30" s="168"/>
      <c r="S30" s="168"/>
      <c r="T30" s="168"/>
      <c r="U30" s="1"/>
    </row>
    <row r="31" spans="1:21" ht="22.5" x14ac:dyDescent="0.3">
      <c r="A31" s="3">
        <f t="shared" si="0"/>
        <v>18</v>
      </c>
      <c r="B31" s="64" t="s">
        <v>216</v>
      </c>
      <c r="C31" s="69"/>
      <c r="D31" s="70"/>
      <c r="E31" s="70"/>
      <c r="F31" s="46"/>
      <c r="G31" s="71"/>
      <c r="H31" s="3">
        <f t="shared" si="1"/>
        <v>18</v>
      </c>
      <c r="K31" s="171"/>
      <c r="L31" s="170"/>
      <c r="M31" s="170"/>
      <c r="N31" s="170"/>
      <c r="O31" s="1"/>
      <c r="P31" s="1"/>
      <c r="Q31" s="168"/>
      <c r="R31" s="168"/>
      <c r="S31" s="168"/>
      <c r="T31" s="168"/>
      <c r="U31" s="1"/>
    </row>
    <row r="32" spans="1:21" ht="22.5" x14ac:dyDescent="0.3">
      <c r="A32" s="3">
        <f t="shared" si="0"/>
        <v>19</v>
      </c>
      <c r="B32" s="64" t="s">
        <v>203</v>
      </c>
      <c r="C32" s="69"/>
      <c r="D32" s="70">
        <f>'M&amp;L C-I System Peak Demand'!C56</f>
        <v>5.6</v>
      </c>
      <c r="E32" s="70">
        <f>'M&amp;L C-I System Peak Demand'!C55</f>
        <v>5.64</v>
      </c>
      <c r="F32" s="46">
        <f>'M&amp;L C-I System Peak Demand'!C54</f>
        <v>0</v>
      </c>
      <c r="G32" s="71" t="s">
        <v>446</v>
      </c>
      <c r="H32" s="3">
        <f t="shared" si="1"/>
        <v>19</v>
      </c>
      <c r="K32" s="171"/>
      <c r="L32" s="170"/>
      <c r="M32" s="170"/>
      <c r="N32" s="170"/>
      <c r="O32" s="1"/>
      <c r="P32" s="1"/>
      <c r="Q32" s="168"/>
      <c r="R32" s="168"/>
      <c r="S32" s="168"/>
      <c r="T32" s="168"/>
      <c r="U32" s="1"/>
    </row>
    <row r="33" spans="1:21" ht="22.5" x14ac:dyDescent="0.3">
      <c r="A33" s="3">
        <f t="shared" si="0"/>
        <v>20</v>
      </c>
      <c r="B33" s="64" t="s">
        <v>204</v>
      </c>
      <c r="C33" s="69"/>
      <c r="D33" s="70">
        <f>'M&amp;L C-I System Peak Demand'!D56</f>
        <v>1.03</v>
      </c>
      <c r="E33" s="70">
        <f>'M&amp;L C-I System Peak Demand'!D55</f>
        <v>1.04</v>
      </c>
      <c r="F33" s="46">
        <f>'M&amp;L C-I System Peak Demand'!D54</f>
        <v>0</v>
      </c>
      <c r="G33" s="71" t="s">
        <v>447</v>
      </c>
      <c r="H33" s="3">
        <f t="shared" si="1"/>
        <v>20</v>
      </c>
      <c r="K33" s="171"/>
      <c r="L33" s="170"/>
      <c r="M33" s="170"/>
      <c r="N33" s="170"/>
      <c r="O33" s="1"/>
      <c r="P33" s="1"/>
      <c r="Q33" s="168"/>
      <c r="R33" s="168"/>
      <c r="S33" s="168"/>
      <c r="T33" s="168"/>
      <c r="U33" s="1"/>
    </row>
    <row r="34" spans="1:21" x14ac:dyDescent="0.3">
      <c r="A34" s="3">
        <f t="shared" si="0"/>
        <v>21</v>
      </c>
      <c r="B34" s="64"/>
      <c r="C34" s="69"/>
      <c r="D34" s="70"/>
      <c r="E34" s="70"/>
      <c r="F34" s="46"/>
      <c r="G34" s="71"/>
      <c r="H34" s="3">
        <f t="shared" si="1"/>
        <v>21</v>
      </c>
      <c r="K34" s="171"/>
      <c r="L34" s="170"/>
      <c r="M34" s="170"/>
      <c r="N34" s="170"/>
      <c r="O34" s="1"/>
      <c r="P34" s="1"/>
      <c r="Q34" s="168"/>
      <c r="R34" s="168"/>
      <c r="S34" s="168"/>
      <c r="T34" s="168"/>
      <c r="U34" s="1"/>
    </row>
    <row r="35" spans="1:21" ht="22.5" x14ac:dyDescent="0.3">
      <c r="A35" s="3">
        <f t="shared" si="0"/>
        <v>22</v>
      </c>
      <c r="B35" s="64" t="s">
        <v>217</v>
      </c>
      <c r="C35" s="69"/>
      <c r="D35" s="70"/>
      <c r="E35" s="70"/>
      <c r="F35" s="46"/>
      <c r="G35" s="71"/>
      <c r="H35" s="3">
        <f t="shared" si="1"/>
        <v>22</v>
      </c>
      <c r="K35" s="171"/>
      <c r="L35" s="170"/>
      <c r="M35" s="170"/>
      <c r="N35" s="170"/>
      <c r="O35" s="1"/>
      <c r="P35" s="1"/>
      <c r="Q35" s="168"/>
      <c r="R35" s="168"/>
      <c r="S35" s="168"/>
      <c r="T35" s="168"/>
      <c r="U35" s="1"/>
    </row>
    <row r="36" spans="1:21" ht="22.5" x14ac:dyDescent="0.3">
      <c r="A36" s="3">
        <f t="shared" si="0"/>
        <v>23</v>
      </c>
      <c r="B36" s="64" t="s">
        <v>203</v>
      </c>
      <c r="C36" s="69"/>
      <c r="D36" s="70">
        <f>'M&amp;L C-I System Peak Demand'!E56</f>
        <v>5.33</v>
      </c>
      <c r="E36" s="70">
        <f>'M&amp;L C-I System Peak Demand'!E55</f>
        <v>5.35</v>
      </c>
      <c r="F36" s="70">
        <f>'M&amp;L C-I System Peak Demand'!E54</f>
        <v>0</v>
      </c>
      <c r="G36" s="71" t="s">
        <v>311</v>
      </c>
      <c r="H36" s="3">
        <f t="shared" si="1"/>
        <v>23</v>
      </c>
      <c r="K36" s="171"/>
      <c r="L36" s="170"/>
      <c r="M36" s="170"/>
      <c r="N36" s="170"/>
      <c r="O36" s="1"/>
      <c r="P36" s="1"/>
      <c r="Q36" s="168"/>
      <c r="R36" s="168"/>
      <c r="S36" s="168"/>
      <c r="T36" s="168"/>
      <c r="U36" s="1"/>
    </row>
    <row r="37" spans="1:21" ht="22.5" x14ac:dyDescent="0.3">
      <c r="A37" s="3">
        <f t="shared" si="0"/>
        <v>24</v>
      </c>
      <c r="B37" s="64" t="s">
        <v>204</v>
      </c>
      <c r="C37" s="69"/>
      <c r="D37" s="70">
        <f>'M&amp;L C-I System Peak Demand'!F56</f>
        <v>1.02</v>
      </c>
      <c r="E37" s="70">
        <f>'M&amp;L C-I System Peak Demand'!F55</f>
        <v>1.03</v>
      </c>
      <c r="F37" s="70">
        <f>'M&amp;L C-I System Peak Demand'!F54</f>
        <v>0</v>
      </c>
      <c r="G37" s="71" t="s">
        <v>312</v>
      </c>
      <c r="H37" s="3">
        <f t="shared" si="1"/>
        <v>24</v>
      </c>
      <c r="K37" s="171"/>
      <c r="L37" s="170"/>
      <c r="M37" s="170"/>
      <c r="N37" s="170"/>
      <c r="O37" s="1"/>
      <c r="P37" s="1"/>
      <c r="Q37" s="168"/>
      <c r="R37" s="168"/>
      <c r="S37" s="168"/>
      <c r="T37" s="168"/>
      <c r="U37" s="1"/>
    </row>
    <row r="38" spans="1:21" x14ac:dyDescent="0.3">
      <c r="A38" s="3">
        <f t="shared" si="0"/>
        <v>25</v>
      </c>
      <c r="B38" s="64"/>
      <c r="C38" s="69"/>
      <c r="D38" s="70"/>
      <c r="E38" s="70"/>
      <c r="F38" s="46"/>
      <c r="G38" s="71"/>
      <c r="H38" s="3">
        <f t="shared" si="1"/>
        <v>25</v>
      </c>
      <c r="K38" s="171"/>
      <c r="L38" s="170"/>
      <c r="M38" s="170"/>
      <c r="N38" s="170"/>
      <c r="O38" s="1"/>
      <c r="P38" s="1"/>
      <c r="Q38" s="168"/>
      <c r="R38" s="168"/>
      <c r="S38" s="168"/>
      <c r="T38" s="168"/>
      <c r="U38" s="1"/>
    </row>
    <row r="39" spans="1:21" x14ac:dyDescent="0.3">
      <c r="A39" s="3">
        <f t="shared" si="0"/>
        <v>26</v>
      </c>
      <c r="B39" s="25" t="s">
        <v>212</v>
      </c>
      <c r="C39" s="69">
        <f>'Transmission Energy Rates'!E19</f>
        <v>5.5570000000000001E-2</v>
      </c>
      <c r="D39" s="70"/>
      <c r="E39" s="70"/>
      <c r="F39" s="46"/>
      <c r="G39" s="71" t="s">
        <v>299</v>
      </c>
      <c r="H39" s="3">
        <f t="shared" si="1"/>
        <v>26</v>
      </c>
      <c r="K39" s="169"/>
      <c r="L39" s="170"/>
      <c r="M39" s="170"/>
      <c r="N39" s="170"/>
      <c r="O39" s="1"/>
      <c r="P39" s="1"/>
      <c r="Q39" s="168"/>
      <c r="R39" s="168"/>
      <c r="S39" s="168"/>
      <c r="T39" s="168"/>
      <c r="U39" s="1"/>
    </row>
    <row r="40" spans="1:21" x14ac:dyDescent="0.3">
      <c r="A40" s="3">
        <f t="shared" si="0"/>
        <v>27</v>
      </c>
      <c r="B40" s="64"/>
      <c r="C40" s="69"/>
      <c r="D40" s="70"/>
      <c r="E40" s="70"/>
      <c r="F40" s="46"/>
      <c r="G40" s="71"/>
      <c r="H40" s="3">
        <f t="shared" si="1"/>
        <v>27</v>
      </c>
      <c r="K40" s="171"/>
      <c r="L40" s="170"/>
      <c r="M40" s="170"/>
      <c r="N40" s="170"/>
      <c r="O40" s="1"/>
      <c r="P40" s="1"/>
      <c r="Q40" s="168"/>
      <c r="R40" s="168"/>
      <c r="S40" s="168"/>
      <c r="T40" s="168"/>
      <c r="U40" s="1"/>
    </row>
    <row r="41" spans="1:21" x14ac:dyDescent="0.3">
      <c r="A41" s="3">
        <f t="shared" si="0"/>
        <v>28</v>
      </c>
      <c r="B41" s="25" t="s">
        <v>341</v>
      </c>
      <c r="C41" s="69"/>
      <c r="D41" s="70"/>
      <c r="E41" s="70"/>
      <c r="F41" s="46"/>
      <c r="G41" s="71"/>
      <c r="H41" s="3">
        <f t="shared" si="1"/>
        <v>28</v>
      </c>
      <c r="K41" s="171"/>
      <c r="L41" s="170"/>
      <c r="M41" s="170"/>
      <c r="N41" s="170"/>
      <c r="O41" s="1"/>
      <c r="P41" s="1"/>
      <c r="Q41" s="168"/>
      <c r="R41" s="168"/>
      <c r="S41" s="168"/>
      <c r="T41" s="168"/>
      <c r="U41" s="1"/>
    </row>
    <row r="42" spans="1:21" ht="22.5" x14ac:dyDescent="0.3">
      <c r="A42" s="3">
        <f t="shared" si="0"/>
        <v>29</v>
      </c>
      <c r="B42" s="64" t="s">
        <v>181</v>
      </c>
      <c r="C42" s="69"/>
      <c r="D42" s="70"/>
      <c r="E42" s="70">
        <f>'San Diego Unified Port District'!C23</f>
        <v>1.1299999999999999</v>
      </c>
      <c r="F42" s="46"/>
      <c r="G42" s="71" t="s">
        <v>358</v>
      </c>
      <c r="H42" s="3">
        <f t="shared" si="1"/>
        <v>29</v>
      </c>
      <c r="K42" s="171"/>
      <c r="L42" s="170"/>
      <c r="M42" s="170"/>
      <c r="N42" s="170"/>
      <c r="O42" s="1"/>
      <c r="P42" s="1"/>
      <c r="Q42" s="168"/>
      <c r="R42" s="168"/>
      <c r="S42" s="168"/>
      <c r="T42" s="168"/>
      <c r="U42" s="1"/>
    </row>
    <row r="43" spans="1:21" ht="22.5" x14ac:dyDescent="0.3">
      <c r="A43" s="3">
        <f t="shared" si="0"/>
        <v>30</v>
      </c>
      <c r="B43" s="64" t="s">
        <v>216</v>
      </c>
      <c r="C43" s="69"/>
      <c r="D43" s="70"/>
      <c r="E43" s="70"/>
      <c r="F43" s="46"/>
      <c r="G43" s="71"/>
      <c r="H43" s="3">
        <f t="shared" si="1"/>
        <v>30</v>
      </c>
      <c r="K43" s="171"/>
      <c r="L43" s="170"/>
      <c r="M43" s="173"/>
      <c r="N43" s="170"/>
      <c r="O43" s="1"/>
      <c r="P43" s="1"/>
      <c r="Q43" s="168"/>
      <c r="R43" s="168"/>
      <c r="S43" s="168"/>
      <c r="T43" s="168"/>
      <c r="U43" s="1"/>
    </row>
    <row r="44" spans="1:21" ht="22.5" x14ac:dyDescent="0.3">
      <c r="A44" s="3">
        <f t="shared" si="0"/>
        <v>31</v>
      </c>
      <c r="B44" s="64" t="s">
        <v>203</v>
      </c>
      <c r="C44" s="69"/>
      <c r="D44" s="70"/>
      <c r="E44" s="70">
        <f>'San Diego Unified Port District'!C33</f>
        <v>2.34</v>
      </c>
      <c r="F44" s="46"/>
      <c r="G44" s="71" t="s">
        <v>359</v>
      </c>
      <c r="H44" s="3">
        <f t="shared" si="1"/>
        <v>31</v>
      </c>
      <c r="K44" s="171"/>
      <c r="L44" s="170"/>
      <c r="M44" s="170"/>
      <c r="N44" s="170"/>
      <c r="O44" s="1"/>
      <c r="P44" s="1"/>
      <c r="Q44" s="168"/>
      <c r="R44" s="168"/>
      <c r="S44" s="168"/>
      <c r="T44" s="168"/>
      <c r="U44" s="1"/>
    </row>
    <row r="45" spans="1:21" ht="22.5" x14ac:dyDescent="0.3">
      <c r="A45" s="3">
        <f t="shared" si="0"/>
        <v>32</v>
      </c>
      <c r="B45" s="64" t="s">
        <v>204</v>
      </c>
      <c r="C45" s="69"/>
      <c r="D45" s="70"/>
      <c r="E45" s="70">
        <f>'San Diego Unified Port District'!C33</f>
        <v>2.34</v>
      </c>
      <c r="F45" s="46"/>
      <c r="G45" s="71" t="s">
        <v>359</v>
      </c>
      <c r="H45" s="3">
        <f t="shared" si="1"/>
        <v>32</v>
      </c>
      <c r="K45" s="171"/>
      <c r="L45" s="170"/>
      <c r="M45" s="170"/>
      <c r="N45" s="170"/>
      <c r="O45" s="1"/>
      <c r="P45" s="1"/>
      <c r="Q45" s="168"/>
      <c r="R45" s="168"/>
      <c r="S45" s="168"/>
      <c r="T45" s="168"/>
      <c r="U45" s="1"/>
    </row>
    <row r="46" spans="1:21" x14ac:dyDescent="0.3">
      <c r="A46" s="3">
        <f t="shared" si="0"/>
        <v>33</v>
      </c>
      <c r="B46" s="64"/>
      <c r="C46" s="69"/>
      <c r="D46" s="70"/>
      <c r="E46" s="70"/>
      <c r="F46" s="46"/>
      <c r="G46" s="71"/>
      <c r="H46" s="3">
        <f t="shared" si="1"/>
        <v>33</v>
      </c>
      <c r="K46" s="171"/>
      <c r="L46" s="170"/>
      <c r="M46" s="170"/>
      <c r="N46" s="170"/>
      <c r="O46" s="1"/>
      <c r="P46" s="1"/>
      <c r="Q46" s="168"/>
      <c r="R46" s="168"/>
      <c r="S46" s="168"/>
      <c r="T46" s="168"/>
      <c r="U46" s="1"/>
    </row>
    <row r="47" spans="1:21" x14ac:dyDescent="0.3">
      <c r="A47" s="3">
        <f t="shared" si="0"/>
        <v>34</v>
      </c>
      <c r="B47" s="25" t="s">
        <v>201</v>
      </c>
      <c r="C47" s="69">
        <f>'Transmission Energy Rates'!F19</f>
        <v>3.3610000000000001E-2</v>
      </c>
      <c r="D47" s="70"/>
      <c r="E47" s="70"/>
      <c r="F47" s="46"/>
      <c r="G47" s="71" t="s">
        <v>300</v>
      </c>
      <c r="H47" s="3">
        <f t="shared" si="1"/>
        <v>34</v>
      </c>
      <c r="K47" s="169"/>
      <c r="L47" s="170"/>
      <c r="M47" s="170"/>
      <c r="N47" s="170"/>
      <c r="O47" s="1"/>
      <c r="P47" s="1"/>
      <c r="Q47" s="168"/>
      <c r="R47" s="168"/>
      <c r="S47" s="168"/>
      <c r="T47" s="168"/>
      <c r="U47" s="1"/>
    </row>
    <row r="48" spans="1:21" x14ac:dyDescent="0.3">
      <c r="A48" s="3">
        <f t="shared" si="0"/>
        <v>35</v>
      </c>
      <c r="B48" s="25"/>
      <c r="C48" s="69"/>
      <c r="D48" s="70"/>
      <c r="E48" s="70"/>
      <c r="F48" s="46"/>
      <c r="G48" s="71"/>
      <c r="H48" s="3">
        <f t="shared" si="1"/>
        <v>35</v>
      </c>
      <c r="K48" s="171"/>
      <c r="L48" s="170"/>
      <c r="M48" s="170"/>
      <c r="N48" s="170"/>
      <c r="O48" s="1"/>
      <c r="P48" s="1"/>
      <c r="Q48" s="168"/>
      <c r="R48" s="168"/>
      <c r="S48" s="168"/>
      <c r="T48" s="168"/>
      <c r="U48" s="1"/>
    </row>
    <row r="49" spans="1:21" ht="22.5" x14ac:dyDescent="0.3">
      <c r="A49" s="3">
        <f t="shared" si="0"/>
        <v>36</v>
      </c>
      <c r="B49" s="25" t="s">
        <v>448</v>
      </c>
      <c r="C49" s="69"/>
      <c r="D49" s="70"/>
      <c r="E49" s="70"/>
      <c r="F49" s="46"/>
      <c r="G49" s="71"/>
      <c r="H49" s="3">
        <f t="shared" si="1"/>
        <v>36</v>
      </c>
      <c r="K49" s="171"/>
      <c r="L49" s="170"/>
      <c r="M49" s="170"/>
      <c r="N49" s="170"/>
      <c r="O49" s="1"/>
      <c r="P49" s="1"/>
      <c r="Q49" s="168"/>
      <c r="R49" s="168"/>
      <c r="S49" s="168"/>
      <c r="T49" s="168"/>
      <c r="U49" s="1"/>
    </row>
    <row r="50" spans="1:21" x14ac:dyDescent="0.3">
      <c r="A50" s="3">
        <f t="shared" si="0"/>
        <v>37</v>
      </c>
      <c r="B50" s="64" t="s">
        <v>202</v>
      </c>
      <c r="C50" s="69"/>
      <c r="D50" s="70">
        <f>'AG NCD'!C52</f>
        <v>9.61</v>
      </c>
      <c r="E50" s="70">
        <f>'AG NCD'!C51</f>
        <v>9.66</v>
      </c>
      <c r="F50" s="46">
        <f>'AG NCD'!C50</f>
        <v>10</v>
      </c>
      <c r="G50" s="71" t="s">
        <v>356</v>
      </c>
      <c r="H50" s="3">
        <f t="shared" si="1"/>
        <v>37</v>
      </c>
      <c r="K50" s="171"/>
      <c r="L50" s="170"/>
      <c r="M50" s="170"/>
      <c r="N50" s="170"/>
      <c r="O50" s="1"/>
      <c r="P50" s="1"/>
      <c r="Q50" s="168"/>
      <c r="R50" s="168"/>
      <c r="S50" s="168"/>
      <c r="T50" s="168"/>
      <c r="U50" s="1"/>
    </row>
    <row r="51" spans="1:21" x14ac:dyDescent="0.3">
      <c r="A51" s="3">
        <f t="shared" si="0"/>
        <v>38</v>
      </c>
      <c r="B51" s="25"/>
      <c r="C51" s="3"/>
      <c r="D51" s="3"/>
      <c r="E51" s="3"/>
      <c r="F51" s="27"/>
      <c r="G51" s="71"/>
      <c r="H51" s="3">
        <f t="shared" si="1"/>
        <v>38</v>
      </c>
      <c r="K51" s="1"/>
      <c r="L51" s="174"/>
      <c r="M51" s="174"/>
      <c r="N51" s="175"/>
      <c r="O51" s="1"/>
      <c r="P51" s="1"/>
      <c r="Q51" s="168"/>
      <c r="R51" s="168"/>
      <c r="S51" s="168"/>
      <c r="T51" s="168"/>
      <c r="U51" s="1"/>
    </row>
    <row r="52" spans="1:21" x14ac:dyDescent="0.3">
      <c r="A52" s="3">
        <f t="shared" si="0"/>
        <v>39</v>
      </c>
      <c r="B52" s="4" t="s">
        <v>35</v>
      </c>
      <c r="C52" s="69">
        <f>'Transmission Energy Rates'!G19</f>
        <v>4.3999999999999997E-2</v>
      </c>
      <c r="D52" s="70"/>
      <c r="E52" s="70"/>
      <c r="F52" s="70"/>
      <c r="G52" s="71" t="s">
        <v>301</v>
      </c>
      <c r="H52" s="3">
        <f t="shared" si="1"/>
        <v>39</v>
      </c>
      <c r="K52" s="169"/>
      <c r="L52" s="173"/>
      <c r="M52" s="173"/>
      <c r="N52" s="173"/>
      <c r="O52" s="1"/>
      <c r="P52" s="1"/>
      <c r="Q52" s="168"/>
      <c r="R52" s="168"/>
      <c r="S52" s="168"/>
      <c r="T52" s="168"/>
      <c r="U52" s="1"/>
    </row>
    <row r="53" spans="1:21" x14ac:dyDescent="0.3">
      <c r="A53" s="3">
        <f t="shared" si="0"/>
        <v>40</v>
      </c>
      <c r="B53" s="4"/>
      <c r="C53" s="3"/>
      <c r="D53" s="3"/>
      <c r="E53" s="3"/>
      <c r="F53" s="27"/>
      <c r="G53" s="71"/>
      <c r="H53" s="3">
        <f t="shared" si="1"/>
        <v>40</v>
      </c>
      <c r="K53" s="1"/>
      <c r="L53" s="174"/>
      <c r="M53" s="174"/>
      <c r="N53" s="175"/>
      <c r="O53" s="1"/>
      <c r="P53" s="1"/>
      <c r="Q53" s="168"/>
      <c r="R53" s="168"/>
      <c r="S53" s="168"/>
      <c r="T53" s="168"/>
      <c r="U53" s="1"/>
    </row>
    <row r="54" spans="1:21" x14ac:dyDescent="0.3">
      <c r="A54" s="3">
        <f t="shared" si="0"/>
        <v>41</v>
      </c>
      <c r="B54" s="4" t="s">
        <v>118</v>
      </c>
      <c r="C54" s="69"/>
      <c r="D54" s="70">
        <f>'Standby Demand'!C49</f>
        <v>7.15</v>
      </c>
      <c r="E54" s="70">
        <f>'Standby Demand'!C48</f>
        <v>7.19</v>
      </c>
      <c r="F54" s="70">
        <f>'Standby Demand'!C47</f>
        <v>7.42</v>
      </c>
      <c r="G54" s="71" t="s">
        <v>449</v>
      </c>
      <c r="H54" s="3">
        <f t="shared" si="1"/>
        <v>41</v>
      </c>
      <c r="K54" s="171"/>
      <c r="L54" s="170"/>
      <c r="M54" s="170"/>
      <c r="N54" s="170"/>
      <c r="O54" s="1"/>
      <c r="P54" s="1"/>
      <c r="Q54" s="168"/>
      <c r="R54" s="168"/>
      <c r="S54" s="168"/>
      <c r="T54" s="168"/>
      <c r="U54" s="1"/>
    </row>
    <row r="55" spans="1:21" x14ac:dyDescent="0.3">
      <c r="A55" s="2"/>
      <c r="B55" s="11"/>
      <c r="C55" s="11"/>
      <c r="D55" s="11"/>
      <c r="E55" s="11"/>
      <c r="F55" s="11"/>
      <c r="G55" s="11"/>
      <c r="H55" s="11"/>
    </row>
    <row r="56" spans="1:21" x14ac:dyDescent="0.3">
      <c r="B56" s="13" t="s">
        <v>92</v>
      </c>
    </row>
    <row r="57" spans="1:21" ht="9" hidden="1" customHeight="1" x14ac:dyDescent="0.3">
      <c r="B57" s="13"/>
    </row>
    <row r="58" spans="1:21" ht="22.5" x14ac:dyDescent="0.3">
      <c r="A58" s="67">
        <v>1</v>
      </c>
      <c r="B58" s="12" t="s">
        <v>276</v>
      </c>
    </row>
    <row r="59" spans="1:21" ht="22.5" x14ac:dyDescent="0.3">
      <c r="A59" s="67">
        <v>2</v>
      </c>
      <c r="B59" s="12" t="s">
        <v>510</v>
      </c>
    </row>
    <row r="60" spans="1:21" ht="22.5" x14ac:dyDescent="0.3">
      <c r="A60" s="67">
        <v>3</v>
      </c>
      <c r="B60" s="12" t="s">
        <v>511</v>
      </c>
    </row>
    <row r="61" spans="1:21" ht="22.5" x14ac:dyDescent="0.3">
      <c r="A61" s="67"/>
      <c r="B61" s="12" t="s">
        <v>249</v>
      </c>
    </row>
    <row r="62" spans="1:21" ht="22.5" x14ac:dyDescent="0.3">
      <c r="A62" s="67">
        <v>4</v>
      </c>
      <c r="B62" s="12" t="s">
        <v>228</v>
      </c>
    </row>
    <row r="63" spans="1:21" ht="22.5" x14ac:dyDescent="0.3">
      <c r="A63" s="67"/>
      <c r="B63" s="12" t="s">
        <v>229</v>
      </c>
    </row>
    <row r="64" spans="1:21" ht="22.5" x14ac:dyDescent="0.3">
      <c r="A64" s="67">
        <v>5</v>
      </c>
      <c r="B64" s="12" t="s">
        <v>218</v>
      </c>
    </row>
    <row r="65" spans="1:2" ht="22.5" x14ac:dyDescent="0.3">
      <c r="A65" s="67">
        <v>6</v>
      </c>
      <c r="B65" s="12" t="s">
        <v>273</v>
      </c>
    </row>
    <row r="66" spans="1:2" x14ac:dyDescent="0.3">
      <c r="A66" s="1"/>
    </row>
    <row r="67" spans="1:2" x14ac:dyDescent="0.3">
      <c r="A67" s="1"/>
    </row>
    <row r="68" spans="1:2" x14ac:dyDescent="0.3">
      <c r="A68" s="1"/>
    </row>
    <row r="69" spans="1:2" x14ac:dyDescent="0.3">
      <c r="A69" s="1"/>
    </row>
    <row r="70" spans="1:2" x14ac:dyDescent="0.3">
      <c r="A70" s="1"/>
    </row>
    <row r="71" spans="1:2" x14ac:dyDescent="0.3">
      <c r="A71" s="1"/>
    </row>
    <row r="72" spans="1:2" x14ac:dyDescent="0.3">
      <c r="A72" s="1"/>
    </row>
    <row r="73" spans="1:2" x14ac:dyDescent="0.3">
      <c r="A73" s="1"/>
    </row>
    <row r="74" spans="1:2" x14ac:dyDescent="0.3">
      <c r="A74" s="1"/>
    </row>
    <row r="75" spans="1:2" x14ac:dyDescent="0.3">
      <c r="A75" s="1"/>
    </row>
    <row r="76" spans="1:2" x14ac:dyDescent="0.3">
      <c r="A76" s="1"/>
    </row>
    <row r="77" spans="1:2" x14ac:dyDescent="0.3">
      <c r="A77" s="1"/>
    </row>
    <row r="78" spans="1:2" x14ac:dyDescent="0.3">
      <c r="A78" s="1"/>
    </row>
    <row r="79" spans="1:2" x14ac:dyDescent="0.3">
      <c r="A79" s="1"/>
    </row>
    <row r="80" spans="1:2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</sheetData>
  <mergeCells count="6">
    <mergeCell ref="K12:T12"/>
    <mergeCell ref="A1:H1"/>
    <mergeCell ref="A5:H5"/>
    <mergeCell ref="A4:H4"/>
    <mergeCell ref="A3:H3"/>
    <mergeCell ref="A2:H2"/>
  </mergeCells>
  <phoneticPr fontId="0" type="noConversion"/>
  <printOptions horizontalCentered="1"/>
  <pageMargins left="0.25" right="0.25" top="0.5" bottom="0.5" header="0.25" footer="0.25"/>
  <pageSetup scale="49" orientation="portrait" r:id="rId1"/>
  <headerFooter scaleWithDoc="0">
    <oddFooter>&amp;L&amp;"Times New Roman,Regular"&amp;9Statement BL-Summary of Transmission Rates&amp;C&amp;"Times New Roman,Regular"&amp;9Page BL-&amp;P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G151"/>
  <sheetViews>
    <sheetView zoomScale="75" zoomScaleNormal="75" zoomScaleSheetLayoutView="100" workbookViewId="0">
      <selection activeCell="F43" sqref="F43"/>
    </sheetView>
  </sheetViews>
  <sheetFormatPr defaultColWidth="9.140625" defaultRowHeight="18.75" x14ac:dyDescent="0.3"/>
  <cols>
    <col min="1" max="1" width="5.85546875" style="12" bestFit="1" customWidth="1"/>
    <col min="2" max="2" width="57.85546875" style="12" customWidth="1"/>
    <col min="3" max="4" width="18.28515625" style="12" bestFit="1" customWidth="1"/>
    <col min="5" max="5" width="12.85546875" style="12" bestFit="1" customWidth="1"/>
    <col min="6" max="6" width="75.7109375" style="12" customWidth="1"/>
    <col min="7" max="7" width="5.85546875" style="12" bestFit="1" customWidth="1"/>
    <col min="8" max="16384" width="9.140625" style="12"/>
  </cols>
  <sheetData>
    <row r="1" spans="1:7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</row>
    <row r="2" spans="1:7" x14ac:dyDescent="0.3">
      <c r="A2" s="179" t="str">
        <f>'Transmission Rates Summary'!A2:H2</f>
        <v>SAN DIEGO GAS AND ELECTRIC COMPANY</v>
      </c>
      <c r="B2" s="179"/>
      <c r="C2" s="179"/>
      <c r="D2" s="179"/>
      <c r="E2" s="179"/>
      <c r="F2" s="179"/>
      <c r="G2" s="179"/>
    </row>
    <row r="3" spans="1:7" x14ac:dyDescent="0.3">
      <c r="A3" s="179" t="str">
        <f>'Transmission Rates Summary'!A3:H3</f>
        <v>Rate Design Information</v>
      </c>
      <c r="B3" s="179"/>
      <c r="C3" s="179"/>
      <c r="D3" s="179"/>
      <c r="E3" s="179"/>
      <c r="F3" s="179"/>
      <c r="G3" s="179"/>
    </row>
    <row r="4" spans="1:7" x14ac:dyDescent="0.3">
      <c r="A4" s="179" t="s">
        <v>89</v>
      </c>
      <c r="B4" s="179"/>
      <c r="C4" s="179"/>
      <c r="D4" s="179"/>
      <c r="E4" s="179"/>
      <c r="F4" s="179"/>
      <c r="G4" s="179"/>
    </row>
    <row r="5" spans="1:7" x14ac:dyDescent="0.3">
      <c r="A5" s="185" t="s">
        <v>275</v>
      </c>
      <c r="B5" s="185"/>
      <c r="C5" s="185"/>
      <c r="D5" s="185"/>
      <c r="E5" s="185"/>
      <c r="F5" s="185"/>
      <c r="G5" s="185"/>
    </row>
    <row r="6" spans="1:7" ht="18.75" customHeight="1" x14ac:dyDescent="0.3">
      <c r="A6" s="179" t="str">
        <f>'Allocation of Base TRR - 12 CPS'!A6:G6</f>
        <v>($000)</v>
      </c>
      <c r="B6" s="179"/>
      <c r="C6" s="179"/>
      <c r="D6" s="179"/>
      <c r="E6" s="179"/>
      <c r="F6" s="179"/>
      <c r="G6" s="179"/>
    </row>
    <row r="8" spans="1:7" x14ac:dyDescent="0.3">
      <c r="A8" s="15"/>
      <c r="B8" s="15"/>
      <c r="C8" s="15" t="s">
        <v>24</v>
      </c>
      <c r="D8" s="15" t="s">
        <v>25</v>
      </c>
      <c r="E8" s="15" t="s">
        <v>26</v>
      </c>
      <c r="F8" s="15"/>
      <c r="G8" s="15"/>
    </row>
    <row r="9" spans="1:7" x14ac:dyDescent="0.3">
      <c r="A9" s="3"/>
      <c r="B9" s="4"/>
      <c r="C9" s="3"/>
      <c r="D9" s="3"/>
      <c r="E9" s="3"/>
      <c r="F9" s="3"/>
      <c r="G9" s="3"/>
    </row>
    <row r="10" spans="1:7" x14ac:dyDescent="0.3">
      <c r="A10" s="3"/>
      <c r="B10" s="4"/>
      <c r="C10" s="3"/>
      <c r="D10" s="3"/>
      <c r="E10" s="3"/>
      <c r="F10" s="3"/>
      <c r="G10" s="3"/>
    </row>
    <row r="11" spans="1:7" x14ac:dyDescent="0.3">
      <c r="A11" s="3"/>
      <c r="B11" s="4"/>
      <c r="C11" s="3" t="s">
        <v>38</v>
      </c>
      <c r="D11" s="3" t="s">
        <v>38</v>
      </c>
      <c r="E11" s="3"/>
      <c r="F11" s="3"/>
      <c r="G11" s="3"/>
    </row>
    <row r="12" spans="1:7" x14ac:dyDescent="0.3">
      <c r="A12" s="3" t="s">
        <v>29</v>
      </c>
      <c r="B12" s="4"/>
      <c r="C12" s="3" t="s">
        <v>39</v>
      </c>
      <c r="D12" s="3" t="s">
        <v>41</v>
      </c>
      <c r="E12" s="3"/>
      <c r="F12" s="3"/>
      <c r="G12" s="3" t="s">
        <v>29</v>
      </c>
    </row>
    <row r="13" spans="1:7" ht="22.5" x14ac:dyDescent="0.3">
      <c r="A13" s="2" t="s">
        <v>31</v>
      </c>
      <c r="B13" s="2" t="s">
        <v>32</v>
      </c>
      <c r="C13" s="2" t="s">
        <v>40</v>
      </c>
      <c r="D13" s="2" t="s">
        <v>42</v>
      </c>
      <c r="E13" s="2" t="s">
        <v>43</v>
      </c>
      <c r="F13" s="2" t="s">
        <v>172</v>
      </c>
      <c r="G13" s="2" t="s">
        <v>31</v>
      </c>
    </row>
    <row r="14" spans="1:7" x14ac:dyDescent="0.3">
      <c r="A14" s="17"/>
      <c r="B14" s="15"/>
      <c r="C14" s="15"/>
      <c r="D14" s="15"/>
      <c r="E14" s="15"/>
      <c r="F14" s="18"/>
      <c r="G14" s="18"/>
    </row>
    <row r="15" spans="1:7" x14ac:dyDescent="0.3">
      <c r="A15" s="20">
        <v>1</v>
      </c>
      <c r="B15" s="4" t="s">
        <v>34</v>
      </c>
      <c r="C15" s="34">
        <f>'Allocation of Base TRR - 12 CPS'!E17</f>
        <v>534145.82534193306</v>
      </c>
      <c r="D15" s="34" t="e">
        <f>'Transmission Energy Rates'!#REF!</f>
        <v>#REF!</v>
      </c>
      <c r="E15" s="34" t="e">
        <f>C15-D15</f>
        <v>#REF!</v>
      </c>
      <c r="F15" s="35" t="s">
        <v>252</v>
      </c>
      <c r="G15" s="21">
        <v>1</v>
      </c>
    </row>
    <row r="16" spans="1:7" x14ac:dyDescent="0.3">
      <c r="A16" s="20">
        <f>A15+1</f>
        <v>2</v>
      </c>
      <c r="B16" s="25"/>
      <c r="C16" s="34"/>
      <c r="D16" s="34"/>
      <c r="E16" s="36"/>
      <c r="F16" s="37" t="s">
        <v>253</v>
      </c>
      <c r="G16" s="21">
        <f>G15+1</f>
        <v>2</v>
      </c>
    </row>
    <row r="17" spans="1:7" x14ac:dyDescent="0.3">
      <c r="A17" s="20">
        <f t="shared" ref="A17:A29" si="0">A16+1</f>
        <v>3</v>
      </c>
      <c r="B17" s="4" t="s">
        <v>36</v>
      </c>
      <c r="C17" s="5">
        <f>'Allocation of Base TRR - 12 CPS'!E18</f>
        <v>138293.53909161562</v>
      </c>
      <c r="D17" s="5" t="e">
        <f>'Transmission Energy Rates'!#REF!</f>
        <v>#REF!</v>
      </c>
      <c r="E17" s="5" t="e">
        <f>C17-D17</f>
        <v>#REF!</v>
      </c>
      <c r="F17" s="35" t="s">
        <v>254</v>
      </c>
      <c r="G17" s="21">
        <f t="shared" ref="G17:G29" si="1">G16+1</f>
        <v>3</v>
      </c>
    </row>
    <row r="18" spans="1:7" x14ac:dyDescent="0.3">
      <c r="A18" s="20">
        <f t="shared" si="0"/>
        <v>4</v>
      </c>
      <c r="B18" s="38"/>
      <c r="C18" s="5"/>
      <c r="D18" s="5"/>
      <c r="E18" s="5"/>
      <c r="F18" s="35" t="s">
        <v>255</v>
      </c>
      <c r="G18" s="21">
        <f t="shared" si="1"/>
        <v>4</v>
      </c>
    </row>
    <row r="19" spans="1:7" ht="22.5" x14ac:dyDescent="0.3">
      <c r="A19" s="20">
        <f t="shared" si="0"/>
        <v>5</v>
      </c>
      <c r="B19" s="4" t="s">
        <v>227</v>
      </c>
      <c r="C19" s="27">
        <f>'Allocation of Base TRR - 12 CPS'!E19</f>
        <v>499123.70608998579</v>
      </c>
      <c r="D19" s="118" t="e">
        <f>'Med &amp; Lrg C-I NCD'!#REF!-('M&amp;L C-I On-Peak Demand'!#REF!+'M&amp;L C-I System Peak Demand'!#REF!)</f>
        <v>#REF!</v>
      </c>
      <c r="E19" s="118" t="e">
        <f>C19-D19</f>
        <v>#REF!</v>
      </c>
      <c r="F19" s="35" t="s">
        <v>256</v>
      </c>
      <c r="G19" s="21">
        <f t="shared" si="1"/>
        <v>5</v>
      </c>
    </row>
    <row r="20" spans="1:7" ht="37.5" x14ac:dyDescent="0.3">
      <c r="A20" s="20">
        <f t="shared" si="0"/>
        <v>6</v>
      </c>
      <c r="B20" s="4"/>
      <c r="C20" s="27"/>
      <c r="D20" s="27"/>
      <c r="E20" s="27"/>
      <c r="F20" s="81" t="s">
        <v>257</v>
      </c>
      <c r="G20" s="21">
        <f t="shared" si="1"/>
        <v>6</v>
      </c>
    </row>
    <row r="21" spans="1:7" x14ac:dyDescent="0.3">
      <c r="A21" s="20">
        <f t="shared" si="0"/>
        <v>7</v>
      </c>
      <c r="B21" s="4"/>
      <c r="C21" s="27"/>
      <c r="D21" s="27"/>
      <c r="E21" s="27"/>
      <c r="F21" s="81"/>
      <c r="G21" s="21"/>
    </row>
    <row r="22" spans="1:7" x14ac:dyDescent="0.3">
      <c r="A22" s="20">
        <f t="shared" si="0"/>
        <v>8</v>
      </c>
      <c r="B22" s="4" t="s">
        <v>188</v>
      </c>
      <c r="C22" s="27">
        <f>'Allocation of Base TRR - 12 CPS'!E21</f>
        <v>13151.785428276911</v>
      </c>
      <c r="D22" s="27" t="e">
        <f>'AG NCD'!C15+'AG NCD'!#REF!</f>
        <v>#REF!</v>
      </c>
      <c r="E22" s="27" t="e">
        <f t="shared" ref="E22:E27" si="2">C22-D22</f>
        <v>#REF!</v>
      </c>
      <c r="F22" s="35" t="s">
        <v>258</v>
      </c>
      <c r="G22" s="21">
        <f>G20+1</f>
        <v>7</v>
      </c>
    </row>
    <row r="23" spans="1:7" x14ac:dyDescent="0.3">
      <c r="A23" s="20">
        <f t="shared" si="0"/>
        <v>9</v>
      </c>
      <c r="B23" s="4"/>
      <c r="C23" s="27"/>
      <c r="D23" s="27"/>
      <c r="E23" s="27"/>
      <c r="F23" s="81" t="s">
        <v>259</v>
      </c>
      <c r="G23" s="21">
        <f t="shared" si="1"/>
        <v>8</v>
      </c>
    </row>
    <row r="24" spans="1:7" x14ac:dyDescent="0.3">
      <c r="A24" s="20">
        <f t="shared" si="0"/>
        <v>10</v>
      </c>
      <c r="B24" s="4"/>
      <c r="C24" s="27"/>
      <c r="D24" s="27"/>
      <c r="E24" s="27"/>
      <c r="F24" s="81"/>
      <c r="G24" s="21"/>
    </row>
    <row r="25" spans="1:7" x14ac:dyDescent="0.3">
      <c r="A25" s="20">
        <f t="shared" si="0"/>
        <v>11</v>
      </c>
      <c r="B25" s="4" t="s">
        <v>35</v>
      </c>
      <c r="C25" s="5">
        <f>'Allocation of Base TRR - 12 CPS'!E22</f>
        <v>3619.2466459497555</v>
      </c>
      <c r="D25" s="5" t="e">
        <f>'Transmission Energy Rates'!#REF!</f>
        <v>#REF!</v>
      </c>
      <c r="E25" s="27" t="e">
        <f t="shared" si="2"/>
        <v>#REF!</v>
      </c>
      <c r="F25" s="35" t="s">
        <v>260</v>
      </c>
      <c r="G25" s="21">
        <f>G23+1</f>
        <v>9</v>
      </c>
    </row>
    <row r="26" spans="1:7" x14ac:dyDescent="0.3">
      <c r="A26" s="20">
        <f t="shared" si="0"/>
        <v>12</v>
      </c>
      <c r="B26" s="4"/>
      <c r="C26" s="5"/>
      <c r="D26" s="5"/>
      <c r="E26" s="27"/>
      <c r="F26" s="35" t="s">
        <v>261</v>
      </c>
      <c r="G26" s="21">
        <f t="shared" si="1"/>
        <v>10</v>
      </c>
    </row>
    <row r="27" spans="1:7" x14ac:dyDescent="0.3">
      <c r="A27" s="20">
        <f t="shared" si="0"/>
        <v>13</v>
      </c>
      <c r="B27" s="4" t="s">
        <v>118</v>
      </c>
      <c r="C27" s="5">
        <f>'Allocation of Base TRR - 12 CPS'!E23</f>
        <v>12545.984799785168</v>
      </c>
      <c r="D27" s="5" t="e">
        <f>'Standby Demand'!#REF!</f>
        <v>#REF!</v>
      </c>
      <c r="E27" s="27" t="e">
        <f t="shared" si="2"/>
        <v>#REF!</v>
      </c>
      <c r="F27" s="35" t="s">
        <v>262</v>
      </c>
      <c r="G27" s="21">
        <f t="shared" si="1"/>
        <v>11</v>
      </c>
    </row>
    <row r="28" spans="1:7" x14ac:dyDescent="0.3">
      <c r="A28" s="20">
        <f t="shared" si="0"/>
        <v>14</v>
      </c>
      <c r="B28" s="4"/>
      <c r="C28" s="24"/>
      <c r="D28" s="24"/>
      <c r="E28" s="24"/>
      <c r="F28" s="35" t="s">
        <v>263</v>
      </c>
      <c r="G28" s="21">
        <f t="shared" si="1"/>
        <v>12</v>
      </c>
    </row>
    <row r="29" spans="1:7" ht="19.5" thickBot="1" x14ac:dyDescent="0.35">
      <c r="A29" s="20">
        <f t="shared" si="0"/>
        <v>15</v>
      </c>
      <c r="B29" s="25" t="s">
        <v>44</v>
      </c>
      <c r="C29" s="40">
        <f>SUM(C15:C27)</f>
        <v>1200880.0873975463</v>
      </c>
      <c r="D29" s="40" t="e">
        <f>SUM(D15:D27)</f>
        <v>#REF!</v>
      </c>
      <c r="E29" s="40" t="e">
        <f>SUM(E15:E27)</f>
        <v>#REF!</v>
      </c>
      <c r="F29" s="41" t="s">
        <v>208</v>
      </c>
      <c r="G29" s="21">
        <f t="shared" si="1"/>
        <v>13</v>
      </c>
    </row>
    <row r="30" spans="1:7" ht="19.5" thickTop="1" x14ac:dyDescent="0.3">
      <c r="A30" s="42"/>
      <c r="B30" s="11"/>
      <c r="C30" s="11"/>
      <c r="D30" s="11"/>
      <c r="E30" s="11"/>
      <c r="F30" s="43"/>
      <c r="G30" s="43"/>
    </row>
    <row r="31" spans="1:7" x14ac:dyDescent="0.3">
      <c r="A31" s="1"/>
      <c r="B31" s="13" t="s">
        <v>92</v>
      </c>
    </row>
    <row r="32" spans="1:7" ht="22.5" x14ac:dyDescent="0.3">
      <c r="A32" s="67">
        <v>1</v>
      </c>
      <c r="B32" s="12" t="s">
        <v>173</v>
      </c>
      <c r="C32" s="98"/>
      <c r="D32" s="86"/>
      <c r="F32" s="105"/>
    </row>
    <row r="33" spans="1:6" ht="22.5" x14ac:dyDescent="0.3">
      <c r="A33" s="67">
        <v>2</v>
      </c>
      <c r="B33" s="12" t="s">
        <v>231</v>
      </c>
      <c r="C33" s="105"/>
      <c r="F33" s="86"/>
    </row>
    <row r="34" spans="1:6" ht="22.5" x14ac:dyDescent="0.3">
      <c r="A34" s="67"/>
      <c r="B34" s="12" t="s">
        <v>233</v>
      </c>
      <c r="C34" s="105"/>
      <c r="F34" s="86"/>
    </row>
    <row r="35" spans="1:6" x14ac:dyDescent="0.3">
      <c r="A35" s="1"/>
      <c r="B35" s="12" t="s">
        <v>234</v>
      </c>
      <c r="C35" s="111"/>
    </row>
    <row r="36" spans="1:6" x14ac:dyDescent="0.3">
      <c r="A36" s="1"/>
      <c r="B36" s="12" t="s">
        <v>232</v>
      </c>
      <c r="C36" s="86"/>
    </row>
    <row r="37" spans="1:6" x14ac:dyDescent="0.3">
      <c r="A37" s="1"/>
    </row>
    <row r="38" spans="1:6" x14ac:dyDescent="0.3">
      <c r="A38" s="1"/>
    </row>
    <row r="39" spans="1:6" x14ac:dyDescent="0.3">
      <c r="A39" s="1"/>
    </row>
    <row r="40" spans="1:6" x14ac:dyDescent="0.3">
      <c r="A40" s="1"/>
    </row>
    <row r="41" spans="1:6" x14ac:dyDescent="0.3">
      <c r="A41" s="1"/>
    </row>
    <row r="42" spans="1:6" x14ac:dyDescent="0.3">
      <c r="A42" s="1"/>
    </row>
    <row r="43" spans="1:6" x14ac:dyDescent="0.3">
      <c r="A43" s="1"/>
    </row>
    <row r="44" spans="1:6" x14ac:dyDescent="0.3">
      <c r="A44" s="1"/>
    </row>
    <row r="45" spans="1:6" x14ac:dyDescent="0.3">
      <c r="A45" s="1"/>
    </row>
    <row r="46" spans="1:6" x14ac:dyDescent="0.3">
      <c r="A46" s="1"/>
    </row>
    <row r="47" spans="1:6" x14ac:dyDescent="0.3">
      <c r="A47" s="1"/>
    </row>
    <row r="48" spans="1:6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</sheetData>
  <mergeCells count="6">
    <mergeCell ref="A4:G4"/>
    <mergeCell ref="A5:G5"/>
    <mergeCell ref="A6:G6"/>
    <mergeCell ref="A1:G1"/>
    <mergeCell ref="A2:G2"/>
    <mergeCell ref="A3:G3"/>
  </mergeCells>
  <phoneticPr fontId="0" type="noConversion"/>
  <printOptions horizontalCentered="1"/>
  <pageMargins left="0.25" right="0.25" top="0.5" bottom="0.5" header="0.5" footer="0.5"/>
  <pageSetup scale="70" orientation="landscape" r:id="rId1"/>
  <headerFooter alignWithMargins="0">
    <oddFooter>&amp;L&amp;"Times New Roman,Regular"&amp;9Statement BL-Summary of Proof of Revenues&amp;C&amp;"Times New Roman,Regular"&amp;9Page BL-&amp;P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2D02-64EA-4A8B-ADC3-19226F1F4EE6}">
  <sheetPr>
    <pageSetUpPr fitToPage="1"/>
  </sheetPr>
  <dimension ref="A1:G151"/>
  <sheetViews>
    <sheetView zoomScale="75" zoomScaleNormal="75" workbookViewId="0">
      <selection activeCell="G3" sqref="G3"/>
    </sheetView>
  </sheetViews>
  <sheetFormatPr defaultColWidth="9" defaultRowHeight="18.75" x14ac:dyDescent="0.3"/>
  <cols>
    <col min="1" max="1" width="5.85546875" style="87" bestFit="1" customWidth="1"/>
    <col min="2" max="2" width="105.42578125" style="87" customWidth="1"/>
    <col min="3" max="3" width="23.7109375" style="87" bestFit="1" customWidth="1"/>
    <col min="4" max="4" width="44" style="87" bestFit="1" customWidth="1"/>
    <col min="5" max="5" width="6.5703125" style="87" bestFit="1" customWidth="1"/>
    <col min="6" max="6" width="9" style="87"/>
    <col min="7" max="7" width="15.5703125" style="87" bestFit="1" customWidth="1"/>
    <col min="8" max="10" width="18.85546875" style="87" customWidth="1"/>
    <col min="11" max="16384" width="9" style="87"/>
  </cols>
  <sheetData>
    <row r="1" spans="1:7" ht="18" customHeight="1" x14ac:dyDescent="0.3">
      <c r="A1" s="182" t="s">
        <v>151</v>
      </c>
      <c r="B1" s="182"/>
      <c r="C1" s="182"/>
      <c r="D1" s="182"/>
      <c r="E1" s="182"/>
    </row>
    <row r="2" spans="1:7" ht="18" customHeight="1" x14ac:dyDescent="0.3">
      <c r="A2" s="182" t="s">
        <v>23</v>
      </c>
      <c r="B2" s="182"/>
      <c r="C2" s="182"/>
      <c r="D2" s="182"/>
      <c r="E2" s="182"/>
    </row>
    <row r="3" spans="1:7" ht="18" customHeight="1" x14ac:dyDescent="0.3">
      <c r="A3" s="182" t="s">
        <v>47</v>
      </c>
      <c r="B3" s="182"/>
      <c r="C3" s="182"/>
      <c r="D3" s="182"/>
      <c r="E3" s="182"/>
    </row>
    <row r="4" spans="1:7" ht="22.5" customHeight="1" x14ac:dyDescent="0.3">
      <c r="A4" s="183" t="s">
        <v>334</v>
      </c>
      <c r="B4" s="183"/>
      <c r="C4" s="183"/>
      <c r="D4" s="183"/>
      <c r="E4" s="183"/>
    </row>
    <row r="5" spans="1:7" ht="18" customHeight="1" x14ac:dyDescent="0.3">
      <c r="A5" s="183" t="s">
        <v>516</v>
      </c>
      <c r="B5" s="183"/>
      <c r="C5" s="183"/>
      <c r="D5" s="183"/>
      <c r="E5" s="183"/>
    </row>
    <row r="6" spans="1:7" ht="18" customHeight="1" x14ac:dyDescent="0.3">
      <c r="A6" s="181" t="s">
        <v>211</v>
      </c>
      <c r="B6" s="181"/>
      <c r="C6" s="181"/>
      <c r="D6" s="181"/>
      <c r="E6" s="181"/>
    </row>
    <row r="8" spans="1:7" x14ac:dyDescent="0.3">
      <c r="A8" s="88"/>
      <c r="B8" s="122"/>
      <c r="C8" s="88" t="s">
        <v>48</v>
      </c>
      <c r="D8" s="88"/>
      <c r="E8" s="88"/>
    </row>
    <row r="9" spans="1:7" x14ac:dyDescent="0.3">
      <c r="A9" s="89"/>
      <c r="B9" s="90"/>
      <c r="C9" s="89" t="s">
        <v>441</v>
      </c>
      <c r="D9" s="89"/>
      <c r="E9" s="89"/>
    </row>
    <row r="10" spans="1:7" x14ac:dyDescent="0.3">
      <c r="A10" s="89" t="s">
        <v>29</v>
      </c>
      <c r="B10" s="90"/>
      <c r="C10" s="89"/>
      <c r="D10" s="89"/>
      <c r="E10" s="89" t="s">
        <v>29</v>
      </c>
    </row>
    <row r="11" spans="1:7" ht="22.5" x14ac:dyDescent="0.3">
      <c r="A11" s="91" t="s">
        <v>31</v>
      </c>
      <c r="B11" s="91" t="s">
        <v>100</v>
      </c>
      <c r="C11" s="91"/>
      <c r="D11" s="91" t="s">
        <v>169</v>
      </c>
      <c r="E11" s="91" t="s">
        <v>31</v>
      </c>
    </row>
    <row r="12" spans="1:7" x14ac:dyDescent="0.3">
      <c r="A12" s="88"/>
      <c r="B12" s="88"/>
      <c r="C12" s="88"/>
      <c r="D12" s="88"/>
      <c r="E12" s="88"/>
    </row>
    <row r="13" spans="1:7" ht="19.5" thickBot="1" x14ac:dyDescent="0.35">
      <c r="A13" s="89">
        <v>1</v>
      </c>
      <c r="B13" s="92" t="s">
        <v>342</v>
      </c>
      <c r="C13" s="44">
        <f>'Allocation of Base TRR - 12 CPS'!E20</f>
        <v>182.83209580638797</v>
      </c>
      <c r="D13" s="89" t="s">
        <v>394</v>
      </c>
      <c r="E13" s="89">
        <v>1</v>
      </c>
      <c r="G13" s="82"/>
    </row>
    <row r="14" spans="1:7" ht="19.5" thickTop="1" x14ac:dyDescent="0.3">
      <c r="A14" s="89">
        <f>A13+1</f>
        <v>2</v>
      </c>
      <c r="B14" s="92"/>
      <c r="C14" s="63"/>
      <c r="D14" s="89"/>
      <c r="E14" s="89">
        <f>E13+1</f>
        <v>2</v>
      </c>
    </row>
    <row r="15" spans="1:7" x14ac:dyDescent="0.3">
      <c r="A15" s="89">
        <f t="shared" ref="A15:A33" si="0">A14+1</f>
        <v>3</v>
      </c>
      <c r="B15" s="124" t="s">
        <v>343</v>
      </c>
      <c r="C15" s="36"/>
      <c r="D15" s="160"/>
      <c r="E15" s="89">
        <f t="shared" ref="E15:E33" si="1">E14+1</f>
        <v>3</v>
      </c>
    </row>
    <row r="16" spans="1:7" x14ac:dyDescent="0.3">
      <c r="A16" s="89">
        <f t="shared" si="0"/>
        <v>4</v>
      </c>
      <c r="B16" s="124"/>
      <c r="C16" s="36"/>
      <c r="D16" s="160"/>
      <c r="E16" s="89">
        <f t="shared" si="1"/>
        <v>4</v>
      </c>
    </row>
    <row r="17" spans="1:7" x14ac:dyDescent="0.3">
      <c r="A17" s="89">
        <f t="shared" si="0"/>
        <v>5</v>
      </c>
      <c r="B17" s="126" t="s">
        <v>0</v>
      </c>
      <c r="C17" s="27">
        <f>'Workpapers 2'!C97</f>
        <v>146.1</v>
      </c>
      <c r="D17" s="160" t="s">
        <v>453</v>
      </c>
      <c r="E17" s="89">
        <f t="shared" si="1"/>
        <v>5</v>
      </c>
      <c r="G17" s="163"/>
    </row>
    <row r="18" spans="1:7" x14ac:dyDescent="0.3">
      <c r="A18" s="89">
        <f t="shared" si="0"/>
        <v>6</v>
      </c>
      <c r="B18" s="125"/>
      <c r="C18" s="27"/>
      <c r="D18" s="160"/>
      <c r="E18" s="89">
        <f t="shared" si="1"/>
        <v>6</v>
      </c>
    </row>
    <row r="19" spans="1:7" ht="22.5" x14ac:dyDescent="0.3">
      <c r="A19" s="89">
        <f t="shared" si="0"/>
        <v>7</v>
      </c>
      <c r="B19" s="92" t="s">
        <v>344</v>
      </c>
      <c r="C19" s="132">
        <v>0.9</v>
      </c>
      <c r="D19" s="89"/>
      <c r="E19" s="89">
        <f t="shared" si="1"/>
        <v>7</v>
      </c>
      <c r="G19" s="82"/>
    </row>
    <row r="20" spans="1:7" x14ac:dyDescent="0.3">
      <c r="A20" s="89">
        <f t="shared" si="0"/>
        <v>8</v>
      </c>
      <c r="B20" s="92"/>
      <c r="C20" s="132"/>
      <c r="D20" s="89"/>
      <c r="E20" s="89">
        <f t="shared" si="1"/>
        <v>8</v>
      </c>
    </row>
    <row r="21" spans="1:7" x14ac:dyDescent="0.3">
      <c r="A21" s="89">
        <f t="shared" si="0"/>
        <v>9</v>
      </c>
      <c r="B21" s="92" t="s">
        <v>345</v>
      </c>
      <c r="C21" s="62">
        <f>C13/C17*C19</f>
        <v>1.1262757441871949</v>
      </c>
      <c r="D21" s="89" t="s">
        <v>346</v>
      </c>
      <c r="E21" s="89">
        <f t="shared" si="1"/>
        <v>9</v>
      </c>
      <c r="G21" s="82"/>
    </row>
    <row r="22" spans="1:7" x14ac:dyDescent="0.3">
      <c r="A22" s="89">
        <f t="shared" si="0"/>
        <v>10</v>
      </c>
      <c r="B22" s="92"/>
      <c r="C22" s="62"/>
      <c r="D22" s="89"/>
      <c r="E22" s="89">
        <f t="shared" si="1"/>
        <v>10</v>
      </c>
    </row>
    <row r="23" spans="1:7" x14ac:dyDescent="0.3">
      <c r="A23" s="89">
        <f t="shared" si="0"/>
        <v>11</v>
      </c>
      <c r="B23" s="92" t="s">
        <v>347</v>
      </c>
      <c r="C23" s="46">
        <f>ROUND(C21,2)</f>
        <v>1.1299999999999999</v>
      </c>
      <c r="D23" s="89" t="s">
        <v>348</v>
      </c>
      <c r="E23" s="89">
        <f t="shared" si="1"/>
        <v>11</v>
      </c>
      <c r="G23" s="82"/>
    </row>
    <row r="24" spans="1:7" x14ac:dyDescent="0.3">
      <c r="A24" s="89">
        <f t="shared" si="0"/>
        <v>12</v>
      </c>
      <c r="B24" s="92"/>
      <c r="C24" s="27"/>
      <c r="D24" s="89"/>
      <c r="E24" s="89">
        <f t="shared" si="1"/>
        <v>12</v>
      </c>
    </row>
    <row r="25" spans="1:7" x14ac:dyDescent="0.3">
      <c r="A25" s="89">
        <f t="shared" si="0"/>
        <v>13</v>
      </c>
      <c r="B25" s="133" t="s">
        <v>349</v>
      </c>
      <c r="C25" s="27"/>
      <c r="D25" s="89"/>
      <c r="E25" s="89">
        <f t="shared" si="1"/>
        <v>13</v>
      </c>
    </row>
    <row r="26" spans="1:7" x14ac:dyDescent="0.3">
      <c r="A26" s="89">
        <f t="shared" si="0"/>
        <v>14</v>
      </c>
      <c r="B26" s="133"/>
      <c r="C26" s="27"/>
      <c r="D26" s="89"/>
      <c r="E26" s="89">
        <f t="shared" si="1"/>
        <v>14</v>
      </c>
    </row>
    <row r="27" spans="1:7" x14ac:dyDescent="0.3">
      <c r="A27" s="89">
        <f t="shared" si="0"/>
        <v>15</v>
      </c>
      <c r="B27" s="126" t="s">
        <v>350</v>
      </c>
      <c r="C27" s="27">
        <f>C13-C23*C17</f>
        <v>17.739095806387979</v>
      </c>
      <c r="D27" s="89" t="s">
        <v>351</v>
      </c>
      <c r="E27" s="89">
        <f t="shared" si="1"/>
        <v>15</v>
      </c>
      <c r="G27" s="82"/>
    </row>
    <row r="28" spans="1:7" x14ac:dyDescent="0.3">
      <c r="A28" s="89">
        <f t="shared" si="0"/>
        <v>16</v>
      </c>
      <c r="B28" s="126"/>
      <c r="C28" s="27"/>
      <c r="D28" s="89"/>
      <c r="E28" s="89">
        <f t="shared" si="1"/>
        <v>16</v>
      </c>
      <c r="G28" s="82"/>
    </row>
    <row r="29" spans="1:7" x14ac:dyDescent="0.3">
      <c r="A29" s="89">
        <f t="shared" si="0"/>
        <v>17</v>
      </c>
      <c r="B29" s="126" t="s">
        <v>352</v>
      </c>
      <c r="C29" s="27">
        <f>'Workpapers 2'!C99+'Workpapers 2'!C100</f>
        <v>7.58</v>
      </c>
      <c r="D29" s="160" t="s">
        <v>454</v>
      </c>
      <c r="E29" s="89">
        <f t="shared" si="1"/>
        <v>17</v>
      </c>
      <c r="G29" s="82"/>
    </row>
    <row r="30" spans="1:7" x14ac:dyDescent="0.3">
      <c r="A30" s="89">
        <f t="shared" si="0"/>
        <v>18</v>
      </c>
      <c r="B30" s="126"/>
      <c r="C30" s="27"/>
      <c r="D30" s="89"/>
      <c r="E30" s="89">
        <f t="shared" si="1"/>
        <v>18</v>
      </c>
      <c r="G30" s="82"/>
    </row>
    <row r="31" spans="1:7" x14ac:dyDescent="0.3">
      <c r="A31" s="89">
        <f t="shared" si="0"/>
        <v>19</v>
      </c>
      <c r="B31" s="92" t="s">
        <v>353</v>
      </c>
      <c r="C31" s="62">
        <f>C27/C29</f>
        <v>2.3402501063836385</v>
      </c>
      <c r="D31" s="89" t="s">
        <v>354</v>
      </c>
      <c r="E31" s="89">
        <f t="shared" si="1"/>
        <v>19</v>
      </c>
      <c r="G31" s="82"/>
    </row>
    <row r="32" spans="1:7" x14ac:dyDescent="0.3">
      <c r="A32" s="89">
        <f t="shared" si="0"/>
        <v>20</v>
      </c>
      <c r="B32" s="92"/>
      <c r="C32" s="27"/>
      <c r="D32" s="89"/>
      <c r="E32" s="89">
        <f t="shared" si="1"/>
        <v>20</v>
      </c>
      <c r="G32" s="82"/>
    </row>
    <row r="33" spans="1:7" ht="22.5" x14ac:dyDescent="0.3">
      <c r="A33" s="89">
        <f t="shared" si="0"/>
        <v>21</v>
      </c>
      <c r="B33" s="92" t="s">
        <v>355</v>
      </c>
      <c r="C33" s="46">
        <f>ROUND(C31,2)</f>
        <v>2.34</v>
      </c>
      <c r="D33" s="89" t="s">
        <v>395</v>
      </c>
      <c r="E33" s="89">
        <f t="shared" si="1"/>
        <v>21</v>
      </c>
      <c r="G33" s="82"/>
    </row>
    <row r="34" spans="1:7" x14ac:dyDescent="0.3">
      <c r="A34" s="91"/>
      <c r="B34" s="91"/>
      <c r="C34" s="65"/>
      <c r="D34" s="91"/>
      <c r="E34" s="91"/>
      <c r="G34" s="82"/>
    </row>
    <row r="35" spans="1:7" x14ac:dyDescent="0.3">
      <c r="A35" s="94"/>
      <c r="B35" s="95" t="s">
        <v>92</v>
      </c>
    </row>
    <row r="36" spans="1:7" ht="22.5" x14ac:dyDescent="0.3">
      <c r="A36" s="96">
        <v>1</v>
      </c>
      <c r="B36" s="87" t="s">
        <v>506</v>
      </c>
    </row>
    <row r="37" spans="1:7" ht="22.5" x14ac:dyDescent="0.3">
      <c r="A37" s="96">
        <v>2</v>
      </c>
      <c r="B37" s="87" t="s">
        <v>507</v>
      </c>
    </row>
    <row r="38" spans="1:7" x14ac:dyDescent="0.3">
      <c r="A38" s="94"/>
    </row>
    <row r="39" spans="1:7" ht="22.5" x14ac:dyDescent="0.3">
      <c r="A39" s="96"/>
    </row>
    <row r="40" spans="1:7" ht="22.5" x14ac:dyDescent="0.3">
      <c r="A40" s="96"/>
    </row>
    <row r="41" spans="1:7" ht="22.5" x14ac:dyDescent="0.3">
      <c r="A41" s="96"/>
    </row>
    <row r="42" spans="1:7" ht="22.5" x14ac:dyDescent="0.3">
      <c r="A42" s="134"/>
    </row>
    <row r="43" spans="1:7" x14ac:dyDescent="0.3">
      <c r="A43" s="94"/>
    </row>
    <row r="44" spans="1:7" x14ac:dyDescent="0.3">
      <c r="A44" s="94"/>
    </row>
    <row r="45" spans="1:7" x14ac:dyDescent="0.3">
      <c r="A45" s="94"/>
    </row>
    <row r="46" spans="1:7" x14ac:dyDescent="0.3">
      <c r="A46" s="94"/>
    </row>
    <row r="47" spans="1:7" x14ac:dyDescent="0.3">
      <c r="A47" s="94"/>
    </row>
    <row r="48" spans="1:7" x14ac:dyDescent="0.3">
      <c r="A48" s="94"/>
    </row>
    <row r="49" spans="1:1" x14ac:dyDescent="0.3">
      <c r="A49" s="94"/>
    </row>
    <row r="50" spans="1:1" x14ac:dyDescent="0.3">
      <c r="A50" s="94"/>
    </row>
    <row r="51" spans="1:1" x14ac:dyDescent="0.3">
      <c r="A51" s="94"/>
    </row>
    <row r="52" spans="1:1" x14ac:dyDescent="0.3">
      <c r="A52" s="94"/>
    </row>
    <row r="53" spans="1:1" x14ac:dyDescent="0.3">
      <c r="A53" s="94"/>
    </row>
    <row r="54" spans="1:1" x14ac:dyDescent="0.3">
      <c r="A54" s="94"/>
    </row>
    <row r="55" spans="1:1" x14ac:dyDescent="0.3">
      <c r="A55" s="94"/>
    </row>
    <row r="56" spans="1:1" x14ac:dyDescent="0.3">
      <c r="A56" s="94"/>
    </row>
    <row r="57" spans="1:1" x14ac:dyDescent="0.3">
      <c r="A57" s="94"/>
    </row>
    <row r="58" spans="1:1" x14ac:dyDescent="0.3">
      <c r="A58" s="94"/>
    </row>
    <row r="59" spans="1:1" x14ac:dyDescent="0.3">
      <c r="A59" s="94"/>
    </row>
    <row r="60" spans="1:1" x14ac:dyDescent="0.3">
      <c r="A60" s="94"/>
    </row>
    <row r="61" spans="1:1" x14ac:dyDescent="0.3">
      <c r="A61" s="94"/>
    </row>
    <row r="62" spans="1:1" x14ac:dyDescent="0.3">
      <c r="A62" s="94"/>
    </row>
    <row r="63" spans="1:1" x14ac:dyDescent="0.3">
      <c r="A63" s="94"/>
    </row>
    <row r="64" spans="1:1" x14ac:dyDescent="0.3">
      <c r="A64" s="94"/>
    </row>
    <row r="65" spans="1:1" x14ac:dyDescent="0.3">
      <c r="A65" s="94"/>
    </row>
    <row r="66" spans="1:1" x14ac:dyDescent="0.3">
      <c r="A66" s="94"/>
    </row>
    <row r="67" spans="1:1" x14ac:dyDescent="0.3">
      <c r="A67" s="94"/>
    </row>
    <row r="68" spans="1:1" x14ac:dyDescent="0.3">
      <c r="A68" s="94"/>
    </row>
    <row r="69" spans="1:1" x14ac:dyDescent="0.3">
      <c r="A69" s="94"/>
    </row>
    <row r="70" spans="1:1" x14ac:dyDescent="0.3">
      <c r="A70" s="94"/>
    </row>
    <row r="71" spans="1:1" x14ac:dyDescent="0.3">
      <c r="A71" s="94"/>
    </row>
    <row r="72" spans="1:1" x14ac:dyDescent="0.3">
      <c r="A72" s="94"/>
    </row>
    <row r="73" spans="1:1" x14ac:dyDescent="0.3">
      <c r="A73" s="94"/>
    </row>
    <row r="74" spans="1:1" x14ac:dyDescent="0.3">
      <c r="A74" s="94"/>
    </row>
    <row r="75" spans="1:1" x14ac:dyDescent="0.3">
      <c r="A75" s="94"/>
    </row>
    <row r="76" spans="1:1" x14ac:dyDescent="0.3">
      <c r="A76" s="94"/>
    </row>
    <row r="77" spans="1:1" x14ac:dyDescent="0.3">
      <c r="A77" s="94"/>
    </row>
    <row r="78" spans="1:1" x14ac:dyDescent="0.3">
      <c r="A78" s="94"/>
    </row>
    <row r="79" spans="1:1" x14ac:dyDescent="0.3">
      <c r="A79" s="94"/>
    </row>
    <row r="80" spans="1:1" x14ac:dyDescent="0.3">
      <c r="A80" s="94"/>
    </row>
    <row r="81" spans="1:1" x14ac:dyDescent="0.3">
      <c r="A81" s="94"/>
    </row>
    <row r="82" spans="1:1" x14ac:dyDescent="0.3">
      <c r="A82" s="94"/>
    </row>
    <row r="83" spans="1:1" x14ac:dyDescent="0.3">
      <c r="A83" s="94"/>
    </row>
    <row r="84" spans="1:1" x14ac:dyDescent="0.3">
      <c r="A84" s="94"/>
    </row>
    <row r="85" spans="1:1" x14ac:dyDescent="0.3">
      <c r="A85" s="94"/>
    </row>
    <row r="86" spans="1:1" x14ac:dyDescent="0.3">
      <c r="A86" s="94"/>
    </row>
    <row r="87" spans="1:1" x14ac:dyDescent="0.3">
      <c r="A87" s="94"/>
    </row>
    <row r="88" spans="1:1" x14ac:dyDescent="0.3">
      <c r="A88" s="94"/>
    </row>
    <row r="89" spans="1:1" x14ac:dyDescent="0.3">
      <c r="A89" s="94"/>
    </row>
    <row r="90" spans="1:1" x14ac:dyDescent="0.3">
      <c r="A90" s="94"/>
    </row>
    <row r="91" spans="1:1" x14ac:dyDescent="0.3">
      <c r="A91" s="94"/>
    </row>
    <row r="92" spans="1:1" x14ac:dyDescent="0.3">
      <c r="A92" s="94"/>
    </row>
    <row r="93" spans="1:1" x14ac:dyDescent="0.3">
      <c r="A93" s="94"/>
    </row>
    <row r="94" spans="1:1" x14ac:dyDescent="0.3">
      <c r="A94" s="94"/>
    </row>
    <row r="95" spans="1:1" x14ac:dyDescent="0.3">
      <c r="A95" s="94"/>
    </row>
    <row r="96" spans="1:1" x14ac:dyDescent="0.3">
      <c r="A96" s="94"/>
    </row>
    <row r="97" spans="1:1" x14ac:dyDescent="0.3">
      <c r="A97" s="94"/>
    </row>
    <row r="98" spans="1:1" x14ac:dyDescent="0.3">
      <c r="A98" s="94"/>
    </row>
    <row r="99" spans="1:1" x14ac:dyDescent="0.3">
      <c r="A99" s="94"/>
    </row>
    <row r="100" spans="1:1" x14ac:dyDescent="0.3">
      <c r="A100" s="94"/>
    </row>
    <row r="101" spans="1:1" x14ac:dyDescent="0.3">
      <c r="A101" s="94"/>
    </row>
    <row r="102" spans="1:1" x14ac:dyDescent="0.3">
      <c r="A102" s="94"/>
    </row>
    <row r="103" spans="1:1" x14ac:dyDescent="0.3">
      <c r="A103" s="94"/>
    </row>
    <row r="104" spans="1:1" x14ac:dyDescent="0.3">
      <c r="A104" s="94"/>
    </row>
    <row r="105" spans="1:1" x14ac:dyDescent="0.3">
      <c r="A105" s="94"/>
    </row>
    <row r="106" spans="1:1" x14ac:dyDescent="0.3">
      <c r="A106" s="94"/>
    </row>
    <row r="107" spans="1:1" x14ac:dyDescent="0.3">
      <c r="A107" s="94"/>
    </row>
    <row r="108" spans="1:1" x14ac:dyDescent="0.3">
      <c r="A108" s="94"/>
    </row>
    <row r="109" spans="1:1" x14ac:dyDescent="0.3">
      <c r="A109" s="94"/>
    </row>
    <row r="110" spans="1:1" x14ac:dyDescent="0.3">
      <c r="A110" s="94"/>
    </row>
    <row r="111" spans="1:1" x14ac:dyDescent="0.3">
      <c r="A111" s="94"/>
    </row>
    <row r="112" spans="1:1" x14ac:dyDescent="0.3">
      <c r="A112" s="94"/>
    </row>
    <row r="113" spans="1:1" x14ac:dyDescent="0.3">
      <c r="A113" s="94"/>
    </row>
    <row r="114" spans="1:1" x14ac:dyDescent="0.3">
      <c r="A114" s="94"/>
    </row>
    <row r="115" spans="1:1" x14ac:dyDescent="0.3">
      <c r="A115" s="94"/>
    </row>
    <row r="116" spans="1:1" x14ac:dyDescent="0.3">
      <c r="A116" s="94"/>
    </row>
    <row r="117" spans="1:1" x14ac:dyDescent="0.3">
      <c r="A117" s="94"/>
    </row>
    <row r="118" spans="1:1" x14ac:dyDescent="0.3">
      <c r="A118" s="94"/>
    </row>
    <row r="119" spans="1:1" x14ac:dyDescent="0.3">
      <c r="A119" s="94"/>
    </row>
    <row r="120" spans="1:1" x14ac:dyDescent="0.3">
      <c r="A120" s="94"/>
    </row>
    <row r="121" spans="1:1" x14ac:dyDescent="0.3">
      <c r="A121" s="94"/>
    </row>
    <row r="122" spans="1:1" x14ac:dyDescent="0.3">
      <c r="A122" s="94"/>
    </row>
    <row r="123" spans="1:1" x14ac:dyDescent="0.3">
      <c r="A123" s="94"/>
    </row>
    <row r="124" spans="1:1" x14ac:dyDescent="0.3">
      <c r="A124" s="94"/>
    </row>
    <row r="125" spans="1:1" x14ac:dyDescent="0.3">
      <c r="A125" s="94"/>
    </row>
    <row r="126" spans="1:1" x14ac:dyDescent="0.3">
      <c r="A126" s="94"/>
    </row>
    <row r="127" spans="1:1" x14ac:dyDescent="0.3">
      <c r="A127" s="94"/>
    </row>
    <row r="128" spans="1:1" x14ac:dyDescent="0.3">
      <c r="A128" s="94"/>
    </row>
    <row r="129" spans="1:1" x14ac:dyDescent="0.3">
      <c r="A129" s="94"/>
    </row>
    <row r="130" spans="1:1" x14ac:dyDescent="0.3">
      <c r="A130" s="94"/>
    </row>
    <row r="131" spans="1:1" x14ac:dyDescent="0.3">
      <c r="A131" s="94"/>
    </row>
    <row r="132" spans="1:1" x14ac:dyDescent="0.3">
      <c r="A132" s="94"/>
    </row>
    <row r="133" spans="1:1" x14ac:dyDescent="0.3">
      <c r="A133" s="94"/>
    </row>
    <row r="134" spans="1:1" x14ac:dyDescent="0.3">
      <c r="A134" s="94"/>
    </row>
    <row r="135" spans="1:1" x14ac:dyDescent="0.3">
      <c r="A135" s="94"/>
    </row>
    <row r="136" spans="1:1" x14ac:dyDescent="0.3">
      <c r="A136" s="94"/>
    </row>
    <row r="137" spans="1:1" x14ac:dyDescent="0.3">
      <c r="A137" s="94"/>
    </row>
    <row r="138" spans="1:1" x14ac:dyDescent="0.3">
      <c r="A138" s="94"/>
    </row>
    <row r="139" spans="1:1" x14ac:dyDescent="0.3">
      <c r="A139" s="94"/>
    </row>
    <row r="140" spans="1:1" x14ac:dyDescent="0.3">
      <c r="A140" s="94"/>
    </row>
    <row r="141" spans="1:1" x14ac:dyDescent="0.3">
      <c r="A141" s="94"/>
    </row>
    <row r="142" spans="1:1" x14ac:dyDescent="0.3">
      <c r="A142" s="94"/>
    </row>
    <row r="143" spans="1:1" x14ac:dyDescent="0.3">
      <c r="A143" s="94"/>
    </row>
    <row r="144" spans="1:1" x14ac:dyDescent="0.3">
      <c r="A144" s="94"/>
    </row>
    <row r="145" spans="1:1" x14ac:dyDescent="0.3">
      <c r="A145" s="94"/>
    </row>
    <row r="146" spans="1:1" x14ac:dyDescent="0.3">
      <c r="A146" s="94"/>
    </row>
    <row r="147" spans="1:1" x14ac:dyDescent="0.3">
      <c r="A147" s="94"/>
    </row>
    <row r="148" spans="1:1" x14ac:dyDescent="0.3">
      <c r="A148" s="94"/>
    </row>
    <row r="149" spans="1:1" x14ac:dyDescent="0.3">
      <c r="A149" s="94"/>
    </row>
    <row r="150" spans="1:1" x14ac:dyDescent="0.3">
      <c r="A150" s="94"/>
    </row>
    <row r="151" spans="1:1" x14ac:dyDescent="0.3">
      <c r="A151" s="94"/>
    </row>
  </sheetData>
  <mergeCells count="6">
    <mergeCell ref="A6:E6"/>
    <mergeCell ref="A1:E1"/>
    <mergeCell ref="A2:E2"/>
    <mergeCell ref="A3:E3"/>
    <mergeCell ref="A4:E4"/>
    <mergeCell ref="A5:E5"/>
  </mergeCells>
  <printOptions horizontalCentered="1"/>
  <pageMargins left="0.25" right="0.25" top="0.5" bottom="0.5" header="0.25" footer="0.25"/>
  <pageSetup scale="73" orientation="landscape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>
    <pageSetUpPr fitToPage="1"/>
  </sheetPr>
  <dimension ref="A1:K78"/>
  <sheetViews>
    <sheetView zoomScale="75" zoomScaleNormal="75" workbookViewId="0">
      <selection activeCell="C14" sqref="C14"/>
    </sheetView>
  </sheetViews>
  <sheetFormatPr defaultColWidth="9.140625" defaultRowHeight="18.75" x14ac:dyDescent="0.3"/>
  <cols>
    <col min="1" max="1" width="5.85546875" style="12" bestFit="1" customWidth="1"/>
    <col min="2" max="2" width="87.28515625" style="12" customWidth="1"/>
    <col min="3" max="4" width="17.85546875" style="12" bestFit="1" customWidth="1"/>
    <col min="5" max="5" width="22.5703125" style="12" bestFit="1" customWidth="1"/>
    <col min="6" max="6" width="11.5703125" style="12" bestFit="1" customWidth="1"/>
    <col min="7" max="7" width="46.5703125" style="12" customWidth="1"/>
    <col min="8" max="8" width="5.85546875" style="12" bestFit="1" customWidth="1"/>
    <col min="9" max="9" width="9.140625" style="12"/>
    <col min="10" max="10" width="12.85546875" style="12" bestFit="1" customWidth="1"/>
    <col min="11" max="11" width="11.5703125" style="12" customWidth="1"/>
    <col min="12" max="16384" width="9.140625" style="12"/>
  </cols>
  <sheetData>
    <row r="1" spans="1:11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  <c r="H1" s="177"/>
    </row>
    <row r="2" spans="1:11" x14ac:dyDescent="0.3">
      <c r="A2" s="177" t="str">
        <f>'Transmission Rates Summary'!A2:H2</f>
        <v>SAN DIEGO GAS AND ELECTRIC COMPANY</v>
      </c>
      <c r="B2" s="177"/>
      <c r="C2" s="177"/>
      <c r="D2" s="177"/>
      <c r="E2" s="177"/>
      <c r="F2" s="177"/>
      <c r="G2" s="177"/>
      <c r="H2" s="177"/>
    </row>
    <row r="3" spans="1:11" x14ac:dyDescent="0.3">
      <c r="A3" s="177" t="str">
        <f>'Transmission Rates Summary'!A3:H3</f>
        <v>Rate Design Information</v>
      </c>
      <c r="B3" s="177"/>
      <c r="C3" s="177"/>
      <c r="D3" s="177"/>
      <c r="E3" s="177"/>
      <c r="F3" s="177"/>
      <c r="G3" s="177"/>
      <c r="H3" s="177"/>
    </row>
    <row r="4" spans="1:11" x14ac:dyDescent="0.3">
      <c r="A4" s="177" t="s">
        <v>78</v>
      </c>
      <c r="B4" s="177"/>
      <c r="C4" s="177"/>
      <c r="D4" s="177"/>
      <c r="E4" s="177"/>
      <c r="F4" s="177"/>
      <c r="G4" s="177"/>
      <c r="H4" s="177"/>
    </row>
    <row r="5" spans="1:11" x14ac:dyDescent="0.3">
      <c r="A5" s="177" t="s">
        <v>516</v>
      </c>
      <c r="B5" s="177"/>
      <c r="C5" s="177"/>
      <c r="D5" s="177"/>
      <c r="E5" s="177"/>
      <c r="F5" s="177"/>
      <c r="G5" s="177"/>
      <c r="H5" s="177"/>
    </row>
    <row r="6" spans="1:11" x14ac:dyDescent="0.3">
      <c r="A6" s="129"/>
      <c r="B6" s="129"/>
      <c r="C6" s="129"/>
      <c r="D6" s="129"/>
      <c r="E6" s="129"/>
      <c r="F6" s="129"/>
      <c r="G6" s="129"/>
      <c r="H6" s="129"/>
    </row>
    <row r="7" spans="1:11" x14ac:dyDescent="0.3">
      <c r="A7" s="15"/>
      <c r="B7" s="16" t="s">
        <v>24</v>
      </c>
      <c r="C7" s="16" t="s">
        <v>25</v>
      </c>
      <c r="D7" s="16" t="s">
        <v>26</v>
      </c>
      <c r="E7" s="16" t="s">
        <v>90</v>
      </c>
      <c r="F7" s="16" t="s">
        <v>91</v>
      </c>
      <c r="G7" s="16"/>
      <c r="H7" s="15"/>
    </row>
    <row r="8" spans="1:11" x14ac:dyDescent="0.3">
      <c r="A8" s="3"/>
      <c r="B8" s="4"/>
      <c r="C8" s="3" t="s">
        <v>120</v>
      </c>
      <c r="D8" s="3"/>
      <c r="E8" s="3" t="s">
        <v>120</v>
      </c>
      <c r="F8" s="3"/>
      <c r="G8" s="3"/>
      <c r="H8" s="3"/>
    </row>
    <row r="9" spans="1:11" x14ac:dyDescent="0.3">
      <c r="A9" s="3"/>
      <c r="B9" s="4"/>
      <c r="C9" s="3" t="s">
        <v>62</v>
      </c>
      <c r="D9" s="3"/>
      <c r="E9" s="3" t="s">
        <v>62</v>
      </c>
      <c r="F9" s="3"/>
      <c r="G9" s="3"/>
      <c r="H9" s="3"/>
    </row>
    <row r="10" spans="1:11" x14ac:dyDescent="0.3">
      <c r="A10" s="3" t="s">
        <v>29</v>
      </c>
      <c r="B10" s="4"/>
      <c r="C10" s="3" t="s">
        <v>121</v>
      </c>
      <c r="D10" s="3" t="s">
        <v>56</v>
      </c>
      <c r="E10" s="3" t="s">
        <v>121</v>
      </c>
      <c r="F10" s="3"/>
      <c r="G10" s="3"/>
      <c r="H10" s="3" t="s">
        <v>29</v>
      </c>
    </row>
    <row r="11" spans="1:11" ht="22.5" x14ac:dyDescent="0.3">
      <c r="A11" s="2" t="s">
        <v>31</v>
      </c>
      <c r="B11" s="2" t="s">
        <v>61</v>
      </c>
      <c r="C11" s="2" t="s">
        <v>59</v>
      </c>
      <c r="D11" s="2" t="s">
        <v>49</v>
      </c>
      <c r="E11" s="2" t="s">
        <v>63</v>
      </c>
      <c r="F11" s="2" t="s">
        <v>87</v>
      </c>
      <c r="G11" s="2" t="s">
        <v>172</v>
      </c>
      <c r="H11" s="2" t="s">
        <v>31</v>
      </c>
    </row>
    <row r="12" spans="1:11" x14ac:dyDescent="0.3">
      <c r="A12" s="15"/>
      <c r="B12" s="15"/>
      <c r="C12" s="15"/>
      <c r="D12" s="15"/>
      <c r="E12" s="15"/>
      <c r="F12" s="15"/>
      <c r="G12" s="15"/>
      <c r="H12" s="15"/>
    </row>
    <row r="13" spans="1:11" x14ac:dyDescent="0.3">
      <c r="A13" s="3">
        <v>1</v>
      </c>
      <c r="B13" s="30" t="s">
        <v>152</v>
      </c>
      <c r="C13" s="3"/>
      <c r="D13" s="3"/>
      <c r="E13" s="3"/>
      <c r="F13" s="3"/>
      <c r="G13" s="3"/>
      <c r="H13" s="3">
        <v>1</v>
      </c>
    </row>
    <row r="14" spans="1:11" x14ac:dyDescent="0.3">
      <c r="A14" s="3">
        <f>A13+1</f>
        <v>2</v>
      </c>
      <c r="B14" s="4" t="s">
        <v>34</v>
      </c>
      <c r="C14" s="138">
        <f>'[3]Filing Copy - 12CP Alloc Factor'!$C$15</f>
        <v>15342474</v>
      </c>
      <c r="D14" s="139">
        <f>'[3]Filing Copy - 12CP Alloc Factor'!$D$15</f>
        <v>1.0466116002409713</v>
      </c>
      <c r="E14" s="27">
        <f>C14*D14</f>
        <v>16057611.264795497</v>
      </c>
      <c r="F14" s="107">
        <f>E14/E$37</f>
        <v>0.4447275964253839</v>
      </c>
      <c r="G14" s="108" t="s">
        <v>264</v>
      </c>
      <c r="H14" s="3">
        <f>H13+1</f>
        <v>2</v>
      </c>
      <c r="J14" s="86"/>
      <c r="K14" s="86"/>
    </row>
    <row r="15" spans="1:11" x14ac:dyDescent="0.3">
      <c r="A15" s="3">
        <f t="shared" ref="A15:A37" si="0">A14+1</f>
        <v>3</v>
      </c>
      <c r="B15" s="25" t="s">
        <v>36</v>
      </c>
      <c r="C15" s="138">
        <f>'[3]Filing Copy - 12CP Alloc Factor'!$C$16</f>
        <v>3972258</v>
      </c>
      <c r="D15" s="139">
        <f>'[3]Filing Copy - 12CP Alloc Factor'!$D$16</f>
        <v>1.0466116002409713</v>
      </c>
      <c r="E15" s="27">
        <f>C15*D15</f>
        <v>4157411.3019500002</v>
      </c>
      <c r="F15" s="107">
        <f>E15/E$37</f>
        <v>0.11514262645786479</v>
      </c>
      <c r="G15" s="108" t="s">
        <v>265</v>
      </c>
      <c r="H15" s="3">
        <f t="shared" ref="H15:H37" si="1">H14+1</f>
        <v>3</v>
      </c>
      <c r="J15" s="86"/>
      <c r="K15" s="86"/>
    </row>
    <row r="16" spans="1:11" x14ac:dyDescent="0.3">
      <c r="A16" s="3">
        <f t="shared" si="0"/>
        <v>4</v>
      </c>
      <c r="B16" s="25" t="s">
        <v>37</v>
      </c>
      <c r="C16" s="138"/>
      <c r="D16" s="139"/>
      <c r="E16" s="27"/>
      <c r="F16" s="107"/>
      <c r="G16" s="108"/>
      <c r="H16" s="3">
        <f t="shared" si="1"/>
        <v>4</v>
      </c>
      <c r="J16" s="86"/>
      <c r="K16" s="86"/>
    </row>
    <row r="17" spans="1:11" x14ac:dyDescent="0.3">
      <c r="A17" s="3">
        <f t="shared" si="0"/>
        <v>5</v>
      </c>
      <c r="B17" s="25" t="s">
        <v>50</v>
      </c>
      <c r="C17" s="138">
        <f>'[3]Filing Copy - 12CP Alloc Factor'!$C$18</f>
        <v>10012551.998202207</v>
      </c>
      <c r="D17" s="139">
        <f>'[3]Filing Copy - 12CP Alloc Factor'!$D$18</f>
        <v>1.0466116002409713</v>
      </c>
      <c r="E17" s="27">
        <f>C17*D17</f>
        <v>10479253.069334347</v>
      </c>
      <c r="F17" s="107">
        <f>E17/E$37</f>
        <v>0.29023077922404444</v>
      </c>
      <c r="G17" s="108" t="s">
        <v>266</v>
      </c>
      <c r="H17" s="3">
        <f t="shared" si="1"/>
        <v>5</v>
      </c>
      <c r="J17" s="86"/>
      <c r="K17" s="86"/>
    </row>
    <row r="18" spans="1:11" x14ac:dyDescent="0.3">
      <c r="A18" s="3">
        <f t="shared" si="0"/>
        <v>6</v>
      </c>
      <c r="B18" s="25" t="s">
        <v>51</v>
      </c>
      <c r="C18" s="138">
        <f>'[3]Filing Copy - 12CP Alloc Factor'!$C$19</f>
        <v>3225040.5893891919</v>
      </c>
      <c r="D18" s="139">
        <f>'[3]Filing Copy - 12CP Alloc Factor'!$D$19</f>
        <v>1.0109139884302893</v>
      </c>
      <c r="E18" s="27">
        <f>C18*D18</f>
        <v>3260238.6450689989</v>
      </c>
      <c r="F18" s="107">
        <f>E18/E$37</f>
        <v>9.0294756329882528E-2</v>
      </c>
      <c r="G18" s="108" t="s">
        <v>267</v>
      </c>
      <c r="H18" s="3">
        <f t="shared" si="1"/>
        <v>6</v>
      </c>
      <c r="J18" s="86"/>
      <c r="K18" s="86"/>
    </row>
    <row r="19" spans="1:11" x14ac:dyDescent="0.3">
      <c r="A19" s="3">
        <f t="shared" si="0"/>
        <v>7</v>
      </c>
      <c r="B19" s="25" t="s">
        <v>52</v>
      </c>
      <c r="C19" s="138">
        <f>'[3]Filing Copy - 12CP Alloc Factor'!$C$20</f>
        <v>1257105.582349346</v>
      </c>
      <c r="D19" s="139">
        <f>'[3]Filing Copy - 12CP Alloc Factor'!$D$20</f>
        <v>1.0065000000001416</v>
      </c>
      <c r="E19" s="61">
        <f>C19*D19</f>
        <v>1265276.7686347947</v>
      </c>
      <c r="F19" s="140">
        <f>E19/E$37</f>
        <v>3.5042789792868685E-2</v>
      </c>
      <c r="G19" s="108" t="s">
        <v>268</v>
      </c>
      <c r="H19" s="3">
        <f t="shared" si="1"/>
        <v>7</v>
      </c>
      <c r="J19" s="86"/>
      <c r="K19" s="86"/>
    </row>
    <row r="20" spans="1:11" ht="19.5" thickBot="1" x14ac:dyDescent="0.35">
      <c r="A20" s="3">
        <f t="shared" si="0"/>
        <v>8</v>
      </c>
      <c r="B20" s="25" t="s">
        <v>117</v>
      </c>
      <c r="C20" s="9">
        <f>SUM(C17:C19)</f>
        <v>14494698.169940744</v>
      </c>
      <c r="D20" s="141">
        <f>E20/C20</f>
        <v>1.0351901300128612</v>
      </c>
      <c r="E20" s="9">
        <f>SUM(E17:E19)</f>
        <v>15004768.48303814</v>
      </c>
      <c r="F20" s="109">
        <f>E20/E$37</f>
        <v>0.41556832534679566</v>
      </c>
      <c r="G20" s="108" t="s">
        <v>85</v>
      </c>
      <c r="H20" s="3">
        <f t="shared" si="1"/>
        <v>8</v>
      </c>
      <c r="J20" s="86"/>
      <c r="K20" s="86"/>
    </row>
    <row r="21" spans="1:11" ht="19.5" thickTop="1" x14ac:dyDescent="0.3">
      <c r="A21" s="3">
        <f t="shared" si="0"/>
        <v>9</v>
      </c>
      <c r="B21" s="25"/>
      <c r="C21" s="27"/>
      <c r="D21" s="106"/>
      <c r="E21" s="27"/>
      <c r="F21" s="27"/>
      <c r="G21" s="158"/>
      <c r="H21" s="3">
        <f t="shared" si="1"/>
        <v>9</v>
      </c>
      <c r="J21" s="86"/>
      <c r="K21" s="86"/>
    </row>
    <row r="22" spans="1:11" x14ac:dyDescent="0.3">
      <c r="A22" s="3">
        <f t="shared" si="0"/>
        <v>10</v>
      </c>
      <c r="B22" s="25" t="s">
        <v>334</v>
      </c>
      <c r="C22" s="27">
        <f>'[3]Filing Copy - 12CP Alloc Factor'!$C$23</f>
        <v>5437</v>
      </c>
      <c r="D22" s="106">
        <f>'[3]Filing Copy - 12CP Alloc Factor'!$D$23</f>
        <v>1.0109139884302893</v>
      </c>
      <c r="E22" s="27">
        <f>C22*D22</f>
        <v>5496.3393550954834</v>
      </c>
      <c r="F22" s="107">
        <f>E22/E$37</f>
        <v>1.5222524385609414E-4</v>
      </c>
      <c r="G22" s="158"/>
      <c r="H22" s="3">
        <f t="shared" si="1"/>
        <v>10</v>
      </c>
      <c r="J22" s="86"/>
      <c r="K22" s="86"/>
    </row>
    <row r="23" spans="1:11" x14ac:dyDescent="0.3">
      <c r="A23" s="3">
        <f t="shared" si="0"/>
        <v>11</v>
      </c>
      <c r="B23" s="25"/>
      <c r="C23" s="27"/>
      <c r="D23" s="106"/>
      <c r="E23" s="27"/>
      <c r="F23" s="27"/>
      <c r="G23" s="158"/>
      <c r="H23" s="3">
        <f t="shared" si="1"/>
        <v>11</v>
      </c>
      <c r="J23" s="86"/>
      <c r="K23" s="86"/>
    </row>
    <row r="24" spans="1:11" x14ac:dyDescent="0.3">
      <c r="A24" s="3">
        <f t="shared" si="0"/>
        <v>12</v>
      </c>
      <c r="B24" s="25" t="s">
        <v>188</v>
      </c>
      <c r="C24" s="27"/>
      <c r="D24" s="106"/>
      <c r="E24" s="27"/>
      <c r="F24" s="27"/>
      <c r="G24" s="158"/>
      <c r="H24" s="3">
        <f t="shared" si="1"/>
        <v>12</v>
      </c>
      <c r="J24" s="86"/>
      <c r="K24" s="86"/>
    </row>
    <row r="25" spans="1:11" x14ac:dyDescent="0.3">
      <c r="A25" s="3">
        <f t="shared" si="0"/>
        <v>13</v>
      </c>
      <c r="B25" s="25" t="s">
        <v>50</v>
      </c>
      <c r="C25" s="138">
        <f>'[3]Filing Copy - 12CP Alloc Factor'!$C$26</f>
        <v>332141.19129174034</v>
      </c>
      <c r="D25" s="139">
        <f>'[3]Filing Copy - 12CP Alloc Factor'!$D$26</f>
        <v>1.0466116002409713</v>
      </c>
      <c r="E25" s="27">
        <f>C25*D25</f>
        <v>347622.82372379093</v>
      </c>
      <c r="F25" s="107">
        <f>E25/E$37</f>
        <v>9.6276750201459895E-3</v>
      </c>
      <c r="G25" s="108" t="s">
        <v>269</v>
      </c>
      <c r="H25" s="3">
        <f t="shared" si="1"/>
        <v>13</v>
      </c>
      <c r="J25" s="86"/>
      <c r="K25" s="86"/>
    </row>
    <row r="26" spans="1:11" x14ac:dyDescent="0.3">
      <c r="A26" s="3">
        <f t="shared" si="0"/>
        <v>14</v>
      </c>
      <c r="B26" s="25" t="s">
        <v>51</v>
      </c>
      <c r="C26" s="138">
        <f>'[3]Filing Copy - 12CP Alloc Factor'!$C$27</f>
        <v>47233.58446420441</v>
      </c>
      <c r="D26" s="139">
        <f>'[3]Filing Copy - 12CP Alloc Factor'!$D$27</f>
        <v>1.0109139884302893</v>
      </c>
      <c r="E26" s="27">
        <f>C26*D26</f>
        <v>47749.091258567831</v>
      </c>
      <c r="F26" s="107">
        <f>E26/E$37</f>
        <v>1.3224469216959603E-3</v>
      </c>
      <c r="G26" s="108" t="s">
        <v>396</v>
      </c>
      <c r="H26" s="3">
        <f t="shared" si="1"/>
        <v>14</v>
      </c>
      <c r="J26" s="86"/>
      <c r="K26" s="86"/>
    </row>
    <row r="27" spans="1:11" x14ac:dyDescent="0.3">
      <c r="A27" s="3">
        <f t="shared" si="0"/>
        <v>15</v>
      </c>
      <c r="B27" s="25" t="s">
        <v>52</v>
      </c>
      <c r="C27" s="138">
        <f>'[3]Filing Copy - 12CP Alloc Factor'!$C$28</f>
        <v>0</v>
      </c>
      <c r="D27" s="139">
        <f>'[3]Filing Copy - 12CP Alloc Factor'!$D$28</f>
        <v>1.0065000000001416</v>
      </c>
      <c r="E27" s="61">
        <f>C27*D27</f>
        <v>0</v>
      </c>
      <c r="F27" s="140">
        <f>E27/E$37</f>
        <v>0</v>
      </c>
      <c r="G27" s="108" t="s">
        <v>397</v>
      </c>
      <c r="H27" s="3">
        <f t="shared" si="1"/>
        <v>15</v>
      </c>
      <c r="J27" s="86"/>
      <c r="K27" s="86"/>
    </row>
    <row r="28" spans="1:11" ht="19.5" thickBot="1" x14ac:dyDescent="0.35">
      <c r="A28" s="3">
        <f t="shared" si="0"/>
        <v>16</v>
      </c>
      <c r="B28" s="25" t="s">
        <v>189</v>
      </c>
      <c r="C28" s="9">
        <f>SUM(C25:C27)</f>
        <v>379374.77575594478</v>
      </c>
      <c r="D28" s="141">
        <f>E28/C28</f>
        <v>1.0421671134949284</v>
      </c>
      <c r="E28" s="9">
        <f>SUM(E25:E27)</f>
        <v>395371.91498235875</v>
      </c>
      <c r="F28" s="109">
        <f>E28/E$37</f>
        <v>1.095012194184195E-2</v>
      </c>
      <c r="G28" s="108" t="s">
        <v>126</v>
      </c>
      <c r="H28" s="3">
        <f t="shared" si="1"/>
        <v>16</v>
      </c>
      <c r="J28" s="86"/>
      <c r="K28" s="86"/>
    </row>
    <row r="29" spans="1:11" ht="19.5" thickTop="1" x14ac:dyDescent="0.3">
      <c r="A29" s="3">
        <f t="shared" si="0"/>
        <v>17</v>
      </c>
      <c r="B29" s="25"/>
      <c r="C29" s="27"/>
      <c r="D29" s="106"/>
      <c r="E29" s="27"/>
      <c r="F29" s="27"/>
      <c r="G29" s="158"/>
      <c r="H29" s="3">
        <f t="shared" si="1"/>
        <v>17</v>
      </c>
      <c r="J29" s="86"/>
      <c r="K29" s="86"/>
    </row>
    <row r="30" spans="1:11" x14ac:dyDescent="0.3">
      <c r="A30" s="3">
        <f t="shared" si="0"/>
        <v>18</v>
      </c>
      <c r="B30" s="25" t="s">
        <v>35</v>
      </c>
      <c r="C30" s="138">
        <f>'[3]Filing Copy - 12CP Alloc Factor'!$C$31</f>
        <v>103957</v>
      </c>
      <c r="D30" s="139">
        <f>'[3]Filing Copy - 12CP Alloc Factor'!$D$31</f>
        <v>1.0466116002409713</v>
      </c>
      <c r="E30" s="27">
        <f>C30*D30</f>
        <v>108802.60212625065</v>
      </c>
      <c r="F30" s="107">
        <f>E30/E$37</f>
        <v>3.0133697304354978E-3</v>
      </c>
      <c r="G30" s="108" t="s">
        <v>270</v>
      </c>
      <c r="H30" s="3">
        <f t="shared" si="1"/>
        <v>18</v>
      </c>
      <c r="J30" s="86"/>
      <c r="K30" s="86"/>
    </row>
    <row r="31" spans="1:11" x14ac:dyDescent="0.3">
      <c r="A31" s="3">
        <f t="shared" si="0"/>
        <v>19</v>
      </c>
      <c r="B31" s="25" t="s">
        <v>118</v>
      </c>
      <c r="C31" s="138"/>
      <c r="D31" s="139"/>
      <c r="E31" s="27"/>
      <c r="F31" s="107"/>
      <c r="G31" s="108"/>
      <c r="H31" s="3">
        <f t="shared" si="1"/>
        <v>19</v>
      </c>
      <c r="J31" s="86"/>
      <c r="K31" s="86"/>
    </row>
    <row r="32" spans="1:11" x14ac:dyDescent="0.3">
      <c r="A32" s="3">
        <f t="shared" si="0"/>
        <v>20</v>
      </c>
      <c r="B32" s="25" t="s">
        <v>50</v>
      </c>
      <c r="C32" s="138">
        <f>'[3]Filing Copy - 12CP Alloc Factor'!$C$33</f>
        <v>61941.299999999996</v>
      </c>
      <c r="D32" s="139">
        <f>'[3]Filing Copy - 12CP Alloc Factor'!$D$33</f>
        <v>1.0466116002409713</v>
      </c>
      <c r="E32" s="27">
        <f>C32*D32</f>
        <v>64828.483114006071</v>
      </c>
      <c r="F32" s="107">
        <f>E32/E$37</f>
        <v>1.7954734985024989E-3</v>
      </c>
      <c r="G32" s="108" t="s">
        <v>271</v>
      </c>
      <c r="H32" s="3">
        <f t="shared" si="1"/>
        <v>20</v>
      </c>
      <c r="J32" s="86"/>
      <c r="K32" s="86"/>
    </row>
    <row r="33" spans="1:11" x14ac:dyDescent="0.3">
      <c r="A33" s="3">
        <f t="shared" si="0"/>
        <v>21</v>
      </c>
      <c r="B33" s="25" t="s">
        <v>51</v>
      </c>
      <c r="C33" s="138">
        <f>'[3]Filing Copy - 12CP Alloc Factor'!$C$34</f>
        <v>157080.20000000001</v>
      </c>
      <c r="D33" s="139">
        <f>'[3]Filing Copy - 12CP Alloc Factor'!$D$34</f>
        <v>1.0109139884302893</v>
      </c>
      <c r="E33" s="27">
        <f>C33*D33</f>
        <v>158794.57148542756</v>
      </c>
      <c r="F33" s="107">
        <f>E33/E$37</f>
        <v>4.3979348445767966E-3</v>
      </c>
      <c r="G33" s="108" t="s">
        <v>398</v>
      </c>
      <c r="H33" s="3">
        <f t="shared" si="1"/>
        <v>21</v>
      </c>
      <c r="J33" s="86"/>
      <c r="K33" s="86"/>
    </row>
    <row r="34" spans="1:11" x14ac:dyDescent="0.3">
      <c r="A34" s="3">
        <f t="shared" si="0"/>
        <v>22</v>
      </c>
      <c r="B34" s="25" t="s">
        <v>52</v>
      </c>
      <c r="C34" s="138">
        <f>'[3]Filing Copy - 12CP Alloc Factor'!$C$35</f>
        <v>152545.60000000001</v>
      </c>
      <c r="D34" s="139">
        <f>'[3]Filing Copy - 12CP Alloc Factor'!$D$35</f>
        <v>1.0065000000001416</v>
      </c>
      <c r="E34" s="61">
        <f>C34*D34</f>
        <v>153537.14640002162</v>
      </c>
      <c r="F34" s="140">
        <f>E34/E$37</f>
        <v>4.2523265107429114E-3</v>
      </c>
      <c r="G34" s="108" t="s">
        <v>399</v>
      </c>
      <c r="H34" s="3">
        <f t="shared" si="1"/>
        <v>22</v>
      </c>
      <c r="J34" s="86"/>
      <c r="K34" s="86"/>
    </row>
    <row r="35" spans="1:11" ht="19.5" thickBot="1" x14ac:dyDescent="0.35">
      <c r="A35" s="3">
        <f t="shared" si="0"/>
        <v>23</v>
      </c>
      <c r="B35" s="25" t="s">
        <v>119</v>
      </c>
      <c r="C35" s="9">
        <f>SUM(C32:C34)</f>
        <v>371567.1</v>
      </c>
      <c r="D35" s="141">
        <f>E35/C35</f>
        <v>1.0150527347535754</v>
      </c>
      <c r="E35" s="9">
        <f>SUM(E32:E34)</f>
        <v>377160.20099945524</v>
      </c>
      <c r="F35" s="109">
        <f>E35/E$37</f>
        <v>1.0445734853822207E-2</v>
      </c>
      <c r="G35" s="108" t="s">
        <v>400</v>
      </c>
      <c r="H35" s="3">
        <f t="shared" si="1"/>
        <v>23</v>
      </c>
      <c r="J35" s="86"/>
      <c r="K35" s="86"/>
    </row>
    <row r="36" spans="1:11" ht="19.5" thickTop="1" x14ac:dyDescent="0.3">
      <c r="A36" s="3">
        <f t="shared" si="0"/>
        <v>24</v>
      </c>
      <c r="B36" s="4"/>
      <c r="C36" s="27"/>
      <c r="D36" s="106"/>
      <c r="E36" s="27"/>
      <c r="F36" s="27"/>
      <c r="G36" s="158"/>
      <c r="H36" s="3">
        <f t="shared" si="1"/>
        <v>24</v>
      </c>
    </row>
    <row r="37" spans="1:11" ht="19.5" thickBot="1" x14ac:dyDescent="0.35">
      <c r="A37" s="3">
        <f t="shared" si="0"/>
        <v>25</v>
      </c>
      <c r="B37" s="25" t="s">
        <v>53</v>
      </c>
      <c r="C37" s="9">
        <f>C14+C15+C20+C22+C28+C30+C35</f>
        <v>34669766.045696683</v>
      </c>
      <c r="D37" s="141"/>
      <c r="E37" s="9">
        <f>E14+E15+E20+E22+E28+E30+E35</f>
        <v>36106622.107246794</v>
      </c>
      <c r="F37" s="109">
        <f>F14+F15+F20+F22+F28+F30+F35</f>
        <v>1.0000000000000002</v>
      </c>
      <c r="G37" s="108" t="s">
        <v>401</v>
      </c>
      <c r="H37" s="3">
        <f t="shared" si="1"/>
        <v>25</v>
      </c>
    </row>
    <row r="38" spans="1:11" ht="19.5" thickTop="1" x14ac:dyDescent="0.3">
      <c r="A38" s="2"/>
      <c r="B38" s="11"/>
      <c r="C38" s="11"/>
      <c r="D38" s="142"/>
      <c r="E38" s="11"/>
      <c r="F38" s="11"/>
      <c r="G38" s="2"/>
      <c r="H38" s="2"/>
    </row>
    <row r="39" spans="1:11" x14ac:dyDescent="0.3">
      <c r="A39" s="1"/>
      <c r="B39" s="13" t="s">
        <v>92</v>
      </c>
      <c r="H39" s="1"/>
    </row>
    <row r="40" spans="1:11" ht="22.5" x14ac:dyDescent="0.3">
      <c r="A40" s="67">
        <v>1</v>
      </c>
      <c r="B40" s="12" t="s">
        <v>171</v>
      </c>
      <c r="C40" s="29"/>
      <c r="D40" s="29"/>
      <c r="E40" s="29"/>
      <c r="F40" s="29"/>
      <c r="G40" s="29"/>
      <c r="H40" s="1"/>
    </row>
    <row r="41" spans="1:11" ht="22.5" x14ac:dyDescent="0.3">
      <c r="A41" s="67"/>
      <c r="C41" s="29"/>
      <c r="D41" s="29"/>
      <c r="E41" s="29"/>
      <c r="F41" s="29"/>
      <c r="G41" s="29"/>
      <c r="H41" s="1"/>
    </row>
    <row r="42" spans="1:11" x14ac:dyDescent="0.3">
      <c r="A42" s="1"/>
    </row>
    <row r="43" spans="1:11" x14ac:dyDescent="0.3">
      <c r="A43" s="1"/>
    </row>
    <row r="44" spans="1:11" x14ac:dyDescent="0.3">
      <c r="A44" s="1"/>
    </row>
    <row r="45" spans="1:11" x14ac:dyDescent="0.3">
      <c r="A45" s="1"/>
    </row>
    <row r="46" spans="1:11" x14ac:dyDescent="0.3">
      <c r="A46" s="1"/>
    </row>
    <row r="47" spans="1:11" x14ac:dyDescent="0.3">
      <c r="A47" s="1"/>
    </row>
    <row r="48" spans="1:1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</sheetData>
  <mergeCells count="5">
    <mergeCell ref="A5:H5"/>
    <mergeCell ref="A4:H4"/>
    <mergeCell ref="A1:H1"/>
    <mergeCell ref="A2:H2"/>
    <mergeCell ref="A3:H3"/>
  </mergeCells>
  <phoneticPr fontId="0" type="noConversion"/>
  <printOptions horizontalCentered="1"/>
  <pageMargins left="0.25" right="0.25" top="0.5" bottom="0.5" header="0.25" footer="0.25"/>
  <pageSetup scale="63" orientation="landscape" r:id="rId1"/>
  <headerFooter scaleWithDoc="0">
    <oddFooter>&amp;L&amp;"Times New Roman,Regular"&amp;9Statement BL-12-CP Allocation Factors&amp;C&amp;"Times New Roman,Regular"&amp;9Page BL-&amp;P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CB5-A48A-4665-8D0C-34FC1D8D16B2}">
  <dimension ref="A1:H185"/>
  <sheetViews>
    <sheetView zoomScale="75" zoomScaleNormal="75" workbookViewId="0">
      <selection activeCell="K5" sqref="K5"/>
    </sheetView>
  </sheetViews>
  <sheetFormatPr defaultColWidth="9.140625" defaultRowHeight="18.75" x14ac:dyDescent="0.3"/>
  <cols>
    <col min="1" max="1" width="5.85546875" style="12" bestFit="1" customWidth="1"/>
    <col min="2" max="2" width="87.28515625" style="12" customWidth="1"/>
    <col min="3" max="4" width="17.85546875" style="12" bestFit="1" customWidth="1"/>
    <col min="5" max="5" width="22.5703125" style="12" bestFit="1" customWidth="1"/>
    <col min="6" max="6" width="11.5703125" style="12" bestFit="1" customWidth="1"/>
    <col min="7" max="7" width="46.5703125" style="12" customWidth="1"/>
    <col min="8" max="8" width="5.85546875" style="12" bestFit="1" customWidth="1"/>
    <col min="9" max="9" width="9.140625" style="12"/>
    <col min="10" max="10" width="12.85546875" style="12" bestFit="1" customWidth="1"/>
    <col min="11" max="11" width="11.5703125" style="12" customWidth="1"/>
    <col min="12" max="16384" width="9.140625" style="12"/>
  </cols>
  <sheetData>
    <row r="1" spans="1:8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  <c r="H1" s="177"/>
    </row>
    <row r="2" spans="1:8" x14ac:dyDescent="0.3">
      <c r="A2" s="177" t="str">
        <f>'Transmission Rates Summary'!A2:H2</f>
        <v>SAN DIEGO GAS AND ELECTRIC COMPANY</v>
      </c>
      <c r="B2" s="177"/>
      <c r="C2" s="177"/>
      <c r="D2" s="177"/>
      <c r="E2" s="177"/>
      <c r="F2" s="177"/>
      <c r="G2" s="177"/>
      <c r="H2" s="177"/>
    </row>
    <row r="3" spans="1:8" x14ac:dyDescent="0.3">
      <c r="A3" s="177" t="str">
        <f>'Transmission Rates Summary'!A3:H3</f>
        <v>Rate Design Information</v>
      </c>
      <c r="B3" s="177"/>
      <c r="C3" s="177"/>
      <c r="D3" s="177"/>
      <c r="E3" s="177"/>
      <c r="F3" s="177"/>
      <c r="G3" s="177"/>
      <c r="H3" s="177"/>
    </row>
    <row r="4" spans="1:8" x14ac:dyDescent="0.3">
      <c r="A4" s="177" t="s">
        <v>78</v>
      </c>
      <c r="B4" s="177"/>
      <c r="C4" s="177"/>
      <c r="D4" s="177"/>
      <c r="E4" s="177"/>
      <c r="F4" s="177"/>
      <c r="G4" s="177"/>
      <c r="H4" s="177"/>
    </row>
    <row r="5" spans="1:8" x14ac:dyDescent="0.3">
      <c r="A5" s="177" t="s">
        <v>516</v>
      </c>
      <c r="B5" s="177"/>
      <c r="C5" s="177"/>
      <c r="D5" s="177"/>
      <c r="E5" s="177"/>
      <c r="F5" s="177"/>
      <c r="G5" s="177"/>
      <c r="H5" s="177"/>
    </row>
    <row r="6" spans="1:8" x14ac:dyDescent="0.3">
      <c r="A6" s="129"/>
      <c r="B6" s="129"/>
      <c r="C6" s="129"/>
      <c r="D6" s="129"/>
      <c r="E6" s="129"/>
      <c r="F6" s="129"/>
      <c r="G6" s="129"/>
      <c r="H6" s="129"/>
    </row>
    <row r="7" spans="1:8" x14ac:dyDescent="0.3">
      <c r="A7" s="15"/>
      <c r="B7" s="16" t="s">
        <v>24</v>
      </c>
      <c r="C7" s="16" t="s">
        <v>25</v>
      </c>
      <c r="D7" s="16" t="s">
        <v>26</v>
      </c>
      <c r="E7" s="16" t="s">
        <v>90</v>
      </c>
      <c r="F7" s="16" t="s">
        <v>91</v>
      </c>
      <c r="G7" s="16"/>
      <c r="H7" s="15"/>
    </row>
    <row r="8" spans="1:8" x14ac:dyDescent="0.3">
      <c r="A8" s="3"/>
      <c r="B8" s="4"/>
      <c r="C8" s="3" t="s">
        <v>115</v>
      </c>
      <c r="D8" s="3"/>
      <c r="E8" s="3" t="s">
        <v>105</v>
      </c>
      <c r="F8" s="3"/>
      <c r="G8" s="3"/>
      <c r="H8" s="3"/>
    </row>
    <row r="9" spans="1:8" x14ac:dyDescent="0.3">
      <c r="A9" s="3"/>
      <c r="B9" s="4"/>
      <c r="C9" s="3" t="s">
        <v>116</v>
      </c>
      <c r="D9" s="143"/>
      <c r="E9" s="3" t="s">
        <v>104</v>
      </c>
      <c r="F9" s="4"/>
      <c r="G9" s="3"/>
      <c r="H9" s="3"/>
    </row>
    <row r="10" spans="1:8" x14ac:dyDescent="0.3">
      <c r="A10" s="3"/>
      <c r="B10" s="4"/>
      <c r="C10" s="3" t="s">
        <v>104</v>
      </c>
      <c r="D10" s="144" t="s">
        <v>56</v>
      </c>
      <c r="E10" s="3" t="s">
        <v>103</v>
      </c>
      <c r="F10" s="3"/>
      <c r="G10" s="3"/>
      <c r="H10" s="3"/>
    </row>
    <row r="11" spans="1:8" x14ac:dyDescent="0.3">
      <c r="A11" s="3" t="s">
        <v>29</v>
      </c>
      <c r="B11" s="4"/>
      <c r="C11" s="3" t="s">
        <v>103</v>
      </c>
      <c r="D11" s="3" t="s">
        <v>114</v>
      </c>
      <c r="E11" s="1" t="s">
        <v>56</v>
      </c>
      <c r="F11" s="3"/>
      <c r="G11" s="3"/>
      <c r="H11" s="3" t="s">
        <v>29</v>
      </c>
    </row>
    <row r="12" spans="1:8" ht="22.5" x14ac:dyDescent="0.3">
      <c r="A12" s="2" t="s">
        <v>31</v>
      </c>
      <c r="B12" s="2" t="s">
        <v>61</v>
      </c>
      <c r="C12" s="2" t="s">
        <v>59</v>
      </c>
      <c r="D12" s="2" t="s">
        <v>170</v>
      </c>
      <c r="E12" s="2" t="s">
        <v>57</v>
      </c>
      <c r="F12" s="2" t="s">
        <v>60</v>
      </c>
      <c r="G12" s="2" t="s">
        <v>169</v>
      </c>
      <c r="H12" s="2" t="s">
        <v>31</v>
      </c>
    </row>
    <row r="13" spans="1:8" x14ac:dyDescent="0.3">
      <c r="A13" s="15"/>
      <c r="B13" s="17"/>
      <c r="C13" s="17"/>
      <c r="D13" s="15"/>
      <c r="E13" s="15"/>
      <c r="F13" s="18"/>
      <c r="G13" s="18"/>
      <c r="H13" s="15"/>
    </row>
    <row r="14" spans="1:8" x14ac:dyDescent="0.3">
      <c r="A14" s="3">
        <v>1</v>
      </c>
      <c r="B14" s="19" t="s">
        <v>123</v>
      </c>
      <c r="C14" s="20"/>
      <c r="D14" s="3"/>
      <c r="E14" s="3"/>
      <c r="F14" s="21"/>
      <c r="G14" s="21"/>
      <c r="H14" s="3">
        <v>26</v>
      </c>
    </row>
    <row r="15" spans="1:8" x14ac:dyDescent="0.3">
      <c r="A15" s="3">
        <f>A14+1</f>
        <v>2</v>
      </c>
      <c r="B15" s="19" t="s">
        <v>122</v>
      </c>
      <c r="C15" s="20"/>
      <c r="D15" s="3"/>
      <c r="E15" s="3"/>
      <c r="F15" s="21"/>
      <c r="G15" s="161"/>
      <c r="H15" s="3">
        <f>H14+1</f>
        <v>27</v>
      </c>
    </row>
    <row r="16" spans="1:8" x14ac:dyDescent="0.3">
      <c r="A16" s="3">
        <f t="shared" ref="A16:A79" si="0">A15+1</f>
        <v>3</v>
      </c>
      <c r="B16" s="22" t="s">
        <v>182</v>
      </c>
      <c r="C16" s="20"/>
      <c r="D16" s="3"/>
      <c r="E16" s="3"/>
      <c r="F16" s="21"/>
      <c r="G16" s="161"/>
      <c r="H16" s="3">
        <f t="shared" ref="H16:H79" si="1">H15+1</f>
        <v>28</v>
      </c>
    </row>
    <row r="17" spans="1:8" x14ac:dyDescent="0.3">
      <c r="A17" s="3">
        <f t="shared" si="0"/>
        <v>4</v>
      </c>
      <c r="B17" s="22" t="s">
        <v>180</v>
      </c>
      <c r="C17" s="23"/>
      <c r="D17" s="106"/>
      <c r="E17" s="27"/>
      <c r="F17" s="145"/>
      <c r="G17" s="159"/>
      <c r="H17" s="3">
        <f t="shared" si="1"/>
        <v>29</v>
      </c>
    </row>
    <row r="18" spans="1:8" x14ac:dyDescent="0.3">
      <c r="A18" s="3">
        <f t="shared" si="0"/>
        <v>5</v>
      </c>
      <c r="B18" s="22" t="s">
        <v>50</v>
      </c>
      <c r="C18" s="23">
        <f>'[2]Workpaper 1'!O45</f>
        <v>0</v>
      </c>
      <c r="D18" s="146">
        <f>'[3]Filing Copy - 12CP Alloc Factor'!$D$18</f>
        <v>1.0466116002409713</v>
      </c>
      <c r="E18" s="27">
        <f>ROUND(C18*D18,0)</f>
        <v>0</v>
      </c>
      <c r="F18" s="145">
        <f>IFERROR(E18/#REF!,0)</f>
        <v>0</v>
      </c>
      <c r="G18" s="159" t="s">
        <v>403</v>
      </c>
      <c r="H18" s="3">
        <f t="shared" si="1"/>
        <v>30</v>
      </c>
    </row>
    <row r="19" spans="1:8" x14ac:dyDescent="0.3">
      <c r="A19" s="3">
        <f t="shared" si="0"/>
        <v>6</v>
      </c>
      <c r="B19" s="22" t="s">
        <v>51</v>
      </c>
      <c r="C19" s="23">
        <f>'[2]Workpaper 1'!O46</f>
        <v>0</v>
      </c>
      <c r="D19" s="146">
        <f>'[3]Filing Copy - 12CP Alloc Factor'!$D$19</f>
        <v>1.0109139884302893</v>
      </c>
      <c r="E19" s="27">
        <f>ROUND(C19*D19,0)</f>
        <v>0</v>
      </c>
      <c r="F19" s="145">
        <f>IFERROR(E19/#REF!,0)</f>
        <v>0</v>
      </c>
      <c r="G19" s="159" t="s">
        <v>404</v>
      </c>
      <c r="H19" s="3">
        <f t="shared" si="1"/>
        <v>31</v>
      </c>
    </row>
    <row r="20" spans="1:8" x14ac:dyDescent="0.3">
      <c r="A20" s="3">
        <f t="shared" si="0"/>
        <v>7</v>
      </c>
      <c r="B20" s="22" t="s">
        <v>52</v>
      </c>
      <c r="C20" s="23">
        <f>'[2]Workpaper 1'!O47</f>
        <v>0</v>
      </c>
      <c r="D20" s="146">
        <f>'[3]Filing Copy - 12CP Alloc Factor'!$D$20</f>
        <v>1.0065000000001416</v>
      </c>
      <c r="E20" s="61">
        <f>ROUND(C20*D20,0)</f>
        <v>0</v>
      </c>
      <c r="F20" s="145">
        <f>IFERROR(E20/#REF!,0)</f>
        <v>0</v>
      </c>
      <c r="G20" s="159" t="s">
        <v>405</v>
      </c>
      <c r="H20" s="3">
        <f t="shared" si="1"/>
        <v>32</v>
      </c>
    </row>
    <row r="21" spans="1:8" x14ac:dyDescent="0.3">
      <c r="A21" s="3">
        <f t="shared" si="0"/>
        <v>8</v>
      </c>
      <c r="B21" s="25" t="s">
        <v>58</v>
      </c>
      <c r="C21" s="9">
        <f>SUM(C18:C20)</f>
        <v>0</v>
      </c>
      <c r="D21" s="141">
        <f>'[3]Filing Copy - 12CP Alloc Factor'!$D$21</f>
        <v>1.0351901300128612</v>
      </c>
      <c r="E21" s="9">
        <f>SUM(E18:E20)</f>
        <v>0</v>
      </c>
      <c r="F21" s="109">
        <f>SUM(F18:F20)</f>
        <v>0</v>
      </c>
      <c r="G21" s="108" t="s">
        <v>402</v>
      </c>
      <c r="H21" s="3">
        <f t="shared" si="1"/>
        <v>33</v>
      </c>
    </row>
    <row r="22" spans="1:8" x14ac:dyDescent="0.3">
      <c r="A22" s="3">
        <f t="shared" si="0"/>
        <v>9</v>
      </c>
      <c r="B22" s="25"/>
      <c r="C22" s="147"/>
      <c r="D22" s="148"/>
      <c r="E22" s="147"/>
      <c r="F22" s="147"/>
      <c r="G22" s="147"/>
      <c r="H22" s="3">
        <f t="shared" si="1"/>
        <v>34</v>
      </c>
    </row>
    <row r="23" spans="1:8" x14ac:dyDescent="0.3">
      <c r="A23" s="3">
        <f t="shared" si="0"/>
        <v>10</v>
      </c>
      <c r="B23" s="25" t="s">
        <v>182</v>
      </c>
      <c r="C23" s="147"/>
      <c r="D23" s="148"/>
      <c r="E23" s="147"/>
      <c r="F23" s="147"/>
      <c r="G23" s="147"/>
      <c r="H23" s="3">
        <f t="shared" si="1"/>
        <v>35</v>
      </c>
    </row>
    <row r="24" spans="1:8" x14ac:dyDescent="0.3">
      <c r="A24" s="3">
        <f t="shared" si="0"/>
        <v>11</v>
      </c>
      <c r="B24" s="25" t="s">
        <v>209</v>
      </c>
      <c r="C24" s="147"/>
      <c r="D24" s="148"/>
      <c r="E24" s="147"/>
      <c r="F24" s="147"/>
      <c r="G24" s="147"/>
      <c r="H24" s="3">
        <f t="shared" si="1"/>
        <v>36</v>
      </c>
    </row>
    <row r="25" spans="1:8" x14ac:dyDescent="0.3">
      <c r="A25" s="3">
        <f t="shared" si="0"/>
        <v>12</v>
      </c>
      <c r="B25" s="102" t="s">
        <v>210</v>
      </c>
      <c r="C25" s="147"/>
      <c r="D25" s="148"/>
      <c r="E25" s="147"/>
      <c r="F25" s="147"/>
      <c r="G25" s="147"/>
      <c r="H25" s="3">
        <f t="shared" si="1"/>
        <v>37</v>
      </c>
    </row>
    <row r="26" spans="1:8" x14ac:dyDescent="0.3">
      <c r="A26" s="3">
        <f t="shared" si="0"/>
        <v>13</v>
      </c>
      <c r="B26" s="25" t="s">
        <v>183</v>
      </c>
      <c r="C26" s="147"/>
      <c r="D26" s="148"/>
      <c r="E26" s="147"/>
      <c r="F26" s="147"/>
      <c r="G26" s="147"/>
      <c r="H26" s="3">
        <f t="shared" si="1"/>
        <v>38</v>
      </c>
    </row>
    <row r="27" spans="1:8" x14ac:dyDescent="0.3">
      <c r="A27" s="3">
        <f t="shared" si="0"/>
        <v>14</v>
      </c>
      <c r="B27" s="25" t="s">
        <v>50</v>
      </c>
      <c r="C27" s="27">
        <f>'[2]Workpaper 1'!O72</f>
        <v>15215.030368935337</v>
      </c>
      <c r="D27" s="146">
        <f>'[3]Filing Copy - 12CP Alloc Factor'!D18</f>
        <v>1.0466116002409713</v>
      </c>
      <c r="E27" s="27">
        <f>ROUND(C27*D27,0)</f>
        <v>15924</v>
      </c>
      <c r="F27" s="145">
        <f>E27/E30</f>
        <v>0.79200238734706063</v>
      </c>
      <c r="G27" s="159" t="s">
        <v>406</v>
      </c>
      <c r="H27" s="3">
        <f t="shared" si="1"/>
        <v>39</v>
      </c>
    </row>
    <row r="28" spans="1:8" x14ac:dyDescent="0.3">
      <c r="A28" s="3">
        <f t="shared" si="0"/>
        <v>15</v>
      </c>
      <c r="B28" s="25" t="s">
        <v>51</v>
      </c>
      <c r="C28" s="27">
        <f>'[2]Workpaper 1'!O73</f>
        <v>3905.1114713209208</v>
      </c>
      <c r="D28" s="146">
        <f>'[3]Filing Copy - 12CP Alloc Factor'!D19</f>
        <v>1.0109139884302893</v>
      </c>
      <c r="E28" s="27">
        <f>ROUND(C28*D28,0)</f>
        <v>3948</v>
      </c>
      <c r="F28" s="145">
        <f>E28/E30</f>
        <v>0.19635929573261712</v>
      </c>
      <c r="G28" s="159" t="s">
        <v>407</v>
      </c>
      <c r="H28" s="3">
        <f t="shared" si="1"/>
        <v>40</v>
      </c>
    </row>
    <row r="29" spans="1:8" x14ac:dyDescent="0.3">
      <c r="A29" s="3">
        <f t="shared" si="0"/>
        <v>16</v>
      </c>
      <c r="B29" s="25" t="s">
        <v>52</v>
      </c>
      <c r="C29" s="27">
        <f>'[2]Workpaper 1'!O74</f>
        <v>232.31698959542666</v>
      </c>
      <c r="D29" s="146">
        <f>'[3]Filing Copy - 12CP Alloc Factor'!D20</f>
        <v>1.0065000000001416</v>
      </c>
      <c r="E29" s="61">
        <f>ROUND(C29*D29,0)</f>
        <v>234</v>
      </c>
      <c r="F29" s="149">
        <f>E29/E30</f>
        <v>1.1638316920322292E-2</v>
      </c>
      <c r="G29" s="159" t="s">
        <v>432</v>
      </c>
      <c r="H29" s="3">
        <f t="shared" si="1"/>
        <v>41</v>
      </c>
    </row>
    <row r="30" spans="1:8" x14ac:dyDescent="0.3">
      <c r="A30" s="3">
        <f t="shared" si="0"/>
        <v>17</v>
      </c>
      <c r="B30" s="25" t="s">
        <v>58</v>
      </c>
      <c r="C30" s="9">
        <f>SUM(C27:C29)</f>
        <v>19352.458829851683</v>
      </c>
      <c r="D30" s="141">
        <f>'[3]Filing Copy - 12CP Alloc Factor'!$D$21</f>
        <v>1.0351901300128612</v>
      </c>
      <c r="E30" s="9">
        <f>SUM(E27:E29)</f>
        <v>20106</v>
      </c>
      <c r="F30" s="109">
        <f>SUM(F27:F29)</f>
        <v>1</v>
      </c>
      <c r="G30" s="108" t="s">
        <v>426</v>
      </c>
      <c r="H30" s="3">
        <f t="shared" si="1"/>
        <v>42</v>
      </c>
    </row>
    <row r="31" spans="1:8" x14ac:dyDescent="0.3">
      <c r="A31" s="3">
        <f t="shared" si="0"/>
        <v>18</v>
      </c>
      <c r="B31" s="25"/>
      <c r="C31" s="27"/>
      <c r="D31" s="106"/>
      <c r="E31" s="27"/>
      <c r="F31" s="107"/>
      <c r="G31" s="108"/>
      <c r="H31" s="3">
        <f t="shared" si="1"/>
        <v>43</v>
      </c>
    </row>
    <row r="32" spans="1:8" x14ac:dyDescent="0.3">
      <c r="A32" s="3">
        <f t="shared" si="0"/>
        <v>19</v>
      </c>
      <c r="B32" s="25" t="s">
        <v>182</v>
      </c>
      <c r="C32" s="150"/>
      <c r="D32" s="151"/>
      <c r="E32" s="152"/>
      <c r="F32" s="150"/>
      <c r="G32" s="3"/>
      <c r="H32" s="3">
        <f t="shared" si="1"/>
        <v>44</v>
      </c>
    </row>
    <row r="33" spans="1:8" x14ac:dyDescent="0.3">
      <c r="A33" s="3">
        <f t="shared" si="0"/>
        <v>20</v>
      </c>
      <c r="B33" s="25" t="s">
        <v>187</v>
      </c>
      <c r="C33" s="147"/>
      <c r="D33" s="148"/>
      <c r="E33" s="147"/>
      <c r="F33" s="147"/>
      <c r="G33" s="147"/>
      <c r="H33" s="3">
        <f t="shared" si="1"/>
        <v>45</v>
      </c>
    </row>
    <row r="34" spans="1:8" x14ac:dyDescent="0.3">
      <c r="A34" s="3">
        <f t="shared" si="0"/>
        <v>21</v>
      </c>
      <c r="B34" s="25" t="s">
        <v>111</v>
      </c>
      <c r="C34" s="147"/>
      <c r="D34" s="148"/>
      <c r="E34" s="147"/>
      <c r="F34" s="147"/>
      <c r="G34" s="147"/>
      <c r="H34" s="3">
        <f t="shared" si="1"/>
        <v>46</v>
      </c>
    </row>
    <row r="35" spans="1:8" x14ac:dyDescent="0.3">
      <c r="A35" s="3">
        <f t="shared" si="0"/>
        <v>22</v>
      </c>
      <c r="B35" s="25" t="s">
        <v>50</v>
      </c>
      <c r="C35" s="27">
        <f>'[2]Workpaper 1'!O118</f>
        <v>0</v>
      </c>
      <c r="D35" s="146">
        <f>'[3]Filing Copy - 12CP Alloc Factor'!D18</f>
        <v>1.0466116002409713</v>
      </c>
      <c r="E35" s="27">
        <f>ROUND(C35*D35,0)</f>
        <v>0</v>
      </c>
      <c r="F35" s="145">
        <f>E35/E38</f>
        <v>0</v>
      </c>
      <c r="G35" s="159" t="s">
        <v>408</v>
      </c>
      <c r="H35" s="3">
        <f t="shared" si="1"/>
        <v>47</v>
      </c>
    </row>
    <row r="36" spans="1:8" x14ac:dyDescent="0.3">
      <c r="A36" s="3">
        <f t="shared" si="0"/>
        <v>23</v>
      </c>
      <c r="B36" s="25" t="s">
        <v>51</v>
      </c>
      <c r="C36" s="27">
        <f>'[2]Workpaper 1'!O119</f>
        <v>787.25522164412598</v>
      </c>
      <c r="D36" s="146">
        <f>'[3]Filing Copy - 12CP Alloc Factor'!D19</f>
        <v>1.0109139884302893</v>
      </c>
      <c r="E36" s="27">
        <f>ROUND(C36*D36,0)</f>
        <v>796</v>
      </c>
      <c r="F36" s="145">
        <f>E36/E38</f>
        <v>0.36580882352941174</v>
      </c>
      <c r="G36" s="159" t="s">
        <v>409</v>
      </c>
      <c r="H36" s="3">
        <f t="shared" si="1"/>
        <v>48</v>
      </c>
    </row>
    <row r="37" spans="1:8" x14ac:dyDescent="0.3">
      <c r="A37" s="3">
        <f t="shared" si="0"/>
        <v>24</v>
      </c>
      <c r="B37" s="25" t="s">
        <v>52</v>
      </c>
      <c r="C37" s="27">
        <f>'[2]Workpaper 1'!O120</f>
        <v>1370.8328135950287</v>
      </c>
      <c r="D37" s="146">
        <f>'[3]Filing Copy - 12CP Alloc Factor'!D20</f>
        <v>1.0065000000001416</v>
      </c>
      <c r="E37" s="61">
        <f>ROUND(C37*D37,0)</f>
        <v>1380</v>
      </c>
      <c r="F37" s="149">
        <f>E37/E38</f>
        <v>0.6341911764705882</v>
      </c>
      <c r="G37" s="159" t="s">
        <v>433</v>
      </c>
      <c r="H37" s="3">
        <f t="shared" si="1"/>
        <v>49</v>
      </c>
    </row>
    <row r="38" spans="1:8" x14ac:dyDescent="0.3">
      <c r="A38" s="3">
        <f t="shared" si="0"/>
        <v>25</v>
      </c>
      <c r="B38" s="25" t="s">
        <v>58</v>
      </c>
      <c r="C38" s="9">
        <f>SUM(C35:C37)</f>
        <v>2158.0880352391546</v>
      </c>
      <c r="D38" s="141">
        <f>'[3]Filing Copy - 12CP Alloc Factor'!$D$21</f>
        <v>1.0351901300128612</v>
      </c>
      <c r="E38" s="9">
        <f>SUM(E35:E37)</f>
        <v>2176</v>
      </c>
      <c r="F38" s="109">
        <f>SUM(F35:F37)</f>
        <v>1</v>
      </c>
      <c r="G38" s="108" t="s">
        <v>427</v>
      </c>
      <c r="H38" s="3">
        <f t="shared" si="1"/>
        <v>50</v>
      </c>
    </row>
    <row r="39" spans="1:8" x14ac:dyDescent="0.3">
      <c r="A39" s="3">
        <f t="shared" si="0"/>
        <v>26</v>
      </c>
      <c r="B39" s="7"/>
      <c r="C39" s="4"/>
      <c r="D39" s="144"/>
      <c r="E39" s="3"/>
      <c r="F39" s="4"/>
      <c r="G39" s="3"/>
      <c r="H39" s="3">
        <f t="shared" si="1"/>
        <v>51</v>
      </c>
    </row>
    <row r="40" spans="1:8" x14ac:dyDescent="0.3">
      <c r="A40" s="3">
        <f t="shared" si="0"/>
        <v>27</v>
      </c>
      <c r="B40" s="25" t="s">
        <v>184</v>
      </c>
      <c r="C40" s="4"/>
      <c r="D40" s="144"/>
      <c r="E40" s="3"/>
      <c r="F40" s="4"/>
      <c r="G40" s="3"/>
      <c r="H40" s="3">
        <f t="shared" si="1"/>
        <v>52</v>
      </c>
    </row>
    <row r="41" spans="1:8" x14ac:dyDescent="0.3">
      <c r="A41" s="3">
        <f t="shared" si="0"/>
        <v>28</v>
      </c>
      <c r="B41" s="25" t="s">
        <v>124</v>
      </c>
      <c r="C41" s="147"/>
      <c r="D41" s="148"/>
      <c r="E41" s="147"/>
      <c r="F41" s="147"/>
      <c r="G41" s="147"/>
      <c r="H41" s="3">
        <f t="shared" si="1"/>
        <v>53</v>
      </c>
    </row>
    <row r="42" spans="1:8" x14ac:dyDescent="0.3">
      <c r="A42" s="3">
        <f t="shared" si="0"/>
        <v>29</v>
      </c>
      <c r="B42" s="25" t="s">
        <v>50</v>
      </c>
      <c r="C42" s="27">
        <f>C18+C27+C35</f>
        <v>15215.030368935337</v>
      </c>
      <c r="D42" s="146">
        <f>'[3]Filing Copy - 12CP Alloc Factor'!$D$18</f>
        <v>1.0466116002409713</v>
      </c>
      <c r="E42" s="27">
        <f>ROUND(C42*D42,0)</f>
        <v>15924</v>
      </c>
      <c r="F42" s="145">
        <f>E42/E45</f>
        <v>0.71465757113365047</v>
      </c>
      <c r="G42" s="159" t="s">
        <v>428</v>
      </c>
      <c r="H42" s="3">
        <f t="shared" si="1"/>
        <v>54</v>
      </c>
    </row>
    <row r="43" spans="1:8" x14ac:dyDescent="0.3">
      <c r="A43" s="3">
        <f t="shared" si="0"/>
        <v>30</v>
      </c>
      <c r="B43" s="25" t="s">
        <v>51</v>
      </c>
      <c r="C43" s="27">
        <f>C19+C28+C36</f>
        <v>4692.3666929650472</v>
      </c>
      <c r="D43" s="146">
        <f>'[3]Filing Copy - 12CP Alloc Factor'!$D$19</f>
        <v>1.0109139884302893</v>
      </c>
      <c r="E43" s="27">
        <f>ROUND(C43*D43,0)</f>
        <v>4744</v>
      </c>
      <c r="F43" s="145">
        <f>E43/E45</f>
        <v>0.2129072794183646</v>
      </c>
      <c r="G43" s="159" t="s">
        <v>429</v>
      </c>
      <c r="H43" s="3">
        <f t="shared" si="1"/>
        <v>55</v>
      </c>
    </row>
    <row r="44" spans="1:8" x14ac:dyDescent="0.3">
      <c r="A44" s="3">
        <f t="shared" si="0"/>
        <v>31</v>
      </c>
      <c r="B44" s="25" t="s">
        <v>52</v>
      </c>
      <c r="C44" s="27">
        <f>C20+C29+C37</f>
        <v>1603.1498031904553</v>
      </c>
      <c r="D44" s="146">
        <f>'[3]Filing Copy - 12CP Alloc Factor'!$D$20</f>
        <v>1.0065000000001416</v>
      </c>
      <c r="E44" s="61">
        <f>ROUND(C44*D44,0)</f>
        <v>1614</v>
      </c>
      <c r="F44" s="149">
        <f>E44/E45</f>
        <v>7.2435149447984917E-2</v>
      </c>
      <c r="G44" s="159" t="s">
        <v>430</v>
      </c>
      <c r="H44" s="3">
        <f t="shared" si="1"/>
        <v>56</v>
      </c>
    </row>
    <row r="45" spans="1:8" x14ac:dyDescent="0.3">
      <c r="A45" s="3">
        <f t="shared" si="0"/>
        <v>32</v>
      </c>
      <c r="B45" s="25" t="s">
        <v>58</v>
      </c>
      <c r="C45" s="9">
        <f>SUM(C42:C44)</f>
        <v>21510.546865090841</v>
      </c>
      <c r="D45" s="141">
        <f>'[3]Filing Copy - 12CP Alloc Factor'!$D$21</f>
        <v>1.0351901300128612</v>
      </c>
      <c r="E45" s="9">
        <f>SUM(E42:E44)</f>
        <v>22282</v>
      </c>
      <c r="F45" s="109">
        <f>SUM(F42:F44)</f>
        <v>1</v>
      </c>
      <c r="G45" s="108" t="s">
        <v>431</v>
      </c>
      <c r="H45" s="3">
        <f t="shared" si="1"/>
        <v>57</v>
      </c>
    </row>
    <row r="46" spans="1:8" x14ac:dyDescent="0.3">
      <c r="A46" s="3">
        <f t="shared" si="0"/>
        <v>33</v>
      </c>
      <c r="B46" s="7"/>
      <c r="C46" s="147"/>
      <c r="D46" s="153"/>
      <c r="E46" s="147"/>
      <c r="F46" s="147"/>
      <c r="G46" s="147"/>
      <c r="H46" s="3">
        <f t="shared" si="1"/>
        <v>58</v>
      </c>
    </row>
    <row r="47" spans="1:8" ht="22.5" x14ac:dyDescent="0.3">
      <c r="A47" s="3">
        <f t="shared" si="0"/>
        <v>34</v>
      </c>
      <c r="B47" s="4" t="s">
        <v>223</v>
      </c>
      <c r="C47" s="27"/>
      <c r="D47" s="106"/>
      <c r="E47" s="27"/>
      <c r="F47" s="107"/>
      <c r="G47" s="108"/>
      <c r="H47" s="3">
        <f t="shared" si="1"/>
        <v>59</v>
      </c>
    </row>
    <row r="48" spans="1:8" x14ac:dyDescent="0.3">
      <c r="A48" s="3">
        <f t="shared" si="0"/>
        <v>35</v>
      </c>
      <c r="B48" s="4" t="s">
        <v>108</v>
      </c>
      <c r="C48" s="27"/>
      <c r="D48" s="106"/>
      <c r="E48" s="27"/>
      <c r="F48" s="107"/>
      <c r="G48" s="108"/>
      <c r="H48" s="3">
        <f t="shared" si="1"/>
        <v>60</v>
      </c>
    </row>
    <row r="49" spans="1:8" x14ac:dyDescent="0.3">
      <c r="A49" s="3">
        <f t="shared" si="0"/>
        <v>36</v>
      </c>
      <c r="B49" s="25" t="s">
        <v>50</v>
      </c>
      <c r="C49" s="27">
        <f>SUM('[2]Workpaper 1'!H82:L82)</f>
        <v>6454.9368620836649</v>
      </c>
      <c r="D49" s="146">
        <f>'[3]Filing Copy - 12CP Alloc Factor'!$D$18</f>
        <v>1.0466116002409713</v>
      </c>
      <c r="E49" s="27">
        <f>ROUND(C49*D49,0)</f>
        <v>6756</v>
      </c>
      <c r="F49" s="145">
        <f>E49/E52</f>
        <v>0.77485950223649502</v>
      </c>
      <c r="G49" s="159" t="s">
        <v>410</v>
      </c>
      <c r="H49" s="3">
        <f t="shared" si="1"/>
        <v>61</v>
      </c>
    </row>
    <row r="50" spans="1:8" x14ac:dyDescent="0.3">
      <c r="A50" s="3">
        <f t="shared" si="0"/>
        <v>37</v>
      </c>
      <c r="B50" s="25" t="s">
        <v>51</v>
      </c>
      <c r="C50" s="27">
        <f>SUM('[2]Workpaper 1'!H83:L83)</f>
        <v>1718.0772238989769</v>
      </c>
      <c r="D50" s="146">
        <f>'[3]Filing Copy - 12CP Alloc Factor'!$D$19</f>
        <v>1.0109139884302893</v>
      </c>
      <c r="E50" s="27">
        <f>ROUND(C50*D50,0)</f>
        <v>1737</v>
      </c>
      <c r="F50" s="145">
        <f>E50/E52</f>
        <v>0.1992200940474825</v>
      </c>
      <c r="G50" s="159" t="s">
        <v>411</v>
      </c>
      <c r="H50" s="3">
        <f t="shared" si="1"/>
        <v>62</v>
      </c>
    </row>
    <row r="51" spans="1:8" x14ac:dyDescent="0.3">
      <c r="A51" s="3">
        <f t="shared" si="0"/>
        <v>38</v>
      </c>
      <c r="B51" s="25" t="s">
        <v>52</v>
      </c>
      <c r="C51" s="27">
        <f>SUM('[2]Workpaper 1'!H84:L84)</f>
        <v>224.10730135570546</v>
      </c>
      <c r="D51" s="146">
        <f>'[3]Filing Copy - 12CP Alloc Factor'!$D$20</f>
        <v>1.0065000000001416</v>
      </c>
      <c r="E51" s="61">
        <f>ROUND(C51*D51,0)</f>
        <v>226</v>
      </c>
      <c r="F51" s="149">
        <f>E51/E52</f>
        <v>2.5920403716022479E-2</v>
      </c>
      <c r="G51" s="159" t="s">
        <v>434</v>
      </c>
      <c r="H51" s="3">
        <f t="shared" si="1"/>
        <v>63</v>
      </c>
    </row>
    <row r="52" spans="1:8" x14ac:dyDescent="0.3">
      <c r="A52" s="3">
        <f t="shared" si="0"/>
        <v>39</v>
      </c>
      <c r="B52" s="25" t="s">
        <v>58</v>
      </c>
      <c r="C52" s="9">
        <f>SUM(C49:C51)</f>
        <v>8397.1213873383476</v>
      </c>
      <c r="D52" s="141">
        <f>'[3]Filing Copy - 12CP Alloc Factor'!$D$21</f>
        <v>1.0351901300128612</v>
      </c>
      <c r="E52" s="9">
        <f>SUM(E49:E51)</f>
        <v>8719</v>
      </c>
      <c r="F52" s="109">
        <f>SUM(F49:F51)</f>
        <v>1</v>
      </c>
      <c r="G52" s="108" t="s">
        <v>238</v>
      </c>
      <c r="H52" s="3">
        <f t="shared" si="1"/>
        <v>64</v>
      </c>
    </row>
    <row r="53" spans="1:8" x14ac:dyDescent="0.3">
      <c r="A53" s="3">
        <f t="shared" si="0"/>
        <v>40</v>
      </c>
      <c r="B53" s="4" t="s">
        <v>109</v>
      </c>
      <c r="C53" s="27"/>
      <c r="D53" s="106"/>
      <c r="E53" s="27"/>
      <c r="F53" s="107"/>
      <c r="G53" s="108"/>
      <c r="H53" s="3">
        <f t="shared" si="1"/>
        <v>65</v>
      </c>
    </row>
    <row r="54" spans="1:8" x14ac:dyDescent="0.3">
      <c r="A54" s="3">
        <f t="shared" si="0"/>
        <v>41</v>
      </c>
      <c r="B54" s="25" t="s">
        <v>50</v>
      </c>
      <c r="C54" s="27">
        <f>SUM('[2]Workpaper 1'!C82:G82)+SUM('[2]Workpaper 1'!M82:N82)</f>
        <v>7760.114492708195</v>
      </c>
      <c r="D54" s="146">
        <f>'[3]Filing Copy - 12CP Alloc Factor'!$D$18</f>
        <v>1.0466116002409713</v>
      </c>
      <c r="E54" s="27">
        <f>ROUND(C54*D54,0)</f>
        <v>8122</v>
      </c>
      <c r="F54" s="145">
        <f>E54/E57</f>
        <v>0.77197984982416124</v>
      </c>
      <c r="G54" s="159" t="s">
        <v>410</v>
      </c>
      <c r="H54" s="3">
        <f t="shared" si="1"/>
        <v>66</v>
      </c>
    </row>
    <row r="55" spans="1:8" x14ac:dyDescent="0.3">
      <c r="A55" s="3">
        <f t="shared" si="0"/>
        <v>42</v>
      </c>
      <c r="B55" s="25" t="s">
        <v>51</v>
      </c>
      <c r="C55" s="27">
        <f>SUM('[2]Workpaper 1'!C83:G83)+SUM('[2]Workpaper 1'!M83:N83)</f>
        <v>2069.9890433393457</v>
      </c>
      <c r="D55" s="146">
        <f>'[3]Filing Copy - 12CP Alloc Factor'!$D$19</f>
        <v>1.0109139884302893</v>
      </c>
      <c r="E55" s="27">
        <f>ROUND(C55*D55,0)</f>
        <v>2093</v>
      </c>
      <c r="F55" s="145">
        <f>E55/E57</f>
        <v>0.19893546240851631</v>
      </c>
      <c r="G55" s="159" t="s">
        <v>411</v>
      </c>
      <c r="H55" s="3">
        <f t="shared" si="1"/>
        <v>67</v>
      </c>
    </row>
    <row r="56" spans="1:8" x14ac:dyDescent="0.3">
      <c r="A56" s="3">
        <f t="shared" si="0"/>
        <v>43</v>
      </c>
      <c r="B56" s="25" t="s">
        <v>52</v>
      </c>
      <c r="C56" s="27">
        <f>SUM('[2]Workpaper 1'!C84:G84)+SUM('[2]Workpaper 1'!M84:N84)</f>
        <v>304.28376916792342</v>
      </c>
      <c r="D56" s="146">
        <f>'[3]Filing Copy - 12CP Alloc Factor'!$D$20</f>
        <v>1.0065000000001416</v>
      </c>
      <c r="E56" s="61">
        <f>ROUND(C56*D56,0)</f>
        <v>306</v>
      </c>
      <c r="F56" s="149">
        <f>E56/E57</f>
        <v>2.9084687767322499E-2</v>
      </c>
      <c r="G56" s="159" t="s">
        <v>434</v>
      </c>
      <c r="H56" s="3">
        <f t="shared" si="1"/>
        <v>68</v>
      </c>
    </row>
    <row r="57" spans="1:8" x14ac:dyDescent="0.3">
      <c r="A57" s="3">
        <f t="shared" si="0"/>
        <v>44</v>
      </c>
      <c r="B57" s="25" t="s">
        <v>58</v>
      </c>
      <c r="C57" s="9">
        <f>SUM(C54:C56)</f>
        <v>10134.387305215463</v>
      </c>
      <c r="D57" s="141">
        <f>'[3]Filing Copy - 12CP Alloc Factor'!$D$21</f>
        <v>1.0351901300128612</v>
      </c>
      <c r="E57" s="9">
        <f>SUM(E54:E56)</f>
        <v>10521</v>
      </c>
      <c r="F57" s="109">
        <f>SUM(F54:F56)</f>
        <v>1</v>
      </c>
      <c r="G57" s="108" t="s">
        <v>239</v>
      </c>
      <c r="H57" s="3">
        <f t="shared" si="1"/>
        <v>69</v>
      </c>
    </row>
    <row r="58" spans="1:8" x14ac:dyDescent="0.3">
      <c r="A58" s="3">
        <f t="shared" si="0"/>
        <v>45</v>
      </c>
      <c r="B58" s="7"/>
      <c r="C58" s="154"/>
      <c r="D58" s="148"/>
      <c r="E58" s="155"/>
      <c r="F58" s="155"/>
      <c r="G58" s="147"/>
      <c r="H58" s="3">
        <f t="shared" si="1"/>
        <v>70</v>
      </c>
    </row>
    <row r="59" spans="1:8" ht="22.5" x14ac:dyDescent="0.3">
      <c r="A59" s="3">
        <f t="shared" si="0"/>
        <v>46</v>
      </c>
      <c r="B59" s="4" t="s">
        <v>224</v>
      </c>
      <c r="C59" s="27"/>
      <c r="D59" s="106"/>
      <c r="E59" s="27"/>
      <c r="F59" s="107"/>
      <c r="G59" s="108"/>
      <c r="H59" s="3">
        <f t="shared" si="1"/>
        <v>71</v>
      </c>
    </row>
    <row r="60" spans="1:8" x14ac:dyDescent="0.3">
      <c r="A60" s="3">
        <f t="shared" si="0"/>
        <v>47</v>
      </c>
      <c r="B60" s="4" t="s">
        <v>108</v>
      </c>
      <c r="C60" s="27"/>
      <c r="D60" s="106"/>
      <c r="E60" s="27"/>
      <c r="F60" s="107"/>
      <c r="G60" s="108"/>
      <c r="H60" s="3">
        <f t="shared" si="1"/>
        <v>72</v>
      </c>
    </row>
    <row r="61" spans="1:8" x14ac:dyDescent="0.3">
      <c r="A61" s="3">
        <f t="shared" si="0"/>
        <v>48</v>
      </c>
      <c r="B61" s="25" t="s">
        <v>50</v>
      </c>
      <c r="C61" s="27">
        <f>SUM('[2]Workpaper 1'!H92:L92)</f>
        <v>6946.6230678503762</v>
      </c>
      <c r="D61" s="146">
        <f>'[3]Filing Copy - 12CP Alloc Factor'!$D$18</f>
        <v>1.0466116002409713</v>
      </c>
      <c r="E61" s="27">
        <f>ROUND(C61*D61,0)</f>
        <v>7270</v>
      </c>
      <c r="F61" s="145">
        <f>E61/E64</f>
        <v>0.7772907088634663</v>
      </c>
      <c r="G61" s="159" t="s">
        <v>412</v>
      </c>
      <c r="H61" s="3">
        <f t="shared" si="1"/>
        <v>73</v>
      </c>
    </row>
    <row r="62" spans="1:8" x14ac:dyDescent="0.3">
      <c r="A62" s="3">
        <f t="shared" si="0"/>
        <v>49</v>
      </c>
      <c r="B62" s="25" t="s">
        <v>51</v>
      </c>
      <c r="C62" s="27">
        <f>SUM('[2]Workpaper 1'!H93:L93)</f>
        <v>1808.7516730777288</v>
      </c>
      <c r="D62" s="146">
        <f>'[3]Filing Copy - 12CP Alloc Factor'!$D$19</f>
        <v>1.0109139884302893</v>
      </c>
      <c r="E62" s="27">
        <f>ROUND(C62*D62,0)</f>
        <v>1828</v>
      </c>
      <c r="F62" s="145">
        <f>E62/E64</f>
        <v>0.19544531166470652</v>
      </c>
      <c r="G62" s="159" t="s">
        <v>413</v>
      </c>
      <c r="H62" s="3">
        <f t="shared" si="1"/>
        <v>74</v>
      </c>
    </row>
    <row r="63" spans="1:8" x14ac:dyDescent="0.3">
      <c r="A63" s="3">
        <f t="shared" si="0"/>
        <v>50</v>
      </c>
      <c r="B63" s="25" t="s">
        <v>52</v>
      </c>
      <c r="C63" s="27">
        <f>SUM('[2]Workpaper 1'!H94:L94)</f>
        <v>253.70507715224426</v>
      </c>
      <c r="D63" s="146">
        <f>'[3]Filing Copy - 12CP Alloc Factor'!$D$20</f>
        <v>1.0065000000001416</v>
      </c>
      <c r="E63" s="61">
        <f>ROUND(C63*D63,0)</f>
        <v>255</v>
      </c>
      <c r="F63" s="149">
        <f>E63/E64</f>
        <v>2.726397947182722E-2</v>
      </c>
      <c r="G63" s="159" t="s">
        <v>435</v>
      </c>
      <c r="H63" s="3">
        <f t="shared" si="1"/>
        <v>75</v>
      </c>
    </row>
    <row r="64" spans="1:8" x14ac:dyDescent="0.3">
      <c r="A64" s="3">
        <f t="shared" si="0"/>
        <v>51</v>
      </c>
      <c r="B64" s="25" t="s">
        <v>58</v>
      </c>
      <c r="C64" s="9">
        <f>SUM(C61:C63)</f>
        <v>9009.0798180803504</v>
      </c>
      <c r="D64" s="141">
        <f>'[3]Filing Copy - 12CP Alloc Factor'!$D$21</f>
        <v>1.0351901300128612</v>
      </c>
      <c r="E64" s="9">
        <f>SUM(E61:E63)</f>
        <v>9353</v>
      </c>
      <c r="F64" s="109">
        <f>SUM(F61:F63)</f>
        <v>1</v>
      </c>
      <c r="G64" s="108" t="s">
        <v>240</v>
      </c>
      <c r="H64" s="3">
        <f t="shared" si="1"/>
        <v>76</v>
      </c>
    </row>
    <row r="65" spans="1:8" x14ac:dyDescent="0.3">
      <c r="A65" s="3">
        <f t="shared" si="0"/>
        <v>52</v>
      </c>
      <c r="B65" s="4" t="s">
        <v>109</v>
      </c>
      <c r="C65" s="27"/>
      <c r="D65" s="106"/>
      <c r="E65" s="27"/>
      <c r="F65" s="107"/>
      <c r="G65" s="108"/>
      <c r="H65" s="3">
        <f t="shared" si="1"/>
        <v>77</v>
      </c>
    </row>
    <row r="66" spans="1:8" x14ac:dyDescent="0.3">
      <c r="A66" s="3">
        <f t="shared" si="0"/>
        <v>53</v>
      </c>
      <c r="B66" s="25" t="s">
        <v>50</v>
      </c>
      <c r="C66" s="27">
        <f>SUM('[2]Workpaper 1'!C92:G92)+SUM('[2]Workpaper 1'!M92:N92)</f>
        <v>7278.5238550391432</v>
      </c>
      <c r="D66" s="146">
        <f>'[3]Filing Copy - 12CP Alloc Factor'!$D$18</f>
        <v>1.0466116002409713</v>
      </c>
      <c r="E66" s="27">
        <f>ROUND(C66*D66,0)</f>
        <v>7618</v>
      </c>
      <c r="F66" s="145">
        <f>E66/E69</f>
        <v>0.76856335754640837</v>
      </c>
      <c r="G66" s="159" t="s">
        <v>412</v>
      </c>
      <c r="H66" s="3">
        <f t="shared" si="1"/>
        <v>78</v>
      </c>
    </row>
    <row r="67" spans="1:8" x14ac:dyDescent="0.3">
      <c r="A67" s="3">
        <f t="shared" si="0"/>
        <v>54</v>
      </c>
      <c r="B67" s="25" t="s">
        <v>51</v>
      </c>
      <c r="C67" s="27">
        <f>SUM('[2]Workpaper 1'!C93:G93)+SUM('[2]Workpaper 1'!M93:N93)</f>
        <v>1995.1446382106403</v>
      </c>
      <c r="D67" s="146">
        <f>'[3]Filing Copy - 12CP Alloc Factor'!$D$19</f>
        <v>1.0109139884302893</v>
      </c>
      <c r="E67" s="27">
        <f>ROUND(C67*D67,0)</f>
        <v>2017</v>
      </c>
      <c r="F67" s="145">
        <f>E67/E69</f>
        <v>0.20349071832122678</v>
      </c>
      <c r="G67" s="159" t="s">
        <v>413</v>
      </c>
      <c r="H67" s="3">
        <f t="shared" si="1"/>
        <v>79</v>
      </c>
    </row>
    <row r="68" spans="1:8" x14ac:dyDescent="0.3">
      <c r="A68" s="3">
        <f t="shared" si="0"/>
        <v>55</v>
      </c>
      <c r="B68" s="25" t="s">
        <v>52</v>
      </c>
      <c r="C68" s="27">
        <f>SUM('[2]Workpaper 1'!C94:G94)+SUM('[2]Workpaper 1'!M94:N94)</f>
        <v>275.69554849346798</v>
      </c>
      <c r="D68" s="146">
        <f>'[3]Filing Copy - 12CP Alloc Factor'!$D$20</f>
        <v>1.0065000000001416</v>
      </c>
      <c r="E68" s="61">
        <f>ROUND(C68*D68,0)</f>
        <v>277</v>
      </c>
      <c r="F68" s="149">
        <f>E68/E69</f>
        <v>2.7945924132364811E-2</v>
      </c>
      <c r="G68" s="159" t="s">
        <v>435</v>
      </c>
      <c r="H68" s="3">
        <f t="shared" si="1"/>
        <v>80</v>
      </c>
    </row>
    <row r="69" spans="1:8" x14ac:dyDescent="0.3">
      <c r="A69" s="3">
        <f t="shared" si="0"/>
        <v>56</v>
      </c>
      <c r="B69" s="25" t="s">
        <v>58</v>
      </c>
      <c r="C69" s="9">
        <f>SUM(C66:C68)</f>
        <v>9549.3640417432507</v>
      </c>
      <c r="D69" s="141">
        <f>'[3]Filing Copy - 12CP Alloc Factor'!$D$21</f>
        <v>1.0351901300128612</v>
      </c>
      <c r="E69" s="9">
        <f>SUM(E66:E68)</f>
        <v>9912</v>
      </c>
      <c r="F69" s="109">
        <f>SUM(F66:F68)</f>
        <v>1</v>
      </c>
      <c r="G69" s="108" t="s">
        <v>241</v>
      </c>
      <c r="H69" s="3">
        <f t="shared" si="1"/>
        <v>81</v>
      </c>
    </row>
    <row r="70" spans="1:8" x14ac:dyDescent="0.3">
      <c r="A70" s="3">
        <f t="shared" si="0"/>
        <v>57</v>
      </c>
      <c r="B70" s="7"/>
      <c r="C70" s="154"/>
      <c r="D70" s="148"/>
      <c r="E70" s="155"/>
      <c r="F70" s="155"/>
      <c r="G70" s="147"/>
      <c r="H70" s="3">
        <f t="shared" si="1"/>
        <v>82</v>
      </c>
    </row>
    <row r="71" spans="1:8" x14ac:dyDescent="0.3">
      <c r="A71" s="3">
        <f t="shared" si="0"/>
        <v>58</v>
      </c>
      <c r="B71" s="4" t="s">
        <v>125</v>
      </c>
      <c r="C71" s="154"/>
      <c r="D71" s="148"/>
      <c r="E71" s="147"/>
      <c r="F71" s="147"/>
      <c r="G71" s="147"/>
      <c r="H71" s="3">
        <f t="shared" si="1"/>
        <v>83</v>
      </c>
    </row>
    <row r="72" spans="1:8" ht="22.5" x14ac:dyDescent="0.3">
      <c r="A72" s="3">
        <f t="shared" si="0"/>
        <v>59</v>
      </c>
      <c r="B72" s="4" t="s">
        <v>225</v>
      </c>
      <c r="C72" s="27"/>
      <c r="D72" s="106"/>
      <c r="E72" s="27"/>
      <c r="F72" s="107"/>
      <c r="G72" s="147"/>
      <c r="H72" s="3">
        <f t="shared" si="1"/>
        <v>84</v>
      </c>
    </row>
    <row r="73" spans="1:8" x14ac:dyDescent="0.3">
      <c r="A73" s="3">
        <f t="shared" si="0"/>
        <v>60</v>
      </c>
      <c r="B73" s="4" t="s">
        <v>108</v>
      </c>
      <c r="C73" s="27"/>
      <c r="D73" s="106"/>
      <c r="E73" s="27"/>
      <c r="F73" s="107"/>
      <c r="G73" s="147"/>
      <c r="H73" s="3">
        <f t="shared" si="1"/>
        <v>85</v>
      </c>
    </row>
    <row r="74" spans="1:8" x14ac:dyDescent="0.3">
      <c r="A74" s="3">
        <f t="shared" si="0"/>
        <v>61</v>
      </c>
      <c r="B74" s="25" t="s">
        <v>50</v>
      </c>
      <c r="C74" s="27">
        <f>SUM('[2]Workpaper 1'!H128:L128)</f>
        <v>0</v>
      </c>
      <c r="D74" s="146">
        <f>'[3]Filing Copy - 12CP Alloc Factor'!$D$18</f>
        <v>1.0466116002409713</v>
      </c>
      <c r="E74" s="27">
        <f>ROUND(C74*D74,0)</f>
        <v>0</v>
      </c>
      <c r="F74" s="145">
        <f>E74/E77</f>
        <v>0</v>
      </c>
      <c r="G74" s="159" t="s">
        <v>414</v>
      </c>
      <c r="H74" s="3">
        <f t="shared" si="1"/>
        <v>86</v>
      </c>
    </row>
    <row r="75" spans="1:8" x14ac:dyDescent="0.3">
      <c r="A75" s="3">
        <f t="shared" si="0"/>
        <v>62</v>
      </c>
      <c r="B75" s="25" t="s">
        <v>51</v>
      </c>
      <c r="C75" s="27">
        <f>SUM('[2]Workpaper 1'!H129:L129)</f>
        <v>231.12141145346112</v>
      </c>
      <c r="D75" s="146">
        <f>'[3]Filing Copy - 12CP Alloc Factor'!$D$19</f>
        <v>1.0109139884302893</v>
      </c>
      <c r="E75" s="27">
        <f>ROUND(C75*D75,0)</f>
        <v>234</v>
      </c>
      <c r="F75" s="145">
        <f>E75/E77</f>
        <v>0.33476394849785407</v>
      </c>
      <c r="G75" s="159" t="s">
        <v>415</v>
      </c>
      <c r="H75" s="3">
        <f t="shared" si="1"/>
        <v>87</v>
      </c>
    </row>
    <row r="76" spans="1:8" x14ac:dyDescent="0.3">
      <c r="A76" s="3">
        <f t="shared" si="0"/>
        <v>63</v>
      </c>
      <c r="B76" s="25" t="s">
        <v>52</v>
      </c>
      <c r="C76" s="27">
        <f>SUM('[2]Workpaper 1'!H130:L130)</f>
        <v>461.9101112225668</v>
      </c>
      <c r="D76" s="146">
        <f>'[3]Filing Copy - 12CP Alloc Factor'!$D$20</f>
        <v>1.0065000000001416</v>
      </c>
      <c r="E76" s="61">
        <f>ROUND(C76*D76,0)</f>
        <v>465</v>
      </c>
      <c r="F76" s="149">
        <f>E76/E77</f>
        <v>0.66523605150214593</v>
      </c>
      <c r="G76" s="159" t="s">
        <v>436</v>
      </c>
      <c r="H76" s="3">
        <f t="shared" si="1"/>
        <v>88</v>
      </c>
    </row>
    <row r="77" spans="1:8" x14ac:dyDescent="0.3">
      <c r="A77" s="3">
        <f t="shared" si="0"/>
        <v>64</v>
      </c>
      <c r="B77" s="25" t="s">
        <v>58</v>
      </c>
      <c r="C77" s="9">
        <f>SUM(C74:C76)</f>
        <v>693.03152267602786</v>
      </c>
      <c r="D77" s="141">
        <f>'[3]Filing Copy - 12CP Alloc Factor'!$D$21</f>
        <v>1.0351901300128612</v>
      </c>
      <c r="E77" s="9">
        <f>SUM(E74:E76)</f>
        <v>699</v>
      </c>
      <c r="F77" s="109">
        <f>SUM(F74:F76)</f>
        <v>1</v>
      </c>
      <c r="G77" s="108" t="s">
        <v>242</v>
      </c>
      <c r="H77" s="3">
        <f t="shared" si="1"/>
        <v>89</v>
      </c>
    </row>
    <row r="78" spans="1:8" x14ac:dyDescent="0.3">
      <c r="A78" s="3">
        <f t="shared" si="0"/>
        <v>65</v>
      </c>
      <c r="B78" s="4" t="s">
        <v>109</v>
      </c>
      <c r="C78" s="27"/>
      <c r="D78" s="106"/>
      <c r="E78" s="27"/>
      <c r="F78" s="107"/>
      <c r="G78" s="108"/>
      <c r="H78" s="3">
        <f t="shared" si="1"/>
        <v>90</v>
      </c>
    </row>
    <row r="79" spans="1:8" x14ac:dyDescent="0.3">
      <c r="A79" s="3">
        <f t="shared" si="0"/>
        <v>66</v>
      </c>
      <c r="B79" s="25" t="s">
        <v>50</v>
      </c>
      <c r="C79" s="27">
        <f>SUM('[2]Workpaper 1'!C128:G128)+SUM('[2]Workpaper 1'!M128:N128)</f>
        <v>0</v>
      </c>
      <c r="D79" s="146">
        <f>'[3]Filing Copy - 12CP Alloc Factor'!$D$18</f>
        <v>1.0466116002409713</v>
      </c>
      <c r="E79" s="27">
        <f>ROUND(C79*D79,0)</f>
        <v>0</v>
      </c>
      <c r="F79" s="145">
        <f>E79/E82</f>
        <v>0</v>
      </c>
      <c r="G79" s="159" t="s">
        <v>414</v>
      </c>
      <c r="H79" s="3">
        <f t="shared" si="1"/>
        <v>91</v>
      </c>
    </row>
    <row r="80" spans="1:8" x14ac:dyDescent="0.3">
      <c r="A80" s="3">
        <f t="shared" ref="A80:A115" si="2">A79+1</f>
        <v>67</v>
      </c>
      <c r="B80" s="25" t="s">
        <v>51</v>
      </c>
      <c r="C80" s="27">
        <f>SUM('[2]Workpaper 1'!C129:G129)+SUM('[2]Workpaper 1'!M129:N129)</f>
        <v>295.87106408602494</v>
      </c>
      <c r="D80" s="146">
        <f>'[3]Filing Copy - 12CP Alloc Factor'!$D$19</f>
        <v>1.0109139884302893</v>
      </c>
      <c r="E80" s="27">
        <f>ROUND(C80*D80,0)</f>
        <v>299</v>
      </c>
      <c r="F80" s="145">
        <f>E80/E82</f>
        <v>0.31506849315068491</v>
      </c>
      <c r="G80" s="159" t="s">
        <v>415</v>
      </c>
      <c r="H80" s="3">
        <f t="shared" ref="H80:H115" si="3">H79+1</f>
        <v>92</v>
      </c>
    </row>
    <row r="81" spans="1:8" x14ac:dyDescent="0.3">
      <c r="A81" s="3">
        <f t="shared" si="2"/>
        <v>68</v>
      </c>
      <c r="B81" s="25" t="s">
        <v>52</v>
      </c>
      <c r="C81" s="27">
        <f>SUM('[2]Workpaper 1'!C130:G130)+SUM('[2]Workpaper 1'!M130:N130)</f>
        <v>646.02685883435402</v>
      </c>
      <c r="D81" s="146">
        <f>'[3]Filing Copy - 12CP Alloc Factor'!$D$20</f>
        <v>1.0065000000001416</v>
      </c>
      <c r="E81" s="61">
        <f>ROUND(C81*D81,0)</f>
        <v>650</v>
      </c>
      <c r="F81" s="149">
        <f>E81/E82</f>
        <v>0.68493150684931503</v>
      </c>
      <c r="G81" s="159" t="s">
        <v>436</v>
      </c>
      <c r="H81" s="3">
        <f t="shared" si="3"/>
        <v>93</v>
      </c>
    </row>
    <row r="82" spans="1:8" x14ac:dyDescent="0.3">
      <c r="A82" s="3">
        <f t="shared" si="2"/>
        <v>69</v>
      </c>
      <c r="B82" s="25" t="s">
        <v>58</v>
      </c>
      <c r="C82" s="9">
        <f>SUM(C79:C81)</f>
        <v>941.89792292037896</v>
      </c>
      <c r="D82" s="141">
        <f>'[3]Filing Copy - 12CP Alloc Factor'!$D$21</f>
        <v>1.0351901300128612</v>
      </c>
      <c r="E82" s="9">
        <f>SUM(E79:E81)</f>
        <v>949</v>
      </c>
      <c r="F82" s="109">
        <f>SUM(F79:F81)</f>
        <v>1</v>
      </c>
      <c r="G82" s="108" t="s">
        <v>425</v>
      </c>
      <c r="H82" s="3">
        <f t="shared" si="3"/>
        <v>94</v>
      </c>
    </row>
    <row r="83" spans="1:8" x14ac:dyDescent="0.3">
      <c r="A83" s="3">
        <f t="shared" si="2"/>
        <v>70</v>
      </c>
      <c r="B83" s="4" t="s">
        <v>125</v>
      </c>
      <c r="C83" s="154"/>
      <c r="D83" s="148"/>
      <c r="E83" s="147"/>
      <c r="F83" s="147"/>
      <c r="G83" s="147"/>
      <c r="H83" s="3">
        <f t="shared" si="3"/>
        <v>95</v>
      </c>
    </row>
    <row r="84" spans="1:8" ht="22.5" x14ac:dyDescent="0.3">
      <c r="A84" s="3">
        <f t="shared" si="2"/>
        <v>71</v>
      </c>
      <c r="B84" s="4" t="s">
        <v>226</v>
      </c>
      <c r="C84" s="27"/>
      <c r="D84" s="106"/>
      <c r="E84" s="27"/>
      <c r="F84" s="107"/>
      <c r="G84" s="147"/>
      <c r="H84" s="3">
        <f t="shared" si="3"/>
        <v>96</v>
      </c>
    </row>
    <row r="85" spans="1:8" x14ac:dyDescent="0.3">
      <c r="A85" s="3">
        <f t="shared" si="2"/>
        <v>72</v>
      </c>
      <c r="B85" s="4" t="s">
        <v>108</v>
      </c>
      <c r="C85" s="27"/>
      <c r="D85" s="106"/>
      <c r="E85" s="27"/>
      <c r="F85" s="107"/>
      <c r="G85" s="147"/>
      <c r="H85" s="3">
        <f t="shared" si="3"/>
        <v>97</v>
      </c>
    </row>
    <row r="86" spans="1:8" x14ac:dyDescent="0.3">
      <c r="A86" s="3">
        <f t="shared" si="2"/>
        <v>73</v>
      </c>
      <c r="B86" s="25" t="s">
        <v>50</v>
      </c>
      <c r="C86" s="27">
        <f>SUM('[2]Workpaper 1'!H138:L138)</f>
        <v>0</v>
      </c>
      <c r="D86" s="146">
        <f>'[3]Filing Copy - 12CP Alloc Factor'!$D$18</f>
        <v>1.0466116002409713</v>
      </c>
      <c r="E86" s="27">
        <f>ROUND(C86*D86,0)</f>
        <v>0</v>
      </c>
      <c r="F86" s="145">
        <f>E86/E89</f>
        <v>0</v>
      </c>
      <c r="G86" s="159" t="s">
        <v>416</v>
      </c>
      <c r="H86" s="3">
        <f t="shared" si="3"/>
        <v>98</v>
      </c>
    </row>
    <row r="87" spans="1:8" x14ac:dyDescent="0.3">
      <c r="A87" s="3">
        <f t="shared" si="2"/>
        <v>74</v>
      </c>
      <c r="B87" s="25" t="s">
        <v>51</v>
      </c>
      <c r="C87" s="27">
        <f>SUM('[2]Workpaper 1'!H139:L139)</f>
        <v>242.51390276050947</v>
      </c>
      <c r="D87" s="146">
        <f>'[3]Filing Copy - 12CP Alloc Factor'!$D$19</f>
        <v>1.0109139884302893</v>
      </c>
      <c r="E87" s="27">
        <f>ROUND(C87*D87,0)</f>
        <v>245</v>
      </c>
      <c r="F87" s="145">
        <f>E87/E89</f>
        <v>0.33333333333333331</v>
      </c>
      <c r="G87" s="159" t="s">
        <v>417</v>
      </c>
      <c r="H87" s="3">
        <f t="shared" si="3"/>
        <v>99</v>
      </c>
    </row>
    <row r="88" spans="1:8" x14ac:dyDescent="0.3">
      <c r="A88" s="3">
        <f t="shared" si="2"/>
        <v>75</v>
      </c>
      <c r="B88" s="25" t="s">
        <v>52</v>
      </c>
      <c r="C88" s="27">
        <f>SUM('[2]Workpaper 1'!H140:L140)</f>
        <v>486.93741951653237</v>
      </c>
      <c r="D88" s="146">
        <f>'[3]Filing Copy - 12CP Alloc Factor'!$D$20</f>
        <v>1.0065000000001416</v>
      </c>
      <c r="E88" s="61">
        <f>ROUND(C88*D88,0)</f>
        <v>490</v>
      </c>
      <c r="F88" s="149">
        <f>E88/E89</f>
        <v>0.66666666666666663</v>
      </c>
      <c r="G88" s="159" t="s">
        <v>437</v>
      </c>
      <c r="H88" s="3">
        <f t="shared" si="3"/>
        <v>100</v>
      </c>
    </row>
    <row r="89" spans="1:8" x14ac:dyDescent="0.3">
      <c r="A89" s="3">
        <f t="shared" si="2"/>
        <v>76</v>
      </c>
      <c r="B89" s="25" t="s">
        <v>58</v>
      </c>
      <c r="C89" s="9">
        <f>SUM(C86:C88)</f>
        <v>729.45132227704187</v>
      </c>
      <c r="D89" s="141">
        <f>'[3]Filing Copy - 12CP Alloc Factor'!$D$21</f>
        <v>1.0351901300128612</v>
      </c>
      <c r="E89" s="9">
        <f>SUM(E86:E88)</f>
        <v>735</v>
      </c>
      <c r="F89" s="109">
        <f>SUM(F86:F88)</f>
        <v>1</v>
      </c>
      <c r="G89" s="108" t="s">
        <v>424</v>
      </c>
      <c r="H89" s="3">
        <f t="shared" si="3"/>
        <v>101</v>
      </c>
    </row>
    <row r="90" spans="1:8" x14ac:dyDescent="0.3">
      <c r="A90" s="3">
        <f t="shared" si="2"/>
        <v>77</v>
      </c>
      <c r="B90" s="4" t="s">
        <v>109</v>
      </c>
      <c r="C90" s="27"/>
      <c r="D90" s="106"/>
      <c r="E90" s="27"/>
      <c r="F90" s="107"/>
      <c r="G90" s="108"/>
      <c r="H90" s="3">
        <f t="shared" si="3"/>
        <v>102</v>
      </c>
    </row>
    <row r="91" spans="1:8" x14ac:dyDescent="0.3">
      <c r="A91" s="3">
        <f t="shared" si="2"/>
        <v>78</v>
      </c>
      <c r="B91" s="25" t="s">
        <v>50</v>
      </c>
      <c r="C91" s="27">
        <f>SUM('[2]Workpaper 1'!C138:G138)+SUM('[2]Workpaper 1'!M138:N138)</f>
        <v>0</v>
      </c>
      <c r="D91" s="146">
        <f>'[3]Filing Copy - 12CP Alloc Factor'!$D$18</f>
        <v>1.0466116002409713</v>
      </c>
      <c r="E91" s="27">
        <f>ROUND(C91*D91,0)</f>
        <v>0</v>
      </c>
      <c r="F91" s="145">
        <f>E91/E94</f>
        <v>0</v>
      </c>
      <c r="G91" s="159" t="s">
        <v>416</v>
      </c>
      <c r="H91" s="3">
        <f t="shared" si="3"/>
        <v>103</v>
      </c>
    </row>
    <row r="92" spans="1:8" x14ac:dyDescent="0.3">
      <c r="A92" s="3">
        <f t="shared" si="2"/>
        <v>79</v>
      </c>
      <c r="B92" s="25" t="s">
        <v>51</v>
      </c>
      <c r="C92" s="27">
        <f>SUM('[2]Workpaper 1'!C139:G139)+SUM('[2]Workpaper 1'!M139:N139)</f>
        <v>297.73767026441237</v>
      </c>
      <c r="D92" s="146">
        <f>'[3]Filing Copy - 12CP Alloc Factor'!$D$19</f>
        <v>1.0109139884302893</v>
      </c>
      <c r="E92" s="27">
        <f>ROUND(C92*D92,0)</f>
        <v>301</v>
      </c>
      <c r="F92" s="145">
        <f>E92/E94</f>
        <v>0.31386861313868614</v>
      </c>
      <c r="G92" s="159" t="s">
        <v>417</v>
      </c>
      <c r="H92" s="3">
        <f t="shared" si="3"/>
        <v>104</v>
      </c>
    </row>
    <row r="93" spans="1:8" x14ac:dyDescent="0.3">
      <c r="A93" s="3">
        <f t="shared" si="2"/>
        <v>80</v>
      </c>
      <c r="B93" s="25" t="s">
        <v>52</v>
      </c>
      <c r="C93" s="27">
        <f>SUM('[2]Workpaper 1'!C140:G140)+SUM('[2]Workpaper 1'!M140:N140)</f>
        <v>653.9837496611708</v>
      </c>
      <c r="D93" s="146">
        <f>'[3]Filing Copy - 12CP Alloc Factor'!$D$20</f>
        <v>1.0065000000001416</v>
      </c>
      <c r="E93" s="61">
        <f>ROUND(C93*D93,0)</f>
        <v>658</v>
      </c>
      <c r="F93" s="149">
        <f>E93/E94</f>
        <v>0.68613138686131392</v>
      </c>
      <c r="G93" s="159" t="s">
        <v>437</v>
      </c>
      <c r="H93" s="3">
        <f t="shared" si="3"/>
        <v>105</v>
      </c>
    </row>
    <row r="94" spans="1:8" x14ac:dyDescent="0.3">
      <c r="A94" s="3">
        <f t="shared" si="2"/>
        <v>81</v>
      </c>
      <c r="B94" s="25" t="s">
        <v>58</v>
      </c>
      <c r="C94" s="9">
        <f>SUM(C91:C93)</f>
        <v>951.72141992558318</v>
      </c>
      <c r="D94" s="141">
        <f>'[3]Filing Copy - 12CP Alloc Factor'!$D$21</f>
        <v>1.0351901300128612</v>
      </c>
      <c r="E94" s="9">
        <f>SUM(E91:E93)</f>
        <v>959</v>
      </c>
      <c r="F94" s="109">
        <f>SUM(F91:F93)</f>
        <v>1</v>
      </c>
      <c r="G94" s="108" t="s">
        <v>423</v>
      </c>
      <c r="H94" s="3">
        <f t="shared" si="3"/>
        <v>106</v>
      </c>
    </row>
    <row r="95" spans="1:8" x14ac:dyDescent="0.3">
      <c r="A95" s="3">
        <f t="shared" si="2"/>
        <v>82</v>
      </c>
      <c r="B95" s="7"/>
      <c r="C95" s="156"/>
      <c r="D95" s="144"/>
      <c r="E95" s="3"/>
      <c r="F95" s="4"/>
      <c r="G95" s="3"/>
      <c r="H95" s="3">
        <f t="shared" si="3"/>
        <v>107</v>
      </c>
    </row>
    <row r="96" spans="1:8" x14ac:dyDescent="0.3">
      <c r="A96" s="3">
        <f t="shared" si="2"/>
        <v>83</v>
      </c>
      <c r="B96" s="7" t="s">
        <v>336</v>
      </c>
      <c r="C96" s="156"/>
      <c r="D96" s="144"/>
      <c r="E96" s="3"/>
      <c r="F96" s="4"/>
      <c r="G96" s="21"/>
      <c r="H96" s="3">
        <f t="shared" si="3"/>
        <v>108</v>
      </c>
    </row>
    <row r="97" spans="1:8" x14ac:dyDescent="0.3">
      <c r="A97" s="3">
        <f t="shared" si="2"/>
        <v>84</v>
      </c>
      <c r="B97" s="25" t="s">
        <v>337</v>
      </c>
      <c r="C97" s="27">
        <f>'[2]Workpaper 1'!$O$164</f>
        <v>146.1</v>
      </c>
      <c r="D97" s="106">
        <f>D19</f>
        <v>1.0109139884302893</v>
      </c>
      <c r="E97" s="27">
        <f>ROUND(C97*D97,0)</f>
        <v>148</v>
      </c>
      <c r="F97" s="145">
        <v>1</v>
      </c>
      <c r="G97" s="159" t="s">
        <v>339</v>
      </c>
      <c r="H97" s="3">
        <f t="shared" si="3"/>
        <v>109</v>
      </c>
    </row>
    <row r="98" spans="1:8" x14ac:dyDescent="0.3">
      <c r="A98" s="3">
        <f t="shared" si="2"/>
        <v>85</v>
      </c>
      <c r="B98" s="4" t="s">
        <v>338</v>
      </c>
      <c r="C98" s="27"/>
      <c r="D98" s="106"/>
      <c r="E98" s="27"/>
      <c r="F98" s="145"/>
      <c r="G98" s="159"/>
      <c r="H98" s="3">
        <f t="shared" si="3"/>
        <v>110</v>
      </c>
    </row>
    <row r="99" spans="1:8" x14ac:dyDescent="0.3">
      <c r="A99" s="3">
        <f t="shared" si="2"/>
        <v>86</v>
      </c>
      <c r="B99" s="4" t="s">
        <v>108</v>
      </c>
      <c r="C99" s="27">
        <f>SUM('[2]Workpaper 1'!$H$166:$L$166)</f>
        <v>0</v>
      </c>
      <c r="D99" s="106">
        <f>D119</f>
        <v>0</v>
      </c>
      <c r="E99" s="27">
        <f>ROUND(C99*D99,0)</f>
        <v>0</v>
      </c>
      <c r="F99" s="145">
        <v>1</v>
      </c>
      <c r="G99" s="159" t="s">
        <v>340</v>
      </c>
      <c r="H99" s="3">
        <f t="shared" si="3"/>
        <v>111</v>
      </c>
    </row>
    <row r="100" spans="1:8" x14ac:dyDescent="0.3">
      <c r="A100" s="3">
        <f t="shared" si="2"/>
        <v>87</v>
      </c>
      <c r="B100" s="4" t="s">
        <v>109</v>
      </c>
      <c r="C100" s="27">
        <f>SUM('[2]Workpaper 1'!$C$166:$G$166)+SUM('[2]Workpaper 1'!$M$166:$N$166)</f>
        <v>7.58</v>
      </c>
      <c r="D100" s="106">
        <f>D97</f>
        <v>1.0109139884302893</v>
      </c>
      <c r="E100" s="27">
        <f>ROUND(C100*D100,0)</f>
        <v>8</v>
      </c>
      <c r="F100" s="145">
        <v>1</v>
      </c>
      <c r="G100" s="159" t="s">
        <v>340</v>
      </c>
      <c r="H100" s="3">
        <f t="shared" si="3"/>
        <v>112</v>
      </c>
    </row>
    <row r="101" spans="1:8" x14ac:dyDescent="0.3">
      <c r="A101" s="3">
        <f t="shared" si="2"/>
        <v>88</v>
      </c>
      <c r="B101" s="19"/>
      <c r="C101" s="156"/>
      <c r="D101" s="144"/>
      <c r="E101" s="3"/>
      <c r="F101" s="4"/>
      <c r="G101" s="21"/>
      <c r="H101" s="3">
        <f t="shared" si="3"/>
        <v>113</v>
      </c>
    </row>
    <row r="102" spans="1:8" x14ac:dyDescent="0.3">
      <c r="A102" s="3">
        <f t="shared" si="2"/>
        <v>89</v>
      </c>
      <c r="B102" s="19" t="s">
        <v>185</v>
      </c>
      <c r="C102" s="156"/>
      <c r="D102" s="144"/>
      <c r="E102" s="3"/>
      <c r="F102" s="4"/>
      <c r="G102" s="21"/>
      <c r="H102" s="3">
        <f t="shared" si="3"/>
        <v>114</v>
      </c>
    </row>
    <row r="103" spans="1:8" x14ac:dyDescent="0.3">
      <c r="A103" s="3">
        <f t="shared" si="2"/>
        <v>90</v>
      </c>
      <c r="B103" s="25" t="s">
        <v>182</v>
      </c>
      <c r="C103" s="156"/>
      <c r="D103" s="144"/>
      <c r="E103" s="3"/>
      <c r="F103" s="4"/>
      <c r="G103" s="147"/>
      <c r="H103" s="3">
        <f t="shared" si="3"/>
        <v>115</v>
      </c>
    </row>
    <row r="104" spans="1:8" x14ac:dyDescent="0.3">
      <c r="A104" s="3">
        <f t="shared" si="2"/>
        <v>91</v>
      </c>
      <c r="B104" s="25" t="s">
        <v>186</v>
      </c>
      <c r="C104" s="156"/>
      <c r="D104" s="144"/>
      <c r="E104" s="3"/>
      <c r="F104" s="4"/>
      <c r="G104" s="147"/>
      <c r="H104" s="3">
        <f t="shared" si="3"/>
        <v>116</v>
      </c>
    </row>
    <row r="105" spans="1:8" x14ac:dyDescent="0.3">
      <c r="A105" s="3">
        <f t="shared" si="2"/>
        <v>92</v>
      </c>
      <c r="B105" s="25" t="s">
        <v>50</v>
      </c>
      <c r="C105" s="27">
        <f>'[2]Workpaper 1'!O189</f>
        <v>557.2326161109595</v>
      </c>
      <c r="D105" s="146">
        <f>'[3]Filing Copy - 12CP Alloc Factor'!$D$26</f>
        <v>1.0466116002409713</v>
      </c>
      <c r="E105" s="27">
        <f>ROUND(C105*D105,0)</f>
        <v>583</v>
      </c>
      <c r="F105" s="145">
        <f>E105/E108</f>
        <v>0.73057644110275688</v>
      </c>
      <c r="G105" s="159" t="s">
        <v>418</v>
      </c>
      <c r="H105" s="3">
        <f t="shared" si="3"/>
        <v>117</v>
      </c>
    </row>
    <row r="106" spans="1:8" x14ac:dyDescent="0.3">
      <c r="A106" s="3">
        <f t="shared" si="2"/>
        <v>93</v>
      </c>
      <c r="B106" s="25" t="s">
        <v>51</v>
      </c>
      <c r="C106" s="27">
        <f>'[2]Workpaper 1'!O190</f>
        <v>212.81580281849224</v>
      </c>
      <c r="D106" s="146">
        <f>'[3]Filing Copy - 12CP Alloc Factor'!$D$27</f>
        <v>1.0109139884302893</v>
      </c>
      <c r="E106" s="27">
        <f>ROUND(C106*D106,0)</f>
        <v>215</v>
      </c>
      <c r="F106" s="145">
        <f>E106/E108</f>
        <v>0.26942355889724312</v>
      </c>
      <c r="G106" s="159" t="s">
        <v>419</v>
      </c>
      <c r="H106" s="3">
        <f t="shared" si="3"/>
        <v>118</v>
      </c>
    </row>
    <row r="107" spans="1:8" x14ac:dyDescent="0.3">
      <c r="A107" s="3">
        <f t="shared" si="2"/>
        <v>94</v>
      </c>
      <c r="B107" s="25" t="s">
        <v>52</v>
      </c>
      <c r="C107" s="27">
        <f>'[2]Workpaper 1'!O191</f>
        <v>0</v>
      </c>
      <c r="D107" s="146">
        <f>'[3]Filing Copy - 12CP Alloc Factor'!$D$28</f>
        <v>1.0065000000001416</v>
      </c>
      <c r="E107" s="61">
        <f>ROUND(C107*D107,0)</f>
        <v>0</v>
      </c>
      <c r="F107" s="149">
        <f>E107/E108</f>
        <v>0</v>
      </c>
      <c r="G107" s="159" t="s">
        <v>420</v>
      </c>
      <c r="H107" s="3">
        <f t="shared" si="3"/>
        <v>119</v>
      </c>
    </row>
    <row r="108" spans="1:8" x14ac:dyDescent="0.3">
      <c r="A108" s="3">
        <f t="shared" si="2"/>
        <v>95</v>
      </c>
      <c r="B108" s="25" t="s">
        <v>58</v>
      </c>
      <c r="C108" s="9">
        <f>SUM(C105:C107)</f>
        <v>770.04841892945171</v>
      </c>
      <c r="D108" s="141">
        <f>'[3]Filing Copy - 12CP Alloc Factor'!$D$29</f>
        <v>1.0421671134949284</v>
      </c>
      <c r="E108" s="9">
        <f>SUM(E105:E107)</f>
        <v>798</v>
      </c>
      <c r="F108" s="109">
        <f>SUM(F105:F107)</f>
        <v>1</v>
      </c>
      <c r="G108" s="108" t="s">
        <v>422</v>
      </c>
      <c r="H108" s="3">
        <f t="shared" si="3"/>
        <v>120</v>
      </c>
    </row>
    <row r="109" spans="1:8" x14ac:dyDescent="0.3">
      <c r="A109" s="3">
        <f t="shared" si="2"/>
        <v>96</v>
      </c>
      <c r="B109" s="7"/>
      <c r="C109" s="156"/>
      <c r="D109" s="144"/>
      <c r="E109" s="3"/>
      <c r="F109" s="4"/>
      <c r="G109" s="3"/>
      <c r="H109" s="3">
        <f t="shared" si="3"/>
        <v>121</v>
      </c>
    </row>
    <row r="110" spans="1:8" x14ac:dyDescent="0.3">
      <c r="A110" s="3">
        <f t="shared" si="2"/>
        <v>97</v>
      </c>
      <c r="B110" s="7" t="s">
        <v>106</v>
      </c>
      <c r="C110" s="157"/>
      <c r="D110" s="3"/>
      <c r="E110" s="3"/>
      <c r="F110" s="3"/>
      <c r="G110" s="147"/>
      <c r="H110" s="3">
        <f t="shared" si="3"/>
        <v>122</v>
      </c>
    </row>
    <row r="111" spans="1:8" x14ac:dyDescent="0.3">
      <c r="A111" s="3">
        <f t="shared" si="2"/>
        <v>98</v>
      </c>
      <c r="B111" s="4" t="s">
        <v>107</v>
      </c>
      <c r="C111" s="27"/>
      <c r="D111" s="106"/>
      <c r="E111" s="27"/>
      <c r="F111" s="107"/>
      <c r="G111" s="108"/>
      <c r="H111" s="3">
        <f t="shared" si="3"/>
        <v>123</v>
      </c>
    </row>
    <row r="112" spans="1:8" x14ac:dyDescent="0.3">
      <c r="A112" s="3">
        <f t="shared" si="2"/>
        <v>99</v>
      </c>
      <c r="B112" s="25" t="s">
        <v>50</v>
      </c>
      <c r="C112" s="27">
        <f>'[2]Workpaper 1'!O199</f>
        <v>73.775999999999982</v>
      </c>
      <c r="D112" s="146">
        <f>'[3]Filing Copy - 12CP Alloc Factor'!$D$33</f>
        <v>1.0466116002409713</v>
      </c>
      <c r="E112" s="27">
        <f>ROUND(C112*D112,0)</f>
        <v>77</v>
      </c>
      <c r="F112" s="145">
        <f>E112/E115</f>
        <v>4.3650793650793648E-2</v>
      </c>
      <c r="G112" s="159" t="s">
        <v>438</v>
      </c>
      <c r="H112" s="3">
        <f t="shared" si="3"/>
        <v>124</v>
      </c>
    </row>
    <row r="113" spans="1:8" x14ac:dyDescent="0.3">
      <c r="A113" s="3">
        <f t="shared" si="2"/>
        <v>100</v>
      </c>
      <c r="B113" s="25" t="s">
        <v>51</v>
      </c>
      <c r="C113" s="27">
        <f>'[2]Workpaper 1'!O200</f>
        <v>1016.1840000000001</v>
      </c>
      <c r="D113" s="146">
        <f>'[3]Filing Copy - 12CP Alloc Factor'!$D$34</f>
        <v>1.0109139884302893</v>
      </c>
      <c r="E113" s="27">
        <f>ROUND(C113*D113,0)</f>
        <v>1027</v>
      </c>
      <c r="F113" s="145">
        <f>E113/E115</f>
        <v>0.58219954648526073</v>
      </c>
      <c r="G113" s="159" t="s">
        <v>439</v>
      </c>
      <c r="H113" s="3">
        <f t="shared" si="3"/>
        <v>125</v>
      </c>
    </row>
    <row r="114" spans="1:8" x14ac:dyDescent="0.3">
      <c r="A114" s="3">
        <f t="shared" si="2"/>
        <v>101</v>
      </c>
      <c r="B114" s="25" t="s">
        <v>52</v>
      </c>
      <c r="C114" s="27">
        <f>'[2]Workpaper 1'!O201</f>
        <v>656.11200000000008</v>
      </c>
      <c r="D114" s="146">
        <f>'[3]Filing Copy - 12CP Alloc Factor'!$D$35</f>
        <v>1.0065000000001416</v>
      </c>
      <c r="E114" s="61">
        <f>ROUND(C114*D114,0)</f>
        <v>660</v>
      </c>
      <c r="F114" s="149">
        <f>E114/E115</f>
        <v>0.37414965986394561</v>
      </c>
      <c r="G114" s="159" t="s">
        <v>440</v>
      </c>
      <c r="H114" s="3">
        <f t="shared" si="3"/>
        <v>126</v>
      </c>
    </row>
    <row r="115" spans="1:8" x14ac:dyDescent="0.3">
      <c r="A115" s="3">
        <f t="shared" si="2"/>
        <v>102</v>
      </c>
      <c r="B115" s="25" t="s">
        <v>58</v>
      </c>
      <c r="C115" s="9">
        <f>SUM(C112:C114)</f>
        <v>1746.0720000000001</v>
      </c>
      <c r="D115" s="141">
        <f>'[3]Filing Copy - 12CP Alloc Factor'!$D$36</f>
        <v>1.0150527347535754</v>
      </c>
      <c r="E115" s="9">
        <f>SUM(E112:E114)</f>
        <v>1764</v>
      </c>
      <c r="F115" s="109">
        <f>SUM(F112:F114)</f>
        <v>1</v>
      </c>
      <c r="G115" s="108" t="s">
        <v>421</v>
      </c>
      <c r="H115" s="3">
        <f t="shared" si="3"/>
        <v>127</v>
      </c>
    </row>
    <row r="116" spans="1:8" x14ac:dyDescent="0.3">
      <c r="A116" s="2"/>
      <c r="B116" s="11"/>
      <c r="C116" s="11"/>
      <c r="D116" s="11"/>
      <c r="E116" s="11"/>
      <c r="F116" s="11"/>
      <c r="G116" s="11"/>
      <c r="H116" s="2"/>
    </row>
    <row r="117" spans="1:8" x14ac:dyDescent="0.3">
      <c r="A117" s="1"/>
      <c r="B117" s="13" t="s">
        <v>92</v>
      </c>
      <c r="C117" s="29"/>
      <c r="D117" s="29"/>
      <c r="E117" s="29"/>
      <c r="F117" s="29"/>
      <c r="H117" s="1"/>
    </row>
    <row r="118" spans="1:8" ht="22.5" x14ac:dyDescent="0.3">
      <c r="A118" s="67">
        <v>1</v>
      </c>
      <c r="B118" s="12" t="s">
        <v>243</v>
      </c>
    </row>
    <row r="119" spans="1:8" ht="22.5" x14ac:dyDescent="0.3">
      <c r="A119" s="67">
        <v>2</v>
      </c>
      <c r="B119" s="12" t="s">
        <v>168</v>
      </c>
    </row>
    <row r="120" spans="1:8" ht="22.5" x14ac:dyDescent="0.3">
      <c r="A120" s="67">
        <v>3</v>
      </c>
      <c r="B120" s="12" t="s">
        <v>235</v>
      </c>
    </row>
    <row r="121" spans="1:8" ht="22.5" x14ac:dyDescent="0.3">
      <c r="A121" s="67">
        <v>4</v>
      </c>
      <c r="B121" s="12" t="s">
        <v>236</v>
      </c>
    </row>
    <row r="122" spans="1:8" x14ac:dyDescent="0.3">
      <c r="A122" s="1"/>
      <c r="B122" s="12" t="s">
        <v>237</v>
      </c>
    </row>
    <row r="123" spans="1:8" x14ac:dyDescent="0.3">
      <c r="A123" s="1"/>
    </row>
    <row r="124" spans="1:8" x14ac:dyDescent="0.3">
      <c r="A124" s="1"/>
    </row>
    <row r="125" spans="1:8" x14ac:dyDescent="0.3">
      <c r="A125" s="1"/>
    </row>
    <row r="126" spans="1:8" x14ac:dyDescent="0.3">
      <c r="A126" s="1"/>
    </row>
    <row r="127" spans="1:8" x14ac:dyDescent="0.3">
      <c r="A127" s="1"/>
    </row>
    <row r="128" spans="1:8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</sheetData>
  <mergeCells count="5">
    <mergeCell ref="A1:H1"/>
    <mergeCell ref="A2:H2"/>
    <mergeCell ref="A3:H3"/>
    <mergeCell ref="A4:H4"/>
    <mergeCell ref="A5:H5"/>
  </mergeCells>
  <conditionalFormatting sqref="C95:C96 C101:C104 C109">
    <cfRule type="cellIs" dxfId="0" priority="1" stopIfTrue="1" operator="notEqual">
      <formula>0</formula>
    </cfRule>
  </conditionalFormatting>
  <printOptions horizontalCentered="1"/>
  <pageMargins left="0.25" right="0.25" top="0" bottom="0" header="0.5" footer="0"/>
  <pageSetup scale="34" fitToHeight="2" orientation="portrait" r:id="rId1"/>
  <headerFooter scaleWithDoc="0">
    <oddFooter>&amp;L&amp;"Times New Roman,Regular"&amp;9Statement BL-12-CP Allocation Factors&amp;C&amp;"Times New Roman,Regular"&amp;9Page BL-&amp;P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49"/>
  <sheetViews>
    <sheetView zoomScale="75" zoomScaleNormal="75" workbookViewId="0">
      <selection activeCell="J3" sqref="J3"/>
    </sheetView>
  </sheetViews>
  <sheetFormatPr defaultColWidth="9.140625" defaultRowHeight="18.75" x14ac:dyDescent="0.3"/>
  <cols>
    <col min="1" max="1" width="5.85546875" style="12" bestFit="1" customWidth="1"/>
    <col min="2" max="2" width="54.28515625" style="12" customWidth="1"/>
    <col min="3" max="3" width="24.28515625" style="12" bestFit="1" customWidth="1"/>
    <col min="4" max="4" width="16.140625" style="12" bestFit="1" customWidth="1"/>
    <col min="5" max="5" width="17.5703125" style="12" bestFit="1" customWidth="1"/>
    <col min="6" max="6" width="36.5703125" style="12" bestFit="1" customWidth="1"/>
    <col min="7" max="7" width="5.85546875" style="12" bestFit="1" customWidth="1"/>
    <col min="8" max="9" width="9.140625" style="12"/>
    <col min="10" max="10" width="15.42578125" style="12" customWidth="1"/>
    <col min="11" max="11" width="14.42578125" style="12" customWidth="1"/>
    <col min="12" max="16384" width="9.140625" style="12"/>
  </cols>
  <sheetData>
    <row r="1" spans="1:14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</row>
    <row r="2" spans="1:14" x14ac:dyDescent="0.3">
      <c r="A2" s="177" t="s">
        <v>23</v>
      </c>
      <c r="B2" s="177"/>
      <c r="C2" s="177"/>
      <c r="D2" s="177"/>
      <c r="E2" s="177"/>
      <c r="F2" s="177"/>
      <c r="G2" s="177"/>
    </row>
    <row r="3" spans="1:14" x14ac:dyDescent="0.3">
      <c r="A3" s="177" t="s">
        <v>47</v>
      </c>
      <c r="B3" s="177"/>
      <c r="C3" s="177"/>
      <c r="D3" s="177"/>
      <c r="E3" s="177"/>
      <c r="F3" s="177"/>
      <c r="G3" s="177"/>
    </row>
    <row r="4" spans="1:14" x14ac:dyDescent="0.3">
      <c r="A4" s="177" t="s">
        <v>77</v>
      </c>
      <c r="B4" s="177"/>
      <c r="C4" s="177"/>
      <c r="D4" s="177"/>
      <c r="E4" s="177"/>
      <c r="F4" s="177"/>
      <c r="G4" s="177"/>
    </row>
    <row r="5" spans="1:14" x14ac:dyDescent="0.3">
      <c r="A5" s="179" t="s">
        <v>516</v>
      </c>
      <c r="B5" s="179"/>
      <c r="C5" s="179"/>
      <c r="D5" s="179"/>
      <c r="E5" s="179"/>
      <c r="F5" s="179"/>
      <c r="G5" s="179"/>
    </row>
    <row r="6" spans="1:14" x14ac:dyDescent="0.3">
      <c r="A6" s="178" t="s">
        <v>211</v>
      </c>
      <c r="B6" s="178"/>
      <c r="C6" s="178"/>
      <c r="D6" s="178"/>
      <c r="E6" s="178"/>
      <c r="F6" s="178"/>
      <c r="G6" s="178"/>
    </row>
    <row r="8" spans="1:14" x14ac:dyDescent="0.3">
      <c r="A8" s="15"/>
      <c r="B8" s="15"/>
      <c r="C8" s="15" t="s">
        <v>24</v>
      </c>
      <c r="D8" s="15" t="s">
        <v>25</v>
      </c>
      <c r="E8" s="15" t="s">
        <v>26</v>
      </c>
      <c r="F8" s="15"/>
      <c r="G8" s="15"/>
    </row>
    <row r="9" spans="1:14" x14ac:dyDescent="0.3">
      <c r="A9" s="3"/>
      <c r="B9" s="4"/>
      <c r="C9" s="3"/>
      <c r="D9" s="3"/>
      <c r="E9" s="3" t="s">
        <v>45</v>
      </c>
      <c r="F9" s="3"/>
      <c r="G9" s="3"/>
    </row>
    <row r="10" spans="1:14" x14ac:dyDescent="0.3">
      <c r="A10" s="3"/>
      <c r="B10" s="4"/>
      <c r="C10" s="3"/>
      <c r="D10" s="3"/>
      <c r="E10" s="3" t="s">
        <v>28</v>
      </c>
      <c r="F10" s="3"/>
      <c r="G10" s="3"/>
    </row>
    <row r="11" spans="1:14" x14ac:dyDescent="0.3">
      <c r="A11" s="3" t="s">
        <v>29</v>
      </c>
      <c r="B11" s="4"/>
      <c r="C11" s="3" t="s">
        <v>75</v>
      </c>
      <c r="D11" s="3"/>
      <c r="E11" s="3" t="s">
        <v>30</v>
      </c>
      <c r="F11" s="3"/>
      <c r="G11" s="3" t="s">
        <v>29</v>
      </c>
    </row>
    <row r="12" spans="1:14" ht="22.5" x14ac:dyDescent="0.3">
      <c r="A12" s="2" t="s">
        <v>31</v>
      </c>
      <c r="B12" s="2" t="s">
        <v>32</v>
      </c>
      <c r="C12" s="2" t="s">
        <v>245</v>
      </c>
      <c r="D12" s="2" t="s">
        <v>246</v>
      </c>
      <c r="E12" s="2" t="s">
        <v>113</v>
      </c>
      <c r="F12" s="2" t="s">
        <v>46</v>
      </c>
      <c r="G12" s="2" t="s">
        <v>31</v>
      </c>
    </row>
    <row r="13" spans="1:14" x14ac:dyDescent="0.3">
      <c r="A13" s="15"/>
      <c r="B13" s="15"/>
      <c r="C13" s="15"/>
      <c r="D13" s="15"/>
      <c r="E13" s="15"/>
      <c r="F13" s="15"/>
      <c r="G13" s="15"/>
    </row>
    <row r="14" spans="1:14" x14ac:dyDescent="0.3">
      <c r="A14" s="3">
        <v>1</v>
      </c>
      <c r="B14" s="4" t="s">
        <v>244</v>
      </c>
      <c r="C14" s="63"/>
      <c r="D14" s="79"/>
      <c r="E14" s="112">
        <f>'[1]BK-1 Retail TRR'!$E$340</f>
        <v>1201062.9194933525</v>
      </c>
      <c r="F14" s="3" t="s">
        <v>272</v>
      </c>
      <c r="G14" s="3">
        <v>1</v>
      </c>
      <c r="J14" s="83"/>
      <c r="K14" s="162"/>
      <c r="N14" s="103"/>
    </row>
    <row r="15" spans="1:14" x14ac:dyDescent="0.3">
      <c r="A15" s="3">
        <f>A14+1</f>
        <v>2</v>
      </c>
      <c r="B15" s="25"/>
      <c r="C15" s="54"/>
      <c r="D15" s="66"/>
      <c r="E15" s="5"/>
      <c r="F15" s="3"/>
      <c r="G15" s="3">
        <f>G14+1</f>
        <v>2</v>
      </c>
    </row>
    <row r="16" spans="1:14" x14ac:dyDescent="0.3">
      <c r="A16" s="3">
        <f>A15+1</f>
        <v>3</v>
      </c>
      <c r="B16" s="7" t="s">
        <v>80</v>
      </c>
      <c r="C16" s="54"/>
      <c r="D16" s="66"/>
      <c r="E16" s="36"/>
      <c r="F16" s="3"/>
      <c r="G16" s="3">
        <f>G15+1</f>
        <v>3</v>
      </c>
      <c r="K16" s="83"/>
    </row>
    <row r="17" spans="1:13" x14ac:dyDescent="0.3">
      <c r="A17" s="3">
        <f t="shared" ref="A17:A25" si="0">A16+1</f>
        <v>4</v>
      </c>
      <c r="B17" s="25" t="s">
        <v>34</v>
      </c>
      <c r="C17" s="27">
        <f>Workpapers!E14</f>
        <v>16057611.264795497</v>
      </c>
      <c r="D17" s="28">
        <f t="shared" ref="D17:D23" si="1">C17/C$25</f>
        <v>0.4447275964253839</v>
      </c>
      <c r="E17" s="34">
        <f t="shared" ref="E17:E23" si="2">E$14*D17</f>
        <v>534145.82534193306</v>
      </c>
      <c r="F17" s="108" t="s">
        <v>468</v>
      </c>
      <c r="G17" s="3">
        <f t="shared" ref="G17:G25" si="3">G16+1</f>
        <v>4</v>
      </c>
      <c r="I17" s="163"/>
      <c r="J17" s="82"/>
      <c r="K17" s="164"/>
    </row>
    <row r="18" spans="1:13" x14ac:dyDescent="0.3">
      <c r="A18" s="3">
        <f t="shared" si="0"/>
        <v>5</v>
      </c>
      <c r="B18" s="25" t="s">
        <v>36</v>
      </c>
      <c r="C18" s="27">
        <f>Workpapers!E15</f>
        <v>4157411.3019500002</v>
      </c>
      <c r="D18" s="28">
        <f t="shared" si="1"/>
        <v>0.11514262645786479</v>
      </c>
      <c r="E18" s="84">
        <f t="shared" si="2"/>
        <v>138293.53909161562</v>
      </c>
      <c r="F18" s="108" t="s">
        <v>469</v>
      </c>
      <c r="G18" s="3">
        <f t="shared" si="3"/>
        <v>5</v>
      </c>
      <c r="I18" s="163"/>
      <c r="J18" s="82"/>
      <c r="K18" s="164"/>
    </row>
    <row r="19" spans="1:13" x14ac:dyDescent="0.3">
      <c r="A19" s="3">
        <f t="shared" si="0"/>
        <v>6</v>
      </c>
      <c r="B19" s="25" t="s">
        <v>37</v>
      </c>
      <c r="C19" s="27">
        <f>Workpapers!E20</f>
        <v>15004768.48303814</v>
      </c>
      <c r="D19" s="28">
        <f t="shared" si="1"/>
        <v>0.41556832534679566</v>
      </c>
      <c r="E19" s="84">
        <f t="shared" si="2"/>
        <v>499123.70608998579</v>
      </c>
      <c r="F19" s="108" t="s">
        <v>470</v>
      </c>
      <c r="G19" s="3">
        <f t="shared" si="3"/>
        <v>6</v>
      </c>
      <c r="I19" s="163"/>
      <c r="J19" s="82"/>
      <c r="K19" s="164"/>
    </row>
    <row r="20" spans="1:13" x14ac:dyDescent="0.3">
      <c r="A20" s="3">
        <f t="shared" si="0"/>
        <v>7</v>
      </c>
      <c r="B20" s="25" t="s">
        <v>335</v>
      </c>
      <c r="C20" s="27">
        <f>Workpapers!E22</f>
        <v>5496.3393550954834</v>
      </c>
      <c r="D20" s="28">
        <f t="shared" si="1"/>
        <v>1.5222524385609414E-4</v>
      </c>
      <c r="E20" s="84">
        <f t="shared" si="2"/>
        <v>182.83209580638797</v>
      </c>
      <c r="F20" s="108" t="s">
        <v>471</v>
      </c>
      <c r="G20" s="3">
        <f t="shared" si="3"/>
        <v>7</v>
      </c>
      <c r="I20" s="163"/>
      <c r="J20" s="82"/>
      <c r="K20" s="164"/>
    </row>
    <row r="21" spans="1:13" x14ac:dyDescent="0.3">
      <c r="A21" s="3">
        <f t="shared" si="0"/>
        <v>8</v>
      </c>
      <c r="B21" s="25" t="s">
        <v>188</v>
      </c>
      <c r="C21" s="27">
        <f>Workpapers!E28</f>
        <v>395371.91498235875</v>
      </c>
      <c r="D21" s="28">
        <f t="shared" si="1"/>
        <v>1.095012194184195E-2</v>
      </c>
      <c r="E21" s="84">
        <f t="shared" si="2"/>
        <v>13151.785428276911</v>
      </c>
      <c r="F21" s="108" t="s">
        <v>472</v>
      </c>
      <c r="G21" s="3">
        <f t="shared" si="3"/>
        <v>8</v>
      </c>
      <c r="I21" s="163"/>
      <c r="J21" s="82"/>
      <c r="K21" s="164"/>
    </row>
    <row r="22" spans="1:13" x14ac:dyDescent="0.3">
      <c r="A22" s="3">
        <f t="shared" si="0"/>
        <v>9</v>
      </c>
      <c r="B22" s="25" t="s">
        <v>79</v>
      </c>
      <c r="C22" s="27">
        <f>Workpapers!E30</f>
        <v>108802.60212625065</v>
      </c>
      <c r="D22" s="28">
        <f t="shared" si="1"/>
        <v>3.0133697304354978E-3</v>
      </c>
      <c r="E22" s="84">
        <f t="shared" si="2"/>
        <v>3619.2466459497555</v>
      </c>
      <c r="F22" s="108" t="s">
        <v>473</v>
      </c>
      <c r="G22" s="3">
        <f t="shared" si="3"/>
        <v>9</v>
      </c>
      <c r="I22" s="163"/>
      <c r="J22" s="82"/>
      <c r="K22" s="164"/>
    </row>
    <row r="23" spans="1:13" x14ac:dyDescent="0.3">
      <c r="A23" s="3">
        <f t="shared" si="0"/>
        <v>10</v>
      </c>
      <c r="B23" s="25" t="s">
        <v>72</v>
      </c>
      <c r="C23" s="61">
        <f>Workpapers!E35</f>
        <v>377160.20099945524</v>
      </c>
      <c r="D23" s="31">
        <f t="shared" si="1"/>
        <v>1.0445734853822207E-2</v>
      </c>
      <c r="E23" s="85">
        <f t="shared" si="2"/>
        <v>12545.984799785168</v>
      </c>
      <c r="F23" s="108" t="s">
        <v>474</v>
      </c>
      <c r="G23" s="3">
        <f t="shared" si="3"/>
        <v>10</v>
      </c>
      <c r="I23" s="163"/>
      <c r="J23" s="82"/>
      <c r="K23" s="164"/>
    </row>
    <row r="24" spans="1:13" x14ac:dyDescent="0.3">
      <c r="A24" s="3">
        <f t="shared" si="0"/>
        <v>11</v>
      </c>
      <c r="B24" s="25"/>
      <c r="C24" s="5"/>
      <c r="D24" s="28"/>
      <c r="E24" s="34"/>
      <c r="F24" s="3"/>
      <c r="G24" s="3">
        <f t="shared" si="3"/>
        <v>11</v>
      </c>
      <c r="M24" s="82"/>
    </row>
    <row r="25" spans="1:13" ht="19.5" thickBot="1" x14ac:dyDescent="0.35">
      <c r="A25" s="3">
        <f t="shared" si="0"/>
        <v>12</v>
      </c>
      <c r="B25" s="3" t="s">
        <v>33</v>
      </c>
      <c r="C25" s="8">
        <f>SUM(C17:C23)</f>
        <v>36106622.107246794</v>
      </c>
      <c r="D25" s="131">
        <f>SUM(D17:D23)</f>
        <v>1.0000000000000002</v>
      </c>
      <c r="E25" s="6">
        <f>SUM(E17:E23)</f>
        <v>1201062.9194933528</v>
      </c>
      <c r="F25" s="3" t="s">
        <v>357</v>
      </c>
      <c r="G25" s="3">
        <f t="shared" si="3"/>
        <v>12</v>
      </c>
      <c r="I25" s="163"/>
      <c r="J25" s="82"/>
      <c r="K25" s="164"/>
    </row>
    <row r="26" spans="1:13" ht="19.5" thickTop="1" x14ac:dyDescent="0.3">
      <c r="A26" s="2"/>
      <c r="B26" s="11"/>
      <c r="C26" s="11"/>
      <c r="D26" s="11"/>
      <c r="E26" s="11"/>
      <c r="F26" s="11"/>
      <c r="G26" s="11"/>
    </row>
    <row r="27" spans="1:13" x14ac:dyDescent="0.3">
      <c r="A27" s="1"/>
      <c r="B27" s="13" t="s">
        <v>92</v>
      </c>
    </row>
    <row r="28" spans="1:13" ht="22.5" x14ac:dyDescent="0.3">
      <c r="A28" s="67">
        <v>1</v>
      </c>
      <c r="B28" s="12" t="s">
        <v>450</v>
      </c>
    </row>
    <row r="29" spans="1:13" ht="22.5" x14ac:dyDescent="0.3">
      <c r="A29" s="67">
        <v>2</v>
      </c>
      <c r="B29" s="12" t="s">
        <v>451</v>
      </c>
    </row>
    <row r="30" spans="1:13" ht="22.5" x14ac:dyDescent="0.3">
      <c r="A30" s="14"/>
      <c r="E30" s="80"/>
    </row>
    <row r="31" spans="1:13" ht="22.5" x14ac:dyDescent="0.3">
      <c r="A31" s="67"/>
      <c r="C31" s="29"/>
      <c r="D31" s="29"/>
      <c r="E31" s="29"/>
      <c r="F31" s="29"/>
      <c r="G31" s="29"/>
      <c r="H31" s="1"/>
    </row>
    <row r="32" spans="1:13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</sheetData>
  <mergeCells count="6">
    <mergeCell ref="A4:G4"/>
    <mergeCell ref="A6:G6"/>
    <mergeCell ref="A1:G1"/>
    <mergeCell ref="A2:G2"/>
    <mergeCell ref="A3:G3"/>
    <mergeCell ref="A5:G5"/>
  </mergeCells>
  <phoneticPr fontId="0" type="noConversion"/>
  <printOptions horizontalCentered="1"/>
  <pageMargins left="0.25" right="0.25" top="0.5" bottom="0.5" header="0.25" footer="0.25"/>
  <pageSetup scale="85" orientation="landscape" r:id="rId1"/>
  <headerFooter scaleWithDoc="0">
    <oddFooter>&amp;L&amp;"Times New Roman,Regular"&amp;9Statement BL-Rate Design Information&amp;C&amp;"Times New Roman,Regular"&amp;9Page BL-&amp;P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9E63-BE4E-4BE4-966A-4611977A71C8}">
  <sheetPr>
    <pageSetUpPr fitToPage="1"/>
  </sheetPr>
  <dimension ref="A1:O178"/>
  <sheetViews>
    <sheetView zoomScale="75" zoomScaleNormal="75" workbookViewId="0">
      <selection activeCell="K5" sqref="K5"/>
    </sheetView>
  </sheetViews>
  <sheetFormatPr defaultColWidth="9.140625" defaultRowHeight="18.75" x14ac:dyDescent="0.3"/>
  <cols>
    <col min="1" max="1" width="5.85546875" style="12" bestFit="1" customWidth="1"/>
    <col min="2" max="2" width="60.85546875" style="12" customWidth="1"/>
    <col min="3" max="3" width="21.7109375" style="12" bestFit="1" customWidth="1"/>
    <col min="4" max="4" width="22.28515625" style="12" bestFit="1" customWidth="1"/>
    <col min="5" max="7" width="21.7109375" style="12" bestFit="1" customWidth="1"/>
    <col min="8" max="8" width="42.28515625" style="12" bestFit="1" customWidth="1"/>
    <col min="9" max="9" width="5.85546875" style="12" bestFit="1" customWidth="1"/>
    <col min="10" max="16384" width="9.140625" style="12"/>
  </cols>
  <sheetData>
    <row r="1" spans="1:15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  <c r="H1" s="177"/>
      <c r="I1" s="177"/>
    </row>
    <row r="2" spans="1:15" x14ac:dyDescent="0.3">
      <c r="A2" s="177" t="str">
        <f>'Transmission Rates Summary'!A2:H2</f>
        <v>SAN DIEGO GAS AND ELECTRIC COMPANY</v>
      </c>
      <c r="B2" s="177"/>
      <c r="C2" s="177"/>
      <c r="D2" s="177"/>
      <c r="E2" s="177"/>
      <c r="F2" s="177"/>
      <c r="G2" s="177"/>
      <c r="H2" s="177"/>
      <c r="I2" s="177"/>
    </row>
    <row r="3" spans="1:15" x14ac:dyDescent="0.3">
      <c r="A3" s="177" t="str">
        <f>'Transmission Rates Summary'!A3:H3</f>
        <v>Rate Design Information</v>
      </c>
      <c r="B3" s="177"/>
      <c r="C3" s="177"/>
      <c r="D3" s="177"/>
      <c r="E3" s="177"/>
      <c r="F3" s="177"/>
      <c r="G3" s="177"/>
      <c r="H3" s="177"/>
      <c r="I3" s="177"/>
    </row>
    <row r="4" spans="1:15" ht="22.5" customHeight="1" x14ac:dyDescent="0.3">
      <c r="A4" s="179" t="s">
        <v>298</v>
      </c>
      <c r="B4" s="179"/>
      <c r="C4" s="179"/>
      <c r="D4" s="179"/>
      <c r="E4" s="179"/>
      <c r="F4" s="179"/>
      <c r="G4" s="179"/>
      <c r="H4" s="179"/>
      <c r="I4" s="179"/>
    </row>
    <row r="5" spans="1:15" x14ac:dyDescent="0.3">
      <c r="A5" s="177" t="s">
        <v>516</v>
      </c>
      <c r="B5" s="177"/>
      <c r="C5" s="177"/>
      <c r="D5" s="177"/>
      <c r="E5" s="177"/>
      <c r="F5" s="177"/>
      <c r="G5" s="177"/>
      <c r="H5" s="177"/>
      <c r="I5" s="177"/>
    </row>
    <row r="6" spans="1:15" x14ac:dyDescent="0.3">
      <c r="A6" s="180" t="str">
        <f>'Allocation of Base TRR - 12 CPS'!A6:G6</f>
        <v>($000)</v>
      </c>
      <c r="B6" s="180"/>
      <c r="C6" s="180"/>
      <c r="D6" s="180"/>
      <c r="E6" s="180"/>
      <c r="F6" s="180"/>
      <c r="G6" s="180"/>
      <c r="H6" s="180"/>
      <c r="I6" s="180"/>
    </row>
    <row r="8" spans="1:15" x14ac:dyDescent="0.3">
      <c r="A8" s="15"/>
      <c r="B8" s="76"/>
      <c r="C8" s="15" t="s">
        <v>24</v>
      </c>
      <c r="D8" s="15" t="s">
        <v>25</v>
      </c>
      <c r="E8" s="15" t="s">
        <v>26</v>
      </c>
      <c r="F8" s="15" t="s">
        <v>27</v>
      </c>
      <c r="G8" s="15" t="s">
        <v>91</v>
      </c>
      <c r="H8" s="15"/>
      <c r="I8" s="15"/>
    </row>
    <row r="9" spans="1:15" x14ac:dyDescent="0.3">
      <c r="A9" s="3"/>
      <c r="B9" s="4"/>
      <c r="C9" s="3" t="s">
        <v>48</v>
      </c>
      <c r="D9" s="3" t="s">
        <v>48</v>
      </c>
      <c r="E9" s="3" t="s">
        <v>48</v>
      </c>
      <c r="F9" s="3" t="s">
        <v>48</v>
      </c>
      <c r="G9" s="3" t="s">
        <v>48</v>
      </c>
      <c r="H9" s="3"/>
      <c r="I9" s="3"/>
    </row>
    <row r="10" spans="1:15" ht="22.5" x14ac:dyDescent="0.3">
      <c r="A10" s="3" t="s">
        <v>29</v>
      </c>
      <c r="B10" s="4"/>
      <c r="C10" s="3" t="s">
        <v>289</v>
      </c>
      <c r="D10" s="3" t="s">
        <v>294</v>
      </c>
      <c r="E10" s="3" t="s">
        <v>293</v>
      </c>
      <c r="F10" s="3" t="s">
        <v>287</v>
      </c>
      <c r="G10" s="3" t="s">
        <v>296</v>
      </c>
      <c r="H10" s="3"/>
      <c r="I10" s="3" t="s">
        <v>29</v>
      </c>
    </row>
    <row r="11" spans="1:15" ht="22.5" x14ac:dyDescent="0.3">
      <c r="A11" s="2" t="s">
        <v>31</v>
      </c>
      <c r="B11" s="2" t="s">
        <v>100</v>
      </c>
      <c r="C11" s="2" t="s">
        <v>330</v>
      </c>
      <c r="D11" s="2" t="s">
        <v>330</v>
      </c>
      <c r="E11" s="2" t="s">
        <v>330</v>
      </c>
      <c r="F11" s="2" t="s">
        <v>330</v>
      </c>
      <c r="G11" s="2" t="s">
        <v>330</v>
      </c>
      <c r="H11" s="2" t="s">
        <v>297</v>
      </c>
      <c r="I11" s="2" t="s">
        <v>31</v>
      </c>
    </row>
    <row r="12" spans="1:15" x14ac:dyDescent="0.3">
      <c r="A12" s="15"/>
      <c r="B12" s="15"/>
      <c r="C12" s="15"/>
      <c r="D12" s="15"/>
      <c r="E12" s="15"/>
      <c r="F12" s="15"/>
      <c r="G12" s="15"/>
      <c r="H12" s="15"/>
      <c r="I12" s="15"/>
    </row>
    <row r="13" spans="1:15" x14ac:dyDescent="0.3">
      <c r="A13" s="3">
        <v>1</v>
      </c>
      <c r="B13" s="4" t="s">
        <v>288</v>
      </c>
      <c r="C13" s="63">
        <f>'Allocation of Base TRR - 12 CPS'!E17</f>
        <v>534145.82534193306</v>
      </c>
      <c r="D13" s="63">
        <f>'Allocation of Base TRR - 12 CPS'!E18</f>
        <v>138293.53909161562</v>
      </c>
      <c r="E13" s="63">
        <f>'Allocation of Base TRR - 12 CPS'!E19</f>
        <v>499123.70608998579</v>
      </c>
      <c r="F13" s="63">
        <f>'Allocation of Base TRR - 12 CPS'!E21</f>
        <v>13151.785428276911</v>
      </c>
      <c r="G13" s="63">
        <f>'Allocation of Base TRR - 12 CPS'!E22</f>
        <v>3619.2466459497555</v>
      </c>
      <c r="H13" s="3" t="s">
        <v>360</v>
      </c>
      <c r="I13" s="3">
        <v>1</v>
      </c>
      <c r="K13" s="164"/>
      <c r="L13" s="164"/>
      <c r="M13" s="164"/>
      <c r="N13" s="164"/>
      <c r="O13" s="164"/>
    </row>
    <row r="14" spans="1:15" x14ac:dyDescent="0.3">
      <c r="A14" s="3">
        <f t="shared" ref="A14:A19" si="0">A13+1</f>
        <v>2</v>
      </c>
      <c r="B14" s="25"/>
      <c r="C14" s="62"/>
      <c r="D14" s="62"/>
      <c r="E14" s="62"/>
      <c r="F14" s="62"/>
      <c r="G14" s="62"/>
      <c r="H14" s="3"/>
      <c r="I14" s="3">
        <f t="shared" ref="I14:I19" si="1">I13+1</f>
        <v>2</v>
      </c>
    </row>
    <row r="15" spans="1:15" ht="22.5" x14ac:dyDescent="0.3">
      <c r="A15" s="3">
        <f t="shared" si="0"/>
        <v>3</v>
      </c>
      <c r="B15" s="25" t="s">
        <v>302</v>
      </c>
      <c r="C15" s="27">
        <f>'[2]Workpaper 1'!$O$8-'[2]Workpaper 1'!$O$212</f>
        <v>5139484.4240373624</v>
      </c>
      <c r="D15" s="27">
        <f>'[2]Workpaper 1'!$O$9</f>
        <v>2442100.4570462527</v>
      </c>
      <c r="E15" s="27">
        <f>SUM('[2]Workpaper 1'!$O$10:$O$12)</f>
        <v>8982347.2549090292</v>
      </c>
      <c r="F15" s="27">
        <f>'[2]Workpaper 1'!$O$14+'[2]Workpaper 1'!$O$15</f>
        <v>391274.79686037643</v>
      </c>
      <c r="G15" s="27">
        <f>'[2]Workpaper 1'!$O$16</f>
        <v>82252.759895366587</v>
      </c>
      <c r="H15" s="3" t="s">
        <v>292</v>
      </c>
      <c r="I15" s="3">
        <f t="shared" si="1"/>
        <v>3</v>
      </c>
      <c r="K15" s="163"/>
      <c r="L15" s="163"/>
      <c r="M15" s="163"/>
      <c r="N15" s="163"/>
      <c r="O15" s="163"/>
    </row>
    <row r="16" spans="1:15" x14ac:dyDescent="0.3">
      <c r="A16" s="3">
        <f t="shared" si="0"/>
        <v>4</v>
      </c>
      <c r="B16" s="4"/>
      <c r="C16" s="4"/>
      <c r="D16" s="4"/>
      <c r="E16" s="4"/>
      <c r="F16" s="4"/>
      <c r="G16" s="4"/>
      <c r="H16" s="4"/>
      <c r="I16" s="3">
        <f t="shared" si="1"/>
        <v>4</v>
      </c>
    </row>
    <row r="17" spans="1:15" x14ac:dyDescent="0.3">
      <c r="A17" s="3">
        <f t="shared" si="0"/>
        <v>5</v>
      </c>
      <c r="B17" s="4" t="s">
        <v>190</v>
      </c>
      <c r="C17" s="135">
        <f>C13/C15</f>
        <v>0.10392984612303399</v>
      </c>
      <c r="D17" s="135">
        <f t="shared" ref="D17:G17" si="2">D13/D15</f>
        <v>5.6628931333514092E-2</v>
      </c>
      <c r="E17" s="135">
        <f t="shared" si="2"/>
        <v>5.5567179928075583E-2</v>
      </c>
      <c r="F17" s="135">
        <f t="shared" si="2"/>
        <v>3.3612656715454201E-2</v>
      </c>
      <c r="G17" s="135">
        <f t="shared" si="2"/>
        <v>4.4001522265681846E-2</v>
      </c>
      <c r="H17" s="3" t="s">
        <v>82</v>
      </c>
      <c r="I17" s="3">
        <f t="shared" si="1"/>
        <v>5</v>
      </c>
      <c r="K17" s="165"/>
      <c r="L17" s="165"/>
      <c r="M17" s="165"/>
      <c r="N17" s="165"/>
      <c r="O17" s="165"/>
    </row>
    <row r="18" spans="1:15" x14ac:dyDescent="0.3">
      <c r="A18" s="3">
        <f t="shared" si="0"/>
        <v>6</v>
      </c>
      <c r="B18" s="4"/>
      <c r="C18" s="4"/>
      <c r="D18" s="4"/>
      <c r="E18" s="4"/>
      <c r="F18" s="4"/>
      <c r="G18" s="4"/>
      <c r="H18" s="4"/>
      <c r="I18" s="3">
        <f t="shared" si="1"/>
        <v>6</v>
      </c>
    </row>
    <row r="19" spans="1:15" x14ac:dyDescent="0.3">
      <c r="A19" s="3">
        <f t="shared" si="0"/>
        <v>7</v>
      </c>
      <c r="B19" s="4" t="s">
        <v>191</v>
      </c>
      <c r="C19" s="136">
        <f>ROUND(C17,5)</f>
        <v>0.10392999999999999</v>
      </c>
      <c r="D19" s="136">
        <f t="shared" ref="D19:G19" si="3">ROUND(D17,5)</f>
        <v>5.663E-2</v>
      </c>
      <c r="E19" s="136">
        <f t="shared" si="3"/>
        <v>5.5570000000000001E-2</v>
      </c>
      <c r="F19" s="136">
        <f t="shared" si="3"/>
        <v>3.3610000000000001E-2</v>
      </c>
      <c r="G19" s="136">
        <f t="shared" si="3"/>
        <v>4.3999999999999997E-2</v>
      </c>
      <c r="H19" s="3" t="s">
        <v>93</v>
      </c>
      <c r="I19" s="3">
        <f t="shared" si="1"/>
        <v>7</v>
      </c>
      <c r="K19" s="166"/>
      <c r="L19" s="166"/>
      <c r="M19" s="166"/>
      <c r="N19" s="166"/>
      <c r="O19" s="166"/>
    </row>
    <row r="20" spans="1:15" x14ac:dyDescent="0.3">
      <c r="A20" s="2"/>
      <c r="B20" s="11"/>
      <c r="C20" s="11"/>
      <c r="D20" s="11"/>
      <c r="E20" s="11"/>
      <c r="F20" s="11"/>
      <c r="G20" s="11"/>
      <c r="H20" s="11"/>
      <c r="I20" s="11"/>
    </row>
    <row r="21" spans="1:15" x14ac:dyDescent="0.3">
      <c r="A21" s="1"/>
      <c r="B21" s="13" t="s">
        <v>92</v>
      </c>
    </row>
    <row r="22" spans="1:15" ht="22.5" x14ac:dyDescent="0.3">
      <c r="A22" s="67">
        <v>1</v>
      </c>
      <c r="B22" s="12" t="s">
        <v>142</v>
      </c>
    </row>
    <row r="23" spans="1:15" ht="22.5" x14ac:dyDescent="0.3">
      <c r="A23" s="67"/>
      <c r="B23" s="12" t="s">
        <v>508</v>
      </c>
    </row>
    <row r="24" spans="1:15" ht="22.5" x14ac:dyDescent="0.3">
      <c r="A24" s="67">
        <v>2</v>
      </c>
      <c r="B24" s="12" t="s">
        <v>513</v>
      </c>
    </row>
    <row r="25" spans="1:15" ht="18.75" customHeight="1" x14ac:dyDescent="0.3">
      <c r="A25" s="67"/>
      <c r="B25" s="12" t="s">
        <v>514</v>
      </c>
    </row>
    <row r="26" spans="1:15" ht="22.5" x14ac:dyDescent="0.3">
      <c r="A26" s="67">
        <v>3</v>
      </c>
      <c r="B26" s="12" t="s">
        <v>509</v>
      </c>
    </row>
    <row r="27" spans="1:15" ht="22.5" x14ac:dyDescent="0.3">
      <c r="A27" s="67">
        <v>4</v>
      </c>
      <c r="B27" s="12" t="s">
        <v>195</v>
      </c>
    </row>
    <row r="28" spans="1:15" ht="22.5" x14ac:dyDescent="0.3">
      <c r="A28" s="67"/>
      <c r="B28" s="12" t="s">
        <v>250</v>
      </c>
    </row>
    <row r="29" spans="1:15" ht="22.5" x14ac:dyDescent="0.3">
      <c r="A29" s="67">
        <v>5</v>
      </c>
      <c r="B29" s="12" t="s">
        <v>295</v>
      </c>
    </row>
    <row r="30" spans="1:15" ht="22.5" x14ac:dyDescent="0.3">
      <c r="A30" s="67">
        <v>6</v>
      </c>
      <c r="B30" s="12" t="s">
        <v>179</v>
      </c>
    </row>
    <row r="31" spans="1:15" ht="22.5" x14ac:dyDescent="0.3">
      <c r="A31" s="67">
        <v>7</v>
      </c>
      <c r="B31" s="12" t="s">
        <v>276</v>
      </c>
    </row>
    <row r="32" spans="1:15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.25" footer="0.25"/>
  <pageSetup scale="61" orientation="landscape" r:id="rId1"/>
  <headerFooter scaleWithDoc="0">
    <oddFooter>&amp;L&amp;"Times New Roman,Regular"&amp;9Statement BL-Residential Customers&amp;C&amp;"Times New Roman,Regular"&amp;9Page BL-&amp;P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201"/>
  <sheetViews>
    <sheetView zoomScale="75" zoomScaleNormal="75" workbookViewId="0">
      <selection activeCell="G6" sqref="G6"/>
    </sheetView>
  </sheetViews>
  <sheetFormatPr defaultColWidth="9.140625" defaultRowHeight="18.75" x14ac:dyDescent="0.3"/>
  <cols>
    <col min="1" max="1" width="5.85546875" style="12" bestFit="1" customWidth="1"/>
    <col min="2" max="2" width="98.5703125" style="12" customWidth="1"/>
    <col min="3" max="3" width="28.5703125" style="12" bestFit="1" customWidth="1"/>
    <col min="4" max="4" width="43.7109375" style="12" customWidth="1"/>
    <col min="5" max="5" width="5.85546875" style="12" bestFit="1" customWidth="1"/>
    <col min="6" max="6" width="9.140625" style="12"/>
    <col min="7" max="7" width="15.5703125" style="12" bestFit="1" customWidth="1"/>
    <col min="8" max="10" width="18.7109375" style="12" customWidth="1"/>
    <col min="11" max="16384" width="9.140625" style="12"/>
  </cols>
  <sheetData>
    <row r="1" spans="1:7" x14ac:dyDescent="0.3">
      <c r="A1" s="177" t="str">
        <f>'Transmission Rates Summary'!A1:H1</f>
        <v>Statement BL</v>
      </c>
      <c r="B1" s="177"/>
      <c r="C1" s="177"/>
      <c r="D1" s="177"/>
      <c r="E1" s="177"/>
    </row>
    <row r="2" spans="1:7" x14ac:dyDescent="0.3">
      <c r="A2" s="177" t="str">
        <f>'Transmission Rates Summary'!A2:H2</f>
        <v>SAN DIEGO GAS AND ELECTRIC COMPANY</v>
      </c>
      <c r="B2" s="177"/>
      <c r="C2" s="177"/>
      <c r="D2" s="177"/>
      <c r="E2" s="177"/>
    </row>
    <row r="3" spans="1:7" x14ac:dyDescent="0.3">
      <c r="A3" s="177" t="str">
        <f>'Transmission Rates Summary'!A3:H3</f>
        <v>Rate Design Information</v>
      </c>
      <c r="B3" s="177"/>
      <c r="C3" s="177"/>
      <c r="D3" s="177"/>
      <c r="E3" s="177"/>
    </row>
    <row r="4" spans="1:7" ht="22.5" customHeight="1" x14ac:dyDescent="0.3">
      <c r="A4" s="179" t="s">
        <v>128</v>
      </c>
      <c r="B4" s="179"/>
      <c r="C4" s="179"/>
      <c r="D4" s="179"/>
      <c r="E4" s="179"/>
    </row>
    <row r="5" spans="1:7" x14ac:dyDescent="0.3">
      <c r="A5" s="177" t="s">
        <v>516</v>
      </c>
      <c r="B5" s="177"/>
      <c r="C5" s="177"/>
      <c r="D5" s="177"/>
      <c r="E5" s="177"/>
    </row>
    <row r="6" spans="1:7" x14ac:dyDescent="0.3">
      <c r="A6" s="180" t="str">
        <f>'Allocation of Base TRR - 12 CPS'!A6:G6</f>
        <v>($000)</v>
      </c>
      <c r="B6" s="180"/>
      <c r="C6" s="180"/>
      <c r="D6" s="180"/>
      <c r="E6" s="180"/>
    </row>
    <row r="8" spans="1:7" x14ac:dyDescent="0.3">
      <c r="A8" s="15"/>
      <c r="B8" s="15"/>
      <c r="C8" s="15" t="s">
        <v>48</v>
      </c>
      <c r="D8" s="15"/>
      <c r="E8" s="15"/>
    </row>
    <row r="9" spans="1:7" x14ac:dyDescent="0.3">
      <c r="A9" s="3"/>
      <c r="B9" s="4"/>
      <c r="C9" s="3" t="s">
        <v>315</v>
      </c>
      <c r="D9" s="3"/>
      <c r="E9" s="3"/>
    </row>
    <row r="10" spans="1:7" x14ac:dyDescent="0.3">
      <c r="A10" s="3"/>
      <c r="B10" s="4"/>
      <c r="C10" s="3" t="s">
        <v>330</v>
      </c>
      <c r="D10" s="3"/>
      <c r="E10" s="3"/>
    </row>
    <row r="11" spans="1:7" x14ac:dyDescent="0.3">
      <c r="A11" s="3" t="s">
        <v>29</v>
      </c>
      <c r="B11" s="4"/>
      <c r="C11" s="3"/>
      <c r="D11" s="3"/>
      <c r="E11" s="3" t="s">
        <v>29</v>
      </c>
    </row>
    <row r="12" spans="1:7" ht="22.5" x14ac:dyDescent="0.3">
      <c r="A12" s="2" t="s">
        <v>31</v>
      </c>
      <c r="B12" s="2" t="s">
        <v>100</v>
      </c>
      <c r="C12" s="2"/>
      <c r="D12" s="2" t="s">
        <v>169</v>
      </c>
      <c r="E12" s="2" t="s">
        <v>31</v>
      </c>
    </row>
    <row r="13" spans="1:7" x14ac:dyDescent="0.3">
      <c r="A13" s="15"/>
      <c r="B13" s="15"/>
      <c r="C13" s="114"/>
      <c r="D13" s="15"/>
      <c r="E13" s="15"/>
    </row>
    <row r="14" spans="1:7" ht="19.5" thickBot="1" x14ac:dyDescent="0.35">
      <c r="A14" s="3">
        <v>1</v>
      </c>
      <c r="B14" s="22" t="s">
        <v>140</v>
      </c>
      <c r="C14" s="44">
        <f>'Allocation of Base TRR - 12 CPS'!E19</f>
        <v>499123.70608998579</v>
      </c>
      <c r="D14" s="3" t="s">
        <v>303</v>
      </c>
      <c r="E14" s="3">
        <v>1</v>
      </c>
      <c r="G14" s="164"/>
    </row>
    <row r="15" spans="1:7" ht="19.5" thickTop="1" x14ac:dyDescent="0.3">
      <c r="A15" s="3">
        <f>A14+1</f>
        <v>2</v>
      </c>
      <c r="B15" s="25"/>
      <c r="C15" s="63"/>
      <c r="D15" s="3"/>
      <c r="E15" s="3">
        <f>E14+1</f>
        <v>2</v>
      </c>
    </row>
    <row r="16" spans="1:7" x14ac:dyDescent="0.3">
      <c r="A16" s="3">
        <f t="shared" ref="A16:A81" si="0">A15+1</f>
        <v>3</v>
      </c>
      <c r="B16" s="25" t="s">
        <v>132</v>
      </c>
      <c r="C16" s="62"/>
      <c r="D16" s="3"/>
      <c r="E16" s="3">
        <f t="shared" ref="E16:E79" si="1">E15+1</f>
        <v>3</v>
      </c>
    </row>
    <row r="17" spans="1:7" ht="22.5" x14ac:dyDescent="0.3">
      <c r="A17" s="3">
        <f t="shared" si="0"/>
        <v>4</v>
      </c>
      <c r="B17" s="25" t="s">
        <v>141</v>
      </c>
      <c r="C17" s="62"/>
      <c r="D17" s="60"/>
      <c r="E17" s="3">
        <f t="shared" si="1"/>
        <v>4</v>
      </c>
      <c r="F17" s="60"/>
    </row>
    <row r="18" spans="1:7" x14ac:dyDescent="0.3">
      <c r="A18" s="3">
        <f t="shared" si="0"/>
        <v>5</v>
      </c>
      <c r="B18" s="25" t="s">
        <v>65</v>
      </c>
      <c r="C18" s="27">
        <f>'Workpapers 2'!E42</f>
        <v>15924</v>
      </c>
      <c r="D18" s="3" t="s">
        <v>475</v>
      </c>
      <c r="E18" s="3">
        <f t="shared" si="1"/>
        <v>5</v>
      </c>
      <c r="F18" s="60"/>
      <c r="G18" s="163"/>
    </row>
    <row r="19" spans="1:7" x14ac:dyDescent="0.3">
      <c r="A19" s="3">
        <f t="shared" si="0"/>
        <v>6</v>
      </c>
      <c r="B19" s="25" t="s">
        <v>66</v>
      </c>
      <c r="C19" s="27">
        <f>'Workpapers 2'!E43</f>
        <v>4744</v>
      </c>
      <c r="D19" s="3" t="s">
        <v>476</v>
      </c>
      <c r="E19" s="3">
        <f t="shared" si="1"/>
        <v>6</v>
      </c>
      <c r="G19" s="163"/>
    </row>
    <row r="20" spans="1:7" x14ac:dyDescent="0.3">
      <c r="A20" s="3">
        <f t="shared" si="0"/>
        <v>7</v>
      </c>
      <c r="B20" s="25" t="s">
        <v>131</v>
      </c>
      <c r="C20" s="27">
        <f>'Workpapers 2'!E44</f>
        <v>1614</v>
      </c>
      <c r="D20" s="3" t="s">
        <v>477</v>
      </c>
      <c r="E20" s="3">
        <f t="shared" si="1"/>
        <v>7</v>
      </c>
      <c r="G20" s="163"/>
    </row>
    <row r="21" spans="1:7" ht="19.5" thickBot="1" x14ac:dyDescent="0.35">
      <c r="A21" s="3">
        <f t="shared" si="0"/>
        <v>8</v>
      </c>
      <c r="B21" s="25" t="s">
        <v>67</v>
      </c>
      <c r="C21" s="9">
        <f>SUM(C18:C20)</f>
        <v>22282</v>
      </c>
      <c r="D21" s="3" t="s">
        <v>85</v>
      </c>
      <c r="E21" s="3">
        <f t="shared" si="1"/>
        <v>8</v>
      </c>
      <c r="G21" s="163"/>
    </row>
    <row r="22" spans="1:7" ht="19.5" thickTop="1" x14ac:dyDescent="0.3">
      <c r="A22" s="3">
        <f t="shared" si="0"/>
        <v>9</v>
      </c>
      <c r="B22" s="25"/>
      <c r="C22" s="27"/>
      <c r="D22" s="3"/>
      <c r="E22" s="3">
        <f t="shared" si="1"/>
        <v>9</v>
      </c>
    </row>
    <row r="23" spans="1:7" x14ac:dyDescent="0.3">
      <c r="A23" s="3">
        <f t="shared" si="0"/>
        <v>10</v>
      </c>
      <c r="B23" s="25" t="s">
        <v>88</v>
      </c>
      <c r="C23" s="63"/>
      <c r="D23" s="3"/>
      <c r="E23" s="3">
        <f t="shared" si="1"/>
        <v>10</v>
      </c>
    </row>
    <row r="24" spans="1:7" x14ac:dyDescent="0.3">
      <c r="A24" s="3">
        <f t="shared" si="0"/>
        <v>11</v>
      </c>
      <c r="B24" s="25" t="s">
        <v>130</v>
      </c>
      <c r="C24" s="62"/>
      <c r="D24" s="3"/>
      <c r="E24" s="3">
        <f t="shared" si="1"/>
        <v>11</v>
      </c>
    </row>
    <row r="25" spans="1:7" x14ac:dyDescent="0.3">
      <c r="A25" s="3">
        <f t="shared" si="0"/>
        <v>12</v>
      </c>
      <c r="B25" s="25" t="s">
        <v>65</v>
      </c>
      <c r="C25" s="107">
        <f>C18/C$21</f>
        <v>0.71465757113365047</v>
      </c>
      <c r="D25" s="3" t="s">
        <v>133</v>
      </c>
      <c r="E25" s="3">
        <f t="shared" si="1"/>
        <v>12</v>
      </c>
      <c r="G25" s="82"/>
    </row>
    <row r="26" spans="1:7" x14ac:dyDescent="0.3">
      <c r="A26" s="3">
        <f t="shared" si="0"/>
        <v>13</v>
      </c>
      <c r="B26" s="25" t="s">
        <v>66</v>
      </c>
      <c r="C26" s="107">
        <f>C19/C$21</f>
        <v>0.2129072794183646</v>
      </c>
      <c r="D26" s="3" t="s">
        <v>161</v>
      </c>
      <c r="E26" s="3">
        <f t="shared" si="1"/>
        <v>13</v>
      </c>
      <c r="G26" s="82"/>
    </row>
    <row r="27" spans="1:7" x14ac:dyDescent="0.3">
      <c r="A27" s="3">
        <f t="shared" si="0"/>
        <v>14</v>
      </c>
      <c r="B27" s="25" t="s">
        <v>131</v>
      </c>
      <c r="C27" s="107">
        <f>C20/C$21</f>
        <v>7.2435149447984917E-2</v>
      </c>
      <c r="D27" s="3" t="s">
        <v>162</v>
      </c>
      <c r="E27" s="3">
        <f t="shared" si="1"/>
        <v>14</v>
      </c>
      <c r="G27" s="82"/>
    </row>
    <row r="28" spans="1:7" ht="19.5" thickBot="1" x14ac:dyDescent="0.35">
      <c r="A28" s="3">
        <f t="shared" si="0"/>
        <v>15</v>
      </c>
      <c r="B28" s="25" t="s">
        <v>67</v>
      </c>
      <c r="C28" s="109">
        <f>SUM(C25:C27)</f>
        <v>1</v>
      </c>
      <c r="D28" s="3" t="s">
        <v>86</v>
      </c>
      <c r="E28" s="3">
        <f t="shared" si="1"/>
        <v>15</v>
      </c>
      <c r="G28" s="82"/>
    </row>
    <row r="29" spans="1:7" ht="19.5" thickTop="1" x14ac:dyDescent="0.3">
      <c r="A29" s="3">
        <f t="shared" si="0"/>
        <v>16</v>
      </c>
      <c r="B29" s="25"/>
      <c r="C29" s="63"/>
      <c r="D29" s="3"/>
      <c r="E29" s="3">
        <f t="shared" si="1"/>
        <v>16</v>
      </c>
    </row>
    <row r="30" spans="1:7" x14ac:dyDescent="0.3">
      <c r="A30" s="3">
        <f t="shared" si="0"/>
        <v>17</v>
      </c>
      <c r="B30" s="25" t="s">
        <v>64</v>
      </c>
      <c r="C30" s="62"/>
      <c r="D30" s="3"/>
      <c r="E30" s="3">
        <f t="shared" si="1"/>
        <v>17</v>
      </c>
    </row>
    <row r="31" spans="1:7" x14ac:dyDescent="0.3">
      <c r="A31" s="3">
        <f t="shared" si="0"/>
        <v>18</v>
      </c>
      <c r="B31" s="25" t="s">
        <v>65</v>
      </c>
      <c r="C31" s="63">
        <f>C$14*C25</f>
        <v>356702.53548949526</v>
      </c>
      <c r="D31" s="3" t="s">
        <v>84</v>
      </c>
      <c r="E31" s="3">
        <f t="shared" si="1"/>
        <v>18</v>
      </c>
      <c r="G31" s="164"/>
    </row>
    <row r="32" spans="1:7" x14ac:dyDescent="0.3">
      <c r="A32" s="3">
        <f t="shared" si="0"/>
        <v>19</v>
      </c>
      <c r="B32" s="25" t="s">
        <v>66</v>
      </c>
      <c r="C32" s="63">
        <f>C$14*C26</f>
        <v>106267.07035683029</v>
      </c>
      <c r="D32" s="3" t="s">
        <v>134</v>
      </c>
      <c r="E32" s="3">
        <f t="shared" si="1"/>
        <v>19</v>
      </c>
      <c r="G32" s="164"/>
    </row>
    <row r="33" spans="1:7" x14ac:dyDescent="0.3">
      <c r="A33" s="3">
        <f t="shared" si="0"/>
        <v>20</v>
      </c>
      <c r="B33" s="25" t="s">
        <v>131</v>
      </c>
      <c r="C33" s="63">
        <f>C$14*C27</f>
        <v>36154.100243660221</v>
      </c>
      <c r="D33" s="3" t="s">
        <v>135</v>
      </c>
      <c r="E33" s="3">
        <f t="shared" si="1"/>
        <v>20</v>
      </c>
      <c r="G33" s="164"/>
    </row>
    <row r="34" spans="1:7" ht="19.5" thickBot="1" x14ac:dyDescent="0.35">
      <c r="A34" s="3">
        <f t="shared" si="0"/>
        <v>21</v>
      </c>
      <c r="B34" s="25" t="s">
        <v>67</v>
      </c>
      <c r="C34" s="10">
        <f>SUM(C31:C33)</f>
        <v>499123.70608998573</v>
      </c>
      <c r="D34" s="3" t="s">
        <v>96</v>
      </c>
      <c r="E34" s="3">
        <f t="shared" si="1"/>
        <v>21</v>
      </c>
      <c r="G34" s="164"/>
    </row>
    <row r="35" spans="1:7" ht="19.5" thickTop="1" x14ac:dyDescent="0.3">
      <c r="A35" s="3">
        <f t="shared" si="0"/>
        <v>22</v>
      </c>
      <c r="B35" s="25"/>
      <c r="C35" s="107"/>
      <c r="D35" s="3"/>
      <c r="E35" s="3">
        <f t="shared" si="1"/>
        <v>22</v>
      </c>
    </row>
    <row r="36" spans="1:7" x14ac:dyDescent="0.3">
      <c r="A36" s="3">
        <f t="shared" si="0"/>
        <v>23</v>
      </c>
      <c r="B36" s="25" t="s">
        <v>1</v>
      </c>
      <c r="C36" s="62"/>
      <c r="D36" s="3"/>
      <c r="E36" s="3">
        <f t="shared" si="1"/>
        <v>23</v>
      </c>
    </row>
    <row r="37" spans="1:7" x14ac:dyDescent="0.3">
      <c r="A37" s="3">
        <f t="shared" si="0"/>
        <v>24</v>
      </c>
      <c r="B37" s="25" t="s">
        <v>65</v>
      </c>
      <c r="C37" s="27">
        <f>'Workpapers 2'!C42</f>
        <v>15215.030368935337</v>
      </c>
      <c r="D37" s="3" t="s">
        <v>478</v>
      </c>
      <c r="E37" s="3">
        <f t="shared" si="1"/>
        <v>24</v>
      </c>
      <c r="G37" s="163"/>
    </row>
    <row r="38" spans="1:7" x14ac:dyDescent="0.3">
      <c r="A38" s="3">
        <f t="shared" si="0"/>
        <v>25</v>
      </c>
      <c r="B38" s="25" t="s">
        <v>66</v>
      </c>
      <c r="C38" s="27">
        <f>'Workpapers 2'!C43</f>
        <v>4692.3666929650472</v>
      </c>
      <c r="D38" s="3" t="s">
        <v>479</v>
      </c>
      <c r="E38" s="3">
        <f t="shared" si="1"/>
        <v>25</v>
      </c>
      <c r="F38" s="60"/>
      <c r="G38" s="163"/>
    </row>
    <row r="39" spans="1:7" x14ac:dyDescent="0.3">
      <c r="A39" s="3">
        <f t="shared" si="0"/>
        <v>26</v>
      </c>
      <c r="B39" s="25" t="s">
        <v>131</v>
      </c>
      <c r="C39" s="27">
        <f>'Workpapers 2'!C44</f>
        <v>1603.1498031904553</v>
      </c>
      <c r="D39" s="3" t="s">
        <v>480</v>
      </c>
      <c r="E39" s="3">
        <f t="shared" si="1"/>
        <v>26</v>
      </c>
      <c r="G39" s="163"/>
    </row>
    <row r="40" spans="1:7" ht="19.5" thickBot="1" x14ac:dyDescent="0.35">
      <c r="A40" s="3">
        <f t="shared" si="0"/>
        <v>27</v>
      </c>
      <c r="B40" s="25" t="s">
        <v>67</v>
      </c>
      <c r="C40" s="9">
        <f>SUM(C37:C39)</f>
        <v>21510.546865090841</v>
      </c>
      <c r="D40" s="3" t="s">
        <v>136</v>
      </c>
      <c r="E40" s="3">
        <f t="shared" si="1"/>
        <v>27</v>
      </c>
      <c r="G40" s="163"/>
    </row>
    <row r="41" spans="1:7" ht="19.5" thickTop="1" x14ac:dyDescent="0.3">
      <c r="A41" s="3">
        <f t="shared" si="0"/>
        <v>28</v>
      </c>
      <c r="B41" s="25"/>
      <c r="C41" s="73"/>
      <c r="D41" s="3"/>
      <c r="E41" s="3">
        <f t="shared" si="1"/>
        <v>28</v>
      </c>
    </row>
    <row r="42" spans="1:7" x14ac:dyDescent="0.3">
      <c r="A42" s="3">
        <f>A41+1</f>
        <v>29</v>
      </c>
      <c r="B42" s="25" t="s">
        <v>199</v>
      </c>
      <c r="C42" s="62"/>
      <c r="D42" s="3"/>
      <c r="E42" s="3">
        <f>E41+1</f>
        <v>29</v>
      </c>
    </row>
    <row r="43" spans="1:7" x14ac:dyDescent="0.3">
      <c r="A43" s="3">
        <f t="shared" si="0"/>
        <v>30</v>
      </c>
      <c r="B43" s="25" t="s">
        <v>65</v>
      </c>
      <c r="C43" s="120">
        <f>C31/C37</f>
        <v>23.444089616658143</v>
      </c>
      <c r="D43" s="3" t="s">
        <v>81</v>
      </c>
      <c r="E43" s="3">
        <f t="shared" si="1"/>
        <v>30</v>
      </c>
      <c r="G43" s="166"/>
    </row>
    <row r="44" spans="1:7" x14ac:dyDescent="0.3">
      <c r="A44" s="3">
        <f t="shared" si="0"/>
        <v>31</v>
      </c>
      <c r="B44" s="25" t="s">
        <v>66</v>
      </c>
      <c r="C44" s="120">
        <f>C32/C38</f>
        <v>22.646795809063565</v>
      </c>
      <c r="D44" s="3" t="s">
        <v>137</v>
      </c>
      <c r="E44" s="3">
        <f t="shared" si="1"/>
        <v>31</v>
      </c>
      <c r="G44" s="166"/>
    </row>
    <row r="45" spans="1:7" x14ac:dyDescent="0.3">
      <c r="A45" s="3">
        <f t="shared" si="0"/>
        <v>32</v>
      </c>
      <c r="B45" s="25" t="s">
        <v>131</v>
      </c>
      <c r="C45" s="120">
        <f>C33/C39</f>
        <v>22.551916341011513</v>
      </c>
      <c r="D45" s="3" t="s">
        <v>138</v>
      </c>
      <c r="E45" s="3">
        <f t="shared" si="1"/>
        <v>32</v>
      </c>
      <c r="G45" s="166"/>
    </row>
    <row r="46" spans="1:7" x14ac:dyDescent="0.3">
      <c r="A46" s="3">
        <f t="shared" si="0"/>
        <v>33</v>
      </c>
      <c r="B46" s="25"/>
      <c r="C46" s="113"/>
      <c r="D46" s="3"/>
      <c r="E46" s="3">
        <f t="shared" si="1"/>
        <v>33</v>
      </c>
      <c r="G46" s="82"/>
    </row>
    <row r="47" spans="1:7" x14ac:dyDescent="0.3">
      <c r="A47" s="3">
        <f t="shared" si="0"/>
        <v>34</v>
      </c>
      <c r="B47" s="48" t="s">
        <v>290</v>
      </c>
      <c r="C47" s="113"/>
      <c r="D47" s="3"/>
      <c r="E47" s="3">
        <f t="shared" si="1"/>
        <v>34</v>
      </c>
    </row>
    <row r="48" spans="1:7" x14ac:dyDescent="0.3">
      <c r="A48" s="3">
        <f t="shared" si="0"/>
        <v>35</v>
      </c>
      <c r="B48" s="48" t="s">
        <v>65</v>
      </c>
      <c r="C48" s="113">
        <f>ROUND(C43,2)</f>
        <v>23.44</v>
      </c>
      <c r="D48" s="3" t="s">
        <v>94</v>
      </c>
      <c r="E48" s="3">
        <f t="shared" si="1"/>
        <v>35</v>
      </c>
      <c r="G48" s="167"/>
    </row>
    <row r="49" spans="1:7" x14ac:dyDescent="0.3">
      <c r="A49" s="3">
        <f t="shared" si="0"/>
        <v>36</v>
      </c>
      <c r="B49" s="48" t="s">
        <v>66</v>
      </c>
      <c r="C49" s="113">
        <f t="shared" ref="C49:C50" si="2">ROUND(C44,2)</f>
        <v>22.65</v>
      </c>
      <c r="D49" s="3" t="s">
        <v>97</v>
      </c>
      <c r="E49" s="3">
        <f t="shared" si="1"/>
        <v>36</v>
      </c>
      <c r="G49" s="167"/>
    </row>
    <row r="50" spans="1:7" x14ac:dyDescent="0.3">
      <c r="A50" s="3">
        <f t="shared" si="0"/>
        <v>37</v>
      </c>
      <c r="B50" s="48" t="s">
        <v>131</v>
      </c>
      <c r="C50" s="113">
        <f t="shared" si="2"/>
        <v>22.55</v>
      </c>
      <c r="D50" s="3" t="s">
        <v>139</v>
      </c>
      <c r="E50" s="3">
        <f t="shared" si="1"/>
        <v>37</v>
      </c>
      <c r="G50" s="167"/>
    </row>
    <row r="51" spans="1:7" x14ac:dyDescent="0.3">
      <c r="A51" s="3">
        <f t="shared" si="0"/>
        <v>38</v>
      </c>
      <c r="B51" s="64"/>
      <c r="C51" s="63"/>
      <c r="D51" s="3"/>
      <c r="E51" s="3">
        <f t="shared" si="1"/>
        <v>38</v>
      </c>
      <c r="G51" s="82"/>
    </row>
    <row r="52" spans="1:7" x14ac:dyDescent="0.3">
      <c r="A52" s="3">
        <f t="shared" si="0"/>
        <v>39</v>
      </c>
      <c r="B52" s="48" t="s">
        <v>499</v>
      </c>
      <c r="C52" s="46"/>
      <c r="D52" s="3"/>
      <c r="E52" s="3">
        <f t="shared" si="1"/>
        <v>39</v>
      </c>
    </row>
    <row r="53" spans="1:7" x14ac:dyDescent="0.3">
      <c r="A53" s="3">
        <f t="shared" si="0"/>
        <v>40</v>
      </c>
      <c r="B53" s="48" t="s">
        <v>65</v>
      </c>
      <c r="C53" s="27">
        <f>'Workpapers 2'!C27</f>
        <v>15215.030368935337</v>
      </c>
      <c r="D53" s="3" t="s">
        <v>481</v>
      </c>
      <c r="E53" s="3">
        <f t="shared" si="1"/>
        <v>40</v>
      </c>
      <c r="G53" s="163"/>
    </row>
    <row r="54" spans="1:7" x14ac:dyDescent="0.3">
      <c r="A54" s="3">
        <f t="shared" si="0"/>
        <v>41</v>
      </c>
      <c r="B54" s="48" t="s">
        <v>66</v>
      </c>
      <c r="C54" s="27">
        <f>'Workpapers 2'!C28</f>
        <v>3905.1114713209208</v>
      </c>
      <c r="D54" s="3" t="s">
        <v>482</v>
      </c>
      <c r="E54" s="3">
        <f t="shared" si="1"/>
        <v>41</v>
      </c>
      <c r="G54" s="163"/>
    </row>
    <row r="55" spans="1:7" x14ac:dyDescent="0.3">
      <c r="A55" s="3">
        <f t="shared" si="0"/>
        <v>42</v>
      </c>
      <c r="B55" s="48" t="s">
        <v>101</v>
      </c>
      <c r="C55" s="27">
        <f>'Workpapers 2'!C29</f>
        <v>232.31698959542666</v>
      </c>
      <c r="D55" s="3" t="s">
        <v>483</v>
      </c>
      <c r="E55" s="3">
        <f t="shared" si="1"/>
        <v>42</v>
      </c>
      <c r="G55" s="163"/>
    </row>
    <row r="56" spans="1:7" ht="19.5" thickBot="1" x14ac:dyDescent="0.35">
      <c r="A56" s="3">
        <f t="shared" si="0"/>
        <v>43</v>
      </c>
      <c r="B56" s="48" t="s">
        <v>67</v>
      </c>
      <c r="C56" s="9">
        <f>SUM(C53:C55)</f>
        <v>19352.458829851683</v>
      </c>
      <c r="D56" s="3" t="s">
        <v>361</v>
      </c>
      <c r="E56" s="3">
        <f t="shared" si="1"/>
        <v>43</v>
      </c>
      <c r="G56" s="163"/>
    </row>
    <row r="57" spans="1:7" ht="19.5" thickTop="1" x14ac:dyDescent="0.3">
      <c r="A57" s="3">
        <f t="shared" si="0"/>
        <v>44</v>
      </c>
      <c r="B57" s="64"/>
      <c r="C57" s="63"/>
      <c r="D57" s="3"/>
      <c r="E57" s="3">
        <f t="shared" si="1"/>
        <v>44</v>
      </c>
    </row>
    <row r="58" spans="1:7" x14ac:dyDescent="0.3">
      <c r="A58" s="3">
        <f t="shared" si="0"/>
        <v>45</v>
      </c>
      <c r="B58" s="64"/>
      <c r="C58" s="63"/>
      <c r="D58" s="3"/>
      <c r="E58" s="3">
        <f t="shared" si="1"/>
        <v>45</v>
      </c>
    </row>
    <row r="59" spans="1:7" ht="22.5" x14ac:dyDescent="0.3">
      <c r="A59" s="3">
        <f t="shared" si="0"/>
        <v>46</v>
      </c>
      <c r="B59" s="48" t="s">
        <v>501</v>
      </c>
      <c r="C59" s="62">
        <f>C48*0.9</f>
        <v>21.096</v>
      </c>
      <c r="D59" s="3" t="s">
        <v>304</v>
      </c>
      <c r="E59" s="3">
        <f t="shared" si="1"/>
        <v>46</v>
      </c>
      <c r="G59" s="166"/>
    </row>
    <row r="60" spans="1:7" x14ac:dyDescent="0.3">
      <c r="A60" s="3">
        <f t="shared" si="0"/>
        <v>47</v>
      </c>
      <c r="B60" s="48" t="s">
        <v>65</v>
      </c>
      <c r="C60" s="62">
        <f>C49*0.9</f>
        <v>20.384999999999998</v>
      </c>
      <c r="D60" s="3" t="s">
        <v>305</v>
      </c>
      <c r="E60" s="3">
        <f t="shared" si="1"/>
        <v>47</v>
      </c>
      <c r="G60" s="166"/>
    </row>
    <row r="61" spans="1:7" x14ac:dyDescent="0.3">
      <c r="A61" s="3">
        <f t="shared" si="0"/>
        <v>48</v>
      </c>
      <c r="B61" s="48" t="s">
        <v>66</v>
      </c>
      <c r="C61" s="62">
        <f>C50*0.9</f>
        <v>20.295000000000002</v>
      </c>
      <c r="D61" s="3" t="s">
        <v>306</v>
      </c>
      <c r="E61" s="3">
        <f t="shared" si="1"/>
        <v>48</v>
      </c>
      <c r="G61" s="166"/>
    </row>
    <row r="62" spans="1:7" x14ac:dyDescent="0.3">
      <c r="A62" s="3">
        <f t="shared" si="0"/>
        <v>49</v>
      </c>
      <c r="B62" s="48" t="s">
        <v>131</v>
      </c>
      <c r="C62" s="46"/>
      <c r="D62" s="3"/>
      <c r="E62" s="3">
        <f t="shared" si="1"/>
        <v>49</v>
      </c>
      <c r="G62" s="82"/>
    </row>
    <row r="63" spans="1:7" x14ac:dyDescent="0.3">
      <c r="A63" s="3">
        <f t="shared" si="0"/>
        <v>50</v>
      </c>
      <c r="B63" s="48"/>
      <c r="C63" s="46"/>
      <c r="D63" s="3"/>
      <c r="E63" s="3">
        <f t="shared" si="1"/>
        <v>50</v>
      </c>
    </row>
    <row r="64" spans="1:7" x14ac:dyDescent="0.3">
      <c r="A64" s="3">
        <f t="shared" si="0"/>
        <v>51</v>
      </c>
      <c r="B64" s="48" t="s">
        <v>145</v>
      </c>
      <c r="C64" s="46"/>
      <c r="D64" s="3"/>
      <c r="E64" s="3">
        <f t="shared" si="1"/>
        <v>51</v>
      </c>
    </row>
    <row r="65" spans="1:7" x14ac:dyDescent="0.3">
      <c r="A65" s="3">
        <f t="shared" si="0"/>
        <v>52</v>
      </c>
      <c r="B65" s="48" t="s">
        <v>65</v>
      </c>
      <c r="C65" s="46">
        <f>ROUND(C59,2)</f>
        <v>21.1</v>
      </c>
      <c r="D65" s="3" t="s">
        <v>362</v>
      </c>
      <c r="E65" s="3">
        <f t="shared" si="1"/>
        <v>52</v>
      </c>
      <c r="G65" s="167"/>
    </row>
    <row r="66" spans="1:7" x14ac:dyDescent="0.3">
      <c r="A66" s="3">
        <f t="shared" si="0"/>
        <v>53</v>
      </c>
      <c r="B66" s="48" t="s">
        <v>66</v>
      </c>
      <c r="C66" s="46">
        <f t="shared" ref="C66:C67" si="3">ROUND(C60,2)</f>
        <v>20.39</v>
      </c>
      <c r="D66" s="3" t="s">
        <v>363</v>
      </c>
      <c r="E66" s="3">
        <f t="shared" si="1"/>
        <v>53</v>
      </c>
      <c r="G66" s="167"/>
    </row>
    <row r="67" spans="1:7" x14ac:dyDescent="0.3">
      <c r="A67" s="3">
        <f t="shared" si="0"/>
        <v>54</v>
      </c>
      <c r="B67" s="48" t="s">
        <v>131</v>
      </c>
      <c r="C67" s="46">
        <f t="shared" si="3"/>
        <v>20.3</v>
      </c>
      <c r="D67" s="3" t="s">
        <v>364</v>
      </c>
      <c r="E67" s="3">
        <f t="shared" si="1"/>
        <v>54</v>
      </c>
      <c r="G67" s="167"/>
    </row>
    <row r="68" spans="1:7" x14ac:dyDescent="0.3">
      <c r="A68" s="3">
        <f t="shared" si="0"/>
        <v>55</v>
      </c>
      <c r="B68" s="48"/>
      <c r="C68" s="46"/>
      <c r="D68" s="3"/>
      <c r="E68" s="3">
        <f t="shared" si="1"/>
        <v>55</v>
      </c>
      <c r="G68" s="82"/>
    </row>
    <row r="69" spans="1:7" x14ac:dyDescent="0.3">
      <c r="A69" s="3">
        <f t="shared" si="0"/>
        <v>56</v>
      </c>
      <c r="B69" s="48" t="s">
        <v>146</v>
      </c>
      <c r="C69" s="46"/>
      <c r="D69" s="3"/>
      <c r="E69" s="3">
        <f t="shared" si="1"/>
        <v>56</v>
      </c>
      <c r="G69" s="82"/>
    </row>
    <row r="70" spans="1:7" x14ac:dyDescent="0.3">
      <c r="A70" s="3">
        <f t="shared" si="0"/>
        <v>57</v>
      </c>
      <c r="B70" s="48" t="s">
        <v>65</v>
      </c>
      <c r="C70" s="63">
        <f>C53*C48</f>
        <v>356640.31184784434</v>
      </c>
      <c r="D70" s="3" t="s">
        <v>365</v>
      </c>
      <c r="E70" s="3">
        <f t="shared" si="1"/>
        <v>57</v>
      </c>
      <c r="G70" s="164"/>
    </row>
    <row r="71" spans="1:7" x14ac:dyDescent="0.3">
      <c r="A71" s="3">
        <f t="shared" si="0"/>
        <v>58</v>
      </c>
      <c r="B71" s="48" t="s">
        <v>66</v>
      </c>
      <c r="C71" s="63">
        <f>C54*C49</f>
        <v>88450.774825418848</v>
      </c>
      <c r="D71" s="3" t="s">
        <v>366</v>
      </c>
      <c r="E71" s="3">
        <f t="shared" si="1"/>
        <v>58</v>
      </c>
      <c r="G71" s="164"/>
    </row>
    <row r="72" spans="1:7" x14ac:dyDescent="0.3">
      <c r="A72" s="3">
        <f t="shared" si="0"/>
        <v>59</v>
      </c>
      <c r="B72" s="48" t="s">
        <v>101</v>
      </c>
      <c r="C72" s="63">
        <f>C55*C50</f>
        <v>5238.7481153768713</v>
      </c>
      <c r="D72" s="3" t="s">
        <v>367</v>
      </c>
      <c r="E72" s="3">
        <f t="shared" si="1"/>
        <v>59</v>
      </c>
      <c r="G72" s="164"/>
    </row>
    <row r="73" spans="1:7" ht="19.5" thickBot="1" x14ac:dyDescent="0.35">
      <c r="A73" s="3">
        <f t="shared" si="0"/>
        <v>60</v>
      </c>
      <c r="B73" s="48" t="s">
        <v>67</v>
      </c>
      <c r="C73" s="10">
        <f>SUM(C70:C72)</f>
        <v>450329.83478864003</v>
      </c>
      <c r="D73" s="3" t="s">
        <v>368</v>
      </c>
      <c r="E73" s="3">
        <f t="shared" si="1"/>
        <v>60</v>
      </c>
      <c r="G73" s="164"/>
    </row>
    <row r="74" spans="1:7" ht="19.5" thickTop="1" x14ac:dyDescent="0.3">
      <c r="A74" s="3">
        <f t="shared" si="0"/>
        <v>61</v>
      </c>
      <c r="B74" s="48"/>
      <c r="C74" s="46"/>
      <c r="D74" s="3"/>
      <c r="E74" s="3">
        <f t="shared" si="1"/>
        <v>61</v>
      </c>
    </row>
    <row r="75" spans="1:7" x14ac:dyDescent="0.3">
      <c r="A75" s="3">
        <f t="shared" si="0"/>
        <v>62</v>
      </c>
      <c r="B75" s="48" t="s">
        <v>147</v>
      </c>
      <c r="C75" s="46"/>
      <c r="D75" s="3"/>
      <c r="E75" s="3">
        <f t="shared" si="1"/>
        <v>62</v>
      </c>
    </row>
    <row r="76" spans="1:7" x14ac:dyDescent="0.3">
      <c r="A76" s="3">
        <f t="shared" si="0"/>
        <v>63</v>
      </c>
      <c r="B76" s="48" t="s">
        <v>65</v>
      </c>
      <c r="C76" s="63">
        <f>C53*C65</f>
        <v>321037.14078453562</v>
      </c>
      <c r="D76" s="3" t="s">
        <v>369</v>
      </c>
      <c r="E76" s="3">
        <f t="shared" si="1"/>
        <v>63</v>
      </c>
      <c r="G76" s="164"/>
    </row>
    <row r="77" spans="1:7" x14ac:dyDescent="0.3">
      <c r="A77" s="3">
        <f t="shared" si="0"/>
        <v>64</v>
      </c>
      <c r="B77" s="48" t="s">
        <v>66</v>
      </c>
      <c r="C77" s="63">
        <f t="shared" ref="C77:C78" si="4">C54*C66</f>
        <v>79625.222900233581</v>
      </c>
      <c r="D77" s="3" t="s">
        <v>370</v>
      </c>
      <c r="E77" s="3">
        <f t="shared" si="1"/>
        <v>64</v>
      </c>
      <c r="G77" s="164"/>
    </row>
    <row r="78" spans="1:7" x14ac:dyDescent="0.3">
      <c r="A78" s="3">
        <f t="shared" si="0"/>
        <v>65</v>
      </c>
      <c r="B78" s="48" t="s">
        <v>101</v>
      </c>
      <c r="C78" s="63">
        <f t="shared" si="4"/>
        <v>4716.0348887871614</v>
      </c>
      <c r="D78" s="3" t="s">
        <v>371</v>
      </c>
      <c r="E78" s="3">
        <f t="shared" si="1"/>
        <v>65</v>
      </c>
      <c r="G78" s="164"/>
    </row>
    <row r="79" spans="1:7" ht="19.5" thickBot="1" x14ac:dyDescent="0.35">
      <c r="A79" s="3">
        <f t="shared" si="0"/>
        <v>66</v>
      </c>
      <c r="B79" s="48" t="s">
        <v>67</v>
      </c>
      <c r="C79" s="10">
        <f>SUM(C76:C78)</f>
        <v>405378.39857355633</v>
      </c>
      <c r="D79" s="3" t="s">
        <v>372</v>
      </c>
      <c r="E79" s="3">
        <f t="shared" si="1"/>
        <v>66</v>
      </c>
      <c r="G79" s="164"/>
    </row>
    <row r="80" spans="1:7" ht="19.5" thickTop="1" x14ac:dyDescent="0.3">
      <c r="A80" s="3">
        <f t="shared" si="0"/>
        <v>67</v>
      </c>
      <c r="B80" s="48"/>
      <c r="C80" s="46"/>
      <c r="D80" s="3"/>
      <c r="E80" s="3">
        <f t="shared" ref="E80:E85" si="5">E79+1</f>
        <v>67</v>
      </c>
    </row>
    <row r="81" spans="1:7" x14ac:dyDescent="0.3">
      <c r="A81" s="3">
        <f t="shared" si="0"/>
        <v>68</v>
      </c>
      <c r="B81" s="48" t="s">
        <v>205</v>
      </c>
      <c r="C81" s="46"/>
      <c r="D81" s="3"/>
      <c r="E81" s="3">
        <f t="shared" si="5"/>
        <v>68</v>
      </c>
    </row>
    <row r="82" spans="1:7" x14ac:dyDescent="0.3">
      <c r="A82" s="3">
        <f t="shared" ref="A82:A85" si="6">A81+1</f>
        <v>69</v>
      </c>
      <c r="B82" s="48" t="s">
        <v>65</v>
      </c>
      <c r="C82" s="63">
        <f>C70-C76</f>
        <v>35603.17106330872</v>
      </c>
      <c r="D82" s="1" t="s">
        <v>373</v>
      </c>
      <c r="E82" s="3">
        <f t="shared" si="5"/>
        <v>69</v>
      </c>
      <c r="G82" s="164"/>
    </row>
    <row r="83" spans="1:7" x14ac:dyDescent="0.3">
      <c r="A83" s="3">
        <f t="shared" si="6"/>
        <v>70</v>
      </c>
      <c r="B83" s="48" t="s">
        <v>66</v>
      </c>
      <c r="C83" s="63">
        <f t="shared" ref="C83:C84" si="7">C71-C77</f>
        <v>8825.5519251852675</v>
      </c>
      <c r="D83" s="1" t="s">
        <v>374</v>
      </c>
      <c r="E83" s="3">
        <f t="shared" si="5"/>
        <v>70</v>
      </c>
      <c r="G83" s="164"/>
    </row>
    <row r="84" spans="1:7" x14ac:dyDescent="0.3">
      <c r="A84" s="3">
        <f t="shared" si="6"/>
        <v>71</v>
      </c>
      <c r="B84" s="48" t="s">
        <v>101</v>
      </c>
      <c r="C84" s="63">
        <f t="shared" si="7"/>
        <v>522.71322658970985</v>
      </c>
      <c r="D84" s="1" t="s">
        <v>375</v>
      </c>
      <c r="E84" s="3">
        <f t="shared" si="5"/>
        <v>71</v>
      </c>
      <c r="G84" s="164"/>
    </row>
    <row r="85" spans="1:7" ht="19.5" thickBot="1" x14ac:dyDescent="0.35">
      <c r="A85" s="3">
        <f t="shared" si="6"/>
        <v>72</v>
      </c>
      <c r="B85" s="48" t="s">
        <v>67</v>
      </c>
      <c r="C85" s="10">
        <f>SUM(C82:C84)</f>
        <v>44951.436215083697</v>
      </c>
      <c r="D85" s="52" t="s">
        <v>376</v>
      </c>
      <c r="E85" s="3">
        <f t="shared" si="5"/>
        <v>72</v>
      </c>
      <c r="G85" s="164"/>
    </row>
    <row r="86" spans="1:7" ht="19.5" thickTop="1" x14ac:dyDescent="0.3">
      <c r="A86" s="3"/>
      <c r="B86" s="2"/>
      <c r="C86" s="65"/>
      <c r="D86" s="2"/>
      <c r="E86" s="2"/>
    </row>
    <row r="87" spans="1:7" x14ac:dyDescent="0.3">
      <c r="A87" s="1"/>
      <c r="B87" s="13" t="s">
        <v>92</v>
      </c>
    </row>
    <row r="88" spans="1:7" ht="22.5" x14ac:dyDescent="0.3">
      <c r="A88" s="67">
        <v>1</v>
      </c>
      <c r="B88" s="12" t="s">
        <v>143</v>
      </c>
    </row>
    <row r="89" spans="1:7" x14ac:dyDescent="0.3">
      <c r="A89" s="1"/>
      <c r="B89" s="12" t="s">
        <v>512</v>
      </c>
    </row>
    <row r="90" spans="1:7" ht="22.5" x14ac:dyDescent="0.3">
      <c r="A90" s="67">
        <v>2</v>
      </c>
      <c r="B90" s="12" t="s">
        <v>175</v>
      </c>
    </row>
    <row r="91" spans="1:7" ht="22.5" x14ac:dyDescent="0.3">
      <c r="A91" s="67">
        <v>3</v>
      </c>
      <c r="B91" s="12" t="s">
        <v>500</v>
      </c>
    </row>
    <row r="92" spans="1:7" ht="22.5" x14ac:dyDescent="0.3">
      <c r="A92" s="14"/>
    </row>
    <row r="93" spans="1:7" x14ac:dyDescent="0.3">
      <c r="A93" s="1"/>
    </row>
    <row r="94" spans="1:7" x14ac:dyDescent="0.3">
      <c r="A94" s="1"/>
    </row>
    <row r="95" spans="1:7" x14ac:dyDescent="0.3">
      <c r="A95" s="1"/>
    </row>
    <row r="96" spans="1:7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</sheetData>
  <mergeCells count="6">
    <mergeCell ref="A4:E4"/>
    <mergeCell ref="A6:E6"/>
    <mergeCell ref="A1:E1"/>
    <mergeCell ref="A2:E2"/>
    <mergeCell ref="A3:E3"/>
    <mergeCell ref="A5:E5"/>
  </mergeCells>
  <phoneticPr fontId="0" type="noConversion"/>
  <printOptions horizontalCentered="1"/>
  <pageMargins left="0.25" right="0.25" top="0.5" bottom="0.5" header="0.25" footer="0.25"/>
  <pageSetup scale="42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A9C4-0D0D-43F5-9F7B-9AAB73CE8079}">
  <sheetPr>
    <pageSetUpPr fitToPage="1"/>
  </sheetPr>
  <dimension ref="A1:H43"/>
  <sheetViews>
    <sheetView zoomScale="75" zoomScaleNormal="75" workbookViewId="0">
      <selection activeCell="G13" sqref="G13"/>
    </sheetView>
  </sheetViews>
  <sheetFormatPr defaultColWidth="9.140625" defaultRowHeight="18.75" x14ac:dyDescent="0.3"/>
  <cols>
    <col min="1" max="1" width="5.85546875" style="87" bestFit="1" customWidth="1"/>
    <col min="2" max="2" width="90.42578125" style="87" customWidth="1"/>
    <col min="3" max="3" width="22.85546875" style="87" bestFit="1" customWidth="1"/>
    <col min="4" max="4" width="32.28515625" style="87" bestFit="1" customWidth="1"/>
    <col min="5" max="5" width="5.85546875" style="87" bestFit="1" customWidth="1"/>
    <col min="6" max="16384" width="9.140625" style="87"/>
  </cols>
  <sheetData>
    <row r="1" spans="1:6" x14ac:dyDescent="0.3">
      <c r="A1" s="182" t="s">
        <v>151</v>
      </c>
      <c r="B1" s="182"/>
      <c r="C1" s="182"/>
      <c r="D1" s="182"/>
      <c r="E1" s="182"/>
      <c r="F1" s="100"/>
    </row>
    <row r="2" spans="1:6" x14ac:dyDescent="0.3">
      <c r="A2" s="182" t="s">
        <v>23</v>
      </c>
      <c r="B2" s="182"/>
      <c r="C2" s="182"/>
      <c r="D2" s="182"/>
      <c r="E2" s="182"/>
      <c r="F2" s="100"/>
    </row>
    <row r="3" spans="1:6" x14ac:dyDescent="0.3">
      <c r="A3" s="182" t="s">
        <v>47</v>
      </c>
      <c r="B3" s="182"/>
      <c r="C3" s="182"/>
      <c r="D3" s="182"/>
      <c r="E3" s="182"/>
      <c r="F3" s="100"/>
    </row>
    <row r="4" spans="1:6" x14ac:dyDescent="0.3">
      <c r="A4" s="183" t="s">
        <v>325</v>
      </c>
      <c r="B4" s="183"/>
      <c r="C4" s="183"/>
      <c r="D4" s="183"/>
      <c r="E4" s="183"/>
      <c r="F4" s="100"/>
    </row>
    <row r="5" spans="1:6" x14ac:dyDescent="0.3">
      <c r="A5" s="182" t="s">
        <v>516</v>
      </c>
      <c r="B5" s="182"/>
      <c r="C5" s="182"/>
      <c r="D5" s="182"/>
      <c r="E5" s="182"/>
      <c r="F5" s="100"/>
    </row>
    <row r="6" spans="1:6" x14ac:dyDescent="0.3">
      <c r="A6" s="181" t="s">
        <v>211</v>
      </c>
      <c r="B6" s="181"/>
      <c r="C6" s="181"/>
      <c r="D6" s="181"/>
      <c r="E6" s="181"/>
      <c r="F6" s="100"/>
    </row>
    <row r="7" spans="1:6" x14ac:dyDescent="0.3">
      <c r="A7" s="121"/>
      <c r="B7" s="121"/>
      <c r="C7" s="121"/>
      <c r="D7" s="121"/>
      <c r="F7" s="100"/>
    </row>
    <row r="8" spans="1:6" x14ac:dyDescent="0.3">
      <c r="A8" s="88"/>
      <c r="B8" s="122"/>
      <c r="C8" s="88" t="s">
        <v>48</v>
      </c>
      <c r="D8" s="88"/>
      <c r="E8" s="88"/>
    </row>
    <row r="9" spans="1:6" x14ac:dyDescent="0.3">
      <c r="A9" s="89"/>
      <c r="B9" s="90"/>
      <c r="C9" s="89" t="s">
        <v>441</v>
      </c>
      <c r="D9" s="89"/>
      <c r="E9" s="89"/>
    </row>
    <row r="10" spans="1:6" x14ac:dyDescent="0.3">
      <c r="A10" s="89" t="s">
        <v>29</v>
      </c>
      <c r="B10" s="90"/>
      <c r="C10" s="89"/>
      <c r="D10" s="89"/>
      <c r="E10" s="89" t="s">
        <v>29</v>
      </c>
    </row>
    <row r="11" spans="1:6" ht="22.5" x14ac:dyDescent="0.3">
      <c r="A11" s="91" t="s">
        <v>31</v>
      </c>
      <c r="B11" s="91" t="s">
        <v>100</v>
      </c>
      <c r="C11" s="91"/>
      <c r="D11" s="91" t="s">
        <v>169</v>
      </c>
      <c r="E11" s="91" t="s">
        <v>31</v>
      </c>
    </row>
    <row r="12" spans="1:6" x14ac:dyDescent="0.3">
      <c r="A12" s="122"/>
      <c r="B12" s="123"/>
      <c r="C12" s="122"/>
      <c r="D12" s="122"/>
      <c r="E12" s="122"/>
    </row>
    <row r="13" spans="1:6" x14ac:dyDescent="0.3">
      <c r="A13" s="89">
        <v>1</v>
      </c>
      <c r="B13" s="124" t="s">
        <v>155</v>
      </c>
      <c r="C13" s="34"/>
      <c r="D13" s="53"/>
      <c r="E13" s="89">
        <v>1</v>
      </c>
    </row>
    <row r="14" spans="1:6" ht="22.5" x14ac:dyDescent="0.3">
      <c r="A14" s="89">
        <f>A13+1</f>
        <v>2</v>
      </c>
      <c r="B14" s="124" t="s">
        <v>154</v>
      </c>
      <c r="C14" s="27"/>
      <c r="D14" s="34"/>
      <c r="E14" s="89">
        <f>E13+1</f>
        <v>2</v>
      </c>
    </row>
    <row r="15" spans="1:6" x14ac:dyDescent="0.3">
      <c r="A15" s="89">
        <f t="shared" ref="A15:A38" si="0">A14+1</f>
        <v>3</v>
      </c>
      <c r="B15" s="124"/>
      <c r="C15" s="27"/>
      <c r="D15" s="63"/>
      <c r="E15" s="89">
        <f t="shared" ref="E15:E38" si="1">E14+1</f>
        <v>3</v>
      </c>
    </row>
    <row r="16" spans="1:6" x14ac:dyDescent="0.3">
      <c r="A16" s="89">
        <f t="shared" si="0"/>
        <v>4</v>
      </c>
      <c r="B16" s="125" t="s">
        <v>0</v>
      </c>
      <c r="C16" s="27"/>
      <c r="D16" s="63"/>
      <c r="E16" s="89">
        <f t="shared" si="1"/>
        <v>4</v>
      </c>
    </row>
    <row r="17" spans="1:8" x14ac:dyDescent="0.3">
      <c r="A17" s="89">
        <f t="shared" si="0"/>
        <v>5</v>
      </c>
      <c r="B17" s="125" t="s">
        <v>65</v>
      </c>
      <c r="C17" s="27">
        <f>'Workpapers 2'!C35</f>
        <v>0</v>
      </c>
      <c r="D17" s="89" t="s">
        <v>484</v>
      </c>
      <c r="E17" s="89">
        <f t="shared" si="1"/>
        <v>5</v>
      </c>
    </row>
    <row r="18" spans="1:8" x14ac:dyDescent="0.3">
      <c r="A18" s="89">
        <f t="shared" si="0"/>
        <v>6</v>
      </c>
      <c r="B18" s="125" t="s">
        <v>66</v>
      </c>
      <c r="C18" s="27">
        <f>'Workpapers 2'!C36</f>
        <v>787.25522164412598</v>
      </c>
      <c r="D18" s="89" t="s">
        <v>485</v>
      </c>
      <c r="E18" s="89">
        <f t="shared" si="1"/>
        <v>6</v>
      </c>
      <c r="H18" s="163"/>
    </row>
    <row r="19" spans="1:8" x14ac:dyDescent="0.3">
      <c r="A19" s="89">
        <f t="shared" si="0"/>
        <v>7</v>
      </c>
      <c r="B19" s="125" t="s">
        <v>101</v>
      </c>
      <c r="C19" s="27">
        <f>'Workpapers 2'!C37</f>
        <v>1370.8328135950287</v>
      </c>
      <c r="D19" s="89" t="s">
        <v>486</v>
      </c>
      <c r="E19" s="89">
        <f t="shared" si="1"/>
        <v>7</v>
      </c>
      <c r="H19" s="163"/>
    </row>
    <row r="20" spans="1:8" ht="19.5" thickBot="1" x14ac:dyDescent="0.35">
      <c r="A20" s="89">
        <f t="shared" si="0"/>
        <v>8</v>
      </c>
      <c r="B20" s="125" t="s">
        <v>67</v>
      </c>
      <c r="C20" s="9">
        <f>SUM(C17:C19)</f>
        <v>2158.0880352391546</v>
      </c>
      <c r="D20" s="71" t="s">
        <v>85</v>
      </c>
      <c r="E20" s="89">
        <f t="shared" si="1"/>
        <v>8</v>
      </c>
      <c r="H20" s="163"/>
    </row>
    <row r="21" spans="1:8" ht="19.5" thickTop="1" x14ac:dyDescent="0.3">
      <c r="A21" s="89">
        <f t="shared" si="0"/>
        <v>9</v>
      </c>
      <c r="B21" s="125"/>
      <c r="C21" s="34"/>
      <c r="D21" s="63"/>
      <c r="E21" s="89">
        <f t="shared" si="1"/>
        <v>9</v>
      </c>
    </row>
    <row r="22" spans="1:8" x14ac:dyDescent="0.3">
      <c r="A22" s="89">
        <f t="shared" si="0"/>
        <v>10</v>
      </c>
      <c r="B22" s="126" t="s">
        <v>146</v>
      </c>
      <c r="C22" s="34"/>
      <c r="D22" s="63"/>
      <c r="E22" s="89">
        <f t="shared" si="1"/>
        <v>10</v>
      </c>
    </row>
    <row r="23" spans="1:8" x14ac:dyDescent="0.3">
      <c r="A23" s="89">
        <f t="shared" si="0"/>
        <v>11</v>
      </c>
      <c r="B23" s="125" t="s">
        <v>65</v>
      </c>
      <c r="C23" s="34">
        <f>C17*'Med &amp; Lrg C-I NCD'!C48</f>
        <v>0</v>
      </c>
      <c r="D23" s="89" t="s">
        <v>307</v>
      </c>
      <c r="E23" s="89">
        <f t="shared" si="1"/>
        <v>11</v>
      </c>
    </row>
    <row r="24" spans="1:8" x14ac:dyDescent="0.3">
      <c r="A24" s="89">
        <f t="shared" si="0"/>
        <v>12</v>
      </c>
      <c r="B24" s="125" t="s">
        <v>66</v>
      </c>
      <c r="C24" s="34">
        <f>C18*'Med &amp; Lrg C-I NCD'!C49</f>
        <v>17831.330770239452</v>
      </c>
      <c r="D24" s="89" t="s">
        <v>308</v>
      </c>
      <c r="E24" s="89">
        <f t="shared" si="1"/>
        <v>12</v>
      </c>
      <c r="H24" s="164"/>
    </row>
    <row r="25" spans="1:8" x14ac:dyDescent="0.3">
      <c r="A25" s="89">
        <f t="shared" si="0"/>
        <v>13</v>
      </c>
      <c r="B25" s="125" t="s">
        <v>101</v>
      </c>
      <c r="C25" s="34">
        <f>C19*'Med &amp; Lrg C-I NCD'!C50</f>
        <v>30912.279946567898</v>
      </c>
      <c r="D25" s="89" t="s">
        <v>309</v>
      </c>
      <c r="E25" s="89">
        <f t="shared" si="1"/>
        <v>13</v>
      </c>
      <c r="H25" s="164"/>
    </row>
    <row r="26" spans="1:8" ht="19.5" thickBot="1" x14ac:dyDescent="0.35">
      <c r="A26" s="89">
        <f t="shared" si="0"/>
        <v>14</v>
      </c>
      <c r="B26" s="125" t="s">
        <v>67</v>
      </c>
      <c r="C26" s="56">
        <f>SUM(C23:C25)</f>
        <v>48743.61071680735</v>
      </c>
      <c r="D26" s="71" t="s">
        <v>98</v>
      </c>
      <c r="E26" s="89">
        <f t="shared" si="1"/>
        <v>14</v>
      </c>
      <c r="H26" s="164"/>
    </row>
    <row r="27" spans="1:8" ht="19.5" thickTop="1" x14ac:dyDescent="0.3">
      <c r="A27" s="89">
        <f t="shared" si="0"/>
        <v>15</v>
      </c>
      <c r="B27" s="125"/>
      <c r="C27" s="34"/>
      <c r="D27" s="63"/>
      <c r="E27" s="89">
        <f t="shared" si="1"/>
        <v>15</v>
      </c>
    </row>
    <row r="28" spans="1:8" x14ac:dyDescent="0.3">
      <c r="A28" s="89">
        <f t="shared" si="0"/>
        <v>16</v>
      </c>
      <c r="B28" s="126" t="s">
        <v>147</v>
      </c>
      <c r="C28" s="34"/>
      <c r="D28" s="63"/>
      <c r="E28" s="89">
        <f t="shared" si="1"/>
        <v>16</v>
      </c>
    </row>
    <row r="29" spans="1:8" x14ac:dyDescent="0.3">
      <c r="A29" s="89">
        <f t="shared" si="0"/>
        <v>17</v>
      </c>
      <c r="B29" s="125" t="s">
        <v>65</v>
      </c>
      <c r="C29" s="34">
        <f>C17*'Med &amp; Lrg C-I NCD'!C65</f>
        <v>0</v>
      </c>
      <c r="D29" s="89" t="s">
        <v>327</v>
      </c>
      <c r="E29" s="89">
        <f t="shared" si="1"/>
        <v>17</v>
      </c>
    </row>
    <row r="30" spans="1:8" x14ac:dyDescent="0.3">
      <c r="A30" s="89">
        <f t="shared" si="0"/>
        <v>18</v>
      </c>
      <c r="B30" s="125" t="s">
        <v>66</v>
      </c>
      <c r="C30" s="34">
        <f>C18*'Med &amp; Lrg C-I NCD'!C66</f>
        <v>16052.13396932373</v>
      </c>
      <c r="D30" s="89" t="s">
        <v>328</v>
      </c>
      <c r="E30" s="89">
        <f t="shared" si="1"/>
        <v>18</v>
      </c>
      <c r="H30" s="164"/>
    </row>
    <row r="31" spans="1:8" x14ac:dyDescent="0.3">
      <c r="A31" s="89">
        <f t="shared" si="0"/>
        <v>19</v>
      </c>
      <c r="B31" s="125" t="s">
        <v>101</v>
      </c>
      <c r="C31" s="34">
        <f>C19*'Med &amp; Lrg C-I NCD'!C67</f>
        <v>27827.906115979084</v>
      </c>
      <c r="D31" s="89" t="s">
        <v>329</v>
      </c>
      <c r="E31" s="89">
        <f t="shared" si="1"/>
        <v>19</v>
      </c>
      <c r="H31" s="164"/>
    </row>
    <row r="32" spans="1:8" ht="19.5" thickBot="1" x14ac:dyDescent="0.35">
      <c r="A32" s="89">
        <f t="shared" si="0"/>
        <v>20</v>
      </c>
      <c r="B32" s="125" t="s">
        <v>67</v>
      </c>
      <c r="C32" s="6">
        <f>SUM(C29:C31)</f>
        <v>43880.040085302811</v>
      </c>
      <c r="D32" s="71" t="s">
        <v>99</v>
      </c>
      <c r="E32" s="89">
        <f t="shared" si="1"/>
        <v>20</v>
      </c>
      <c r="H32" s="164"/>
    </row>
    <row r="33" spans="1:8" ht="19.5" thickTop="1" x14ac:dyDescent="0.3">
      <c r="A33" s="89">
        <f t="shared" si="0"/>
        <v>21</v>
      </c>
      <c r="B33" s="127"/>
      <c r="C33" s="90"/>
      <c r="D33" s="90"/>
      <c r="E33" s="89">
        <f t="shared" si="1"/>
        <v>21</v>
      </c>
    </row>
    <row r="34" spans="1:8" x14ac:dyDescent="0.3">
      <c r="A34" s="89">
        <f t="shared" si="0"/>
        <v>22</v>
      </c>
      <c r="B34" s="125" t="s">
        <v>110</v>
      </c>
      <c r="C34" s="90"/>
      <c r="D34" s="90"/>
      <c r="E34" s="89">
        <f t="shared" si="1"/>
        <v>22</v>
      </c>
    </row>
    <row r="35" spans="1:8" x14ac:dyDescent="0.3">
      <c r="A35" s="89">
        <f t="shared" si="0"/>
        <v>23</v>
      </c>
      <c r="B35" s="125" t="s">
        <v>65</v>
      </c>
      <c r="C35" s="34">
        <f>C23-C29</f>
        <v>0</v>
      </c>
      <c r="D35" s="89" t="s">
        <v>148</v>
      </c>
      <c r="E35" s="89">
        <f t="shared" si="1"/>
        <v>23</v>
      </c>
    </row>
    <row r="36" spans="1:8" x14ac:dyDescent="0.3">
      <c r="A36" s="89">
        <f t="shared" si="0"/>
        <v>24</v>
      </c>
      <c r="B36" s="125" t="s">
        <v>66</v>
      </c>
      <c r="C36" s="34">
        <f>C24-C30</f>
        <v>1779.1968009157226</v>
      </c>
      <c r="D36" s="89" t="s">
        <v>149</v>
      </c>
      <c r="E36" s="89">
        <f t="shared" si="1"/>
        <v>24</v>
      </c>
      <c r="H36" s="164"/>
    </row>
    <row r="37" spans="1:8" x14ac:dyDescent="0.3">
      <c r="A37" s="89">
        <f t="shared" si="0"/>
        <v>25</v>
      </c>
      <c r="B37" s="125" t="s">
        <v>101</v>
      </c>
      <c r="C37" s="47">
        <f>C25-C31</f>
        <v>3084.3738305888146</v>
      </c>
      <c r="D37" s="89" t="s">
        <v>150</v>
      </c>
      <c r="E37" s="89">
        <f t="shared" si="1"/>
        <v>25</v>
      </c>
      <c r="H37" s="164"/>
    </row>
    <row r="38" spans="1:8" ht="19.5" thickBot="1" x14ac:dyDescent="0.35">
      <c r="A38" s="89">
        <f t="shared" si="0"/>
        <v>26</v>
      </c>
      <c r="B38" s="125" t="s">
        <v>67</v>
      </c>
      <c r="C38" s="6">
        <f>SUM(C35:C37)</f>
        <v>4863.5706315045372</v>
      </c>
      <c r="D38" s="71" t="s">
        <v>153</v>
      </c>
      <c r="E38" s="89">
        <f t="shared" si="1"/>
        <v>26</v>
      </c>
      <c r="H38" s="164"/>
    </row>
    <row r="39" spans="1:8" ht="19.5" thickTop="1" x14ac:dyDescent="0.3">
      <c r="A39" s="93"/>
      <c r="B39" s="128"/>
      <c r="C39" s="93"/>
      <c r="D39" s="93"/>
      <c r="E39" s="93"/>
    </row>
    <row r="40" spans="1:8" x14ac:dyDescent="0.3">
      <c r="B40" s="95" t="s">
        <v>92</v>
      </c>
      <c r="C40" s="97"/>
    </row>
    <row r="41" spans="1:8" ht="22.5" x14ac:dyDescent="0.3">
      <c r="A41" s="96">
        <v>1</v>
      </c>
      <c r="B41" s="87" t="s">
        <v>144</v>
      </c>
    </row>
    <row r="42" spans="1:8" ht="22.5" x14ac:dyDescent="0.3">
      <c r="A42" s="96"/>
      <c r="B42" s="87" t="s">
        <v>177</v>
      </c>
    </row>
    <row r="43" spans="1:8" ht="22.5" x14ac:dyDescent="0.3">
      <c r="A43" s="96">
        <v>2</v>
      </c>
      <c r="B43" s="87" t="s">
        <v>175</v>
      </c>
    </row>
  </sheetData>
  <mergeCells count="6">
    <mergeCell ref="A6:E6"/>
    <mergeCell ref="A1:E1"/>
    <mergeCell ref="A2:E2"/>
    <mergeCell ref="A3:E3"/>
    <mergeCell ref="A4:E4"/>
    <mergeCell ref="A5:E5"/>
  </mergeCells>
  <printOptions horizontalCentered="1"/>
  <pageMargins left="0.25" right="0.25" top="0.5" bottom="0.5" header="0.25" footer="0.25"/>
  <pageSetup scale="65" orientation="landscape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70"/>
  <sheetViews>
    <sheetView zoomScale="75" zoomScaleNormal="75" workbookViewId="0">
      <selection activeCell="J5" sqref="J5"/>
    </sheetView>
  </sheetViews>
  <sheetFormatPr defaultColWidth="9.140625" defaultRowHeight="18.75" x14ac:dyDescent="0.3"/>
  <cols>
    <col min="1" max="1" width="5.85546875" style="12" bestFit="1" customWidth="1"/>
    <col min="2" max="2" width="65.5703125" style="12" customWidth="1"/>
    <col min="3" max="6" width="24.7109375" style="12" bestFit="1" customWidth="1"/>
    <col min="7" max="7" width="45.85546875" style="12" bestFit="1" customWidth="1"/>
    <col min="8" max="8" width="5.85546875" style="12" bestFit="1" customWidth="1"/>
    <col min="9" max="16384" width="9.140625" style="12"/>
  </cols>
  <sheetData>
    <row r="1" spans="1:10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  <c r="H1" s="177"/>
    </row>
    <row r="2" spans="1:10" x14ac:dyDescent="0.3">
      <c r="A2" s="177" t="str">
        <f>'Transmission Rates Summary'!A2:H2</f>
        <v>SAN DIEGO GAS AND ELECTRIC COMPANY</v>
      </c>
      <c r="B2" s="177"/>
      <c r="C2" s="177"/>
      <c r="D2" s="177"/>
      <c r="E2" s="177"/>
      <c r="F2" s="177"/>
      <c r="G2" s="177"/>
      <c r="H2" s="177"/>
    </row>
    <row r="3" spans="1:10" x14ac:dyDescent="0.3">
      <c r="A3" s="177" t="str">
        <f>'Transmission Rates Summary'!A3:H3</f>
        <v>Rate Design Information</v>
      </c>
      <c r="B3" s="177"/>
      <c r="C3" s="177"/>
      <c r="D3" s="177"/>
      <c r="E3" s="177"/>
      <c r="F3" s="177"/>
      <c r="G3" s="177"/>
      <c r="H3" s="177"/>
    </row>
    <row r="4" spans="1:10" ht="22.5" customHeight="1" x14ac:dyDescent="0.3">
      <c r="A4" s="179" t="s">
        <v>220</v>
      </c>
      <c r="B4" s="177"/>
      <c r="C4" s="177"/>
      <c r="D4" s="177"/>
      <c r="E4" s="177"/>
      <c r="F4" s="177"/>
      <c r="G4" s="177"/>
      <c r="H4" s="177"/>
    </row>
    <row r="5" spans="1:10" x14ac:dyDescent="0.3">
      <c r="A5" s="179" t="s">
        <v>516</v>
      </c>
      <c r="B5" s="179"/>
      <c r="C5" s="179"/>
      <c r="D5" s="179"/>
      <c r="E5" s="179"/>
      <c r="F5" s="179"/>
      <c r="G5" s="179"/>
      <c r="H5" s="179"/>
    </row>
    <row r="6" spans="1:10" x14ac:dyDescent="0.3">
      <c r="A6" s="179" t="str">
        <f>'Allocation of Base TRR - 12 CPS'!A6:G6</f>
        <v>($000)</v>
      </c>
      <c r="B6" s="179"/>
      <c r="C6" s="179"/>
      <c r="D6" s="179"/>
      <c r="E6" s="179"/>
      <c r="F6" s="179"/>
      <c r="G6" s="179"/>
      <c r="H6" s="179"/>
    </row>
    <row r="7" spans="1:10" x14ac:dyDescent="0.3">
      <c r="A7" s="33"/>
      <c r="B7" s="33"/>
      <c r="C7" s="33"/>
      <c r="D7" s="33"/>
      <c r="E7" s="33"/>
      <c r="F7" s="33"/>
      <c r="G7" s="33"/>
    </row>
    <row r="8" spans="1:10" x14ac:dyDescent="0.3">
      <c r="A8" s="15"/>
      <c r="B8" s="15"/>
      <c r="C8" s="15" t="s">
        <v>24</v>
      </c>
      <c r="D8" s="15" t="s">
        <v>25</v>
      </c>
      <c r="E8" s="15" t="s">
        <v>26</v>
      </c>
      <c r="F8" s="15" t="s">
        <v>27</v>
      </c>
      <c r="G8" s="15"/>
      <c r="H8" s="15"/>
    </row>
    <row r="9" spans="1:10" x14ac:dyDescent="0.3">
      <c r="A9" s="3"/>
      <c r="B9" s="3"/>
      <c r="C9" s="3" t="s">
        <v>48</v>
      </c>
      <c r="D9" s="3" t="s">
        <v>48</v>
      </c>
      <c r="E9" s="3" t="s">
        <v>48</v>
      </c>
      <c r="F9" s="3" t="s">
        <v>48</v>
      </c>
      <c r="G9" s="3"/>
      <c r="H9" s="3"/>
    </row>
    <row r="10" spans="1:10" x14ac:dyDescent="0.3">
      <c r="A10" s="3"/>
      <c r="B10" s="4"/>
      <c r="C10" s="3" t="s">
        <v>277</v>
      </c>
      <c r="D10" s="3" t="s">
        <v>278</v>
      </c>
      <c r="E10" s="3" t="s">
        <v>282</v>
      </c>
      <c r="F10" s="3" t="s">
        <v>283</v>
      </c>
      <c r="G10" s="3"/>
      <c r="H10" s="3"/>
    </row>
    <row r="11" spans="1:10" x14ac:dyDescent="0.3">
      <c r="A11" s="3"/>
      <c r="B11" s="4"/>
      <c r="C11" s="3" t="s">
        <v>330</v>
      </c>
      <c r="D11" s="3" t="s">
        <v>330</v>
      </c>
      <c r="E11" s="3" t="s">
        <v>330</v>
      </c>
      <c r="F11" s="3" t="s">
        <v>330</v>
      </c>
      <c r="G11" s="3"/>
      <c r="H11" s="3"/>
    </row>
    <row r="12" spans="1:10" x14ac:dyDescent="0.3">
      <c r="A12" s="3" t="s">
        <v>29</v>
      </c>
      <c r="B12" s="4"/>
      <c r="C12" s="3"/>
      <c r="D12" s="3"/>
      <c r="E12" s="3"/>
      <c r="F12" s="3"/>
      <c r="G12" s="3"/>
      <c r="H12" s="3" t="s">
        <v>29</v>
      </c>
    </row>
    <row r="13" spans="1:10" ht="22.5" x14ac:dyDescent="0.3">
      <c r="A13" s="2" t="s">
        <v>31</v>
      </c>
      <c r="B13" s="2" t="s">
        <v>100</v>
      </c>
      <c r="C13" s="2"/>
      <c r="D13" s="2"/>
      <c r="E13" s="2"/>
      <c r="F13" s="2"/>
      <c r="G13" s="2" t="s">
        <v>317</v>
      </c>
      <c r="H13" s="2" t="s">
        <v>31</v>
      </c>
    </row>
    <row r="14" spans="1:10" x14ac:dyDescent="0.3">
      <c r="A14" s="76"/>
      <c r="B14" s="76"/>
      <c r="C14" s="76"/>
      <c r="D14" s="75"/>
      <c r="E14" s="75"/>
      <c r="F14" s="75"/>
      <c r="G14" s="75"/>
      <c r="H14" s="76"/>
    </row>
    <row r="15" spans="1:10" x14ac:dyDescent="0.3">
      <c r="A15" s="3">
        <f>1</f>
        <v>1</v>
      </c>
      <c r="B15" s="25" t="s">
        <v>156</v>
      </c>
      <c r="C15" s="50"/>
      <c r="D15" s="115"/>
      <c r="E15" s="115"/>
      <c r="F15" s="115"/>
      <c r="G15" s="21"/>
      <c r="H15" s="3">
        <f>1</f>
        <v>1</v>
      </c>
    </row>
    <row r="16" spans="1:10" ht="22.5" x14ac:dyDescent="0.3">
      <c r="A16" s="3">
        <f>A15+1</f>
        <v>2</v>
      </c>
      <c r="B16" s="25" t="s">
        <v>219</v>
      </c>
      <c r="C16" s="63">
        <f>'Med &amp; Lrg C-I NCD'!C85</f>
        <v>44951.436215083697</v>
      </c>
      <c r="D16" s="77"/>
      <c r="E16" s="77"/>
      <c r="F16" s="77"/>
      <c r="G16" s="21" t="s">
        <v>377</v>
      </c>
      <c r="H16" s="3">
        <f>H15+1</f>
        <v>2</v>
      </c>
      <c r="J16" s="164"/>
    </row>
    <row r="17" spans="1:13" x14ac:dyDescent="0.3">
      <c r="A17" s="3">
        <f t="shared" ref="A17:A55" si="0">A16+1</f>
        <v>3</v>
      </c>
      <c r="B17" s="3"/>
      <c r="C17" s="34"/>
      <c r="D17" s="77"/>
      <c r="E17" s="77"/>
      <c r="F17" s="77"/>
      <c r="G17" s="21"/>
      <c r="H17" s="3">
        <f t="shared" ref="H17:H55" si="1">H16+1</f>
        <v>3</v>
      </c>
    </row>
    <row r="18" spans="1:13" x14ac:dyDescent="0.3">
      <c r="A18" s="3">
        <f t="shared" si="0"/>
        <v>4</v>
      </c>
      <c r="B18" s="25" t="s">
        <v>279</v>
      </c>
      <c r="C18" s="50"/>
      <c r="D18" s="115"/>
      <c r="E18" s="115"/>
      <c r="F18" s="115"/>
      <c r="G18" s="21"/>
      <c r="H18" s="3">
        <f t="shared" si="1"/>
        <v>4</v>
      </c>
      <c r="I18" s="60"/>
    </row>
    <row r="19" spans="1:13" ht="22.5" x14ac:dyDescent="0.3">
      <c r="A19" s="3">
        <f t="shared" si="0"/>
        <v>5</v>
      </c>
      <c r="B19" s="25" t="s">
        <v>319</v>
      </c>
      <c r="C19" s="50"/>
      <c r="D19" s="115"/>
      <c r="E19" s="115"/>
      <c r="F19" s="115"/>
      <c r="G19" s="21"/>
      <c r="H19" s="3">
        <f t="shared" si="1"/>
        <v>5</v>
      </c>
      <c r="I19" s="60"/>
    </row>
    <row r="20" spans="1:13" x14ac:dyDescent="0.3">
      <c r="A20" s="3">
        <f t="shared" si="0"/>
        <v>6</v>
      </c>
      <c r="B20" s="25" t="s">
        <v>65</v>
      </c>
      <c r="C20" s="27">
        <f>'Workpapers 2'!C49</f>
        <v>6454.9368620836649</v>
      </c>
      <c r="D20" s="27">
        <f>'Workpapers 2'!C54</f>
        <v>7760.114492708195</v>
      </c>
      <c r="E20" s="27">
        <f>'Workpapers 2'!C61</f>
        <v>6946.6230678503762</v>
      </c>
      <c r="F20" s="27">
        <f>'Workpapers 2'!C66</f>
        <v>7278.5238550391432</v>
      </c>
      <c r="G20" s="21" t="s">
        <v>491</v>
      </c>
      <c r="H20" s="3">
        <f t="shared" si="1"/>
        <v>6</v>
      </c>
      <c r="I20" s="60"/>
      <c r="J20" s="163"/>
      <c r="K20" s="163"/>
      <c r="L20" s="163"/>
      <c r="M20" s="163"/>
    </row>
    <row r="21" spans="1:13" x14ac:dyDescent="0.3">
      <c r="A21" s="3">
        <f t="shared" si="0"/>
        <v>7</v>
      </c>
      <c r="B21" s="25" t="s">
        <v>66</v>
      </c>
      <c r="C21" s="27">
        <f>'Workpapers 2'!C50</f>
        <v>1718.0772238989769</v>
      </c>
      <c r="D21" s="27">
        <f>'Workpapers 2'!C55</f>
        <v>2069.9890433393457</v>
      </c>
      <c r="E21" s="27">
        <f>'Workpapers 2'!C62</f>
        <v>1808.7516730777288</v>
      </c>
      <c r="F21" s="27">
        <f>'Workpapers 2'!C67</f>
        <v>1995.1446382106403</v>
      </c>
      <c r="G21" s="21" t="s">
        <v>492</v>
      </c>
      <c r="H21" s="3">
        <f t="shared" si="1"/>
        <v>7</v>
      </c>
      <c r="J21" s="163"/>
      <c r="K21" s="163"/>
      <c r="L21" s="163"/>
      <c r="M21" s="163"/>
    </row>
    <row r="22" spans="1:13" x14ac:dyDescent="0.3">
      <c r="A22" s="3">
        <f t="shared" si="0"/>
        <v>8</v>
      </c>
      <c r="B22" s="25" t="s">
        <v>101</v>
      </c>
      <c r="C22" s="27">
        <f>'Workpapers 2'!C51</f>
        <v>224.10730135570546</v>
      </c>
      <c r="D22" s="27">
        <f>'Workpapers 2'!C56</f>
        <v>304.28376916792342</v>
      </c>
      <c r="E22" s="27">
        <f>'Workpapers 2'!C63</f>
        <v>253.70507715224426</v>
      </c>
      <c r="F22" s="27">
        <f>'Workpapers 2'!C68</f>
        <v>275.69554849346798</v>
      </c>
      <c r="G22" s="21" t="s">
        <v>493</v>
      </c>
      <c r="H22" s="3">
        <f t="shared" si="1"/>
        <v>8</v>
      </c>
      <c r="J22" s="163"/>
      <c r="K22" s="163"/>
      <c r="L22" s="163"/>
      <c r="M22" s="163"/>
    </row>
    <row r="23" spans="1:13" ht="19.5" thickBot="1" x14ac:dyDescent="0.35">
      <c r="A23" s="3">
        <f t="shared" si="0"/>
        <v>9</v>
      </c>
      <c r="B23" s="25" t="s">
        <v>67</v>
      </c>
      <c r="C23" s="8">
        <f>SUM(C20:C22)</f>
        <v>8397.1213873383476</v>
      </c>
      <c r="D23" s="8">
        <f>SUM(D20:D22)</f>
        <v>10134.387305215463</v>
      </c>
      <c r="E23" s="8">
        <f t="shared" ref="E23:F23" si="2">SUM(E20:E22)</f>
        <v>9009.0798180803504</v>
      </c>
      <c r="F23" s="8">
        <f t="shared" si="2"/>
        <v>9549.3640417432507</v>
      </c>
      <c r="G23" s="35" t="s">
        <v>3</v>
      </c>
      <c r="H23" s="3">
        <f t="shared" si="1"/>
        <v>9</v>
      </c>
      <c r="J23" s="163"/>
      <c r="K23" s="163"/>
      <c r="L23" s="163"/>
      <c r="M23" s="163"/>
    </row>
    <row r="24" spans="1:13" ht="19.5" thickTop="1" x14ac:dyDescent="0.3">
      <c r="A24" s="3">
        <f t="shared" si="0"/>
        <v>10</v>
      </c>
      <c r="B24" s="25"/>
      <c r="C24" s="5"/>
      <c r="D24" s="5"/>
      <c r="E24" s="5"/>
      <c r="F24" s="5"/>
      <c r="G24" s="104"/>
      <c r="H24" s="3">
        <f t="shared" si="1"/>
        <v>10</v>
      </c>
    </row>
    <row r="25" spans="1:13" x14ac:dyDescent="0.3">
      <c r="A25" s="3">
        <f t="shared" si="0"/>
        <v>11</v>
      </c>
      <c r="B25" s="25" t="s">
        <v>279</v>
      </c>
      <c r="C25" s="5"/>
      <c r="D25" s="5"/>
      <c r="E25" s="5"/>
      <c r="F25" s="5"/>
      <c r="G25" s="104"/>
      <c r="H25" s="3">
        <f t="shared" si="1"/>
        <v>11</v>
      </c>
    </row>
    <row r="26" spans="1:13" x14ac:dyDescent="0.3">
      <c r="A26" s="3">
        <f t="shared" si="0"/>
        <v>12</v>
      </c>
      <c r="B26" s="25" t="s">
        <v>2</v>
      </c>
      <c r="C26" s="5"/>
      <c r="D26" s="5"/>
      <c r="E26" s="5"/>
      <c r="F26" s="5"/>
      <c r="G26" s="104"/>
      <c r="H26" s="3">
        <f t="shared" si="1"/>
        <v>12</v>
      </c>
    </row>
    <row r="27" spans="1:13" x14ac:dyDescent="0.3">
      <c r="A27" s="3">
        <f t="shared" si="0"/>
        <v>13</v>
      </c>
      <c r="B27" s="25" t="s">
        <v>65</v>
      </c>
      <c r="C27" s="27">
        <f>'Workpapers 2'!E49</f>
        <v>6756</v>
      </c>
      <c r="D27" s="27">
        <f>'Workpapers 2'!E54</f>
        <v>8122</v>
      </c>
      <c r="E27" s="27">
        <f>'Workpapers 2'!E61</f>
        <v>7270</v>
      </c>
      <c r="F27" s="27">
        <f>'Workpapers 2'!E66</f>
        <v>7618</v>
      </c>
      <c r="G27" s="21" t="s">
        <v>494</v>
      </c>
      <c r="H27" s="3">
        <f t="shared" si="1"/>
        <v>13</v>
      </c>
      <c r="J27" s="163"/>
      <c r="K27" s="163"/>
      <c r="L27" s="163"/>
      <c r="M27" s="163"/>
    </row>
    <row r="28" spans="1:13" x14ac:dyDescent="0.3">
      <c r="A28" s="3">
        <f t="shared" si="0"/>
        <v>14</v>
      </c>
      <c r="B28" s="25" t="s">
        <v>66</v>
      </c>
      <c r="C28" s="27">
        <f>'Workpapers 2'!E50</f>
        <v>1737</v>
      </c>
      <c r="D28" s="27">
        <f>'Workpapers 2'!E55</f>
        <v>2093</v>
      </c>
      <c r="E28" s="27">
        <f>'Workpapers 2'!E62</f>
        <v>1828</v>
      </c>
      <c r="F28" s="27">
        <f>'Workpapers 2'!E67</f>
        <v>2017</v>
      </c>
      <c r="G28" s="21" t="s">
        <v>495</v>
      </c>
      <c r="H28" s="3">
        <f t="shared" si="1"/>
        <v>14</v>
      </c>
      <c r="J28" s="163"/>
      <c r="K28" s="163"/>
      <c r="L28" s="163"/>
      <c r="M28" s="163"/>
    </row>
    <row r="29" spans="1:13" x14ac:dyDescent="0.3">
      <c r="A29" s="3">
        <f t="shared" si="0"/>
        <v>15</v>
      </c>
      <c r="B29" s="25" t="s">
        <v>101</v>
      </c>
      <c r="C29" s="27">
        <f>'Workpapers 2'!E51</f>
        <v>226</v>
      </c>
      <c r="D29" s="27">
        <f>'Workpapers 2'!E56</f>
        <v>306</v>
      </c>
      <c r="E29" s="27">
        <f>'Workpapers 2'!E63</f>
        <v>255</v>
      </c>
      <c r="F29" s="27">
        <f>'Workpapers 2'!E68</f>
        <v>277</v>
      </c>
      <c r="G29" s="21" t="s">
        <v>496</v>
      </c>
      <c r="H29" s="3">
        <f t="shared" si="1"/>
        <v>15</v>
      </c>
      <c r="J29" s="163"/>
      <c r="K29" s="163"/>
      <c r="L29" s="163"/>
      <c r="M29" s="163"/>
    </row>
    <row r="30" spans="1:13" ht="19.5" thickBot="1" x14ac:dyDescent="0.35">
      <c r="A30" s="3">
        <f t="shared" si="0"/>
        <v>16</v>
      </c>
      <c r="B30" s="25" t="s">
        <v>67</v>
      </c>
      <c r="C30" s="8">
        <f>SUM(C27:C29)</f>
        <v>8719</v>
      </c>
      <c r="D30" s="8">
        <f>SUM(D27:D29)</f>
        <v>10521</v>
      </c>
      <c r="E30" s="8">
        <f t="shared" ref="E30:F30" si="3">SUM(E27:E29)</f>
        <v>9353</v>
      </c>
      <c r="F30" s="8">
        <f t="shared" si="3"/>
        <v>9912</v>
      </c>
      <c r="G30" s="35" t="s">
        <v>126</v>
      </c>
      <c r="H30" s="3">
        <f t="shared" si="1"/>
        <v>16</v>
      </c>
      <c r="J30" s="163"/>
      <c r="K30" s="163"/>
      <c r="L30" s="163"/>
      <c r="M30" s="163"/>
    </row>
    <row r="31" spans="1:13" ht="19.5" thickTop="1" x14ac:dyDescent="0.3">
      <c r="A31" s="3">
        <f t="shared" si="0"/>
        <v>17</v>
      </c>
      <c r="B31" s="25"/>
      <c r="C31" s="34"/>
      <c r="D31" s="34"/>
      <c r="E31" s="34"/>
      <c r="F31" s="34"/>
      <c r="G31" s="104"/>
      <c r="H31" s="3">
        <f t="shared" si="1"/>
        <v>17</v>
      </c>
    </row>
    <row r="32" spans="1:13" x14ac:dyDescent="0.3">
      <c r="A32" s="3">
        <f t="shared" si="0"/>
        <v>18</v>
      </c>
      <c r="B32" s="25" t="s">
        <v>280</v>
      </c>
      <c r="C32" s="34"/>
      <c r="D32" s="34"/>
      <c r="E32" s="34"/>
      <c r="F32" s="34"/>
      <c r="G32" s="104"/>
      <c r="H32" s="3">
        <f t="shared" si="1"/>
        <v>18</v>
      </c>
    </row>
    <row r="33" spans="1:13" x14ac:dyDescent="0.3">
      <c r="A33" s="3">
        <f t="shared" si="0"/>
        <v>19</v>
      </c>
      <c r="B33" s="25" t="s">
        <v>65</v>
      </c>
      <c r="C33" s="50">
        <f t="shared" ref="C33:D35" si="4">C27/C$30</f>
        <v>0.77485950223649502</v>
      </c>
      <c r="D33" s="50">
        <f t="shared" si="4"/>
        <v>0.77197984982416124</v>
      </c>
      <c r="E33" s="50">
        <f t="shared" ref="E33:F33" si="5">E27/E$30</f>
        <v>0.7772907088634663</v>
      </c>
      <c r="F33" s="50">
        <f t="shared" si="5"/>
        <v>0.76856335754640837</v>
      </c>
      <c r="G33" s="21" t="s">
        <v>4</v>
      </c>
      <c r="H33" s="3">
        <f t="shared" si="1"/>
        <v>19</v>
      </c>
      <c r="J33" s="82"/>
      <c r="K33" s="82"/>
      <c r="L33" s="82"/>
      <c r="M33" s="82"/>
    </row>
    <row r="34" spans="1:13" x14ac:dyDescent="0.3">
      <c r="A34" s="3">
        <f t="shared" si="0"/>
        <v>20</v>
      </c>
      <c r="B34" s="25" t="s">
        <v>66</v>
      </c>
      <c r="C34" s="50">
        <f t="shared" si="4"/>
        <v>0.1992200940474825</v>
      </c>
      <c r="D34" s="50">
        <f t="shared" si="4"/>
        <v>0.19893546240851631</v>
      </c>
      <c r="E34" s="50">
        <f t="shared" ref="E34:F34" si="6">E28/E$30</f>
        <v>0.19544531166470652</v>
      </c>
      <c r="F34" s="50">
        <f t="shared" si="6"/>
        <v>0.20349071832122678</v>
      </c>
      <c r="G34" s="21" t="s">
        <v>159</v>
      </c>
      <c r="H34" s="3">
        <f t="shared" si="1"/>
        <v>20</v>
      </c>
      <c r="J34" s="82"/>
      <c r="K34" s="82"/>
      <c r="L34" s="82"/>
      <c r="M34" s="82"/>
    </row>
    <row r="35" spans="1:13" x14ac:dyDescent="0.3">
      <c r="A35" s="3">
        <f t="shared" si="0"/>
        <v>21</v>
      </c>
      <c r="B35" s="25" t="s">
        <v>101</v>
      </c>
      <c r="C35" s="51">
        <f t="shared" si="4"/>
        <v>2.5920403716022479E-2</v>
      </c>
      <c r="D35" s="51">
        <f t="shared" si="4"/>
        <v>2.9084687767322499E-2</v>
      </c>
      <c r="E35" s="51">
        <f t="shared" ref="E35:F35" si="7">E29/E$30</f>
        <v>2.726397947182722E-2</v>
      </c>
      <c r="F35" s="51">
        <f t="shared" si="7"/>
        <v>2.7945924132364811E-2</v>
      </c>
      <c r="G35" s="21" t="s">
        <v>160</v>
      </c>
      <c r="H35" s="3">
        <f t="shared" si="1"/>
        <v>21</v>
      </c>
      <c r="J35" s="82"/>
      <c r="K35" s="82"/>
      <c r="L35" s="82"/>
      <c r="M35" s="82"/>
    </row>
    <row r="36" spans="1:13" ht="19.5" thickBot="1" x14ac:dyDescent="0.35">
      <c r="A36" s="3">
        <f t="shared" si="0"/>
        <v>22</v>
      </c>
      <c r="B36" s="25" t="s">
        <v>67</v>
      </c>
      <c r="C36" s="78">
        <f>SUM(C33:C35)</f>
        <v>1</v>
      </c>
      <c r="D36" s="78">
        <f>SUM(D33:D35)</f>
        <v>1</v>
      </c>
      <c r="E36" s="78">
        <f t="shared" ref="E36:F36" si="8">SUM(E33:E35)</f>
        <v>1</v>
      </c>
      <c r="F36" s="78">
        <f t="shared" si="8"/>
        <v>1</v>
      </c>
      <c r="G36" s="35" t="s">
        <v>102</v>
      </c>
      <c r="H36" s="3">
        <f t="shared" si="1"/>
        <v>22</v>
      </c>
      <c r="J36" s="82"/>
      <c r="K36" s="82"/>
      <c r="L36" s="82"/>
      <c r="M36" s="82"/>
    </row>
    <row r="37" spans="1:13" ht="19.5" thickTop="1" x14ac:dyDescent="0.3">
      <c r="A37" s="3">
        <f t="shared" si="0"/>
        <v>23</v>
      </c>
      <c r="B37" s="25"/>
      <c r="C37" s="50"/>
      <c r="D37" s="115"/>
      <c r="E37" s="115"/>
      <c r="F37" s="115"/>
      <c r="G37" s="35"/>
      <c r="H37" s="3">
        <f t="shared" si="1"/>
        <v>23</v>
      </c>
    </row>
    <row r="38" spans="1:13" x14ac:dyDescent="0.3">
      <c r="A38" s="3">
        <f t="shared" si="0"/>
        <v>24</v>
      </c>
      <c r="B38" s="25" t="s">
        <v>281</v>
      </c>
      <c r="C38" s="50">
        <v>0.8</v>
      </c>
      <c r="D38" s="115">
        <f>1-C38</f>
        <v>0.19999999999999996</v>
      </c>
      <c r="E38" s="50">
        <v>0.8</v>
      </c>
      <c r="F38" s="115">
        <f>1-E38</f>
        <v>0.19999999999999996</v>
      </c>
      <c r="G38" s="35"/>
      <c r="H38" s="3">
        <f t="shared" si="1"/>
        <v>24</v>
      </c>
      <c r="J38" s="82"/>
      <c r="K38" s="82"/>
      <c r="L38" s="82"/>
      <c r="M38" s="82"/>
    </row>
    <row r="39" spans="1:13" x14ac:dyDescent="0.3">
      <c r="A39" s="3">
        <f t="shared" si="0"/>
        <v>25</v>
      </c>
      <c r="B39" s="25"/>
      <c r="C39" s="50"/>
      <c r="D39" s="115"/>
      <c r="E39" s="115"/>
      <c r="F39" s="115"/>
      <c r="G39" s="35"/>
      <c r="H39" s="3">
        <f t="shared" si="1"/>
        <v>25</v>
      </c>
      <c r="J39" s="82"/>
      <c r="K39" s="82"/>
      <c r="L39" s="82"/>
      <c r="M39" s="82"/>
    </row>
    <row r="40" spans="1:13" x14ac:dyDescent="0.3">
      <c r="A40" s="3">
        <f t="shared" si="0"/>
        <v>26</v>
      </c>
      <c r="B40" s="25" t="s">
        <v>14</v>
      </c>
      <c r="C40" s="34"/>
      <c r="D40" s="77"/>
      <c r="E40" s="77"/>
      <c r="F40" s="77"/>
      <c r="G40" s="104"/>
      <c r="H40" s="3">
        <f t="shared" si="1"/>
        <v>26</v>
      </c>
      <c r="J40" s="82"/>
      <c r="K40" s="82"/>
      <c r="L40" s="82"/>
      <c r="M40" s="82"/>
    </row>
    <row r="41" spans="1:13" x14ac:dyDescent="0.3">
      <c r="A41" s="3">
        <f t="shared" si="0"/>
        <v>27</v>
      </c>
      <c r="B41" s="25" t="s">
        <v>206</v>
      </c>
      <c r="C41" s="34"/>
      <c r="D41" s="77"/>
      <c r="E41" s="77"/>
      <c r="F41" s="77"/>
      <c r="G41" s="104"/>
      <c r="H41" s="3">
        <f t="shared" si="1"/>
        <v>27</v>
      </c>
      <c r="J41" s="82"/>
      <c r="K41" s="82"/>
      <c r="L41" s="82"/>
      <c r="M41" s="82"/>
    </row>
    <row r="42" spans="1:13" x14ac:dyDescent="0.3">
      <c r="A42" s="3">
        <f t="shared" si="0"/>
        <v>28</v>
      </c>
      <c r="B42" s="25" t="s">
        <v>65</v>
      </c>
      <c r="C42" s="34">
        <f>($C$16*C$38)*C33</f>
        <v>27864.837992348246</v>
      </c>
      <c r="D42" s="34">
        <f t="shared" ref="D42:F42" si="9">($C$16*D$38)*D33</f>
        <v>6940.3205957401333</v>
      </c>
      <c r="E42" s="34">
        <f t="shared" si="9"/>
        <v>27952.266976042636</v>
      </c>
      <c r="F42" s="34">
        <f t="shared" si="9"/>
        <v>6909.6053487995869</v>
      </c>
      <c r="G42" s="21" t="s">
        <v>5</v>
      </c>
      <c r="H42" s="3">
        <f t="shared" si="1"/>
        <v>28</v>
      </c>
      <c r="J42" s="164"/>
      <c r="K42" s="164"/>
      <c r="L42" s="164"/>
      <c r="M42" s="164"/>
    </row>
    <row r="43" spans="1:13" x14ac:dyDescent="0.3">
      <c r="A43" s="3">
        <f t="shared" si="0"/>
        <v>29</v>
      </c>
      <c r="B43" s="25" t="s">
        <v>66</v>
      </c>
      <c r="C43" s="34">
        <f>($C$16*C$38)*C34</f>
        <v>7164.1834802707081</v>
      </c>
      <c r="D43" s="34">
        <f t="shared" ref="D43:F43" si="10">($C$16*D$38)*D34</f>
        <v>1788.4869498749199</v>
      </c>
      <c r="E43" s="34">
        <f t="shared" si="10"/>
        <v>7028.437968666567</v>
      </c>
      <c r="F43" s="34">
        <f t="shared" si="10"/>
        <v>1829.4400089956373</v>
      </c>
      <c r="G43" s="21" t="s">
        <v>157</v>
      </c>
      <c r="H43" s="3">
        <f t="shared" si="1"/>
        <v>29</v>
      </c>
      <c r="J43" s="164"/>
      <c r="K43" s="164"/>
      <c r="L43" s="164"/>
      <c r="M43" s="164"/>
    </row>
    <row r="44" spans="1:13" x14ac:dyDescent="0.3">
      <c r="A44" s="3">
        <f t="shared" si="0"/>
        <v>30</v>
      </c>
      <c r="B44" s="25" t="s">
        <v>101</v>
      </c>
      <c r="C44" s="47">
        <f>($C$16*C$38)*C35</f>
        <v>932.12749944800225</v>
      </c>
      <c r="D44" s="47">
        <f t="shared" ref="D44:F44" si="11">($C$16*D$38)*D35</f>
        <v>261.4796974016844</v>
      </c>
      <c r="E44" s="47">
        <f t="shared" si="11"/>
        <v>980.44402735775407</v>
      </c>
      <c r="F44" s="47">
        <f t="shared" si="11"/>
        <v>251.24188522151294</v>
      </c>
      <c r="G44" s="21" t="s">
        <v>158</v>
      </c>
      <c r="H44" s="3">
        <f t="shared" si="1"/>
        <v>30</v>
      </c>
      <c r="J44" s="164"/>
      <c r="K44" s="164"/>
      <c r="L44" s="164"/>
      <c r="M44" s="164"/>
    </row>
    <row r="45" spans="1:13" ht="19.5" thickBot="1" x14ac:dyDescent="0.35">
      <c r="A45" s="3">
        <f t="shared" si="0"/>
        <v>31</v>
      </c>
      <c r="B45" s="25" t="s">
        <v>67</v>
      </c>
      <c r="C45" s="6">
        <f>SUM(C42:C44)</f>
        <v>35961.148972066956</v>
      </c>
      <c r="D45" s="6">
        <f>SUM(D42:D44)</f>
        <v>8990.2872430167372</v>
      </c>
      <c r="E45" s="6">
        <f t="shared" ref="E45:F45" si="12">SUM(E42:E44)</f>
        <v>35961.148972066956</v>
      </c>
      <c r="F45" s="6">
        <f t="shared" si="12"/>
        <v>8990.2872430167372</v>
      </c>
      <c r="G45" s="35" t="s">
        <v>127</v>
      </c>
      <c r="H45" s="3">
        <f t="shared" si="1"/>
        <v>31</v>
      </c>
      <c r="J45" s="164"/>
      <c r="K45" s="164"/>
      <c r="L45" s="164"/>
      <c r="M45" s="164"/>
    </row>
    <row r="46" spans="1:13" ht="19.5" thickTop="1" x14ac:dyDescent="0.3">
      <c r="A46" s="3">
        <f t="shared" si="0"/>
        <v>32</v>
      </c>
      <c r="B46" s="25"/>
      <c r="C46" s="34"/>
      <c r="D46" s="77"/>
      <c r="E46" s="77"/>
      <c r="F46" s="77"/>
      <c r="G46" s="104"/>
      <c r="H46" s="3">
        <f t="shared" si="1"/>
        <v>32</v>
      </c>
    </row>
    <row r="47" spans="1:13" ht="22.5" x14ac:dyDescent="0.3">
      <c r="A47" s="3">
        <f t="shared" si="0"/>
        <v>33</v>
      </c>
      <c r="B47" s="25" t="s">
        <v>318</v>
      </c>
      <c r="C47" s="53" t="s">
        <v>95</v>
      </c>
      <c r="D47" s="39"/>
      <c r="E47" s="39"/>
      <c r="F47" s="39"/>
      <c r="G47" s="104"/>
      <c r="H47" s="3">
        <f t="shared" si="1"/>
        <v>33</v>
      </c>
    </row>
    <row r="48" spans="1:13" x14ac:dyDescent="0.3">
      <c r="A48" s="3">
        <f t="shared" si="0"/>
        <v>34</v>
      </c>
      <c r="B48" s="25" t="s">
        <v>65</v>
      </c>
      <c r="C48" s="36">
        <f t="shared" ref="C48:D50" si="13">C42/C20</f>
        <v>4.3168258013531409</v>
      </c>
      <c r="D48" s="36">
        <f t="shared" si="13"/>
        <v>0.89435801524083403</v>
      </c>
      <c r="E48" s="36">
        <f t="shared" ref="E48:F48" si="14">E42/E20</f>
        <v>4.0238640707897844</v>
      </c>
      <c r="F48" s="36">
        <f t="shared" si="14"/>
        <v>0.94931410357552892</v>
      </c>
      <c r="G48" s="21" t="s">
        <v>6</v>
      </c>
      <c r="H48" s="3">
        <f t="shared" si="1"/>
        <v>34</v>
      </c>
      <c r="J48" s="166"/>
      <c r="K48" s="166"/>
      <c r="L48" s="166"/>
      <c r="M48" s="166"/>
    </row>
    <row r="49" spans="1:13" x14ac:dyDescent="0.3">
      <c r="A49" s="3">
        <f t="shared" si="0"/>
        <v>35</v>
      </c>
      <c r="B49" s="25" t="s">
        <v>66</v>
      </c>
      <c r="C49" s="36">
        <f t="shared" si="13"/>
        <v>4.1698844386123834</v>
      </c>
      <c r="D49" s="36">
        <f t="shared" si="13"/>
        <v>0.864007930684357</v>
      </c>
      <c r="E49" s="36">
        <f t="shared" ref="E49:F49" si="15">E43/E21</f>
        <v>3.8857948679639058</v>
      </c>
      <c r="F49" s="36">
        <f t="shared" si="15"/>
        <v>0.91694605692165942</v>
      </c>
      <c r="G49" s="21" t="s">
        <v>7</v>
      </c>
      <c r="H49" s="3">
        <f t="shared" si="1"/>
        <v>35</v>
      </c>
      <c r="J49" s="166"/>
      <c r="K49" s="166"/>
      <c r="L49" s="166"/>
      <c r="M49" s="166"/>
    </row>
    <row r="50" spans="1:13" x14ac:dyDescent="0.3">
      <c r="A50" s="3">
        <f t="shared" si="0"/>
        <v>36</v>
      </c>
      <c r="B50" s="25" t="s">
        <v>101</v>
      </c>
      <c r="C50" s="36">
        <f t="shared" si="13"/>
        <v>4.159291079805203</v>
      </c>
      <c r="D50" s="36">
        <f t="shared" si="13"/>
        <v>0.85932844238360617</v>
      </c>
      <c r="E50" s="36">
        <f t="shared" ref="E50:F50" si="16">E44/E22</f>
        <v>3.8645029826084469</v>
      </c>
      <c r="F50" s="36">
        <f t="shared" si="16"/>
        <v>0.91130192922743392</v>
      </c>
      <c r="G50" s="21" t="s">
        <v>8</v>
      </c>
      <c r="H50" s="3">
        <f t="shared" si="1"/>
        <v>36</v>
      </c>
      <c r="J50" s="166"/>
      <c r="K50" s="166"/>
      <c r="L50" s="166"/>
      <c r="M50" s="166"/>
    </row>
    <row r="51" spans="1:13" x14ac:dyDescent="0.3">
      <c r="A51" s="3">
        <f t="shared" si="0"/>
        <v>37</v>
      </c>
      <c r="B51" s="25"/>
      <c r="C51" s="54"/>
      <c r="D51" s="116"/>
      <c r="E51" s="116"/>
      <c r="F51" s="116"/>
      <c r="G51" s="21"/>
      <c r="H51" s="3">
        <f t="shared" si="1"/>
        <v>37</v>
      </c>
      <c r="J51" s="82"/>
      <c r="K51" s="82"/>
      <c r="L51" s="82"/>
      <c r="M51" s="82"/>
    </row>
    <row r="52" spans="1:13" x14ac:dyDescent="0.3">
      <c r="A52" s="3">
        <f t="shared" si="0"/>
        <v>38</v>
      </c>
      <c r="B52" s="25" t="s">
        <v>316</v>
      </c>
      <c r="C52" s="54"/>
      <c r="D52" s="116"/>
      <c r="E52" s="116"/>
      <c r="F52" s="116"/>
      <c r="G52" s="21"/>
      <c r="H52" s="3">
        <f t="shared" si="1"/>
        <v>38</v>
      </c>
    </row>
    <row r="53" spans="1:13" x14ac:dyDescent="0.3">
      <c r="A53" s="3">
        <f t="shared" si="0"/>
        <v>39</v>
      </c>
      <c r="B53" s="25" t="s">
        <v>65</v>
      </c>
      <c r="C53" s="54">
        <f>ROUND(C48,2)</f>
        <v>4.32</v>
      </c>
      <c r="D53" s="54">
        <f t="shared" ref="D53:F53" si="17">ROUND(D48,2)</f>
        <v>0.89</v>
      </c>
      <c r="E53" s="54">
        <f t="shared" si="17"/>
        <v>4.0199999999999996</v>
      </c>
      <c r="F53" s="54">
        <f t="shared" si="17"/>
        <v>0.95</v>
      </c>
      <c r="G53" s="21" t="s">
        <v>9</v>
      </c>
      <c r="H53" s="3">
        <f t="shared" si="1"/>
        <v>39</v>
      </c>
      <c r="J53" s="167"/>
      <c r="K53" s="167"/>
      <c r="L53" s="167"/>
      <c r="M53" s="167"/>
    </row>
    <row r="54" spans="1:13" x14ac:dyDescent="0.3">
      <c r="A54" s="3">
        <f t="shared" si="0"/>
        <v>40</v>
      </c>
      <c r="B54" s="25" t="s">
        <v>66</v>
      </c>
      <c r="C54" s="54">
        <f t="shared" ref="C54:F55" si="18">ROUND(C49,2)</f>
        <v>4.17</v>
      </c>
      <c r="D54" s="54">
        <f t="shared" si="18"/>
        <v>0.86</v>
      </c>
      <c r="E54" s="54">
        <f t="shared" si="18"/>
        <v>3.89</v>
      </c>
      <c r="F54" s="54">
        <f t="shared" si="18"/>
        <v>0.92</v>
      </c>
      <c r="G54" s="21" t="s">
        <v>10</v>
      </c>
      <c r="H54" s="3">
        <f t="shared" si="1"/>
        <v>40</v>
      </c>
      <c r="J54" s="167"/>
      <c r="K54" s="167"/>
      <c r="L54" s="167"/>
      <c r="M54" s="167"/>
    </row>
    <row r="55" spans="1:13" x14ac:dyDescent="0.3">
      <c r="A55" s="3">
        <f t="shared" si="0"/>
        <v>41</v>
      </c>
      <c r="B55" s="25" t="s">
        <v>101</v>
      </c>
      <c r="C55" s="54">
        <f t="shared" si="18"/>
        <v>4.16</v>
      </c>
      <c r="D55" s="54">
        <f t="shared" si="18"/>
        <v>0.86</v>
      </c>
      <c r="E55" s="54">
        <f t="shared" si="18"/>
        <v>3.86</v>
      </c>
      <c r="F55" s="54">
        <f t="shared" si="18"/>
        <v>0.91</v>
      </c>
      <c r="G55" s="21" t="s">
        <v>11</v>
      </c>
      <c r="H55" s="3">
        <f t="shared" si="1"/>
        <v>41</v>
      </c>
      <c r="J55" s="167"/>
      <c r="K55" s="167"/>
      <c r="L55" s="167"/>
      <c r="M55" s="167"/>
    </row>
    <row r="56" spans="1:13" x14ac:dyDescent="0.3">
      <c r="A56" s="2"/>
      <c r="B56" s="11"/>
      <c r="C56" s="51"/>
      <c r="D56" s="117"/>
      <c r="E56" s="117"/>
      <c r="F56" s="117"/>
      <c r="G56" s="43"/>
      <c r="H56" s="2"/>
      <c r="J56" s="82"/>
      <c r="K56" s="82"/>
      <c r="L56" s="82"/>
      <c r="M56" s="82"/>
    </row>
    <row r="57" spans="1:13" x14ac:dyDescent="0.3">
      <c r="B57" s="13" t="s">
        <v>92</v>
      </c>
      <c r="C57" s="55"/>
      <c r="D57" s="55"/>
      <c r="E57" s="55"/>
      <c r="F57" s="55"/>
      <c r="H57" s="1"/>
    </row>
    <row r="58" spans="1:13" ht="22.5" x14ac:dyDescent="0.3">
      <c r="A58" s="67">
        <v>1</v>
      </c>
      <c r="B58" s="12" t="s">
        <v>222</v>
      </c>
      <c r="C58" s="110"/>
      <c r="D58" s="110"/>
      <c r="E58" s="110"/>
      <c r="F58" s="110"/>
      <c r="H58" s="1"/>
    </row>
    <row r="59" spans="1:13" ht="22.5" x14ac:dyDescent="0.3">
      <c r="A59" s="67">
        <v>2</v>
      </c>
      <c r="B59" s="12" t="s">
        <v>207</v>
      </c>
      <c r="H59" s="1"/>
    </row>
    <row r="60" spans="1:13" ht="22.5" x14ac:dyDescent="0.3">
      <c r="A60" s="67"/>
      <c r="B60" s="12" t="s">
        <v>502</v>
      </c>
      <c r="H60" s="1"/>
    </row>
    <row r="61" spans="1:13" ht="22.5" x14ac:dyDescent="0.3">
      <c r="A61" s="67">
        <v>3</v>
      </c>
      <c r="B61" s="12" t="s">
        <v>503</v>
      </c>
      <c r="H61" s="1"/>
    </row>
    <row r="62" spans="1:13" ht="22.5" x14ac:dyDescent="0.3">
      <c r="A62" s="67">
        <v>4</v>
      </c>
      <c r="B62" s="12" t="s">
        <v>504</v>
      </c>
    </row>
    <row r="63" spans="1:13" ht="22.5" x14ac:dyDescent="0.3">
      <c r="A63" s="67">
        <v>5</v>
      </c>
      <c r="B63" s="12" t="s">
        <v>515</v>
      </c>
    </row>
    <row r="64" spans="1:13" ht="22.5" x14ac:dyDescent="0.3">
      <c r="A64" s="67">
        <v>6</v>
      </c>
      <c r="B64" s="12" t="s">
        <v>505</v>
      </c>
    </row>
    <row r="65" spans="1:2" ht="22.5" x14ac:dyDescent="0.3">
      <c r="A65" s="67">
        <v>7</v>
      </c>
      <c r="B65" s="12" t="s">
        <v>175</v>
      </c>
    </row>
    <row r="67" spans="1:2" ht="22.5" x14ac:dyDescent="0.3">
      <c r="A67" s="14"/>
    </row>
    <row r="68" spans="1:2" x14ac:dyDescent="0.3">
      <c r="A68" s="1"/>
    </row>
    <row r="69" spans="1:2" ht="22.5" x14ac:dyDescent="0.3">
      <c r="A69" s="14"/>
    </row>
    <row r="70" spans="1:2" x14ac:dyDescent="0.3">
      <c r="A70" s="1"/>
    </row>
  </sheetData>
  <mergeCells count="6">
    <mergeCell ref="A5:H5"/>
    <mergeCell ref="A6:H6"/>
    <mergeCell ref="A1:H1"/>
    <mergeCell ref="A2:H2"/>
    <mergeCell ref="A3:H3"/>
    <mergeCell ref="A4:H4"/>
  </mergeCells>
  <phoneticPr fontId="2" type="noConversion"/>
  <printOptions horizontalCentered="1"/>
  <pageMargins left="0.25" right="0.25" top="0.5" bottom="0.5" header="0.25" footer="0.25"/>
  <pageSetup scale="46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69"/>
  <sheetViews>
    <sheetView zoomScale="75" zoomScaleNormal="75" workbookViewId="0">
      <selection activeCell="J3" sqref="J3"/>
    </sheetView>
  </sheetViews>
  <sheetFormatPr defaultColWidth="9.140625" defaultRowHeight="18.75" x14ac:dyDescent="0.3"/>
  <cols>
    <col min="1" max="1" width="5.85546875" style="12" bestFit="1" customWidth="1"/>
    <col min="2" max="2" width="82.28515625" style="12" customWidth="1"/>
    <col min="3" max="6" width="24.7109375" style="12" bestFit="1" customWidth="1"/>
    <col min="7" max="7" width="45.85546875" style="12" bestFit="1" customWidth="1"/>
    <col min="8" max="8" width="5.85546875" style="12" bestFit="1" customWidth="1"/>
    <col min="9" max="9" width="9.140625" style="12"/>
    <col min="10" max="10" width="14" style="12" bestFit="1" customWidth="1"/>
    <col min="11" max="16384" width="9.140625" style="12"/>
  </cols>
  <sheetData>
    <row r="1" spans="1:10" x14ac:dyDescent="0.3">
      <c r="A1" s="177" t="str">
        <f>'Transmission Rates Summary'!A1:H1</f>
        <v>Statement BL</v>
      </c>
      <c r="B1" s="177"/>
      <c r="C1" s="177"/>
      <c r="D1" s="177"/>
      <c r="E1" s="177"/>
      <c r="F1" s="177"/>
      <c r="G1" s="177"/>
      <c r="H1" s="177"/>
    </row>
    <row r="2" spans="1:10" x14ac:dyDescent="0.3">
      <c r="A2" s="177" t="str">
        <f>'Transmission Rates Summary'!A2:H2</f>
        <v>SAN DIEGO GAS AND ELECTRIC COMPANY</v>
      </c>
      <c r="B2" s="177"/>
      <c r="C2" s="177"/>
      <c r="D2" s="177"/>
      <c r="E2" s="177"/>
      <c r="F2" s="177"/>
      <c r="G2" s="177"/>
      <c r="H2" s="177"/>
    </row>
    <row r="3" spans="1:10" x14ac:dyDescent="0.3">
      <c r="A3" s="177" t="str">
        <f>'Transmission Rates Summary'!A3:H3</f>
        <v>Rate Design Information</v>
      </c>
      <c r="B3" s="177"/>
      <c r="C3" s="177"/>
      <c r="D3" s="177"/>
      <c r="E3" s="177"/>
      <c r="F3" s="177"/>
      <c r="G3" s="177"/>
      <c r="H3" s="177"/>
    </row>
    <row r="4" spans="1:10" x14ac:dyDescent="0.3">
      <c r="A4" s="179" t="s">
        <v>220</v>
      </c>
      <c r="B4" s="177"/>
      <c r="C4" s="177"/>
      <c r="D4" s="177"/>
      <c r="E4" s="177"/>
      <c r="F4" s="177"/>
      <c r="G4" s="177"/>
      <c r="H4" s="177"/>
    </row>
    <row r="5" spans="1:10" x14ac:dyDescent="0.3">
      <c r="A5" s="179" t="s">
        <v>516</v>
      </c>
      <c r="B5" s="179"/>
      <c r="C5" s="179"/>
      <c r="D5" s="179"/>
      <c r="E5" s="179"/>
      <c r="F5" s="179"/>
      <c r="G5" s="179"/>
      <c r="H5" s="179"/>
    </row>
    <row r="6" spans="1:10" x14ac:dyDescent="0.3">
      <c r="A6" s="179" t="str">
        <f>'Allocation of Base TRR - 12 CPS'!A6:G6</f>
        <v>($000)</v>
      </c>
      <c r="B6" s="179"/>
      <c r="C6" s="179"/>
      <c r="D6" s="179"/>
      <c r="E6" s="179"/>
      <c r="F6" s="179"/>
      <c r="G6" s="179"/>
      <c r="H6" s="179"/>
    </row>
    <row r="7" spans="1:10" x14ac:dyDescent="0.3">
      <c r="A7" s="33"/>
      <c r="B7" s="33"/>
      <c r="C7" s="33"/>
      <c r="D7" s="33"/>
      <c r="E7" s="33"/>
      <c r="F7" s="33"/>
      <c r="G7" s="33"/>
    </row>
    <row r="8" spans="1:10" x14ac:dyDescent="0.3">
      <c r="A8" s="15"/>
      <c r="B8" s="15"/>
      <c r="C8" s="15" t="s">
        <v>24</v>
      </c>
      <c r="D8" s="15" t="s">
        <v>25</v>
      </c>
      <c r="E8" s="15" t="s">
        <v>26</v>
      </c>
      <c r="F8" s="15" t="s">
        <v>27</v>
      </c>
      <c r="G8" s="18"/>
      <c r="H8" s="15"/>
    </row>
    <row r="9" spans="1:10" x14ac:dyDescent="0.3">
      <c r="A9" s="3"/>
      <c r="B9" s="3"/>
      <c r="C9" s="3" t="s">
        <v>48</v>
      </c>
      <c r="D9" s="3" t="s">
        <v>48</v>
      </c>
      <c r="E9" s="3" t="s">
        <v>48</v>
      </c>
      <c r="F9" s="3" t="s">
        <v>48</v>
      </c>
      <c r="G9" s="21"/>
      <c r="H9" s="3"/>
    </row>
    <row r="10" spans="1:10" x14ac:dyDescent="0.3">
      <c r="A10" s="3"/>
      <c r="B10" s="4"/>
      <c r="C10" s="3" t="s">
        <v>277</v>
      </c>
      <c r="D10" s="3" t="s">
        <v>278</v>
      </c>
      <c r="E10" s="3" t="s">
        <v>282</v>
      </c>
      <c r="F10" s="3" t="s">
        <v>283</v>
      </c>
      <c r="G10" s="21"/>
      <c r="H10" s="3"/>
    </row>
    <row r="11" spans="1:10" x14ac:dyDescent="0.3">
      <c r="A11" s="3"/>
      <c r="B11" s="4"/>
      <c r="C11" s="3" t="s">
        <v>330</v>
      </c>
      <c r="D11" s="3" t="s">
        <v>330</v>
      </c>
      <c r="E11" s="3" t="s">
        <v>330</v>
      </c>
      <c r="F11" s="3" t="s">
        <v>330</v>
      </c>
      <c r="G11" s="21"/>
      <c r="H11" s="3"/>
    </row>
    <row r="12" spans="1:10" x14ac:dyDescent="0.3">
      <c r="A12" s="3" t="s">
        <v>29</v>
      </c>
      <c r="B12" s="4"/>
      <c r="C12" s="3"/>
      <c r="D12" s="3"/>
      <c r="E12" s="3"/>
      <c r="F12" s="3"/>
      <c r="G12" s="21"/>
      <c r="H12" s="3" t="s">
        <v>29</v>
      </c>
    </row>
    <row r="13" spans="1:10" ht="22.5" x14ac:dyDescent="0.3">
      <c r="A13" s="2" t="s">
        <v>31</v>
      </c>
      <c r="B13" s="2" t="s">
        <v>100</v>
      </c>
      <c r="C13" s="2"/>
      <c r="D13" s="2"/>
      <c r="E13" s="2"/>
      <c r="F13" s="2"/>
      <c r="G13" s="119" t="s">
        <v>321</v>
      </c>
      <c r="H13" s="2" t="s">
        <v>31</v>
      </c>
    </row>
    <row r="14" spans="1:10" x14ac:dyDescent="0.3">
      <c r="A14" s="76"/>
      <c r="C14" s="76"/>
      <c r="D14" s="4"/>
      <c r="E14" s="4"/>
      <c r="F14" s="4"/>
      <c r="H14" s="76"/>
    </row>
    <row r="15" spans="1:10" ht="22.5" x14ac:dyDescent="0.3">
      <c r="A15" s="3">
        <v>1</v>
      </c>
      <c r="B15" s="48" t="s">
        <v>221</v>
      </c>
      <c r="C15" s="63">
        <f>'Med &amp; Lrg C-I NCD Revenues'!C38</f>
        <v>4863.5706315045372</v>
      </c>
      <c r="D15" s="34"/>
      <c r="E15" s="34"/>
      <c r="F15" s="34"/>
      <c r="G15" s="1" t="s">
        <v>378</v>
      </c>
      <c r="H15" s="3">
        <v>1</v>
      </c>
      <c r="J15" s="164"/>
    </row>
    <row r="16" spans="1:10" x14ac:dyDescent="0.3">
      <c r="A16" s="3">
        <f>A15+1</f>
        <v>2</v>
      </c>
      <c r="B16" s="1"/>
      <c r="C16" s="34"/>
      <c r="D16" s="34"/>
      <c r="E16" s="34"/>
      <c r="F16" s="34"/>
      <c r="G16" s="1"/>
      <c r="H16" s="3">
        <f>H15+1</f>
        <v>2</v>
      </c>
    </row>
    <row r="17" spans="1:13" x14ac:dyDescent="0.3">
      <c r="A17" s="3">
        <f t="shared" ref="A17:A56" si="0">A16+1</f>
        <v>3</v>
      </c>
      <c r="B17" s="48" t="s">
        <v>284</v>
      </c>
      <c r="C17" s="50"/>
      <c r="D17" s="50"/>
      <c r="E17" s="50"/>
      <c r="F17" s="50"/>
      <c r="G17" s="1"/>
      <c r="H17" s="3">
        <f t="shared" ref="H17:H56" si="1">H16+1</f>
        <v>3</v>
      </c>
      <c r="I17" s="60"/>
    </row>
    <row r="18" spans="1:13" ht="22.5" x14ac:dyDescent="0.3">
      <c r="A18" s="3">
        <f t="shared" si="0"/>
        <v>4</v>
      </c>
      <c r="B18" s="48" t="s">
        <v>319</v>
      </c>
      <c r="C18" s="50"/>
      <c r="D18" s="50"/>
      <c r="E18" s="50"/>
      <c r="F18" s="50"/>
      <c r="G18" s="1"/>
      <c r="H18" s="3">
        <f t="shared" si="1"/>
        <v>4</v>
      </c>
      <c r="I18" s="60"/>
    </row>
    <row r="19" spans="1:13" x14ac:dyDescent="0.3">
      <c r="A19" s="3">
        <f t="shared" si="0"/>
        <v>5</v>
      </c>
      <c r="B19" s="48" t="s">
        <v>65</v>
      </c>
      <c r="C19" s="27">
        <f>'Workpapers 2'!C74</f>
        <v>0</v>
      </c>
      <c r="D19" s="27">
        <f>'Workpapers 2'!C79</f>
        <v>0</v>
      </c>
      <c r="E19" s="27">
        <f>'Workpapers 2'!C86</f>
        <v>0</v>
      </c>
      <c r="F19" s="27">
        <f>'Workpapers 2'!C91</f>
        <v>0</v>
      </c>
      <c r="G19" s="21" t="s">
        <v>487</v>
      </c>
      <c r="H19" s="3">
        <f t="shared" si="1"/>
        <v>5</v>
      </c>
      <c r="I19" s="60"/>
      <c r="J19" s="82"/>
    </row>
    <row r="20" spans="1:13" x14ac:dyDescent="0.3">
      <c r="A20" s="3">
        <f t="shared" si="0"/>
        <v>6</v>
      </c>
      <c r="B20" s="48" t="s">
        <v>66</v>
      </c>
      <c r="C20" s="27">
        <f>'Workpapers 2'!C75</f>
        <v>231.12141145346112</v>
      </c>
      <c r="D20" s="27">
        <f>'Workpapers 2'!C80</f>
        <v>295.87106408602494</v>
      </c>
      <c r="E20" s="27">
        <f>'Workpapers 2'!C87</f>
        <v>242.51390276050947</v>
      </c>
      <c r="F20" s="27">
        <f>'Workpapers 2'!C92</f>
        <v>297.73767026441237</v>
      </c>
      <c r="G20" s="21" t="s">
        <v>488</v>
      </c>
      <c r="H20" s="3">
        <f t="shared" si="1"/>
        <v>6</v>
      </c>
      <c r="J20" s="163"/>
      <c r="K20" s="163"/>
      <c r="L20" s="163"/>
      <c r="M20" s="163"/>
    </row>
    <row r="21" spans="1:13" x14ac:dyDescent="0.3">
      <c r="A21" s="3">
        <f t="shared" si="0"/>
        <v>7</v>
      </c>
      <c r="B21" s="48" t="s">
        <v>101</v>
      </c>
      <c r="C21" s="27">
        <f>'Workpapers 2'!C76</f>
        <v>461.9101112225668</v>
      </c>
      <c r="D21" s="27">
        <f>'Workpapers 2'!C81</f>
        <v>646.02685883435402</v>
      </c>
      <c r="E21" s="27">
        <f>'Workpapers 2'!C88</f>
        <v>486.93741951653237</v>
      </c>
      <c r="F21" s="27">
        <f>'Workpapers 2'!C93</f>
        <v>653.9837496611708</v>
      </c>
      <c r="G21" s="21" t="s">
        <v>497</v>
      </c>
      <c r="H21" s="3">
        <f t="shared" si="1"/>
        <v>7</v>
      </c>
      <c r="J21" s="163"/>
      <c r="K21" s="163"/>
      <c r="L21" s="163"/>
      <c r="M21" s="163"/>
    </row>
    <row r="22" spans="1:13" ht="19.5" thickBot="1" x14ac:dyDescent="0.35">
      <c r="A22" s="3">
        <f t="shared" si="0"/>
        <v>8</v>
      </c>
      <c r="B22" s="48" t="s">
        <v>67</v>
      </c>
      <c r="C22" s="8">
        <f>SUM(C19:C21)</f>
        <v>693.03152267602786</v>
      </c>
      <c r="D22" s="8">
        <f>SUM(D19:D21)</f>
        <v>941.89792292037896</v>
      </c>
      <c r="E22" s="8">
        <f>SUM(E19:E21)</f>
        <v>729.45132227704187</v>
      </c>
      <c r="F22" s="8">
        <f>SUM(F19:F21)</f>
        <v>951.72141992558318</v>
      </c>
      <c r="G22" s="35" t="s">
        <v>85</v>
      </c>
      <c r="H22" s="3">
        <f t="shared" si="1"/>
        <v>8</v>
      </c>
      <c r="J22" s="163"/>
      <c r="K22" s="163"/>
      <c r="L22" s="163"/>
      <c r="M22" s="163"/>
    </row>
    <row r="23" spans="1:13" ht="19.5" thickTop="1" x14ac:dyDescent="0.3">
      <c r="A23" s="3">
        <f t="shared" si="0"/>
        <v>9</v>
      </c>
      <c r="B23" s="48"/>
      <c r="C23" s="5"/>
      <c r="D23" s="5"/>
      <c r="E23" s="5"/>
      <c r="F23" s="5"/>
      <c r="G23" s="49"/>
      <c r="H23" s="3">
        <f t="shared" si="1"/>
        <v>9</v>
      </c>
    </row>
    <row r="24" spans="1:13" x14ac:dyDescent="0.3">
      <c r="A24" s="3">
        <f t="shared" si="0"/>
        <v>10</v>
      </c>
      <c r="B24" s="48" t="s">
        <v>284</v>
      </c>
      <c r="C24" s="5"/>
      <c r="D24" s="5"/>
      <c r="E24" s="5"/>
      <c r="F24" s="5"/>
      <c r="G24" s="49"/>
      <c r="H24" s="3">
        <f t="shared" si="1"/>
        <v>10</v>
      </c>
    </row>
    <row r="25" spans="1:13" x14ac:dyDescent="0.3">
      <c r="A25" s="3">
        <f t="shared" si="0"/>
        <v>11</v>
      </c>
      <c r="B25" s="48" t="s">
        <v>2</v>
      </c>
      <c r="C25" s="5"/>
      <c r="D25" s="5"/>
      <c r="E25" s="5"/>
      <c r="F25" s="5"/>
      <c r="G25" s="49"/>
      <c r="H25" s="3">
        <f t="shared" si="1"/>
        <v>11</v>
      </c>
    </row>
    <row r="26" spans="1:13" x14ac:dyDescent="0.3">
      <c r="A26" s="3">
        <f t="shared" si="0"/>
        <v>12</v>
      </c>
      <c r="B26" s="48" t="s">
        <v>65</v>
      </c>
      <c r="C26" s="27">
        <f>'Workpapers 2'!E74</f>
        <v>0</v>
      </c>
      <c r="D26" s="27">
        <f>'Workpapers 2'!E79</f>
        <v>0</v>
      </c>
      <c r="E26" s="27">
        <f>'Workpapers 2'!E86</f>
        <v>0</v>
      </c>
      <c r="F26" s="27">
        <f>'Workpapers 2'!E91</f>
        <v>0</v>
      </c>
      <c r="G26" s="21" t="s">
        <v>489</v>
      </c>
      <c r="H26" s="3">
        <f t="shared" si="1"/>
        <v>12</v>
      </c>
    </row>
    <row r="27" spans="1:13" x14ac:dyDescent="0.3">
      <c r="A27" s="3">
        <f t="shared" si="0"/>
        <v>13</v>
      </c>
      <c r="B27" s="48" t="s">
        <v>66</v>
      </c>
      <c r="C27" s="27">
        <f>'Workpapers 2'!E75</f>
        <v>234</v>
      </c>
      <c r="D27" s="27">
        <f>'Workpapers 2'!E80</f>
        <v>299</v>
      </c>
      <c r="E27" s="27">
        <f>'Workpapers 2'!E87</f>
        <v>245</v>
      </c>
      <c r="F27" s="27">
        <f>'Workpapers 2'!E92</f>
        <v>301</v>
      </c>
      <c r="G27" s="21" t="s">
        <v>490</v>
      </c>
      <c r="H27" s="3">
        <f t="shared" si="1"/>
        <v>13</v>
      </c>
      <c r="J27" s="163"/>
      <c r="K27" s="163"/>
      <c r="L27" s="163"/>
      <c r="M27" s="163"/>
    </row>
    <row r="28" spans="1:13" x14ac:dyDescent="0.3">
      <c r="A28" s="3">
        <f t="shared" si="0"/>
        <v>14</v>
      </c>
      <c r="B28" s="48" t="s">
        <v>101</v>
      </c>
      <c r="C28" s="27">
        <f>'Workpapers 2'!E76</f>
        <v>465</v>
      </c>
      <c r="D28" s="27">
        <f>'Workpapers 2'!E81</f>
        <v>650</v>
      </c>
      <c r="E28" s="27">
        <f>'Workpapers 2'!E88</f>
        <v>490</v>
      </c>
      <c r="F28" s="27">
        <f>'Workpapers 2'!E93</f>
        <v>658</v>
      </c>
      <c r="G28" s="21" t="s">
        <v>498</v>
      </c>
      <c r="H28" s="3">
        <f t="shared" si="1"/>
        <v>14</v>
      </c>
      <c r="J28" s="163"/>
      <c r="K28" s="163"/>
      <c r="L28" s="163"/>
      <c r="M28" s="163"/>
    </row>
    <row r="29" spans="1:13" ht="19.5" thickBot="1" x14ac:dyDescent="0.35">
      <c r="A29" s="3">
        <f t="shared" si="0"/>
        <v>15</v>
      </c>
      <c r="B29" s="48" t="s">
        <v>67</v>
      </c>
      <c r="C29" s="8">
        <f>SUM(C26:C28)</f>
        <v>699</v>
      </c>
      <c r="D29" s="8">
        <f>SUM(D26:D28)</f>
        <v>949</v>
      </c>
      <c r="E29" s="8">
        <f>SUM(E26:E28)</f>
        <v>735</v>
      </c>
      <c r="F29" s="8">
        <f>SUM(F26:F28)</f>
        <v>959</v>
      </c>
      <c r="G29" s="35" t="s">
        <v>86</v>
      </c>
      <c r="H29" s="3">
        <f t="shared" si="1"/>
        <v>15</v>
      </c>
      <c r="J29" s="163"/>
      <c r="K29" s="163"/>
      <c r="L29" s="163"/>
      <c r="M29" s="163"/>
    </row>
    <row r="30" spans="1:13" ht="19.5" thickTop="1" x14ac:dyDescent="0.3">
      <c r="A30" s="3">
        <f t="shared" si="0"/>
        <v>16</v>
      </c>
      <c r="B30" s="48"/>
      <c r="C30" s="34"/>
      <c r="D30" s="34"/>
      <c r="E30" s="34"/>
      <c r="F30" s="34"/>
      <c r="G30" s="49"/>
      <c r="H30" s="3">
        <f t="shared" si="1"/>
        <v>16</v>
      </c>
    </row>
    <row r="31" spans="1:13" x14ac:dyDescent="0.3">
      <c r="A31" s="3">
        <f t="shared" si="0"/>
        <v>17</v>
      </c>
      <c r="B31" s="48" t="s">
        <v>285</v>
      </c>
      <c r="C31" s="34"/>
      <c r="D31" s="34"/>
      <c r="E31" s="34"/>
      <c r="F31" s="34"/>
      <c r="G31" s="49"/>
      <c r="H31" s="3">
        <f t="shared" si="1"/>
        <v>17</v>
      </c>
    </row>
    <row r="32" spans="1:13" x14ac:dyDescent="0.3">
      <c r="A32" s="3">
        <f t="shared" si="0"/>
        <v>18</v>
      </c>
      <c r="B32" s="48" t="s">
        <v>15</v>
      </c>
      <c r="C32" s="34"/>
      <c r="D32" s="34"/>
      <c r="E32" s="34"/>
      <c r="F32" s="34"/>
      <c r="G32" s="49"/>
      <c r="H32" s="3">
        <f t="shared" si="1"/>
        <v>18</v>
      </c>
    </row>
    <row r="33" spans="1:13" x14ac:dyDescent="0.3">
      <c r="A33" s="3">
        <f t="shared" si="0"/>
        <v>19</v>
      </c>
      <c r="B33" s="48" t="s">
        <v>65</v>
      </c>
      <c r="C33" s="50">
        <f t="shared" ref="C33:F35" si="2">C26/C$29</f>
        <v>0</v>
      </c>
      <c r="D33" s="50">
        <f t="shared" si="2"/>
        <v>0</v>
      </c>
      <c r="E33" s="50">
        <f t="shared" si="2"/>
        <v>0</v>
      </c>
      <c r="F33" s="50">
        <f t="shared" si="2"/>
        <v>0</v>
      </c>
      <c r="G33" s="1" t="s">
        <v>12</v>
      </c>
      <c r="H33" s="3">
        <f t="shared" si="1"/>
        <v>19</v>
      </c>
    </row>
    <row r="34" spans="1:13" x14ac:dyDescent="0.3">
      <c r="A34" s="3">
        <f t="shared" si="0"/>
        <v>20</v>
      </c>
      <c r="B34" s="48" t="s">
        <v>66</v>
      </c>
      <c r="C34" s="50">
        <f t="shared" si="2"/>
        <v>0.33476394849785407</v>
      </c>
      <c r="D34" s="50">
        <f t="shared" si="2"/>
        <v>0.31506849315068491</v>
      </c>
      <c r="E34" s="50">
        <f t="shared" si="2"/>
        <v>0.33333333333333331</v>
      </c>
      <c r="F34" s="50">
        <f t="shared" si="2"/>
        <v>0.31386861313868614</v>
      </c>
      <c r="G34" s="1" t="s">
        <v>163</v>
      </c>
      <c r="H34" s="3">
        <f t="shared" si="1"/>
        <v>20</v>
      </c>
      <c r="J34" s="82"/>
      <c r="K34" s="82"/>
      <c r="L34" s="82"/>
      <c r="M34" s="82"/>
    </row>
    <row r="35" spans="1:13" x14ac:dyDescent="0.3">
      <c r="A35" s="3">
        <f t="shared" si="0"/>
        <v>21</v>
      </c>
      <c r="B35" s="48" t="s">
        <v>101</v>
      </c>
      <c r="C35" s="50">
        <f t="shared" si="2"/>
        <v>0.66523605150214593</v>
      </c>
      <c r="D35" s="50">
        <f t="shared" si="2"/>
        <v>0.68493150684931503</v>
      </c>
      <c r="E35" s="50">
        <f t="shared" si="2"/>
        <v>0.66666666666666663</v>
      </c>
      <c r="F35" s="50">
        <f t="shared" si="2"/>
        <v>0.68613138686131392</v>
      </c>
      <c r="G35" s="1" t="s">
        <v>164</v>
      </c>
      <c r="H35" s="3">
        <f t="shared" si="1"/>
        <v>21</v>
      </c>
      <c r="J35" s="82"/>
      <c r="K35" s="82"/>
      <c r="L35" s="82"/>
      <c r="M35" s="82"/>
    </row>
    <row r="36" spans="1:13" ht="19.5" thickBot="1" x14ac:dyDescent="0.35">
      <c r="A36" s="3">
        <f t="shared" si="0"/>
        <v>22</v>
      </c>
      <c r="B36" s="48" t="s">
        <v>67</v>
      </c>
      <c r="C36" s="57">
        <f>SUM(C33:C35)</f>
        <v>1</v>
      </c>
      <c r="D36" s="57">
        <f>SUM(D33:D35)</f>
        <v>1</v>
      </c>
      <c r="E36" s="57">
        <f>SUM(E33:E35)</f>
        <v>1</v>
      </c>
      <c r="F36" s="57">
        <f>SUM(F33:F35)</f>
        <v>1</v>
      </c>
      <c r="G36" s="35" t="s">
        <v>102</v>
      </c>
      <c r="H36" s="3">
        <f t="shared" si="1"/>
        <v>22</v>
      </c>
      <c r="J36" s="82"/>
      <c r="K36" s="82"/>
      <c r="L36" s="82"/>
      <c r="M36" s="82"/>
    </row>
    <row r="37" spans="1:13" ht="19.5" thickTop="1" x14ac:dyDescent="0.3">
      <c r="A37" s="3">
        <f t="shared" si="0"/>
        <v>23</v>
      </c>
      <c r="B37" s="48"/>
      <c r="C37" s="50"/>
      <c r="D37" s="50"/>
      <c r="E37" s="50"/>
      <c r="F37" s="50"/>
      <c r="G37" s="49"/>
      <c r="H37" s="3">
        <f t="shared" si="1"/>
        <v>23</v>
      </c>
    </row>
    <row r="38" spans="1:13" x14ac:dyDescent="0.3">
      <c r="A38" s="3">
        <f t="shared" si="0"/>
        <v>24</v>
      </c>
      <c r="B38" s="48" t="s">
        <v>286</v>
      </c>
      <c r="C38" s="50"/>
      <c r="D38" s="50"/>
      <c r="E38" s="50"/>
      <c r="F38" s="50"/>
      <c r="G38" s="49"/>
      <c r="H38" s="3">
        <f t="shared" si="1"/>
        <v>24</v>
      </c>
    </row>
    <row r="39" spans="1:13" x14ac:dyDescent="0.3">
      <c r="A39" s="3">
        <f t="shared" si="0"/>
        <v>25</v>
      </c>
      <c r="B39" s="48" t="s">
        <v>13</v>
      </c>
      <c r="C39" s="50">
        <v>0.8</v>
      </c>
      <c r="D39" s="50">
        <f>1-C39</f>
        <v>0.19999999999999996</v>
      </c>
      <c r="E39" s="50">
        <v>0.8</v>
      </c>
      <c r="F39" s="50">
        <f>1-E39</f>
        <v>0.19999999999999996</v>
      </c>
      <c r="G39" s="52"/>
      <c r="H39" s="3">
        <f>H38+1</f>
        <v>25</v>
      </c>
      <c r="J39" s="82"/>
      <c r="K39" s="82"/>
      <c r="L39" s="82"/>
      <c r="M39" s="82"/>
    </row>
    <row r="40" spans="1:13" x14ac:dyDescent="0.3">
      <c r="A40" s="3">
        <f t="shared" si="0"/>
        <v>26</v>
      </c>
      <c r="C40" s="50"/>
      <c r="D40" s="50"/>
      <c r="E40" s="50"/>
      <c r="F40" s="50"/>
      <c r="G40" s="52"/>
      <c r="H40" s="3">
        <f t="shared" si="1"/>
        <v>26</v>
      </c>
      <c r="J40" s="82"/>
      <c r="K40" s="82"/>
      <c r="L40" s="82"/>
      <c r="M40" s="82"/>
    </row>
    <row r="41" spans="1:13" x14ac:dyDescent="0.3">
      <c r="A41" s="3">
        <f t="shared" si="0"/>
        <v>27</v>
      </c>
      <c r="B41" s="48" t="s">
        <v>14</v>
      </c>
      <c r="C41" s="34"/>
      <c r="D41" s="34"/>
      <c r="E41" s="34"/>
      <c r="F41" s="34"/>
      <c r="G41" s="49"/>
      <c r="H41" s="3">
        <f t="shared" si="1"/>
        <v>27</v>
      </c>
      <c r="J41" s="82"/>
      <c r="K41" s="82"/>
      <c r="L41" s="82"/>
      <c r="M41" s="82"/>
    </row>
    <row r="42" spans="1:13" x14ac:dyDescent="0.3">
      <c r="A42" s="3">
        <f t="shared" si="0"/>
        <v>28</v>
      </c>
      <c r="B42" s="48" t="s">
        <v>16</v>
      </c>
      <c r="C42" s="34"/>
      <c r="D42" s="34"/>
      <c r="E42" s="34"/>
      <c r="F42" s="34"/>
      <c r="G42" s="49"/>
      <c r="H42" s="3">
        <f t="shared" si="1"/>
        <v>28</v>
      </c>
    </row>
    <row r="43" spans="1:13" x14ac:dyDescent="0.3">
      <c r="A43" s="3">
        <f t="shared" si="0"/>
        <v>29</v>
      </c>
      <c r="B43" s="48" t="s">
        <v>65</v>
      </c>
      <c r="C43" s="34">
        <f t="shared" ref="C43:F45" si="3">($C$15*C$39)*C33</f>
        <v>0</v>
      </c>
      <c r="D43" s="34">
        <f t="shared" si="3"/>
        <v>0</v>
      </c>
      <c r="E43" s="34">
        <f t="shared" si="3"/>
        <v>0</v>
      </c>
      <c r="F43" s="34">
        <f t="shared" si="3"/>
        <v>0</v>
      </c>
      <c r="G43" s="1" t="s">
        <v>165</v>
      </c>
      <c r="H43" s="3">
        <f t="shared" si="1"/>
        <v>29</v>
      </c>
    </row>
    <row r="44" spans="1:13" x14ac:dyDescent="0.3">
      <c r="A44" s="3">
        <f t="shared" si="0"/>
        <v>30</v>
      </c>
      <c r="B44" s="48" t="s">
        <v>66</v>
      </c>
      <c r="C44" s="34">
        <f t="shared" si="3"/>
        <v>1302.5184867205285</v>
      </c>
      <c r="D44" s="34">
        <f t="shared" si="3"/>
        <v>306.47157404001183</v>
      </c>
      <c r="E44" s="34">
        <f t="shared" si="3"/>
        <v>1296.95216840121</v>
      </c>
      <c r="F44" s="34">
        <f t="shared" si="3"/>
        <v>305.30443380247453</v>
      </c>
      <c r="G44" s="1" t="s">
        <v>166</v>
      </c>
      <c r="H44" s="3">
        <f t="shared" si="1"/>
        <v>30</v>
      </c>
      <c r="J44" s="164"/>
      <c r="K44" s="164"/>
      <c r="L44" s="164"/>
      <c r="M44" s="164"/>
    </row>
    <row r="45" spans="1:13" x14ac:dyDescent="0.3">
      <c r="A45" s="3">
        <f t="shared" si="0"/>
        <v>31</v>
      </c>
      <c r="B45" s="48" t="s">
        <v>101</v>
      </c>
      <c r="C45" s="34">
        <f t="shared" si="3"/>
        <v>2588.3380184831017</v>
      </c>
      <c r="D45" s="34">
        <f t="shared" si="3"/>
        <v>666.24255226089531</v>
      </c>
      <c r="E45" s="34">
        <f t="shared" si="3"/>
        <v>2593.9043368024199</v>
      </c>
      <c r="F45" s="34">
        <f t="shared" si="3"/>
        <v>667.40969249843272</v>
      </c>
      <c r="G45" s="1" t="s">
        <v>167</v>
      </c>
      <c r="H45" s="3">
        <f t="shared" si="1"/>
        <v>31</v>
      </c>
      <c r="J45" s="164"/>
      <c r="K45" s="164"/>
      <c r="L45" s="164"/>
      <c r="M45" s="164"/>
    </row>
    <row r="46" spans="1:13" ht="19.5" thickBot="1" x14ac:dyDescent="0.35">
      <c r="A46" s="3">
        <f t="shared" si="0"/>
        <v>32</v>
      </c>
      <c r="B46" s="48" t="s">
        <v>67</v>
      </c>
      <c r="C46" s="6">
        <f>SUM(C43:C45)</f>
        <v>3890.8565052036301</v>
      </c>
      <c r="D46" s="6">
        <f>SUM(D43:D45)</f>
        <v>972.71412630090708</v>
      </c>
      <c r="E46" s="6">
        <f>SUM(E43:E45)</f>
        <v>3890.8565052036301</v>
      </c>
      <c r="F46" s="6">
        <f>SUM(F43:F45)</f>
        <v>972.71412630090731</v>
      </c>
      <c r="G46" s="35" t="s">
        <v>18</v>
      </c>
      <c r="H46" s="3">
        <f t="shared" si="1"/>
        <v>32</v>
      </c>
      <c r="J46" s="164"/>
      <c r="K46" s="164"/>
      <c r="L46" s="164"/>
      <c r="M46" s="164"/>
    </row>
    <row r="47" spans="1:13" ht="19.5" thickTop="1" x14ac:dyDescent="0.3">
      <c r="A47" s="3">
        <f t="shared" si="0"/>
        <v>33</v>
      </c>
      <c r="B47" s="48"/>
      <c r="C47" s="34"/>
      <c r="D47" s="34"/>
      <c r="E47" s="34"/>
      <c r="F47" s="34"/>
      <c r="G47" s="49"/>
      <c r="H47" s="3">
        <f t="shared" si="1"/>
        <v>33</v>
      </c>
    </row>
    <row r="48" spans="1:13" ht="22.5" x14ac:dyDescent="0.3">
      <c r="A48" s="3">
        <f t="shared" si="0"/>
        <v>34</v>
      </c>
      <c r="B48" s="48" t="s">
        <v>322</v>
      </c>
      <c r="C48" s="53" t="s">
        <v>95</v>
      </c>
      <c r="D48" s="53" t="s">
        <v>95</v>
      </c>
      <c r="E48" s="53" t="s">
        <v>95</v>
      </c>
      <c r="F48" s="53"/>
      <c r="G48" s="49"/>
      <c r="H48" s="3">
        <f t="shared" si="1"/>
        <v>34</v>
      </c>
    </row>
    <row r="49" spans="1:13" x14ac:dyDescent="0.3">
      <c r="A49" s="3">
        <f t="shared" si="0"/>
        <v>35</v>
      </c>
      <c r="B49" s="48" t="s">
        <v>65</v>
      </c>
      <c r="C49" s="58">
        <f>IF(C19=0,0,C43/C19)</f>
        <v>0</v>
      </c>
      <c r="D49" s="58">
        <f>IF(D19=0,0,D43/D19)</f>
        <v>0</v>
      </c>
      <c r="E49" s="58">
        <f>IF(E19=0,0,E43/E19)</f>
        <v>0</v>
      </c>
      <c r="F49" s="58">
        <f>IF(F19=0,0,F43/F19)</f>
        <v>0</v>
      </c>
      <c r="G49" s="1" t="s">
        <v>19</v>
      </c>
      <c r="H49" s="3">
        <f t="shared" si="1"/>
        <v>35</v>
      </c>
    </row>
    <row r="50" spans="1:13" x14ac:dyDescent="0.3">
      <c r="A50" s="3">
        <f t="shared" si="0"/>
        <v>36</v>
      </c>
      <c r="B50" s="48" t="s">
        <v>66</v>
      </c>
      <c r="C50" s="58">
        <f t="shared" ref="C50:F51" si="4">IF(C20=0,"-",C44/C20)</f>
        <v>5.6356461243869012</v>
      </c>
      <c r="D50" s="58">
        <f t="shared" si="4"/>
        <v>1.0358281401621106</v>
      </c>
      <c r="E50" s="58">
        <f t="shared" si="4"/>
        <v>5.3479497613874667</v>
      </c>
      <c r="F50" s="58">
        <f t="shared" si="4"/>
        <v>1.0254141960986742</v>
      </c>
      <c r="G50" s="1" t="s">
        <v>20</v>
      </c>
      <c r="H50" s="3">
        <f t="shared" si="1"/>
        <v>36</v>
      </c>
      <c r="J50" s="166"/>
      <c r="K50" s="166"/>
      <c r="L50" s="166"/>
      <c r="M50" s="166"/>
    </row>
    <row r="51" spans="1:13" x14ac:dyDescent="0.3">
      <c r="A51" s="3">
        <f t="shared" si="0"/>
        <v>37</v>
      </c>
      <c r="B51" s="48" t="s">
        <v>101</v>
      </c>
      <c r="C51" s="58">
        <f t="shared" si="4"/>
        <v>5.6035534957924673</v>
      </c>
      <c r="D51" s="58">
        <f t="shared" si="4"/>
        <v>1.0312923420289632</v>
      </c>
      <c r="E51" s="58">
        <f t="shared" si="4"/>
        <v>5.3269767999712174</v>
      </c>
      <c r="F51" s="58">
        <f t="shared" si="4"/>
        <v>1.0205294746914093</v>
      </c>
      <c r="G51" s="1" t="s">
        <v>21</v>
      </c>
      <c r="H51" s="3">
        <f t="shared" si="1"/>
        <v>37</v>
      </c>
      <c r="J51" s="166"/>
      <c r="K51" s="166"/>
      <c r="L51" s="166"/>
      <c r="M51" s="166"/>
    </row>
    <row r="52" spans="1:13" x14ac:dyDescent="0.3">
      <c r="A52" s="3">
        <f t="shared" si="0"/>
        <v>38</v>
      </c>
      <c r="B52" s="48"/>
      <c r="C52" s="59"/>
      <c r="D52" s="59"/>
      <c r="E52" s="59"/>
      <c r="F52" s="59"/>
      <c r="G52" s="1"/>
      <c r="H52" s="3">
        <f t="shared" si="1"/>
        <v>38</v>
      </c>
      <c r="J52" s="82"/>
      <c r="K52" s="82"/>
      <c r="L52" s="82"/>
      <c r="M52" s="82"/>
    </row>
    <row r="53" spans="1:13" x14ac:dyDescent="0.3">
      <c r="A53" s="3">
        <f t="shared" si="0"/>
        <v>39</v>
      </c>
      <c r="B53" s="48" t="s">
        <v>320</v>
      </c>
      <c r="C53" s="59"/>
      <c r="D53" s="59"/>
      <c r="E53" s="59"/>
      <c r="F53" s="59"/>
      <c r="G53" s="1"/>
      <c r="H53" s="3">
        <f t="shared" si="1"/>
        <v>39</v>
      </c>
    </row>
    <row r="54" spans="1:13" x14ac:dyDescent="0.3">
      <c r="A54" s="3">
        <f t="shared" si="0"/>
        <v>40</v>
      </c>
      <c r="B54" s="48" t="s">
        <v>65</v>
      </c>
      <c r="C54" s="59">
        <f>ROUND(C49,2)</f>
        <v>0</v>
      </c>
      <c r="D54" s="59">
        <f t="shared" ref="D54:F54" si="5">ROUND(D49,2)</f>
        <v>0</v>
      </c>
      <c r="E54" s="59">
        <f t="shared" si="5"/>
        <v>0</v>
      </c>
      <c r="F54" s="59">
        <f t="shared" si="5"/>
        <v>0</v>
      </c>
      <c r="G54" s="1" t="s">
        <v>10</v>
      </c>
      <c r="H54" s="3">
        <f t="shared" si="1"/>
        <v>40</v>
      </c>
    </row>
    <row r="55" spans="1:13" x14ac:dyDescent="0.3">
      <c r="A55" s="3">
        <f t="shared" si="0"/>
        <v>41</v>
      </c>
      <c r="B55" s="48" t="s">
        <v>66</v>
      </c>
      <c r="C55" s="59">
        <f t="shared" ref="C55:F56" si="6">ROUND(C50,2)</f>
        <v>5.64</v>
      </c>
      <c r="D55" s="59">
        <f t="shared" si="6"/>
        <v>1.04</v>
      </c>
      <c r="E55" s="59">
        <f t="shared" si="6"/>
        <v>5.35</v>
      </c>
      <c r="F55" s="59">
        <f t="shared" si="6"/>
        <v>1.03</v>
      </c>
      <c r="G55" s="1" t="s">
        <v>11</v>
      </c>
      <c r="H55" s="3">
        <f t="shared" si="1"/>
        <v>41</v>
      </c>
      <c r="J55" s="167"/>
      <c r="K55" s="167"/>
      <c r="L55" s="167"/>
      <c r="M55" s="167"/>
    </row>
    <row r="56" spans="1:13" x14ac:dyDescent="0.3">
      <c r="A56" s="3">
        <f t="shared" si="0"/>
        <v>42</v>
      </c>
      <c r="B56" s="48" t="s">
        <v>101</v>
      </c>
      <c r="C56" s="59">
        <f t="shared" si="6"/>
        <v>5.6</v>
      </c>
      <c r="D56" s="59">
        <f t="shared" si="6"/>
        <v>1.03</v>
      </c>
      <c r="E56" s="59">
        <f t="shared" si="6"/>
        <v>5.33</v>
      </c>
      <c r="F56" s="59">
        <f t="shared" si="6"/>
        <v>1.02</v>
      </c>
      <c r="G56" s="1" t="s">
        <v>22</v>
      </c>
      <c r="H56" s="3">
        <f t="shared" si="1"/>
        <v>42</v>
      </c>
      <c r="J56" s="167"/>
      <c r="K56" s="167"/>
      <c r="L56" s="167"/>
      <c r="M56" s="167"/>
    </row>
    <row r="57" spans="1:13" x14ac:dyDescent="0.3">
      <c r="A57" s="2"/>
      <c r="B57" s="74"/>
      <c r="C57" s="47"/>
      <c r="D57" s="47"/>
      <c r="E57" s="47"/>
      <c r="F57" s="47"/>
      <c r="G57" s="137"/>
      <c r="H57" s="2"/>
      <c r="J57" s="82"/>
      <c r="K57" s="82"/>
      <c r="L57" s="82"/>
      <c r="M57" s="82"/>
    </row>
    <row r="58" spans="1:13" x14ac:dyDescent="0.3">
      <c r="B58" s="13" t="s">
        <v>92</v>
      </c>
      <c r="C58" s="55"/>
      <c r="D58" s="55"/>
      <c r="E58" s="55"/>
      <c r="F58" s="55"/>
      <c r="H58" s="1"/>
    </row>
    <row r="59" spans="1:13" ht="22.5" x14ac:dyDescent="0.3">
      <c r="A59" s="67">
        <v>1</v>
      </c>
      <c r="B59" s="12" t="s">
        <v>230</v>
      </c>
      <c r="C59" s="110"/>
      <c r="D59" s="110"/>
      <c r="E59" s="110"/>
      <c r="F59" s="110"/>
      <c r="H59" s="1"/>
    </row>
    <row r="60" spans="1:13" ht="22.5" x14ac:dyDescent="0.3">
      <c r="A60" s="67">
        <v>2</v>
      </c>
      <c r="B60" s="12" t="s">
        <v>17</v>
      </c>
      <c r="C60" s="55"/>
      <c r="D60" s="55"/>
      <c r="E60" s="55"/>
      <c r="F60" s="55"/>
      <c r="H60" s="1"/>
    </row>
    <row r="61" spans="1:13" ht="22.5" x14ac:dyDescent="0.3">
      <c r="A61" s="67"/>
      <c r="B61" s="12" t="s">
        <v>178</v>
      </c>
      <c r="C61" s="55"/>
      <c r="D61" s="55"/>
      <c r="E61" s="55"/>
      <c r="F61" s="55"/>
      <c r="H61" s="1"/>
    </row>
    <row r="62" spans="1:13" ht="22.5" x14ac:dyDescent="0.3">
      <c r="A62" s="67">
        <v>3</v>
      </c>
      <c r="B62" s="12" t="s">
        <v>247</v>
      </c>
      <c r="H62" s="1"/>
    </row>
    <row r="63" spans="1:13" ht="22.5" x14ac:dyDescent="0.3">
      <c r="A63" s="67">
        <v>4</v>
      </c>
      <c r="B63" s="12" t="s">
        <v>248</v>
      </c>
    </row>
    <row r="64" spans="1:13" ht="22.5" x14ac:dyDescent="0.3">
      <c r="A64" s="67">
        <v>5</v>
      </c>
      <c r="B64" s="12" t="s">
        <v>323</v>
      </c>
    </row>
    <row r="65" spans="1:2" ht="22.5" x14ac:dyDescent="0.3">
      <c r="A65" s="67">
        <v>6</v>
      </c>
      <c r="B65" s="12" t="s">
        <v>324</v>
      </c>
    </row>
    <row r="66" spans="1:2" ht="22.5" x14ac:dyDescent="0.3">
      <c r="A66" s="67">
        <v>7</v>
      </c>
      <c r="B66" s="12" t="s">
        <v>175</v>
      </c>
    </row>
    <row r="67" spans="1:2" x14ac:dyDescent="0.3">
      <c r="A67" s="1"/>
    </row>
    <row r="68" spans="1:2" ht="22.5" x14ac:dyDescent="0.3">
      <c r="A68" s="14"/>
    </row>
    <row r="69" spans="1:2" x14ac:dyDescent="0.3">
      <c r="A69" s="1"/>
    </row>
  </sheetData>
  <mergeCells count="6">
    <mergeCell ref="A5:H5"/>
    <mergeCell ref="A6:H6"/>
    <mergeCell ref="A1:H1"/>
    <mergeCell ref="A2:H2"/>
    <mergeCell ref="A3:H3"/>
    <mergeCell ref="A4:H4"/>
  </mergeCells>
  <phoneticPr fontId="2" type="noConversion"/>
  <printOptions horizontalCentered="1"/>
  <pageMargins left="0.25" right="0.25" top="0.5" bottom="0.5" header="0.25" footer="0.25"/>
  <pageSetup scale="43" orientation="portrait" r:id="rId1"/>
  <headerFooter scaleWithDoc="0">
    <oddFooter>&amp;L&amp;"Times New Roman,Regular"&amp;9Statement BL-Medium and Large Commercial/Industrial Customers&amp;C&amp;"Times New Roman,Regular"&amp;9Page BL-&amp;P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67"/>
  <sheetViews>
    <sheetView zoomScale="75" zoomScaleNormal="75" workbookViewId="0">
      <selection activeCell="F3" sqref="F3"/>
    </sheetView>
  </sheetViews>
  <sheetFormatPr defaultColWidth="9.140625" defaultRowHeight="18.75" x14ac:dyDescent="0.3"/>
  <cols>
    <col min="1" max="1" width="5.85546875" style="87" bestFit="1" customWidth="1"/>
    <col min="2" max="2" width="87.7109375" style="87" customWidth="1"/>
    <col min="3" max="3" width="22.85546875" style="87" bestFit="1" customWidth="1"/>
    <col min="4" max="4" width="78.5703125" style="87" bestFit="1" customWidth="1"/>
    <col min="5" max="5" width="5.85546875" style="87" bestFit="1" customWidth="1"/>
    <col min="6" max="6" width="9.140625" style="87"/>
    <col min="7" max="7" width="14" style="87" customWidth="1"/>
    <col min="8" max="10" width="18.7109375" style="87" customWidth="1"/>
    <col min="11" max="16384" width="9.140625" style="87"/>
  </cols>
  <sheetData>
    <row r="1" spans="1:8" ht="18.75" customHeight="1" x14ac:dyDescent="0.3">
      <c r="A1" s="177" t="s">
        <v>151</v>
      </c>
      <c r="B1" s="177"/>
      <c r="C1" s="177"/>
      <c r="D1" s="177"/>
      <c r="E1" s="177"/>
      <c r="F1" s="130"/>
      <c r="G1" s="130"/>
      <c r="H1" s="130"/>
    </row>
    <row r="2" spans="1:8" ht="18.75" customHeight="1" x14ac:dyDescent="0.3">
      <c r="A2" s="177" t="s">
        <v>23</v>
      </c>
      <c r="B2" s="177"/>
      <c r="C2" s="177"/>
      <c r="D2" s="177"/>
      <c r="E2" s="177"/>
    </row>
    <row r="3" spans="1:8" ht="18.75" customHeight="1" x14ac:dyDescent="0.3">
      <c r="A3" s="177" t="s">
        <v>47</v>
      </c>
      <c r="B3" s="177"/>
      <c r="C3" s="177"/>
      <c r="D3" s="177"/>
      <c r="E3" s="177"/>
    </row>
    <row r="4" spans="1:8" ht="22.5" customHeight="1" x14ac:dyDescent="0.3">
      <c r="A4" s="177" t="s">
        <v>251</v>
      </c>
      <c r="B4" s="177"/>
      <c r="C4" s="177"/>
      <c r="D4" s="177"/>
      <c r="E4" s="177"/>
    </row>
    <row r="5" spans="1:8" ht="18.75" customHeight="1" x14ac:dyDescent="0.3">
      <c r="A5" s="177" t="s">
        <v>516</v>
      </c>
      <c r="B5" s="177"/>
      <c r="C5" s="177"/>
      <c r="D5" s="177"/>
      <c r="E5" s="177"/>
    </row>
    <row r="6" spans="1:8" ht="18.75" customHeight="1" x14ac:dyDescent="0.3">
      <c r="A6" s="184" t="s">
        <v>211</v>
      </c>
      <c r="B6" s="184"/>
      <c r="C6" s="184"/>
      <c r="D6" s="184"/>
      <c r="E6" s="184"/>
    </row>
    <row r="8" spans="1:8" x14ac:dyDescent="0.3">
      <c r="A8" s="88"/>
      <c r="B8" s="122"/>
      <c r="C8" s="88" t="s">
        <v>48</v>
      </c>
      <c r="D8" s="88"/>
      <c r="E8" s="88"/>
    </row>
    <row r="9" spans="1:8" x14ac:dyDescent="0.3">
      <c r="A9" s="89"/>
      <c r="B9" s="90"/>
      <c r="C9" s="89" t="s">
        <v>441</v>
      </c>
      <c r="D9" s="89"/>
      <c r="E9" s="89"/>
    </row>
    <row r="10" spans="1:8" x14ac:dyDescent="0.3">
      <c r="A10" s="89" t="s">
        <v>29</v>
      </c>
      <c r="B10" s="90"/>
      <c r="C10" s="89"/>
      <c r="D10" s="89"/>
      <c r="E10" s="89" t="s">
        <v>29</v>
      </c>
    </row>
    <row r="11" spans="1:8" ht="22.5" x14ac:dyDescent="0.3">
      <c r="A11" s="91" t="s">
        <v>31</v>
      </c>
      <c r="B11" s="91" t="s">
        <v>100</v>
      </c>
      <c r="C11" s="91"/>
      <c r="D11" s="91" t="s">
        <v>176</v>
      </c>
      <c r="E11" s="91" t="s">
        <v>31</v>
      </c>
    </row>
    <row r="12" spans="1:8" x14ac:dyDescent="0.3">
      <c r="A12" s="89"/>
      <c r="B12" s="89"/>
      <c r="C12" s="89"/>
      <c r="D12" s="89"/>
      <c r="E12" s="89"/>
    </row>
    <row r="13" spans="1:8" x14ac:dyDescent="0.3">
      <c r="A13" s="89">
        <v>1</v>
      </c>
      <c r="B13" s="92" t="s">
        <v>192</v>
      </c>
      <c r="C13" s="32">
        <f>'[2]Workpaper 1'!$O$14</f>
        <v>164394.71488519129</v>
      </c>
      <c r="D13" s="89" t="s">
        <v>380</v>
      </c>
      <c r="E13" s="89">
        <v>1</v>
      </c>
      <c r="G13" s="163"/>
    </row>
    <row r="14" spans="1:8" x14ac:dyDescent="0.3">
      <c r="A14" s="89">
        <f>A13+1</f>
        <v>2</v>
      </c>
      <c r="B14" s="92"/>
      <c r="C14" s="89"/>
      <c r="D14" s="89"/>
      <c r="E14" s="89">
        <f t="shared" ref="E14:E52" si="0">E13+1</f>
        <v>2</v>
      </c>
    </row>
    <row r="15" spans="1:8" x14ac:dyDescent="0.3">
      <c r="A15" s="89">
        <f t="shared" ref="A15:A52" si="1">A14+1</f>
        <v>3</v>
      </c>
      <c r="B15" s="92" t="s">
        <v>193</v>
      </c>
      <c r="C15" s="53">
        <f>C13*'Transmission Energy Rates'!F19</f>
        <v>5525.3063672912795</v>
      </c>
      <c r="D15" s="89" t="s">
        <v>333</v>
      </c>
      <c r="E15" s="89">
        <f t="shared" si="0"/>
        <v>3</v>
      </c>
      <c r="G15" s="164"/>
    </row>
    <row r="16" spans="1:8" x14ac:dyDescent="0.3">
      <c r="A16" s="89">
        <f t="shared" si="1"/>
        <v>4</v>
      </c>
      <c r="B16" s="89"/>
      <c r="C16" s="89"/>
      <c r="D16" s="89"/>
      <c r="E16" s="89">
        <f t="shared" si="0"/>
        <v>4</v>
      </c>
    </row>
    <row r="17" spans="1:10" ht="19.5" thickBot="1" x14ac:dyDescent="0.35">
      <c r="A17" s="89">
        <f t="shared" si="1"/>
        <v>5</v>
      </c>
      <c r="B17" s="92" t="s">
        <v>194</v>
      </c>
      <c r="C17" s="44">
        <f>'Allocation of Base TRR - 12 CPS'!E21-C15</f>
        <v>7626.4790609856318</v>
      </c>
      <c r="D17" s="89" t="s">
        <v>381</v>
      </c>
      <c r="E17" s="89">
        <f t="shared" si="0"/>
        <v>5</v>
      </c>
      <c r="G17" s="164"/>
    </row>
    <row r="18" spans="1:10" ht="19.5" thickTop="1" x14ac:dyDescent="0.3">
      <c r="A18" s="89">
        <f t="shared" si="1"/>
        <v>6</v>
      </c>
      <c r="B18" s="92"/>
      <c r="C18" s="63"/>
      <c r="D18" s="89"/>
      <c r="E18" s="89">
        <f t="shared" si="0"/>
        <v>6</v>
      </c>
      <c r="H18" s="98"/>
      <c r="I18" s="98"/>
      <c r="J18" s="99"/>
    </row>
    <row r="19" spans="1:10" ht="22.5" x14ac:dyDescent="0.3">
      <c r="A19" s="89">
        <f t="shared" si="1"/>
        <v>7</v>
      </c>
      <c r="B19" s="92" t="s">
        <v>196</v>
      </c>
      <c r="C19" s="36"/>
      <c r="D19" s="89"/>
      <c r="E19" s="89">
        <f t="shared" si="0"/>
        <v>7</v>
      </c>
    </row>
    <row r="20" spans="1:10" x14ac:dyDescent="0.3">
      <c r="A20" s="89">
        <f t="shared" si="1"/>
        <v>8</v>
      </c>
      <c r="B20" s="92" t="s">
        <v>65</v>
      </c>
      <c r="C20" s="27">
        <f>'Workpapers 2'!E105</f>
        <v>583</v>
      </c>
      <c r="D20" s="89" t="s">
        <v>461</v>
      </c>
      <c r="E20" s="89">
        <f t="shared" si="0"/>
        <v>8</v>
      </c>
      <c r="F20" s="100"/>
      <c r="G20" s="163"/>
    </row>
    <row r="21" spans="1:10" x14ac:dyDescent="0.3">
      <c r="A21" s="89">
        <f t="shared" si="1"/>
        <v>9</v>
      </c>
      <c r="B21" s="92" t="s">
        <v>66</v>
      </c>
      <c r="C21" s="27">
        <f>'Workpapers 2'!E106</f>
        <v>215</v>
      </c>
      <c r="D21" s="89" t="s">
        <v>462</v>
      </c>
      <c r="E21" s="89">
        <f t="shared" si="0"/>
        <v>9</v>
      </c>
      <c r="G21" s="163"/>
    </row>
    <row r="22" spans="1:10" x14ac:dyDescent="0.3">
      <c r="A22" s="89">
        <f t="shared" si="1"/>
        <v>10</v>
      </c>
      <c r="B22" s="92" t="s">
        <v>131</v>
      </c>
      <c r="C22" s="27">
        <f>'Workpapers 2'!E107</f>
        <v>0</v>
      </c>
      <c r="D22" s="89" t="s">
        <v>463</v>
      </c>
      <c r="E22" s="89">
        <f t="shared" si="0"/>
        <v>10</v>
      </c>
      <c r="G22" s="82"/>
    </row>
    <row r="23" spans="1:10" ht="19.5" thickBot="1" x14ac:dyDescent="0.35">
      <c r="A23" s="89">
        <f t="shared" si="1"/>
        <v>11</v>
      </c>
      <c r="B23" s="92" t="s">
        <v>67</v>
      </c>
      <c r="C23" s="9">
        <f>SUM(C20:C22)</f>
        <v>798</v>
      </c>
      <c r="D23" s="89" t="s">
        <v>382</v>
      </c>
      <c r="E23" s="89">
        <f t="shared" si="0"/>
        <v>11</v>
      </c>
      <c r="G23" s="163"/>
    </row>
    <row r="24" spans="1:10" ht="19.5" thickTop="1" x14ac:dyDescent="0.3">
      <c r="A24" s="89">
        <f t="shared" si="1"/>
        <v>12</v>
      </c>
      <c r="B24" s="92"/>
      <c r="C24" s="27"/>
      <c r="D24" s="89"/>
      <c r="E24" s="89">
        <f t="shared" si="0"/>
        <v>12</v>
      </c>
    </row>
    <row r="25" spans="1:10" x14ac:dyDescent="0.3">
      <c r="A25" s="89">
        <f t="shared" si="1"/>
        <v>13</v>
      </c>
      <c r="B25" s="92" t="s">
        <v>88</v>
      </c>
      <c r="C25" s="34"/>
      <c r="D25" s="89"/>
      <c r="E25" s="89">
        <f t="shared" si="0"/>
        <v>13</v>
      </c>
    </row>
    <row r="26" spans="1:10" x14ac:dyDescent="0.3">
      <c r="A26" s="89">
        <f t="shared" si="1"/>
        <v>14</v>
      </c>
      <c r="B26" s="92" t="s">
        <v>130</v>
      </c>
      <c r="C26" s="36"/>
      <c r="D26" s="89"/>
      <c r="E26" s="89">
        <f t="shared" si="0"/>
        <v>14</v>
      </c>
    </row>
    <row r="27" spans="1:10" x14ac:dyDescent="0.3">
      <c r="A27" s="89">
        <f t="shared" si="1"/>
        <v>15</v>
      </c>
      <c r="B27" s="92" t="s">
        <v>65</v>
      </c>
      <c r="C27" s="28">
        <f>C20/C$23</f>
        <v>0.73057644110275688</v>
      </c>
      <c r="D27" s="89" t="s">
        <v>383</v>
      </c>
      <c r="E27" s="89">
        <f t="shared" si="0"/>
        <v>15</v>
      </c>
      <c r="G27" s="82"/>
    </row>
    <row r="28" spans="1:10" x14ac:dyDescent="0.3">
      <c r="A28" s="89">
        <f t="shared" si="1"/>
        <v>16</v>
      </c>
      <c r="B28" s="92" t="s">
        <v>66</v>
      </c>
      <c r="C28" s="28">
        <f>C21/C$23</f>
        <v>0.26942355889724312</v>
      </c>
      <c r="D28" s="89" t="s">
        <v>384</v>
      </c>
      <c r="E28" s="89">
        <f t="shared" si="0"/>
        <v>16</v>
      </c>
      <c r="G28" s="82"/>
    </row>
    <row r="29" spans="1:10" x14ac:dyDescent="0.3">
      <c r="A29" s="89">
        <f t="shared" si="1"/>
        <v>17</v>
      </c>
      <c r="B29" s="92" t="s">
        <v>131</v>
      </c>
      <c r="C29" s="28">
        <f>C22/C$23</f>
        <v>0</v>
      </c>
      <c r="D29" s="89" t="s">
        <v>385</v>
      </c>
      <c r="E29" s="89">
        <f t="shared" si="0"/>
        <v>17</v>
      </c>
      <c r="G29" s="82"/>
    </row>
    <row r="30" spans="1:10" ht="19.5" thickBot="1" x14ac:dyDescent="0.35">
      <c r="A30" s="89">
        <f t="shared" si="1"/>
        <v>18</v>
      </c>
      <c r="B30" s="92" t="s">
        <v>67</v>
      </c>
      <c r="C30" s="26">
        <f>SUM(C27:C29)</f>
        <v>1</v>
      </c>
      <c r="D30" s="89" t="s">
        <v>386</v>
      </c>
      <c r="E30" s="89">
        <f t="shared" si="0"/>
        <v>18</v>
      </c>
      <c r="G30" s="82"/>
    </row>
    <row r="31" spans="1:10" ht="19.5" thickTop="1" x14ac:dyDescent="0.3">
      <c r="A31" s="89">
        <f t="shared" si="1"/>
        <v>19</v>
      </c>
      <c r="B31" s="92"/>
      <c r="C31" s="34"/>
      <c r="D31" s="89"/>
      <c r="E31" s="89">
        <f t="shared" si="0"/>
        <v>19</v>
      </c>
    </row>
    <row r="32" spans="1:10" x14ac:dyDescent="0.3">
      <c r="A32" s="89">
        <f t="shared" si="1"/>
        <v>20</v>
      </c>
      <c r="B32" s="92" t="s">
        <v>64</v>
      </c>
      <c r="C32" s="36"/>
      <c r="D32" s="89"/>
      <c r="E32" s="89">
        <f t="shared" si="0"/>
        <v>20</v>
      </c>
    </row>
    <row r="33" spans="1:7" x14ac:dyDescent="0.3">
      <c r="A33" s="89">
        <f t="shared" si="1"/>
        <v>21</v>
      </c>
      <c r="B33" s="92" t="s">
        <v>65</v>
      </c>
      <c r="C33" s="34">
        <f>C$17*C27</f>
        <v>5571.7259305195785</v>
      </c>
      <c r="D33" s="89" t="s">
        <v>389</v>
      </c>
      <c r="E33" s="89">
        <f t="shared" si="0"/>
        <v>21</v>
      </c>
      <c r="G33" s="164"/>
    </row>
    <row r="34" spans="1:7" x14ac:dyDescent="0.3">
      <c r="A34" s="89">
        <f t="shared" si="1"/>
        <v>22</v>
      </c>
      <c r="B34" s="92" t="s">
        <v>66</v>
      </c>
      <c r="C34" s="34">
        <f>C$17*C28</f>
        <v>2054.7531304660538</v>
      </c>
      <c r="D34" s="89" t="s">
        <v>387</v>
      </c>
      <c r="E34" s="89">
        <f t="shared" si="0"/>
        <v>22</v>
      </c>
      <c r="G34" s="164"/>
    </row>
    <row r="35" spans="1:7" x14ac:dyDescent="0.3">
      <c r="A35" s="89">
        <f t="shared" si="1"/>
        <v>23</v>
      </c>
      <c r="B35" s="92" t="s">
        <v>131</v>
      </c>
      <c r="C35" s="34">
        <f>C$17*C29</f>
        <v>0</v>
      </c>
      <c r="D35" s="89" t="s">
        <v>388</v>
      </c>
      <c r="E35" s="89">
        <f t="shared" si="0"/>
        <v>23</v>
      </c>
      <c r="G35" s="82"/>
    </row>
    <row r="36" spans="1:7" ht="19.5" thickBot="1" x14ac:dyDescent="0.35">
      <c r="A36" s="89">
        <f t="shared" si="1"/>
        <v>24</v>
      </c>
      <c r="B36" s="92" t="s">
        <v>67</v>
      </c>
      <c r="C36" s="6">
        <f>SUM(C33:C35)</f>
        <v>7626.4790609856318</v>
      </c>
      <c r="D36" s="89" t="s">
        <v>390</v>
      </c>
      <c r="E36" s="89">
        <f t="shared" si="0"/>
        <v>24</v>
      </c>
      <c r="G36" s="164"/>
    </row>
    <row r="37" spans="1:7" ht="19.5" thickTop="1" x14ac:dyDescent="0.3">
      <c r="A37" s="89">
        <f t="shared" si="1"/>
        <v>25</v>
      </c>
      <c r="B37" s="92"/>
      <c r="C37" s="28"/>
      <c r="D37" s="89"/>
      <c r="E37" s="89">
        <f t="shared" si="0"/>
        <v>25</v>
      </c>
    </row>
    <row r="38" spans="1:7" x14ac:dyDescent="0.3">
      <c r="A38" s="89">
        <f t="shared" si="1"/>
        <v>26</v>
      </c>
      <c r="B38" s="92" t="s">
        <v>197</v>
      </c>
      <c r="C38" s="62"/>
      <c r="D38" s="89"/>
      <c r="E38" s="89">
        <f t="shared" si="0"/>
        <v>26</v>
      </c>
    </row>
    <row r="39" spans="1:7" x14ac:dyDescent="0.3">
      <c r="A39" s="89">
        <f t="shared" si="1"/>
        <v>27</v>
      </c>
      <c r="B39" s="92" t="s">
        <v>65</v>
      </c>
      <c r="C39" s="27">
        <f>'Workpapers 2'!C105</f>
        <v>557.2326161109595</v>
      </c>
      <c r="D39" s="89" t="s">
        <v>464</v>
      </c>
      <c r="E39" s="89">
        <f t="shared" si="0"/>
        <v>27</v>
      </c>
      <c r="G39" s="163"/>
    </row>
    <row r="40" spans="1:7" x14ac:dyDescent="0.3">
      <c r="A40" s="89">
        <f t="shared" si="1"/>
        <v>28</v>
      </c>
      <c r="B40" s="92" t="s">
        <v>66</v>
      </c>
      <c r="C40" s="27">
        <f>'Workpapers 2'!C106</f>
        <v>212.81580281849224</v>
      </c>
      <c r="D40" s="89" t="s">
        <v>465</v>
      </c>
      <c r="E40" s="89">
        <f t="shared" si="0"/>
        <v>28</v>
      </c>
      <c r="F40" s="100"/>
      <c r="G40" s="163"/>
    </row>
    <row r="41" spans="1:7" x14ac:dyDescent="0.3">
      <c r="A41" s="89">
        <f t="shared" si="1"/>
        <v>29</v>
      </c>
      <c r="B41" s="92" t="s">
        <v>131</v>
      </c>
      <c r="C41" s="27">
        <f>'Workpapers 2'!C107</f>
        <v>0</v>
      </c>
      <c r="D41" s="89" t="s">
        <v>466</v>
      </c>
      <c r="E41" s="89">
        <f t="shared" si="0"/>
        <v>29</v>
      </c>
      <c r="G41" s="82"/>
    </row>
    <row r="42" spans="1:7" ht="19.5" thickBot="1" x14ac:dyDescent="0.35">
      <c r="A42" s="89">
        <f t="shared" si="1"/>
        <v>30</v>
      </c>
      <c r="B42" s="92" t="s">
        <v>67</v>
      </c>
      <c r="C42" s="9">
        <f>SUM(C39:C41)</f>
        <v>770.04841892945171</v>
      </c>
      <c r="D42" s="89" t="s">
        <v>391</v>
      </c>
      <c r="E42" s="89">
        <f t="shared" si="0"/>
        <v>30</v>
      </c>
      <c r="G42" s="163"/>
    </row>
    <row r="43" spans="1:7" ht="19.5" thickTop="1" x14ac:dyDescent="0.3">
      <c r="A43" s="89">
        <f t="shared" si="1"/>
        <v>31</v>
      </c>
      <c r="B43" s="92"/>
      <c r="C43" s="73"/>
      <c r="D43" s="89"/>
      <c r="E43" s="89">
        <f t="shared" si="0"/>
        <v>31</v>
      </c>
    </row>
    <row r="44" spans="1:7" x14ac:dyDescent="0.3">
      <c r="A44" s="89">
        <f t="shared" si="1"/>
        <v>32</v>
      </c>
      <c r="B44" s="92" t="s">
        <v>198</v>
      </c>
      <c r="C44" s="62"/>
      <c r="D44" s="89"/>
      <c r="E44" s="89">
        <f t="shared" si="0"/>
        <v>32</v>
      </c>
    </row>
    <row r="45" spans="1:7" x14ac:dyDescent="0.3">
      <c r="A45" s="89">
        <f t="shared" si="1"/>
        <v>33</v>
      </c>
      <c r="B45" s="92" t="s">
        <v>65</v>
      </c>
      <c r="C45" s="62">
        <f>IF(C39=0, 0, C33/C39)</f>
        <v>9.9989228365808778</v>
      </c>
      <c r="D45" s="89" t="s">
        <v>392</v>
      </c>
      <c r="E45" s="89">
        <f t="shared" si="0"/>
        <v>33</v>
      </c>
      <c r="G45" s="166"/>
    </row>
    <row r="46" spans="1:7" x14ac:dyDescent="0.3">
      <c r="A46" s="89">
        <f t="shared" si="1"/>
        <v>34</v>
      </c>
      <c r="B46" s="92" t="s">
        <v>66</v>
      </c>
      <c r="C46" s="62">
        <f t="shared" ref="C46" si="2">IF(C40=0, 0, C34/C40)</f>
        <v>9.6550777867681443</v>
      </c>
      <c r="D46" s="89" t="s">
        <v>291</v>
      </c>
      <c r="E46" s="89">
        <f t="shared" si="0"/>
        <v>34</v>
      </c>
      <c r="G46" s="166"/>
    </row>
    <row r="47" spans="1:7" x14ac:dyDescent="0.3">
      <c r="A47" s="89">
        <f t="shared" si="1"/>
        <v>35</v>
      </c>
      <c r="B47" s="92" t="s">
        <v>131</v>
      </c>
      <c r="C47" s="62">
        <f>C46*'Workpapers 2'!D107/'Workpapers 2'!D106</f>
        <v>9.6129204893811071</v>
      </c>
      <c r="D47" s="89" t="s">
        <v>467</v>
      </c>
      <c r="E47" s="89">
        <f t="shared" si="0"/>
        <v>35</v>
      </c>
      <c r="G47" s="166"/>
    </row>
    <row r="48" spans="1:7" x14ac:dyDescent="0.3">
      <c r="A48" s="89">
        <f t="shared" si="1"/>
        <v>36</v>
      </c>
      <c r="B48" s="92"/>
      <c r="C48" s="101"/>
      <c r="D48" s="89"/>
      <c r="E48" s="89">
        <f t="shared" si="0"/>
        <v>36</v>
      </c>
      <c r="G48" s="82"/>
    </row>
    <row r="49" spans="1:7" x14ac:dyDescent="0.3">
      <c r="A49" s="89">
        <f t="shared" si="1"/>
        <v>37</v>
      </c>
      <c r="B49" s="92" t="s">
        <v>199</v>
      </c>
      <c r="C49" s="62"/>
      <c r="D49" s="89"/>
      <c r="E49" s="89">
        <f t="shared" si="0"/>
        <v>37</v>
      </c>
    </row>
    <row r="50" spans="1:7" x14ac:dyDescent="0.3">
      <c r="A50" s="89">
        <f t="shared" si="1"/>
        <v>38</v>
      </c>
      <c r="B50" s="92" t="s">
        <v>65</v>
      </c>
      <c r="C50" s="46">
        <f>ROUND(C45,2)</f>
        <v>10</v>
      </c>
      <c r="D50" s="89" t="s">
        <v>393</v>
      </c>
      <c r="E50" s="89">
        <f t="shared" si="0"/>
        <v>38</v>
      </c>
      <c r="G50" s="167"/>
    </row>
    <row r="51" spans="1:7" x14ac:dyDescent="0.3">
      <c r="A51" s="89">
        <f t="shared" si="1"/>
        <v>39</v>
      </c>
      <c r="B51" s="92" t="s">
        <v>66</v>
      </c>
      <c r="C51" s="46">
        <f>ROUND(C46,2)</f>
        <v>9.66</v>
      </c>
      <c r="D51" s="89" t="s">
        <v>9</v>
      </c>
      <c r="E51" s="89">
        <f t="shared" si="0"/>
        <v>39</v>
      </c>
      <c r="G51" s="167"/>
    </row>
    <row r="52" spans="1:7" x14ac:dyDescent="0.3">
      <c r="A52" s="89">
        <f t="shared" si="1"/>
        <v>40</v>
      </c>
      <c r="B52" s="92" t="s">
        <v>131</v>
      </c>
      <c r="C52" s="46">
        <f>ROUND(C47,2)</f>
        <v>9.61</v>
      </c>
      <c r="D52" s="89" t="s">
        <v>10</v>
      </c>
      <c r="E52" s="89">
        <f t="shared" si="0"/>
        <v>40</v>
      </c>
      <c r="G52" s="167"/>
    </row>
    <row r="53" spans="1:7" x14ac:dyDescent="0.3">
      <c r="A53" s="91"/>
      <c r="B53" s="91"/>
      <c r="C53" s="65"/>
      <c r="D53" s="91"/>
      <c r="E53" s="91"/>
      <c r="G53" s="82"/>
    </row>
    <row r="54" spans="1:7" x14ac:dyDescent="0.3">
      <c r="A54" s="94"/>
      <c r="B54" s="95" t="s">
        <v>92</v>
      </c>
    </row>
    <row r="55" spans="1:7" ht="22.5" x14ac:dyDescent="0.3">
      <c r="A55" s="96">
        <v>1</v>
      </c>
      <c r="B55" s="87" t="s">
        <v>195</v>
      </c>
    </row>
    <row r="56" spans="1:7" x14ac:dyDescent="0.3">
      <c r="A56" s="94"/>
      <c r="B56" s="87" t="s">
        <v>213</v>
      </c>
    </row>
    <row r="57" spans="1:7" ht="22.5" x14ac:dyDescent="0.3">
      <c r="A57" s="96">
        <v>2</v>
      </c>
      <c r="B57" s="87" t="s">
        <v>200</v>
      </c>
    </row>
    <row r="58" spans="1:7" ht="22.5" x14ac:dyDescent="0.3">
      <c r="A58" s="96">
        <v>3</v>
      </c>
      <c r="B58" s="87" t="s">
        <v>175</v>
      </c>
    </row>
    <row r="59" spans="1:7" x14ac:dyDescent="0.3">
      <c r="A59" s="94"/>
    </row>
    <row r="60" spans="1:7" x14ac:dyDescent="0.3">
      <c r="A60" s="94"/>
    </row>
    <row r="61" spans="1:7" x14ac:dyDescent="0.3">
      <c r="A61" s="94"/>
    </row>
    <row r="62" spans="1:7" x14ac:dyDescent="0.3">
      <c r="A62" s="94"/>
    </row>
    <row r="63" spans="1:7" x14ac:dyDescent="0.3">
      <c r="A63" s="94"/>
    </row>
    <row r="64" spans="1:7" x14ac:dyDescent="0.3">
      <c r="A64" s="94"/>
    </row>
    <row r="65" spans="1:1" x14ac:dyDescent="0.3">
      <c r="A65" s="94"/>
    </row>
    <row r="66" spans="1:1" x14ac:dyDescent="0.3">
      <c r="A66" s="94"/>
    </row>
    <row r="67" spans="1:1" x14ac:dyDescent="0.3">
      <c r="A67" s="94"/>
    </row>
    <row r="68" spans="1:1" x14ac:dyDescent="0.3">
      <c r="A68" s="94"/>
    </row>
    <row r="69" spans="1:1" x14ac:dyDescent="0.3">
      <c r="A69" s="94"/>
    </row>
    <row r="70" spans="1:1" x14ac:dyDescent="0.3">
      <c r="A70" s="94"/>
    </row>
    <row r="71" spans="1:1" x14ac:dyDescent="0.3">
      <c r="A71" s="94"/>
    </row>
    <row r="72" spans="1:1" x14ac:dyDescent="0.3">
      <c r="A72" s="94"/>
    </row>
    <row r="73" spans="1:1" x14ac:dyDescent="0.3">
      <c r="A73" s="94"/>
    </row>
    <row r="74" spans="1:1" x14ac:dyDescent="0.3">
      <c r="A74" s="94"/>
    </row>
    <row r="75" spans="1:1" x14ac:dyDescent="0.3">
      <c r="A75" s="94"/>
    </row>
    <row r="76" spans="1:1" x14ac:dyDescent="0.3">
      <c r="A76" s="94"/>
    </row>
    <row r="77" spans="1:1" x14ac:dyDescent="0.3">
      <c r="A77" s="94"/>
    </row>
    <row r="78" spans="1:1" x14ac:dyDescent="0.3">
      <c r="A78" s="94"/>
    </row>
    <row r="79" spans="1:1" x14ac:dyDescent="0.3">
      <c r="A79" s="94"/>
    </row>
    <row r="80" spans="1:1" x14ac:dyDescent="0.3">
      <c r="A80" s="94"/>
    </row>
    <row r="81" spans="1:1" x14ac:dyDescent="0.3">
      <c r="A81" s="94"/>
    </row>
    <row r="82" spans="1:1" x14ac:dyDescent="0.3">
      <c r="A82" s="94"/>
    </row>
    <row r="83" spans="1:1" x14ac:dyDescent="0.3">
      <c r="A83" s="94"/>
    </row>
    <row r="84" spans="1:1" x14ac:dyDescent="0.3">
      <c r="A84" s="94"/>
    </row>
    <row r="85" spans="1:1" x14ac:dyDescent="0.3">
      <c r="A85" s="94"/>
    </row>
    <row r="86" spans="1:1" x14ac:dyDescent="0.3">
      <c r="A86" s="94"/>
    </row>
    <row r="87" spans="1:1" x14ac:dyDescent="0.3">
      <c r="A87" s="94"/>
    </row>
    <row r="88" spans="1:1" x14ac:dyDescent="0.3">
      <c r="A88" s="94"/>
    </row>
    <row r="89" spans="1:1" x14ac:dyDescent="0.3">
      <c r="A89" s="94"/>
    </row>
    <row r="90" spans="1:1" x14ac:dyDescent="0.3">
      <c r="A90" s="94"/>
    </row>
    <row r="91" spans="1:1" x14ac:dyDescent="0.3">
      <c r="A91" s="94"/>
    </row>
    <row r="92" spans="1:1" x14ac:dyDescent="0.3">
      <c r="A92" s="94"/>
    </row>
    <row r="93" spans="1:1" x14ac:dyDescent="0.3">
      <c r="A93" s="94"/>
    </row>
    <row r="94" spans="1:1" x14ac:dyDescent="0.3">
      <c r="A94" s="94"/>
    </row>
    <row r="95" spans="1:1" x14ac:dyDescent="0.3">
      <c r="A95" s="94"/>
    </row>
    <row r="96" spans="1:1" x14ac:dyDescent="0.3">
      <c r="A96" s="94"/>
    </row>
    <row r="97" spans="1:1" x14ac:dyDescent="0.3">
      <c r="A97" s="94"/>
    </row>
    <row r="98" spans="1:1" x14ac:dyDescent="0.3">
      <c r="A98" s="94"/>
    </row>
    <row r="99" spans="1:1" x14ac:dyDescent="0.3">
      <c r="A99" s="94"/>
    </row>
    <row r="100" spans="1:1" x14ac:dyDescent="0.3">
      <c r="A100" s="94"/>
    </row>
    <row r="101" spans="1:1" x14ac:dyDescent="0.3">
      <c r="A101" s="94"/>
    </row>
    <row r="102" spans="1:1" x14ac:dyDescent="0.3">
      <c r="A102" s="94"/>
    </row>
    <row r="103" spans="1:1" x14ac:dyDescent="0.3">
      <c r="A103" s="94"/>
    </row>
    <row r="104" spans="1:1" x14ac:dyDescent="0.3">
      <c r="A104" s="94"/>
    </row>
    <row r="105" spans="1:1" x14ac:dyDescent="0.3">
      <c r="A105" s="94"/>
    </row>
    <row r="106" spans="1:1" x14ac:dyDescent="0.3">
      <c r="A106" s="94"/>
    </row>
    <row r="107" spans="1:1" x14ac:dyDescent="0.3">
      <c r="A107" s="94"/>
    </row>
    <row r="108" spans="1:1" x14ac:dyDescent="0.3">
      <c r="A108" s="94"/>
    </row>
    <row r="109" spans="1:1" x14ac:dyDescent="0.3">
      <c r="A109" s="94"/>
    </row>
    <row r="110" spans="1:1" x14ac:dyDescent="0.3">
      <c r="A110" s="94"/>
    </row>
    <row r="111" spans="1:1" x14ac:dyDescent="0.3">
      <c r="A111" s="94"/>
    </row>
    <row r="112" spans="1:1" x14ac:dyDescent="0.3">
      <c r="A112" s="94"/>
    </row>
    <row r="113" spans="1:1" x14ac:dyDescent="0.3">
      <c r="A113" s="94"/>
    </row>
    <row r="114" spans="1:1" x14ac:dyDescent="0.3">
      <c r="A114" s="94"/>
    </row>
    <row r="115" spans="1:1" x14ac:dyDescent="0.3">
      <c r="A115" s="94"/>
    </row>
    <row r="116" spans="1:1" x14ac:dyDescent="0.3">
      <c r="A116" s="94"/>
    </row>
    <row r="117" spans="1:1" x14ac:dyDescent="0.3">
      <c r="A117" s="94"/>
    </row>
    <row r="118" spans="1:1" x14ac:dyDescent="0.3">
      <c r="A118" s="94"/>
    </row>
    <row r="119" spans="1:1" x14ac:dyDescent="0.3">
      <c r="A119" s="94"/>
    </row>
    <row r="120" spans="1:1" x14ac:dyDescent="0.3">
      <c r="A120" s="94"/>
    </row>
    <row r="121" spans="1:1" x14ac:dyDescent="0.3">
      <c r="A121" s="94"/>
    </row>
    <row r="122" spans="1:1" x14ac:dyDescent="0.3">
      <c r="A122" s="94"/>
    </row>
    <row r="123" spans="1:1" x14ac:dyDescent="0.3">
      <c r="A123" s="94"/>
    </row>
    <row r="124" spans="1:1" x14ac:dyDescent="0.3">
      <c r="A124" s="94"/>
    </row>
    <row r="125" spans="1:1" x14ac:dyDescent="0.3">
      <c r="A125" s="94"/>
    </row>
    <row r="126" spans="1:1" x14ac:dyDescent="0.3">
      <c r="A126" s="94"/>
    </row>
    <row r="127" spans="1:1" x14ac:dyDescent="0.3">
      <c r="A127" s="94"/>
    </row>
    <row r="128" spans="1:1" x14ac:dyDescent="0.3">
      <c r="A128" s="94"/>
    </row>
    <row r="129" spans="1:1" x14ac:dyDescent="0.3">
      <c r="A129" s="94"/>
    </row>
    <row r="130" spans="1:1" x14ac:dyDescent="0.3">
      <c r="A130" s="94"/>
    </row>
    <row r="131" spans="1:1" x14ac:dyDescent="0.3">
      <c r="A131" s="94"/>
    </row>
    <row r="132" spans="1:1" x14ac:dyDescent="0.3">
      <c r="A132" s="94"/>
    </row>
    <row r="133" spans="1:1" x14ac:dyDescent="0.3">
      <c r="A133" s="94"/>
    </row>
    <row r="134" spans="1:1" x14ac:dyDescent="0.3">
      <c r="A134" s="94"/>
    </row>
    <row r="135" spans="1:1" x14ac:dyDescent="0.3">
      <c r="A135" s="94"/>
    </row>
    <row r="136" spans="1:1" x14ac:dyDescent="0.3">
      <c r="A136" s="94"/>
    </row>
    <row r="137" spans="1:1" x14ac:dyDescent="0.3">
      <c r="A137" s="94"/>
    </row>
    <row r="138" spans="1:1" x14ac:dyDescent="0.3">
      <c r="A138" s="94"/>
    </row>
    <row r="139" spans="1:1" x14ac:dyDescent="0.3">
      <c r="A139" s="94"/>
    </row>
    <row r="140" spans="1:1" x14ac:dyDescent="0.3">
      <c r="A140" s="94"/>
    </row>
    <row r="141" spans="1:1" x14ac:dyDescent="0.3">
      <c r="A141" s="94"/>
    </row>
    <row r="142" spans="1:1" x14ac:dyDescent="0.3">
      <c r="A142" s="94"/>
    </row>
    <row r="143" spans="1:1" x14ac:dyDescent="0.3">
      <c r="A143" s="94"/>
    </row>
    <row r="144" spans="1:1" x14ac:dyDescent="0.3">
      <c r="A144" s="94"/>
    </row>
    <row r="145" spans="1:1" x14ac:dyDescent="0.3">
      <c r="A145" s="94"/>
    </row>
    <row r="146" spans="1:1" x14ac:dyDescent="0.3">
      <c r="A146" s="94"/>
    </row>
    <row r="147" spans="1:1" x14ac:dyDescent="0.3">
      <c r="A147" s="94"/>
    </row>
    <row r="148" spans="1:1" x14ac:dyDescent="0.3">
      <c r="A148" s="94"/>
    </row>
    <row r="149" spans="1:1" x14ac:dyDescent="0.3">
      <c r="A149" s="94"/>
    </row>
    <row r="150" spans="1:1" x14ac:dyDescent="0.3">
      <c r="A150" s="94"/>
    </row>
    <row r="151" spans="1:1" x14ac:dyDescent="0.3">
      <c r="A151" s="94"/>
    </row>
    <row r="152" spans="1:1" x14ac:dyDescent="0.3">
      <c r="A152" s="94"/>
    </row>
    <row r="153" spans="1:1" x14ac:dyDescent="0.3">
      <c r="A153" s="94"/>
    </row>
    <row r="154" spans="1:1" x14ac:dyDescent="0.3">
      <c r="A154" s="94"/>
    </row>
    <row r="155" spans="1:1" x14ac:dyDescent="0.3">
      <c r="A155" s="94"/>
    </row>
    <row r="156" spans="1:1" x14ac:dyDescent="0.3">
      <c r="A156" s="94"/>
    </row>
    <row r="157" spans="1:1" x14ac:dyDescent="0.3">
      <c r="A157" s="94"/>
    </row>
    <row r="158" spans="1:1" x14ac:dyDescent="0.3">
      <c r="A158" s="94"/>
    </row>
    <row r="159" spans="1:1" x14ac:dyDescent="0.3">
      <c r="A159" s="94"/>
    </row>
    <row r="160" spans="1:1" x14ac:dyDescent="0.3">
      <c r="A160" s="94"/>
    </row>
    <row r="161" spans="1:1" x14ac:dyDescent="0.3">
      <c r="A161" s="94"/>
    </row>
    <row r="162" spans="1:1" x14ac:dyDescent="0.3">
      <c r="A162" s="94"/>
    </row>
    <row r="163" spans="1:1" x14ac:dyDescent="0.3">
      <c r="A163" s="94"/>
    </row>
    <row r="164" spans="1:1" x14ac:dyDescent="0.3">
      <c r="A164" s="94"/>
    </row>
    <row r="165" spans="1:1" x14ac:dyDescent="0.3">
      <c r="A165" s="94"/>
    </row>
    <row r="166" spans="1:1" x14ac:dyDescent="0.3">
      <c r="A166" s="94"/>
    </row>
    <row r="167" spans="1:1" x14ac:dyDescent="0.3">
      <c r="A167" s="94"/>
    </row>
  </sheetData>
  <mergeCells count="6">
    <mergeCell ref="A1:E1"/>
    <mergeCell ref="A6:E6"/>
    <mergeCell ref="A2:E2"/>
    <mergeCell ref="A3:E3"/>
    <mergeCell ref="A4:E4"/>
    <mergeCell ref="A5:E5"/>
  </mergeCells>
  <phoneticPr fontId="2" type="noConversion"/>
  <printOptions horizontalCentered="1"/>
  <pageMargins left="0.25" right="0.25" top="0.5" bottom="0.5" header="0.25" footer="0.25"/>
  <pageSetup scale="51" orientation="portrait" r:id="rId1"/>
  <headerFooter scaleWithDoc="0">
    <oddFooter>&amp;L&amp;"Times New Roman,Regular"&amp;9Statement BL-Agricultural Customers&amp;C&amp;"Times New Roman,Regular"&amp;9Page BL-&amp;P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>
    <pageSetUpPr fitToPage="1"/>
  </sheetPr>
  <dimension ref="A1:G163"/>
  <sheetViews>
    <sheetView zoomScale="75" zoomScaleNormal="75" workbookViewId="0">
      <selection activeCell="G7" sqref="G7"/>
    </sheetView>
  </sheetViews>
  <sheetFormatPr defaultColWidth="9.140625" defaultRowHeight="18.75" x14ac:dyDescent="0.3"/>
  <cols>
    <col min="1" max="1" width="5.85546875" style="12" bestFit="1" customWidth="1"/>
    <col min="2" max="2" width="72.140625" style="12" bestFit="1" customWidth="1"/>
    <col min="3" max="3" width="25.28515625" style="12" bestFit="1" customWidth="1"/>
    <col min="4" max="4" width="43.7109375" style="12" customWidth="1"/>
    <col min="5" max="5" width="5.85546875" style="12" bestFit="1" customWidth="1"/>
    <col min="6" max="6" width="9.140625" style="12"/>
    <col min="7" max="7" width="15.7109375" style="12" customWidth="1"/>
    <col min="8" max="8" width="18.7109375" style="12" customWidth="1"/>
    <col min="9" max="9" width="15.7109375" style="12" customWidth="1"/>
    <col min="10" max="16384" width="9.140625" style="12"/>
  </cols>
  <sheetData>
    <row r="1" spans="1:7" x14ac:dyDescent="0.3">
      <c r="A1" s="177" t="str">
        <f>'Transmission Rates Summary'!A1:H1</f>
        <v>Statement BL</v>
      </c>
      <c r="B1" s="177"/>
      <c r="C1" s="177"/>
      <c r="D1" s="177"/>
      <c r="E1" s="177"/>
    </row>
    <row r="2" spans="1:7" x14ac:dyDescent="0.3">
      <c r="A2" s="177" t="str">
        <f>'Transmission Rates Summary'!A2:H2</f>
        <v>SAN DIEGO GAS AND ELECTRIC COMPANY</v>
      </c>
      <c r="B2" s="177"/>
      <c r="C2" s="177"/>
      <c r="D2" s="177"/>
      <c r="E2" s="177"/>
    </row>
    <row r="3" spans="1:7" x14ac:dyDescent="0.3">
      <c r="A3" s="177" t="str">
        <f>'Transmission Rates Summary'!A3:H3</f>
        <v>Rate Design Information</v>
      </c>
      <c r="B3" s="177"/>
      <c r="C3" s="177"/>
      <c r="D3" s="177"/>
      <c r="E3" s="177"/>
    </row>
    <row r="4" spans="1:7" ht="22.5" customHeight="1" x14ac:dyDescent="0.3">
      <c r="A4" s="179" t="s">
        <v>129</v>
      </c>
      <c r="B4" s="179"/>
      <c r="C4" s="179"/>
      <c r="D4" s="179"/>
      <c r="E4" s="179"/>
    </row>
    <row r="5" spans="1:7" x14ac:dyDescent="0.3">
      <c r="A5" s="177" t="s">
        <v>516</v>
      </c>
      <c r="B5" s="177"/>
      <c r="C5" s="177"/>
      <c r="D5" s="177"/>
      <c r="E5" s="177"/>
    </row>
    <row r="6" spans="1:7" x14ac:dyDescent="0.3">
      <c r="A6" s="180" t="str">
        <f>'Allocation of Base TRR - 12 CPS'!A6:G6</f>
        <v>($000)</v>
      </c>
      <c r="B6" s="180"/>
      <c r="C6" s="180"/>
      <c r="D6" s="180"/>
      <c r="E6" s="180"/>
    </row>
    <row r="8" spans="1:7" x14ac:dyDescent="0.3">
      <c r="A8" s="15"/>
      <c r="B8" s="76"/>
      <c r="C8" s="15" t="s">
        <v>48</v>
      </c>
      <c r="D8" s="15"/>
      <c r="E8" s="15"/>
    </row>
    <row r="9" spans="1:7" x14ac:dyDescent="0.3">
      <c r="A9" s="3"/>
      <c r="B9" s="4"/>
      <c r="C9" s="3" t="s">
        <v>442</v>
      </c>
      <c r="D9" s="3"/>
      <c r="E9" s="3"/>
    </row>
    <row r="10" spans="1:7" x14ac:dyDescent="0.3">
      <c r="A10" s="3" t="s">
        <v>29</v>
      </c>
      <c r="B10" s="4"/>
      <c r="C10" s="3"/>
      <c r="D10" s="3"/>
      <c r="E10" s="3" t="s">
        <v>29</v>
      </c>
    </row>
    <row r="11" spans="1:7" ht="22.5" x14ac:dyDescent="0.3">
      <c r="A11" s="2" t="s">
        <v>31</v>
      </c>
      <c r="B11" s="2" t="s">
        <v>100</v>
      </c>
      <c r="C11" s="2"/>
      <c r="D11" s="2" t="s">
        <v>172</v>
      </c>
      <c r="E11" s="2" t="s">
        <v>31</v>
      </c>
    </row>
    <row r="12" spans="1:7" x14ac:dyDescent="0.3">
      <c r="A12" s="15"/>
      <c r="B12" s="15"/>
      <c r="C12" s="15"/>
      <c r="D12" s="15"/>
      <c r="E12" s="15"/>
    </row>
    <row r="13" spans="1:7" ht="19.5" thickBot="1" x14ac:dyDescent="0.35">
      <c r="A13" s="3">
        <v>1</v>
      </c>
      <c r="B13" s="25" t="s">
        <v>83</v>
      </c>
      <c r="C13" s="44">
        <f>'Allocation of Base TRR - 12 CPS'!E23</f>
        <v>12545.984799785168</v>
      </c>
      <c r="D13" s="3" t="s">
        <v>379</v>
      </c>
      <c r="E13" s="3">
        <v>1</v>
      </c>
      <c r="G13" s="164"/>
    </row>
    <row r="14" spans="1:7" ht="19.5" thickTop="1" x14ac:dyDescent="0.3">
      <c r="A14" s="3">
        <f>A13+1</f>
        <v>2</v>
      </c>
      <c r="B14" s="25"/>
      <c r="C14" s="63"/>
      <c r="D14" s="3"/>
      <c r="E14" s="3">
        <f>E13+1</f>
        <v>2</v>
      </c>
    </row>
    <row r="15" spans="1:7" x14ac:dyDescent="0.3">
      <c r="A15" s="3">
        <f t="shared" ref="A15:A49" si="0">A14+1</f>
        <v>3</v>
      </c>
      <c r="B15" s="25" t="s">
        <v>132</v>
      </c>
      <c r="C15" s="36"/>
      <c r="D15" s="3"/>
      <c r="E15" s="3">
        <f t="shared" ref="E15:E49" si="1">E14+1</f>
        <v>3</v>
      </c>
    </row>
    <row r="16" spans="1:7" x14ac:dyDescent="0.3">
      <c r="A16" s="3">
        <f t="shared" si="0"/>
        <v>4</v>
      </c>
      <c r="B16" s="25" t="s">
        <v>452</v>
      </c>
      <c r="C16" s="36"/>
      <c r="D16" s="45"/>
      <c r="E16" s="3">
        <f t="shared" si="1"/>
        <v>4</v>
      </c>
    </row>
    <row r="17" spans="1:7" x14ac:dyDescent="0.3">
      <c r="A17" s="3">
        <f t="shared" si="0"/>
        <v>5</v>
      </c>
      <c r="B17" s="25" t="s">
        <v>65</v>
      </c>
      <c r="C17" s="27">
        <f>'Workpapers 2'!E112</f>
        <v>77</v>
      </c>
      <c r="D17" s="3" t="s">
        <v>458</v>
      </c>
      <c r="E17" s="3">
        <f t="shared" si="1"/>
        <v>5</v>
      </c>
      <c r="G17" s="163"/>
    </row>
    <row r="18" spans="1:7" x14ac:dyDescent="0.3">
      <c r="A18" s="3">
        <f t="shared" si="0"/>
        <v>6</v>
      </c>
      <c r="B18" s="25" t="s">
        <v>66</v>
      </c>
      <c r="C18" s="27">
        <f>'Workpapers 2'!E113</f>
        <v>1027</v>
      </c>
      <c r="D18" s="3" t="s">
        <v>459</v>
      </c>
      <c r="E18" s="3">
        <f t="shared" si="1"/>
        <v>6</v>
      </c>
      <c r="G18" s="163"/>
    </row>
    <row r="19" spans="1:7" x14ac:dyDescent="0.3">
      <c r="A19" s="3">
        <f t="shared" si="0"/>
        <v>7</v>
      </c>
      <c r="B19" s="25" t="s">
        <v>101</v>
      </c>
      <c r="C19" s="27">
        <f>'Workpapers 2'!E114</f>
        <v>660</v>
      </c>
      <c r="D19" s="3" t="s">
        <v>460</v>
      </c>
      <c r="E19" s="3">
        <f t="shared" si="1"/>
        <v>7</v>
      </c>
      <c r="G19" s="163"/>
    </row>
    <row r="20" spans="1:7" ht="19.5" thickBot="1" x14ac:dyDescent="0.35">
      <c r="A20" s="3">
        <f t="shared" si="0"/>
        <v>8</v>
      </c>
      <c r="B20" s="25" t="s">
        <v>67</v>
      </c>
      <c r="C20" s="9">
        <f>SUM(C17:C19)</f>
        <v>1764</v>
      </c>
      <c r="D20" s="3" t="s">
        <v>85</v>
      </c>
      <c r="E20" s="3">
        <f t="shared" si="1"/>
        <v>8</v>
      </c>
      <c r="G20" s="163"/>
    </row>
    <row r="21" spans="1:7" ht="19.5" thickTop="1" x14ac:dyDescent="0.3">
      <c r="A21" s="3">
        <f t="shared" si="0"/>
        <v>9</v>
      </c>
      <c r="B21" s="25"/>
      <c r="C21" s="27"/>
      <c r="D21" s="3"/>
      <c r="E21" s="3">
        <f t="shared" si="1"/>
        <v>9</v>
      </c>
    </row>
    <row r="22" spans="1:7" x14ac:dyDescent="0.3">
      <c r="A22" s="3">
        <f t="shared" si="0"/>
        <v>10</v>
      </c>
      <c r="B22" s="25" t="s">
        <v>88</v>
      </c>
      <c r="C22" s="34"/>
      <c r="D22" s="3"/>
      <c r="E22" s="3">
        <f t="shared" si="1"/>
        <v>10</v>
      </c>
    </row>
    <row r="23" spans="1:7" x14ac:dyDescent="0.3">
      <c r="A23" s="3">
        <f t="shared" si="0"/>
        <v>11</v>
      </c>
      <c r="B23" s="25" t="s">
        <v>130</v>
      </c>
      <c r="C23" s="36"/>
      <c r="D23" s="3"/>
      <c r="E23" s="3">
        <f t="shared" si="1"/>
        <v>11</v>
      </c>
    </row>
    <row r="24" spans="1:7" x14ac:dyDescent="0.3">
      <c r="A24" s="3">
        <f t="shared" si="0"/>
        <v>12</v>
      </c>
      <c r="B24" s="25" t="s">
        <v>65</v>
      </c>
      <c r="C24" s="28">
        <f>C17/C$20</f>
        <v>4.3650793650793648E-2</v>
      </c>
      <c r="D24" s="3" t="s">
        <v>133</v>
      </c>
      <c r="E24" s="3">
        <f t="shared" si="1"/>
        <v>12</v>
      </c>
      <c r="G24" s="82"/>
    </row>
    <row r="25" spans="1:7" x14ac:dyDescent="0.3">
      <c r="A25" s="3">
        <f t="shared" si="0"/>
        <v>13</v>
      </c>
      <c r="B25" s="25" t="s">
        <v>66</v>
      </c>
      <c r="C25" s="28">
        <f>C18/C$20</f>
        <v>0.58219954648526073</v>
      </c>
      <c r="D25" s="3" t="s">
        <v>161</v>
      </c>
      <c r="E25" s="3">
        <f t="shared" si="1"/>
        <v>13</v>
      </c>
      <c r="G25" s="82"/>
    </row>
    <row r="26" spans="1:7" x14ac:dyDescent="0.3">
      <c r="A26" s="3">
        <f t="shared" si="0"/>
        <v>14</v>
      </c>
      <c r="B26" s="25" t="s">
        <v>131</v>
      </c>
      <c r="C26" s="28">
        <f>C19/C$20</f>
        <v>0.37414965986394561</v>
      </c>
      <c r="D26" s="3" t="s">
        <v>162</v>
      </c>
      <c r="E26" s="3">
        <f t="shared" si="1"/>
        <v>14</v>
      </c>
      <c r="G26" s="82"/>
    </row>
    <row r="27" spans="1:7" ht="19.5" thickBot="1" x14ac:dyDescent="0.35">
      <c r="A27" s="3">
        <f t="shared" si="0"/>
        <v>15</v>
      </c>
      <c r="B27" s="25" t="s">
        <v>67</v>
      </c>
      <c r="C27" s="26">
        <f>SUM(C24:C26)</f>
        <v>1</v>
      </c>
      <c r="D27" s="3" t="s">
        <v>86</v>
      </c>
      <c r="E27" s="3">
        <f t="shared" si="1"/>
        <v>15</v>
      </c>
      <c r="G27" s="82"/>
    </row>
    <row r="28" spans="1:7" ht="19.5" thickTop="1" x14ac:dyDescent="0.3">
      <c r="A28" s="3">
        <f t="shared" si="0"/>
        <v>16</v>
      </c>
      <c r="B28" s="25"/>
      <c r="C28" s="72"/>
      <c r="D28" s="3"/>
      <c r="E28" s="3">
        <f t="shared" si="1"/>
        <v>16</v>
      </c>
    </row>
    <row r="29" spans="1:7" x14ac:dyDescent="0.3">
      <c r="A29" s="3">
        <f t="shared" si="0"/>
        <v>17</v>
      </c>
      <c r="B29" s="25" t="s">
        <v>64</v>
      </c>
      <c r="C29" s="36"/>
      <c r="D29" s="3"/>
      <c r="E29" s="3">
        <f t="shared" si="1"/>
        <v>17</v>
      </c>
      <c r="G29" s="82"/>
    </row>
    <row r="30" spans="1:7" x14ac:dyDescent="0.3">
      <c r="A30" s="3">
        <f t="shared" si="0"/>
        <v>18</v>
      </c>
      <c r="B30" s="25" t="s">
        <v>65</v>
      </c>
      <c r="C30" s="34">
        <f>C$13*C24</f>
        <v>547.64219364141604</v>
      </c>
      <c r="D30" s="3" t="s">
        <v>84</v>
      </c>
      <c r="E30" s="3">
        <f t="shared" si="1"/>
        <v>18</v>
      </c>
      <c r="G30" s="164"/>
    </row>
    <row r="31" spans="1:7" x14ac:dyDescent="0.3">
      <c r="A31" s="3">
        <f t="shared" si="0"/>
        <v>19</v>
      </c>
      <c r="B31" s="25" t="s">
        <v>66</v>
      </c>
      <c r="C31" s="34">
        <f>C$13*C25</f>
        <v>7304.2666606458997</v>
      </c>
      <c r="D31" s="3" t="s">
        <v>134</v>
      </c>
      <c r="E31" s="3">
        <f t="shared" si="1"/>
        <v>19</v>
      </c>
      <c r="G31" s="164"/>
    </row>
    <row r="32" spans="1:7" x14ac:dyDescent="0.3">
      <c r="A32" s="3">
        <f t="shared" si="0"/>
        <v>20</v>
      </c>
      <c r="B32" s="25" t="s">
        <v>131</v>
      </c>
      <c r="C32" s="34">
        <f>C$13*C26</f>
        <v>4694.0759454978524</v>
      </c>
      <c r="D32" s="3" t="s">
        <v>135</v>
      </c>
      <c r="E32" s="3">
        <f t="shared" si="1"/>
        <v>20</v>
      </c>
      <c r="G32" s="164"/>
    </row>
    <row r="33" spans="1:7" ht="19.5" thickBot="1" x14ac:dyDescent="0.35">
      <c r="A33" s="3">
        <f t="shared" si="0"/>
        <v>21</v>
      </c>
      <c r="B33" s="25" t="s">
        <v>67</v>
      </c>
      <c r="C33" s="6">
        <f>SUM(C30:C32)</f>
        <v>12545.984799785168</v>
      </c>
      <c r="D33" s="3" t="s">
        <v>96</v>
      </c>
      <c r="E33" s="3">
        <f t="shared" si="1"/>
        <v>21</v>
      </c>
      <c r="G33" s="164"/>
    </row>
    <row r="34" spans="1:7" ht="19.5" thickTop="1" x14ac:dyDescent="0.3">
      <c r="A34" s="3">
        <f t="shared" si="0"/>
        <v>22</v>
      </c>
      <c r="B34" s="25"/>
      <c r="C34" s="34"/>
      <c r="D34" s="3"/>
      <c r="E34" s="3">
        <f t="shared" si="1"/>
        <v>22</v>
      </c>
    </row>
    <row r="35" spans="1:7" x14ac:dyDescent="0.3">
      <c r="A35" s="3">
        <f t="shared" si="0"/>
        <v>23</v>
      </c>
      <c r="B35" s="25" t="s">
        <v>112</v>
      </c>
      <c r="C35" s="36"/>
      <c r="D35" s="3"/>
      <c r="E35" s="3">
        <f t="shared" si="1"/>
        <v>23</v>
      </c>
    </row>
    <row r="36" spans="1:7" x14ac:dyDescent="0.3">
      <c r="A36" s="3">
        <f t="shared" si="0"/>
        <v>24</v>
      </c>
      <c r="B36" s="25" t="s">
        <v>65</v>
      </c>
      <c r="C36" s="27">
        <f>'Workpapers 2'!C112</f>
        <v>73.775999999999982</v>
      </c>
      <c r="D36" s="3" t="s">
        <v>455</v>
      </c>
      <c r="E36" s="3">
        <f t="shared" si="1"/>
        <v>24</v>
      </c>
      <c r="G36" s="163"/>
    </row>
    <row r="37" spans="1:7" x14ac:dyDescent="0.3">
      <c r="A37" s="3">
        <f t="shared" si="0"/>
        <v>25</v>
      </c>
      <c r="B37" s="25" t="s">
        <v>66</v>
      </c>
      <c r="C37" s="27">
        <f>'Workpapers 2'!C113</f>
        <v>1016.1840000000001</v>
      </c>
      <c r="D37" s="3" t="s">
        <v>456</v>
      </c>
      <c r="E37" s="3">
        <f t="shared" si="1"/>
        <v>25</v>
      </c>
      <c r="G37" s="163"/>
    </row>
    <row r="38" spans="1:7" x14ac:dyDescent="0.3">
      <c r="A38" s="3">
        <f t="shared" si="0"/>
        <v>26</v>
      </c>
      <c r="B38" s="25" t="s">
        <v>131</v>
      </c>
      <c r="C38" s="27">
        <f>'Workpapers 2'!C114</f>
        <v>656.11200000000008</v>
      </c>
      <c r="D38" s="3" t="s">
        <v>457</v>
      </c>
      <c r="E38" s="3">
        <f t="shared" si="1"/>
        <v>26</v>
      </c>
      <c r="G38" s="163"/>
    </row>
    <row r="39" spans="1:7" ht="19.5" thickBot="1" x14ac:dyDescent="0.35">
      <c r="A39" s="3">
        <f t="shared" si="0"/>
        <v>27</v>
      </c>
      <c r="B39" s="25" t="s">
        <v>67</v>
      </c>
      <c r="C39" s="9">
        <f>SUM(C36:C38)</f>
        <v>1746.0720000000001</v>
      </c>
      <c r="D39" s="3" t="s">
        <v>136</v>
      </c>
      <c r="E39" s="3">
        <f t="shared" si="1"/>
        <v>27</v>
      </c>
      <c r="G39" s="163"/>
    </row>
    <row r="40" spans="1:7" ht="19.5" thickTop="1" x14ac:dyDescent="0.3">
      <c r="A40" s="3">
        <f t="shared" si="0"/>
        <v>28</v>
      </c>
      <c r="B40" s="25"/>
      <c r="C40" s="34"/>
      <c r="D40" s="3"/>
      <c r="E40" s="3">
        <f t="shared" si="1"/>
        <v>28</v>
      </c>
    </row>
    <row r="41" spans="1:7" x14ac:dyDescent="0.3">
      <c r="A41" s="3">
        <f t="shared" si="0"/>
        <v>29</v>
      </c>
      <c r="B41" s="25" t="s">
        <v>73</v>
      </c>
      <c r="C41" s="36"/>
      <c r="D41" s="3"/>
      <c r="E41" s="3">
        <f t="shared" si="1"/>
        <v>29</v>
      </c>
    </row>
    <row r="42" spans="1:7" x14ac:dyDescent="0.3">
      <c r="A42" s="3">
        <f t="shared" si="0"/>
        <v>30</v>
      </c>
      <c r="B42" s="25" t="s">
        <v>65</v>
      </c>
      <c r="C42" s="36">
        <f>C30/C36</f>
        <v>7.4230399268246607</v>
      </c>
      <c r="D42" s="3" t="s">
        <v>81</v>
      </c>
      <c r="E42" s="3">
        <f t="shared" si="1"/>
        <v>30</v>
      </c>
      <c r="G42" s="166"/>
    </row>
    <row r="43" spans="1:7" x14ac:dyDescent="0.3">
      <c r="A43" s="3">
        <f t="shared" si="0"/>
        <v>31</v>
      </c>
      <c r="B43" s="25" t="s">
        <v>66</v>
      </c>
      <c r="C43" s="36">
        <f t="shared" ref="C43:C44" si="2">C31/C37</f>
        <v>7.1879370868326005</v>
      </c>
      <c r="D43" s="3" t="s">
        <v>137</v>
      </c>
      <c r="E43" s="3">
        <f t="shared" si="1"/>
        <v>31</v>
      </c>
      <c r="G43" s="166"/>
    </row>
    <row r="44" spans="1:7" x14ac:dyDescent="0.3">
      <c r="A44" s="3">
        <f t="shared" si="0"/>
        <v>32</v>
      </c>
      <c r="B44" s="25" t="s">
        <v>131</v>
      </c>
      <c r="C44" s="36">
        <f t="shared" si="2"/>
        <v>7.1543820955840651</v>
      </c>
      <c r="D44" s="3" t="s">
        <v>138</v>
      </c>
      <c r="E44" s="3">
        <f t="shared" si="1"/>
        <v>32</v>
      </c>
      <c r="G44" s="166"/>
    </row>
    <row r="45" spans="1:7" x14ac:dyDescent="0.3">
      <c r="A45" s="3">
        <f t="shared" si="0"/>
        <v>33</v>
      </c>
      <c r="B45" s="25"/>
      <c r="C45" s="5"/>
      <c r="D45" s="3"/>
      <c r="E45" s="3">
        <f t="shared" si="1"/>
        <v>33</v>
      </c>
      <c r="G45" s="82"/>
    </row>
    <row r="46" spans="1:7" x14ac:dyDescent="0.3">
      <c r="A46" s="3">
        <f t="shared" si="0"/>
        <v>34</v>
      </c>
      <c r="B46" s="25" t="s">
        <v>74</v>
      </c>
      <c r="C46" s="5"/>
      <c r="D46" s="3"/>
      <c r="E46" s="3">
        <f t="shared" si="1"/>
        <v>34</v>
      </c>
    </row>
    <row r="47" spans="1:7" x14ac:dyDescent="0.3">
      <c r="A47" s="3">
        <f t="shared" si="0"/>
        <v>35</v>
      </c>
      <c r="B47" s="25" t="s">
        <v>65</v>
      </c>
      <c r="C47" s="46">
        <f>ROUND(C42,2)</f>
        <v>7.42</v>
      </c>
      <c r="D47" s="3" t="s">
        <v>94</v>
      </c>
      <c r="E47" s="3">
        <f t="shared" si="1"/>
        <v>35</v>
      </c>
      <c r="G47" s="167"/>
    </row>
    <row r="48" spans="1:7" x14ac:dyDescent="0.3">
      <c r="A48" s="3">
        <f t="shared" si="0"/>
        <v>36</v>
      </c>
      <c r="B48" s="25" t="s">
        <v>66</v>
      </c>
      <c r="C48" s="46">
        <f>ROUND(C43,2)</f>
        <v>7.19</v>
      </c>
      <c r="D48" s="3" t="s">
        <v>97</v>
      </c>
      <c r="E48" s="3">
        <f t="shared" si="1"/>
        <v>36</v>
      </c>
      <c r="G48" s="167"/>
    </row>
    <row r="49" spans="1:7" x14ac:dyDescent="0.3">
      <c r="A49" s="3">
        <f t="shared" si="0"/>
        <v>37</v>
      </c>
      <c r="B49" s="25" t="s">
        <v>131</v>
      </c>
      <c r="C49" s="46">
        <f>ROUND(C44,2)</f>
        <v>7.15</v>
      </c>
      <c r="D49" s="3" t="s">
        <v>139</v>
      </c>
      <c r="E49" s="3">
        <f t="shared" si="1"/>
        <v>37</v>
      </c>
      <c r="G49" s="167"/>
    </row>
    <row r="50" spans="1:7" x14ac:dyDescent="0.3">
      <c r="A50" s="2"/>
      <c r="B50" s="2"/>
      <c r="C50" s="47"/>
      <c r="D50" s="2"/>
      <c r="E50" s="2"/>
      <c r="G50" s="82"/>
    </row>
    <row r="51" spans="1:7" x14ac:dyDescent="0.3">
      <c r="A51" s="1"/>
      <c r="B51" s="13" t="s">
        <v>174</v>
      </c>
    </row>
    <row r="52" spans="1:7" ht="22.5" x14ac:dyDescent="0.3">
      <c r="A52" s="67">
        <v>1</v>
      </c>
      <c r="B52" s="12" t="s">
        <v>175</v>
      </c>
    </row>
    <row r="53" spans="1:7" x14ac:dyDescent="0.3">
      <c r="A53" s="1"/>
      <c r="B53" s="13"/>
    </row>
    <row r="54" spans="1:7" ht="22.5" x14ac:dyDescent="0.3">
      <c r="A54" s="67"/>
    </row>
    <row r="55" spans="1:7" x14ac:dyDescent="0.3">
      <c r="A55" s="1"/>
    </row>
    <row r="56" spans="1:7" x14ac:dyDescent="0.3">
      <c r="A56" s="1"/>
    </row>
    <row r="57" spans="1:7" x14ac:dyDescent="0.3">
      <c r="A57" s="1"/>
    </row>
    <row r="58" spans="1:7" x14ac:dyDescent="0.3">
      <c r="A58" s="1"/>
    </row>
    <row r="59" spans="1:7" x14ac:dyDescent="0.3">
      <c r="A59" s="1"/>
    </row>
    <row r="60" spans="1:7" x14ac:dyDescent="0.3">
      <c r="A60" s="1"/>
    </row>
    <row r="61" spans="1:7" x14ac:dyDescent="0.3">
      <c r="A61" s="1"/>
    </row>
    <row r="62" spans="1:7" x14ac:dyDescent="0.3">
      <c r="A62" s="1"/>
    </row>
    <row r="63" spans="1:7" x14ac:dyDescent="0.3">
      <c r="A63" s="1"/>
    </row>
    <row r="64" spans="1:7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</sheetData>
  <mergeCells count="6">
    <mergeCell ref="A4:E4"/>
    <mergeCell ref="A6:E6"/>
    <mergeCell ref="A1:E1"/>
    <mergeCell ref="A2:E2"/>
    <mergeCell ref="A3:E3"/>
    <mergeCell ref="A5:E5"/>
  </mergeCells>
  <phoneticPr fontId="0" type="noConversion"/>
  <printOptions horizontalCentered="1"/>
  <pageMargins left="0.25" right="0.25" top="0.5" bottom="0.5" header="0.25" footer="0.25"/>
  <pageSetup scale="68" orientation="portrait" r:id="rId1"/>
  <headerFooter scaleWithDoc="0">
    <oddFooter>&amp;L&amp;"Times New Roman,Regular"&amp;9Statement BL-Standby Customers&amp;C&amp;"Times New Roman,Regular"&amp;9Page BL-&amp;P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5F1850-504A-45AE-BAD4-354DDCB60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A4BC6-DC51-4845-A1D5-A365B17252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584168-C8B0-4AE7-94A6-F2E0A4E1E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Transmission Rates Summary</vt:lpstr>
      <vt:lpstr>Allocation of Base TRR - 12 CPS</vt:lpstr>
      <vt:lpstr>Transmission Energy Rates</vt:lpstr>
      <vt:lpstr>Med &amp; Lrg C-I NCD</vt:lpstr>
      <vt:lpstr>Med &amp; Lrg C-I NCD Revenues</vt:lpstr>
      <vt:lpstr>M&amp;L C-I On-Peak Demand</vt:lpstr>
      <vt:lpstr>M&amp;L C-I System Peak Demand</vt:lpstr>
      <vt:lpstr>AG NCD</vt:lpstr>
      <vt:lpstr>Standby Demand</vt:lpstr>
      <vt:lpstr>Summary of Revenues</vt:lpstr>
      <vt:lpstr>San Diego Unified Port District</vt:lpstr>
      <vt:lpstr>Workpapers</vt:lpstr>
      <vt:lpstr>Workpapers 2</vt:lpstr>
      <vt:lpstr>'AG NCD'!Print_Area</vt:lpstr>
      <vt:lpstr>'Allocation of Base TRR - 12 CPS'!Print_Area</vt:lpstr>
      <vt:lpstr>'M&amp;L C-I On-Peak Demand'!Print_Area</vt:lpstr>
      <vt:lpstr>'M&amp;L C-I System Peak Demand'!Print_Area</vt:lpstr>
      <vt:lpstr>'Med &amp; Lrg C-I NCD'!Print_Area</vt:lpstr>
      <vt:lpstr>'Med &amp; Lrg C-I NCD Revenues'!Print_Area</vt:lpstr>
      <vt:lpstr>'San Diego Unified Port District'!Print_Area</vt:lpstr>
      <vt:lpstr>'Standby Demand'!Print_Area</vt:lpstr>
      <vt:lpstr>'Summary of Revenues'!Print_Area</vt:lpstr>
      <vt:lpstr>'Transmission Energy Rates'!Print_Area</vt:lpstr>
      <vt:lpstr>'Transmission Rates Summary'!Print_Area</vt:lpstr>
      <vt:lpstr>Workpapers!Print_Area</vt:lpstr>
      <vt:lpstr>'Workpapers 2'!Print_Area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Pham, Jenny L.</cp:lastModifiedBy>
  <cp:lastPrinted>2024-10-26T23:47:16Z</cp:lastPrinted>
  <dcterms:created xsi:type="dcterms:W3CDTF">2002-10-18T20:00:36Z</dcterms:created>
  <dcterms:modified xsi:type="dcterms:W3CDTF">2026-03-23T20:51:26Z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0119-72B5-05BC-BEFD</vt:lpwstr>
  </property>
  <property fmtid="{D5CDD505-2E9C-101B-9397-08002B2CF9AE}" pid="3" name="ContentTypeId">
    <vt:lpwstr>0x010100B2C66BA30F6EC541B9CEB3D9AC6A7FD3</vt:lpwstr>
  </property>
</Properties>
</file>